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Section II (Test Year Data)\Schedule I (Class Allocation)\"/>
    </mc:Choice>
  </mc:AlternateContent>
  <bookViews>
    <workbookView xWindow="0" yWindow="0" windowWidth="19200" windowHeight="7305" tabRatio="705" firstSheet="5" activeTab="7"/>
  </bookViews>
  <sheets>
    <sheet name="LinkSheet" sheetId="1" r:id="rId2"/>
    <sheet name="II-I-1" sheetId="20" r:id="rId3"/>
    <sheet name="WP II-I-1.1" sheetId="2" r:id="rId4"/>
    <sheet name="changes" sheetId="46" state="hidden" r:id="rId5"/>
    <sheet name=" WP II-I-1.4" sheetId="8" r:id="rId6"/>
    <sheet name="II-I-DIST" sheetId="13" r:id="rId7"/>
    <sheet name="II-I-MET" sheetId="15" r:id="rId8"/>
    <sheet name="II-I-TBILLTDCS" sheetId="16" r:id="rId9"/>
    <sheet name="II-I-Total" sheetId="18" r:id="rId10"/>
    <sheet name="II-I Summary" sheetId="14" r:id="rId11"/>
    <sheet name="WP II-I-1.9 " sheetId="45" r:id="rId12"/>
    <sheet name="WP II-I-2.2" sheetId="5" r:id="rId13"/>
    <sheet name="WP II-I-1.5" sheetId="11" r:id="rId14"/>
    <sheet name="WP II-I-1.6" sheetId="28" r:id="rId15"/>
    <sheet name="WP II-I-1.7" sheetId="7" r:id="rId16"/>
    <sheet name="WP II-I-1.2" sheetId="3" r:id="rId17"/>
    <sheet name="WP II-I-2.1" sheetId="4" r:id="rId18"/>
    <sheet name="II-I-2.1f" sheetId="44" r:id="rId19"/>
    <sheet name="II-I-3.1" sheetId="36" r:id="rId20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AFT_DIST" localSheetId="8">'II-I-Total'!#REF!</definedName>
    <definedName name="Assign_Tbl">#REF!</definedName>
    <definedName name="Assign_Tbl_2016">#REF!</definedName>
    <definedName name="DA">#REF!</definedName>
    <definedName name="DA_0222">#REF!</definedName>
    <definedName name="DA_2">#REF!</definedName>
    <definedName name="FactorTable" localSheetId="6">'II-I-MET'!$G$1318:$T$1412</definedName>
    <definedName name="FactorTable" localSheetId="7">'II-I-TBILLTDCS'!$G$1318:$T$1412</definedName>
    <definedName name="FactorTable" localSheetId="8">'II-I-Total'!#REF!</definedName>
    <definedName name="FactorTable">'II-I-DIST'!$G$1318:$T$1412</definedName>
    <definedName name="FFT_D">'II-I-DIST'!$B$1014:$L$1163</definedName>
    <definedName name="_xlnm.Print_Area" localSheetId="4">' WP II-I-1.4'!$A$1:$L$1199</definedName>
    <definedName name="_xlnm.Print_Area" localSheetId="9">'II-I Summary'!$B$2:$P$138</definedName>
    <definedName name="_xlnm.Print_Area" localSheetId="1">'II-I-1'!$B$1:$S$20</definedName>
    <definedName name="_xlnm.Print_Area" localSheetId="17">'II-I-2.1f'!$A$1:$M$1192</definedName>
    <definedName name="_xlnm.Print_Area" localSheetId="18">'II-I-3.1'!$A$1:$G$25</definedName>
    <definedName name="_xlnm.Print_Area" localSheetId="5">'II-I-DIST'!$B$2:$U$1412</definedName>
    <definedName name="_xlnm.Print_Area" localSheetId="6">'II-I-MET'!$B$2:$U$1412</definedName>
    <definedName name="_xlnm.Print_Area" localSheetId="7">'II-I-TBILLTDCS'!$B$2:$U$1412</definedName>
    <definedName name="_xlnm.Print_Area" localSheetId="8">'II-I-Total'!$B$2:$V$1198</definedName>
    <definedName name="_xlnm.Print_Area" localSheetId="0">LinkSheet!$A$1:$R$49</definedName>
    <definedName name="_xlnm.Print_Area" localSheetId="2">'WP II-I-1.1'!$B$2:$J$474</definedName>
    <definedName name="_xlnm.Print_Area" localSheetId="15">'WP II-I-1.2'!$B$2:$J$59</definedName>
    <definedName name="_xlnm.Print_Area" localSheetId="12">'WP II-I-1.5'!$B$2:$P$62</definedName>
    <definedName name="_xlnm.Print_Area" localSheetId="13">'WP II-I-1.6'!$B$1:$G$40</definedName>
    <definedName name="_xlnm.Print_Area" localSheetId="14">'WP II-I-1.7'!$B$2:$P$40</definedName>
    <definedName name="_xlnm.Print_Area" localSheetId="10">'WP II-I-1.9 '!$A$1:$Y$207</definedName>
    <definedName name="_xlnm.Print_Area" localSheetId="16">'WP II-I-2.1'!$B$2:$H$34</definedName>
    <definedName name="_xlnm.Print_Area" localSheetId="11">'WP II-I-2.2'!$B$2:$Q$87</definedName>
    <definedName name="_xlnm.Print_Titles" localSheetId="4">' WP II-I-1.4'!$B:$E</definedName>
    <definedName name="_xlnm.Print_Titles" localSheetId="9">'II-I Summary'!$2:$15</definedName>
    <definedName name="_xlnm.Print_Titles" localSheetId="17">'II-I-2.1f'!$B:$E</definedName>
    <definedName name="_xlnm.Print_Titles" localSheetId="5">'II-I-DIST'!$B:$E</definedName>
    <definedName name="_xlnm.Print_Titles" localSheetId="6">'II-I-MET'!$B:$E</definedName>
    <definedName name="_xlnm.Print_Titles" localSheetId="7">'II-I-TBILLTDCS'!$B:$E</definedName>
    <definedName name="_xlnm.Print_Titles" localSheetId="8">'II-I-Total'!$B:$E</definedName>
    <definedName name="_xlnm.Print_Titles" localSheetId="2">'WP II-I-1.1'!$3:$15</definedName>
    <definedName name="_xlnm.Print_Titles" localSheetId="11">'WP II-I-2.2'!$2:$10</definedName>
    <definedName name="x">'II-I-TBILLTDCS'!$G$1318:$T$1412</definedName>
  </definedNames>
  <calcPr calcId="152511"/>
</workbook>
</file>

<file path=xl/calcChain.xml><?xml version="1.0" encoding="utf-8"?>
<calcChain xmlns="http://schemas.openxmlformats.org/spreadsheetml/2006/main">
  <c r="P47" i="1" l="1"/>
</calcChain>
</file>

<file path=xl/sharedStrings.xml><?xml version="1.0" encoding="utf-8"?>
<sst xmlns="http://schemas.openxmlformats.org/spreadsheetml/2006/main" count="14295" uniqueCount="1422">
  <si>
    <t xml:space="preserve"> </t>
  </si>
  <si>
    <t>ONCOR ELECTRIC DELIVERY COMPANY LLC</t>
  </si>
  <si>
    <t xml:space="preserve">Line </t>
  </si>
  <si>
    <t>Account</t>
  </si>
  <si>
    <t>Description</t>
  </si>
  <si>
    <t>Reference</t>
  </si>
  <si>
    <t>TRAN</t>
  </si>
  <si>
    <t>DIST</t>
  </si>
  <si>
    <t>MET</t>
  </si>
  <si>
    <t>TDCS</t>
  </si>
  <si>
    <t>Total</t>
  </si>
  <si>
    <t>Number</t>
  </si>
  <si>
    <t>Schedule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</si>
  <si>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</si>
  <si>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</si>
  <si>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</si>
  <si>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</si>
  <si>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</si>
  <si>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</si>
  <si>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</si>
  <si>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</si>
  <si>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</si>
  <si>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</si>
  <si>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Intangible Plant - Gross</t>
  </si>
  <si>
    <t>II-B-1</t>
  </si>
  <si>
    <t>A301</t>
  </si>
  <si>
    <t>Organization</t>
  </si>
  <si>
    <t>A302</t>
  </si>
  <si>
    <t>Franchise &amp; Consents</t>
  </si>
  <si>
    <t>A303</t>
  </si>
  <si>
    <t>DIST Function (cost-based)</t>
  </si>
  <si>
    <t xml:space="preserve">  Proposed Revenue Adjustment, Wholesale</t>
  </si>
  <si>
    <t xml:space="preserve">  DIST Function (adjusted)</t>
  </si>
  <si>
    <t>(Dist+Met+Cust)</t>
  </si>
  <si>
    <t>Miscellaneous Intangible Plant</t>
  </si>
  <si>
    <t>Intangible plant - Accumulated Depreciation</t>
  </si>
  <si>
    <t>II-B-5</t>
  </si>
  <si>
    <t>Franchise and Consents</t>
  </si>
  <si>
    <t>Transmission Plant - Gross</t>
  </si>
  <si>
    <t>A349</t>
  </si>
  <si>
    <t>Land Owned in Fee</t>
  </si>
  <si>
    <t>A350</t>
  </si>
  <si>
    <t>Land and Land Rights</t>
  </si>
  <si>
    <t>A352</t>
  </si>
  <si>
    <t>Structures and Improvements</t>
  </si>
  <si>
    <t>A353</t>
  </si>
  <si>
    <t>Station Equipment</t>
  </si>
  <si>
    <t>A354</t>
  </si>
  <si>
    <t>Towers and Fixtures</t>
  </si>
  <si>
    <t>A355</t>
  </si>
  <si>
    <t>Poles and Fixtures</t>
  </si>
  <si>
    <t>A356</t>
  </si>
  <si>
    <t>Overhead Conductors and Devices</t>
  </si>
  <si>
    <t>A357</t>
  </si>
  <si>
    <t>Undergound Conduit</t>
  </si>
  <si>
    <t>A358</t>
  </si>
  <si>
    <t>Underground Conductors and Devices</t>
  </si>
  <si>
    <t>A359</t>
  </si>
  <si>
    <t>Roads and Trails</t>
  </si>
  <si>
    <t>Transmission Plant - Accumulated Depreciation</t>
  </si>
  <si>
    <t>Distribution Plant - Gross</t>
  </si>
  <si>
    <t>A360</t>
  </si>
  <si>
    <t>A361</t>
  </si>
  <si>
    <t>A362</t>
  </si>
  <si>
    <t>A363</t>
  </si>
  <si>
    <t>Storage Battery Equipment</t>
  </si>
  <si>
    <t>A364</t>
  </si>
  <si>
    <t>Poles,Towers &amp; Fixtures-Total</t>
  </si>
  <si>
    <t>A365</t>
  </si>
  <si>
    <t>O.H. Conductors &amp; Devices-Total</t>
  </si>
  <si>
    <t>A366</t>
  </si>
  <si>
    <t>Underground Conduits-Total</t>
  </si>
  <si>
    <t>A367</t>
  </si>
  <si>
    <t>U.G. Conductors &amp; Devices-Total</t>
  </si>
  <si>
    <t>A368</t>
  </si>
  <si>
    <t>Line Transformers-Total</t>
  </si>
  <si>
    <t>A369</t>
  </si>
  <si>
    <t>Services</t>
  </si>
  <si>
    <t>A370</t>
  </si>
  <si>
    <t>Meters</t>
  </si>
  <si>
    <t>A371</t>
  </si>
  <si>
    <t>Installations on Customers' Premises</t>
  </si>
  <si>
    <t>A372</t>
  </si>
  <si>
    <t>Leased Property on Customers' Premises</t>
  </si>
  <si>
    <t>A373</t>
  </si>
  <si>
    <t>Street Lighting and Signal Systems</t>
  </si>
  <si>
    <t>A374</t>
  </si>
  <si>
    <t>Distribution Plant - Accumulated Depreciation</t>
  </si>
  <si>
    <t>Street Lights</t>
  </si>
  <si>
    <t>General Plant - Gross</t>
  </si>
  <si>
    <t>II-B-2</t>
  </si>
  <si>
    <t>A388</t>
  </si>
  <si>
    <t>A389</t>
  </si>
  <si>
    <t>A390</t>
  </si>
  <si>
    <t>A391</t>
  </si>
  <si>
    <t>Office Furniture &amp; Equip.</t>
  </si>
  <si>
    <t>A392</t>
  </si>
  <si>
    <t>Primary DL</t>
  </si>
  <si>
    <t>Transportation Equipment</t>
  </si>
  <si>
    <t>A393</t>
  </si>
  <si>
    <t xml:space="preserve">Stores Equipment </t>
  </si>
  <si>
    <t>A394</t>
  </si>
  <si>
    <t>Tools, Shop and Garage Equipment</t>
  </si>
  <si>
    <t>A395</t>
  </si>
  <si>
    <t>Laboratory Equipment</t>
  </si>
  <si>
    <t>A396</t>
  </si>
  <si>
    <t>Power Operated Equipment</t>
  </si>
  <si>
    <t>A397</t>
  </si>
  <si>
    <t>Communication Equipment</t>
  </si>
  <si>
    <t>II-B-3</t>
  </si>
  <si>
    <t>A398</t>
  </si>
  <si>
    <t>Miscellaneous Equipment</t>
  </si>
  <si>
    <t>A399</t>
  </si>
  <si>
    <t>Other Tangible Property</t>
  </si>
  <si>
    <t>General Plant - Accumulated Depreciation</t>
  </si>
  <si>
    <t>Other Rate Base Items</t>
  </si>
  <si>
    <t>CWIP</t>
  </si>
  <si>
    <t>II-B-4</t>
  </si>
  <si>
    <t>Plant Held for Future Use</t>
  </si>
  <si>
    <t>II-B-6</t>
  </si>
  <si>
    <t>Plant Materials &amp; Operating Supplies</t>
  </si>
  <si>
    <t>II-B-8</t>
  </si>
  <si>
    <t>Stores Expense Undistributed</t>
  </si>
  <si>
    <t>Cash Working Capital</t>
  </si>
  <si>
    <t>II-B-9</t>
  </si>
  <si>
    <t>Prepayments</t>
  </si>
  <si>
    <t>II-B-10</t>
  </si>
  <si>
    <t>Customer Deposits</t>
  </si>
  <si>
    <t>II-B-11</t>
  </si>
  <si>
    <t>ADIT  &amp; FAS 109 Accts.</t>
  </si>
  <si>
    <t>II-E-3.7</t>
  </si>
  <si>
    <t>Non-Tax Related Regulatory Assets</t>
  </si>
  <si>
    <t>II-B-12</t>
  </si>
  <si>
    <t>Gains/Losses on Reacquired Debt Post-Industry Restructure</t>
  </si>
  <si>
    <t>Gains/Losses on Reacquired Debt Pre-Industry Restructure</t>
  </si>
  <si>
    <t>Deferred Pension Costs (a)</t>
  </si>
  <si>
    <t>Deferred Pension Costs (b)</t>
  </si>
  <si>
    <t>Deferred Other Post-Employment Benefit Costs (a)</t>
  </si>
  <si>
    <t>Deferred Depr-Conv/BPL/PLC Meters</t>
  </si>
  <si>
    <t>Energy Efficiency Performance Bonus</t>
  </si>
  <si>
    <t>Deferred Customer Education - AMS</t>
  </si>
  <si>
    <t>Non-Tax Related Regulatory Liabilities</t>
  </si>
  <si>
    <t>Under/Over-Collected Transition Cost Revenues</t>
  </si>
  <si>
    <t>Asset Retirement Obligations</t>
  </si>
  <si>
    <t>Self Insurance Reserve (Transmission) (a)</t>
  </si>
  <si>
    <t>Over Recovered AMS</t>
  </si>
  <si>
    <t>Tax Related Regulatory Assets</t>
  </si>
  <si>
    <t>FAS 109-EPIS-Basis Differences</t>
  </si>
  <si>
    <t>FAS 109-CWIP-Flow Through</t>
  </si>
  <si>
    <t>Pension/OPEB - Unrecognized Exp.</t>
  </si>
  <si>
    <t>Unrecognized Exp - Gross-up</t>
  </si>
  <si>
    <t>FAS 109 - OPEB Medicare Subsidy</t>
  </si>
  <si>
    <t>FAS 109 - OPEB Medicare Subsidy - Gross-up</t>
  </si>
  <si>
    <t>Tax Related Regulatory Liabilities</t>
  </si>
  <si>
    <t>FAS 109 - Unamortized ITC</t>
  </si>
  <si>
    <t>Pension/OPEB - FAS 109</t>
  </si>
  <si>
    <t>Pension/OPEB - Gross-up</t>
  </si>
  <si>
    <t>Rate of Return</t>
  </si>
  <si>
    <t>II-C</t>
  </si>
  <si>
    <t>Transmission Expense - Operation</t>
  </si>
  <si>
    <t>II-D-1</t>
  </si>
  <si>
    <t>A560</t>
  </si>
  <si>
    <t>Operation Supervision and Engineering</t>
  </si>
  <si>
    <t>A561</t>
  </si>
  <si>
    <t xml:space="preserve">Load Dispatching </t>
  </si>
  <si>
    <t>A562</t>
  </si>
  <si>
    <t>Station Expenses</t>
  </si>
  <si>
    <t>A563</t>
  </si>
  <si>
    <t>Overhead Line Expenses</t>
  </si>
  <si>
    <t>A564</t>
  </si>
  <si>
    <t>Underground Line Expenses</t>
  </si>
  <si>
    <t>A565</t>
  </si>
  <si>
    <t>Transmission of Electricity by Others</t>
  </si>
  <si>
    <t>A566</t>
  </si>
  <si>
    <t>Miscellaneous Transmission Expenses</t>
  </si>
  <si>
    <t>A567</t>
  </si>
  <si>
    <t xml:space="preserve">Rents </t>
  </si>
  <si>
    <t>Transmission Expense - Maintenance</t>
  </si>
  <si>
    <t>A568</t>
  </si>
  <si>
    <t>Maintenance Supervision and Engineering</t>
  </si>
  <si>
    <t>A569</t>
  </si>
  <si>
    <t>Maintenance of Structures</t>
  </si>
  <si>
    <t>A570</t>
  </si>
  <si>
    <t>Maintenance of Station Equipment</t>
  </si>
  <si>
    <t>A571</t>
  </si>
  <si>
    <t>Maintenance of Overhead Lines</t>
  </si>
  <si>
    <t>A572</t>
  </si>
  <si>
    <t>Maintenance of Underground Lines</t>
  </si>
  <si>
    <t>A573</t>
  </si>
  <si>
    <t>Maintenance of Miscellaneous Transmission Plant</t>
  </si>
  <si>
    <t>Distribution Expense - Operation</t>
  </si>
  <si>
    <t>A580</t>
  </si>
  <si>
    <t>A581</t>
  </si>
  <si>
    <t>Load Dispatching</t>
  </si>
  <si>
    <t>A582</t>
  </si>
  <si>
    <t>A583</t>
  </si>
  <si>
    <t>A584</t>
  </si>
  <si>
    <t>A585</t>
  </si>
  <si>
    <t>Street Lighting and Signal System Expenses</t>
  </si>
  <si>
    <t>A586</t>
  </si>
  <si>
    <t>Meter Expenses</t>
  </si>
  <si>
    <t>A587</t>
  </si>
  <si>
    <t>Customer Installation Expenses</t>
  </si>
  <si>
    <t>A588</t>
  </si>
  <si>
    <t>Miscellaneous Distribution Expenses</t>
  </si>
  <si>
    <t>A589</t>
  </si>
  <si>
    <t>Rents</t>
  </si>
  <si>
    <t>Distribution Expense - Maintenance</t>
  </si>
  <si>
    <t>A590</t>
  </si>
  <si>
    <t>A591</t>
  </si>
  <si>
    <t>A592</t>
  </si>
  <si>
    <t>A593</t>
  </si>
  <si>
    <t>A594</t>
  </si>
  <si>
    <t>A595</t>
  </si>
  <si>
    <t>Maintenance of Line Transformers</t>
  </si>
  <si>
    <t>A596</t>
  </si>
  <si>
    <t>Maintenance of Street Lighting and Signal Systems</t>
  </si>
  <si>
    <t>A597</t>
  </si>
  <si>
    <t>Maintenance of Meters</t>
  </si>
  <si>
    <t>A598</t>
  </si>
  <si>
    <t>Maintenance of Miscellaneous Distribution Plant</t>
  </si>
  <si>
    <t>Customer Accounts Expenses</t>
  </si>
  <si>
    <t>A901</t>
  </si>
  <si>
    <t>Supervision</t>
  </si>
  <si>
    <t>A902</t>
  </si>
  <si>
    <t>Meter Reading Expenses</t>
  </si>
  <si>
    <t>A903</t>
  </si>
  <si>
    <t>Customer Records and Collection Expenses</t>
  </si>
  <si>
    <t>A904</t>
  </si>
  <si>
    <t>Uncollectible Accounts</t>
  </si>
  <si>
    <t>A905</t>
  </si>
  <si>
    <t>Miscellaneous Customer Account Expenses</t>
  </si>
  <si>
    <t>Customer Service &amp; Information Expenses</t>
  </si>
  <si>
    <t>A906</t>
  </si>
  <si>
    <t>Customer Service and Informational Expenses</t>
  </si>
  <si>
    <t>A907</t>
  </si>
  <si>
    <t>A908</t>
  </si>
  <si>
    <t>Customer Assistance Expenses</t>
  </si>
  <si>
    <t>A909</t>
  </si>
  <si>
    <t>Informational and Instructional Advertising Expenses</t>
  </si>
  <si>
    <t>A910</t>
  </si>
  <si>
    <t>Miscellaneous Customer Service and Informational Expenses</t>
  </si>
  <si>
    <t>Sales Expense</t>
  </si>
  <si>
    <t>A911</t>
  </si>
  <si>
    <t>A912</t>
  </si>
  <si>
    <t>Demonstrating and Selling Expenses</t>
  </si>
  <si>
    <t>A913</t>
  </si>
  <si>
    <t>Advertising Expenses</t>
  </si>
  <si>
    <t>A916</t>
  </si>
  <si>
    <t>Miscellaneous Sales Expenses</t>
  </si>
  <si>
    <t>A917</t>
  </si>
  <si>
    <t>Sales Expenses</t>
  </si>
  <si>
    <t>Adminstrative &amp; General Expenses</t>
  </si>
  <si>
    <t>II-D-2</t>
  </si>
  <si>
    <t>A920</t>
  </si>
  <si>
    <t>Administrative and General Salaries</t>
  </si>
  <si>
    <t>A921</t>
  </si>
  <si>
    <t>Office Supplies and Expenses</t>
  </si>
  <si>
    <t>A922</t>
  </si>
  <si>
    <t>Admin Expense Transferred - Credit</t>
  </si>
  <si>
    <t>A923</t>
  </si>
  <si>
    <t>Outside Services Employed</t>
  </si>
  <si>
    <t>A924</t>
  </si>
  <si>
    <t>Property Insurance</t>
  </si>
  <si>
    <t>A925</t>
  </si>
  <si>
    <t>Injuries and Damages</t>
  </si>
  <si>
    <t>A926</t>
  </si>
  <si>
    <t>Employee Pensions and Benefits</t>
  </si>
  <si>
    <t>A928</t>
  </si>
  <si>
    <t>Regulatory Commission Expenses</t>
  </si>
  <si>
    <t>A930.1</t>
  </si>
  <si>
    <t>General Advertising Expenses</t>
  </si>
  <si>
    <t>A930.2</t>
  </si>
  <si>
    <t>Miscellaneous General Expenses</t>
  </si>
  <si>
    <t>A931</t>
  </si>
  <si>
    <t>A932</t>
  </si>
  <si>
    <t>Maintenance of General Plant</t>
  </si>
  <si>
    <t>A935</t>
  </si>
  <si>
    <t>Transmission Payroll Expense - Operation</t>
  </si>
  <si>
    <t>II-D-3</t>
  </si>
  <si>
    <t>Transmission Payroll Expense - Maintenance</t>
  </si>
  <si>
    <t>Distribution Payroll Expense - Operation</t>
  </si>
  <si>
    <t>Distribution Payroll Expense - Maintenance</t>
  </si>
  <si>
    <t>Customer Accounting Payroll</t>
  </si>
  <si>
    <t>Customer Service &amp; Info. Payroll</t>
  </si>
  <si>
    <t>Sales Payroll</t>
  </si>
  <si>
    <t xml:space="preserve">  A911</t>
  </si>
  <si>
    <t>Adminstrative &amp; General Payroll Expenses</t>
  </si>
  <si>
    <t>Summary of Exclusions from Reporting Period</t>
  </si>
  <si>
    <t>Legislative Advocacy</t>
  </si>
  <si>
    <t>II-E-4.2</t>
  </si>
  <si>
    <t>Penalties and Fines</t>
  </si>
  <si>
    <t>Other Exclusions</t>
  </si>
  <si>
    <t>II-D-4</t>
  </si>
  <si>
    <t>Social/Recreational/Religious</t>
  </si>
  <si>
    <t>Political</t>
  </si>
  <si>
    <t>Depreciation and Amortization Expense</t>
  </si>
  <si>
    <t>II-E-1</t>
  </si>
  <si>
    <t>Intangible Plant</t>
  </si>
  <si>
    <t>Transmission Plant</t>
  </si>
  <si>
    <t>Distribution Plant</t>
  </si>
  <si>
    <t>General Plant</t>
  </si>
  <si>
    <t>Other Tangible Property - Depr</t>
  </si>
  <si>
    <t>Other Tangible Property - Depletable</t>
  </si>
  <si>
    <t>Taxes Other than Income Taxes</t>
  </si>
  <si>
    <t>II-E-2</t>
  </si>
  <si>
    <t>Payroll-Related</t>
  </si>
  <si>
    <t>FICA</t>
  </si>
  <si>
    <t>FUTA</t>
  </si>
  <si>
    <t>SUTA</t>
  </si>
  <si>
    <t>Property Related</t>
  </si>
  <si>
    <t>Ad Valorem</t>
  </si>
  <si>
    <t>Non-Revenue Related</t>
  </si>
  <si>
    <t>Texas Gross Margin Tax</t>
  </si>
  <si>
    <t>Municipal Franchise Fees</t>
  </si>
  <si>
    <t>Federal Income Taxes</t>
  </si>
  <si>
    <t>II-E-3</t>
  </si>
  <si>
    <t>Deductions:</t>
  </si>
  <si>
    <t>Synchronized Interest</t>
  </si>
  <si>
    <t>ITC Amortization</t>
  </si>
  <si>
    <t>see functions</t>
  </si>
  <si>
    <t>Additions:</t>
  </si>
  <si>
    <t>Prior Period Adjustments</t>
  </si>
  <si>
    <t>Depreciation Differences</t>
  </si>
  <si>
    <t>Tax Credits</t>
  </si>
  <si>
    <t>ADD:</t>
  </si>
  <si>
    <t>Prior period adjustments</t>
  </si>
  <si>
    <t>Other Expenses</t>
  </si>
  <si>
    <t>A431</t>
  </si>
  <si>
    <t>Interest On Customer Deposits</t>
  </si>
  <si>
    <t>II-E-4</t>
  </si>
  <si>
    <t>A407.3</t>
  </si>
  <si>
    <t>Amortization of Regulatory Asset</t>
  </si>
  <si>
    <t>II-E-4.1</t>
  </si>
  <si>
    <t>Other Revenues</t>
  </si>
  <si>
    <t>II-E-5</t>
  </si>
  <si>
    <t>Non-Electric Revenue</t>
  </si>
  <si>
    <t>A442</t>
  </si>
  <si>
    <t>Power Factor</t>
  </si>
  <si>
    <t>A450</t>
  </si>
  <si>
    <t>Forfeited Discounts</t>
  </si>
  <si>
    <t>A451a</t>
  </si>
  <si>
    <t>Misc. Service Revenues - Discretionary</t>
  </si>
  <si>
    <t>A451b</t>
  </si>
  <si>
    <t>Misc. Service Revenues - Other</t>
  </si>
  <si>
    <t>A454a</t>
  </si>
  <si>
    <t>Rent from Property:  Pole Contacts</t>
  </si>
  <si>
    <t>A454b</t>
  </si>
  <si>
    <t>Rent from Property:  Fiber Optics</t>
  </si>
  <si>
    <t>A454c</t>
  </si>
  <si>
    <t>Rent from Property:  Antenna Lease</t>
  </si>
  <si>
    <t>A454d</t>
  </si>
  <si>
    <t>Rent from Property:  Third Party</t>
  </si>
  <si>
    <t>A454e</t>
  </si>
  <si>
    <t>Rent from Property:  Right Of Way &amp; Misc</t>
  </si>
  <si>
    <t>A456</t>
  </si>
  <si>
    <t>Other Electric Revenues</t>
  </si>
  <si>
    <t>Total Payroll Expense</t>
  </si>
  <si>
    <t>COST-BASED Revenue Requirement</t>
  </si>
  <si>
    <t>I-A-1</t>
  </si>
  <si>
    <t>Rate Base</t>
  </si>
  <si>
    <t>Return on Rate Base</t>
  </si>
  <si>
    <t>Operating and Maintenance Expenses</t>
  </si>
  <si>
    <t>Depreciation, Amortization, &amp; Other Expenses</t>
  </si>
  <si>
    <t>Taxes Other Than Federal Income Tax</t>
  </si>
  <si>
    <t>FIT</t>
  </si>
  <si>
    <t>minus Other Revenues</t>
  </si>
  <si>
    <t>Revenue Requirement</t>
  </si>
  <si>
    <t>Should be all TRUE ==&gt;</t>
  </si>
  <si>
    <t>Total Payroll Expense (this file)</t>
  </si>
  <si>
    <t>Acct</t>
  </si>
  <si>
    <t>Source</t>
  </si>
  <si>
    <t>A454b1</t>
  </si>
  <si>
    <t>Rent from Property:  Fiber Optics Overhead</t>
  </si>
  <si>
    <t>A454b2</t>
  </si>
  <si>
    <t>Rent from Property:  Fiber Optics Underground</t>
  </si>
  <si>
    <t>Allocation</t>
  </si>
  <si>
    <t>(WP/II-I-2.1)</t>
  </si>
  <si>
    <t>Original Cost</t>
  </si>
  <si>
    <t>Poles, Towers &amp; Fixtures:  Total (WP/ II-I-1.1)</t>
  </si>
  <si>
    <t>A364P</t>
  </si>
  <si>
    <t>Poles, Towers &amp; Fixtures:  Primary</t>
  </si>
  <si>
    <t>A364S</t>
  </si>
  <si>
    <t>Poles, Towers &amp; Fixtures:  Secondary</t>
  </si>
  <si>
    <t>O.H. Conductors &amp; Devices:  Total (WP/ II-I-1.1)</t>
  </si>
  <si>
    <t>A365P</t>
  </si>
  <si>
    <t>O.H. Conductors &amp; Devices:  Primary</t>
  </si>
  <si>
    <t>A365S</t>
  </si>
  <si>
    <t>O.H. Conductors &amp; Devices:  Secondary</t>
  </si>
  <si>
    <t>Underground Conduits:  Total (WP/ II-I-1.1)</t>
  </si>
  <si>
    <t>A366P</t>
  </si>
  <si>
    <t>Underground Conduits:  Primary</t>
  </si>
  <si>
    <t>A366S</t>
  </si>
  <si>
    <t>Underground Conduits:  Secondary</t>
  </si>
  <si>
    <t>U.G. Conductors &amp; Devices:  Total (WP/ II-I-1.1)</t>
  </si>
  <si>
    <t>A367P</t>
  </si>
  <si>
    <t>U.G. Conductors &amp; Devices:  Primary</t>
  </si>
  <si>
    <t>A367S</t>
  </si>
  <si>
    <t>U.G. Conductors &amp; Devices:  Secondary</t>
  </si>
  <si>
    <t>Line Transformers:  Total (WP/ II-I-1.1)</t>
  </si>
  <si>
    <t>A368P</t>
  </si>
  <si>
    <t>Regulators, Protectors, Primary Transformers</t>
  </si>
  <si>
    <t>A368S</t>
  </si>
  <si>
    <t>Secondary Transformers</t>
  </si>
  <si>
    <t>A368C</t>
  </si>
  <si>
    <t>Capacitors</t>
  </si>
  <si>
    <t>Line</t>
  </si>
  <si>
    <t>Wholesale</t>
  </si>
  <si>
    <t xml:space="preserve">Residential </t>
  </si>
  <si>
    <t>Secondary</t>
  </si>
  <si>
    <t>Primary</t>
  </si>
  <si>
    <t>Transmission</t>
  </si>
  <si>
    <t>Lighting</t>
  </si>
  <si>
    <t>TX</t>
  </si>
  <si>
    <t>Substation</t>
  </si>
  <si>
    <t>DLS</t>
  </si>
  <si>
    <t>&lt;=10kW</t>
  </si>
  <si>
    <t>&gt;10kW</t>
  </si>
  <si>
    <t>(k)</t>
  </si>
  <si>
    <t>(l)</t>
  </si>
  <si>
    <t>Total Present Revenues from Current Rates</t>
  </si>
  <si>
    <t>Maximum Proposed Wholesale Pct Increase</t>
  </si>
  <si>
    <t>Maximum Proposed Wholesale Revenue</t>
  </si>
  <si>
    <t>Cost-Based Wholesale Revenue Requirement</t>
  </si>
  <si>
    <t>Retail Rate Base, excluding Lighting</t>
  </si>
  <si>
    <t>Wholesale Adjustment Allocation Factor</t>
  </si>
  <si>
    <t>Proposed Revenue Adjustment, Wholesale</t>
  </si>
  <si>
    <t>Tax Rate</t>
  </si>
  <si>
    <t>After Tax Return Adjustment for Wholesale Impact</t>
  </si>
  <si>
    <t>Return on Rate Base (unadjusted)</t>
  </si>
  <si>
    <t>Return on Rate Base (adjusted)</t>
  </si>
  <si>
    <t>FIT Deductions</t>
  </si>
  <si>
    <t>Plant, Distribution, Original Cost</t>
  </si>
  <si>
    <t>PLTDIST</t>
  </si>
  <si>
    <t>FIT Additions</t>
  </si>
  <si>
    <t>Taxable Component of Return</t>
  </si>
  <si>
    <t>Tax Factor</t>
  </si>
  <si>
    <t>Federal Income Taxes Before Credits &amp; Adds</t>
  </si>
  <si>
    <t>FIT Credits</t>
  </si>
  <si>
    <t>Total Federal Income Taxes (adjusted)</t>
  </si>
  <si>
    <t>FIT as originally calculated</t>
  </si>
  <si>
    <t>Adjustment for FIT</t>
  </si>
  <si>
    <t>Transmission of Electricity Costs (Acct 565)</t>
  </si>
  <si>
    <t>Taxes Other Than FIT</t>
  </si>
  <si>
    <t>Total Cost of Service (adjusted)</t>
  </si>
  <si>
    <t>Total Cost of Service (unadjusted)</t>
  </si>
  <si>
    <t>Revenue Adjustment for Customer Impact</t>
  </si>
  <si>
    <t>Total Other Revenue</t>
  </si>
  <si>
    <t>Proposed Revenue (adjusted)</t>
  </si>
  <si>
    <t>Increase/(Decrease)</t>
  </si>
  <si>
    <t>Increase/(Decrease) Percentage</t>
  </si>
  <si>
    <t>TRAN Function (TCOS) *</t>
  </si>
  <si>
    <t>N/A</t>
  </si>
  <si>
    <t>MET Function</t>
  </si>
  <si>
    <t>CUSTOMER Function (TBILL+TDCS)</t>
  </si>
  <si>
    <t>Proposed Revenue Requirement</t>
  </si>
  <si>
    <t xml:space="preserve">  TRAN Function is used to calculate Oncor Electric Delivery's TCOS Rate.  This TCOS Rate and other TSPs TCOS Rates are used to calculate total costs for Account 565.</t>
  </si>
  <si>
    <t>Ref</t>
  </si>
  <si>
    <t>XFMR</t>
  </si>
  <si>
    <t>WP/II-I-2.4</t>
  </si>
  <si>
    <t>Poles, Towers &amp; Fixtures-Total</t>
  </si>
  <si>
    <t>Poles, Towers &amp; Fixtures-Primary</t>
  </si>
  <si>
    <t>Poles, Towers &amp; Fixtures-Secondary</t>
  </si>
  <si>
    <t>O.H. Conductors &amp; Devices-Primary</t>
  </si>
  <si>
    <t>O.H. Conductors &amp; Devices-Secondary</t>
  </si>
  <si>
    <t>Underground Conduits-Primary</t>
  </si>
  <si>
    <t>Underground Conduits-Secondary</t>
  </si>
  <si>
    <t>U.G. Conductors &amp; Devices-Primary</t>
  </si>
  <si>
    <t>U.G. Conductors &amp; Devices-Secondary</t>
  </si>
  <si>
    <t>Line Transformers-Primary</t>
  </si>
  <si>
    <t>Line Transformers-Secondary</t>
  </si>
  <si>
    <t>Capacitors &amp; Voltage Regulators</t>
  </si>
  <si>
    <t>Whl XFMR</t>
  </si>
  <si>
    <t>Whl DLS</t>
  </si>
  <si>
    <t>RES</t>
  </si>
  <si>
    <t>SEC &lt;10</t>
  </si>
  <si>
    <t>SEC &gt; 10</t>
  </si>
  <si>
    <t>PRI &lt;10</t>
  </si>
  <si>
    <t>Pri Subst</t>
  </si>
  <si>
    <t>PRI &gt;10 DLS</t>
  </si>
  <si>
    <t>LIGHT</t>
  </si>
  <si>
    <t>TOTAL</t>
  </si>
  <si>
    <t>Test Year-End Customers</t>
  </si>
  <si>
    <t>Class Meter Weight</t>
  </si>
  <si>
    <t>WP II-I-2.5</t>
  </si>
  <si>
    <t>NCP (kW at Source)</t>
  </si>
  <si>
    <t>MAXIMUM</t>
  </si>
  <si>
    <t>SEC &lt;=10</t>
  </si>
  <si>
    <t>PRI &lt;=10</t>
  </si>
  <si>
    <t xml:space="preserve">     Customer</t>
  </si>
  <si>
    <t xml:space="preserve">     Meter</t>
  </si>
  <si>
    <t>Subtotal</t>
  </si>
  <si>
    <t>II-H-4.1 page 9:</t>
  </si>
  <si>
    <t>line 22</t>
  </si>
  <si>
    <t>line 1</t>
  </si>
  <si>
    <t>line 3</t>
  </si>
  <si>
    <t>lines 5+6</t>
  </si>
  <si>
    <t>line 8</t>
  </si>
  <si>
    <t>line 12</t>
  </si>
  <si>
    <t>II-H-4.1 p9 line 25</t>
  </si>
  <si>
    <t xml:space="preserve">     TCRF (incl Pwr Fctr)</t>
  </si>
  <si>
    <t xml:space="preserve">     Distribution (incl Pwr Fctr)</t>
  </si>
  <si>
    <t>CIS Discretionary Services Revenue</t>
  </si>
  <si>
    <t>Adj Discretionary Services Revenue</t>
  </si>
  <si>
    <t>CONSOLIDATED FUNCTIONALIZED COST OF SERVICE</t>
  </si>
  <si>
    <t>(WP/II-I-1.2)</t>
  </si>
  <si>
    <t>O&amp;M + Customer + A&amp;G Expenses</t>
  </si>
  <si>
    <t>Depreciation, Amortization &amp; Other Expenses</t>
  </si>
  <si>
    <t>Federal Income Tax</t>
  </si>
  <si>
    <t>Return on  Rate Base</t>
  </si>
  <si>
    <t>II-B</t>
  </si>
  <si>
    <t>TOTAL COST OF SERVICE</t>
  </si>
  <si>
    <t>Minus:  Other Revenues</t>
  </si>
  <si>
    <t>COST_BASED Revenue Requirement</t>
  </si>
  <si>
    <t>Return On Rate Base</t>
  </si>
  <si>
    <t>Intangible, Transmission, Distribution Plant:  Original Cost</t>
  </si>
  <si>
    <t>General Plant:  Original Cost</t>
  </si>
  <si>
    <t>Communication Equipment:  Original Cost</t>
  </si>
  <si>
    <t>Total Plant</t>
  </si>
  <si>
    <t>Minus:  Accumulated Depreciation</t>
  </si>
  <si>
    <t>NET PLANT IN SERVICE</t>
  </si>
  <si>
    <t>Other Rate Base Items:</t>
  </si>
  <si>
    <t>Accumulated Provisions ex ADFIT</t>
  </si>
  <si>
    <t>II-B-7</t>
  </si>
  <si>
    <t>Materials &amp; Supplies</t>
  </si>
  <si>
    <t>Misc Other Rate Base</t>
  </si>
  <si>
    <t>Regulatory Assets</t>
  </si>
  <si>
    <t>Acuumulated Deferred Income Taxes</t>
  </si>
  <si>
    <t>II-E3.7</t>
  </si>
  <si>
    <t>TOTAL RATE BASE</t>
  </si>
  <si>
    <t>COST-BASED Rate of Return</t>
  </si>
  <si>
    <t>COST-BASED Return On Rate Base</t>
  </si>
  <si>
    <t>Intangible and Transmission Plant Gross</t>
  </si>
  <si>
    <t>Intangible Plant Gross</t>
  </si>
  <si>
    <t>O.H. Conductors &amp; Devices</t>
  </si>
  <si>
    <t>Underground Conductors</t>
  </si>
  <si>
    <t>Subtotal:  Assigned + Allocated</t>
  </si>
  <si>
    <t>Poles, Towers and Fixtures:  Primary</t>
  </si>
  <si>
    <t>Poles, Towers and Fixtures:  Secondary</t>
  </si>
  <si>
    <t>Overhead Conductors and Devices:  Primary</t>
  </si>
  <si>
    <t>Overhead Conductors and Devices:  Secondary</t>
  </si>
  <si>
    <t>Underground Conductors and Devices:  Primary</t>
  </si>
  <si>
    <t>Underground Conductors and Devices:  Secondary</t>
  </si>
  <si>
    <t>Install. on Customer Prem.</t>
  </si>
  <si>
    <t>Leased Prop. on Cust. Premises</t>
  </si>
  <si>
    <t>INT, TRAN, DIST PLANT:  GROSS</t>
  </si>
  <si>
    <t>OPERATING PLANT:  GROSS</t>
  </si>
  <si>
    <t>General Plant Gross</t>
  </si>
  <si>
    <t xml:space="preserve">Store Equipment </t>
  </si>
  <si>
    <t>Tools, Shop &amp; Garage Equip.</t>
  </si>
  <si>
    <t>Misc. Equipment</t>
  </si>
  <si>
    <t>Other Tangible</t>
  </si>
  <si>
    <t>GENERAL PLANT:  GROSS</t>
  </si>
  <si>
    <t>Total Communication Equipment</t>
  </si>
  <si>
    <t>COMMUNICATION EQUIPMENT</t>
  </si>
  <si>
    <t>GENERAL PLANT:  GROSS, INCLUDE. COMM. EQUIP.</t>
  </si>
  <si>
    <t>II-B-2-3</t>
  </si>
  <si>
    <t>PLANT IN SERVICE:  GROSS (INCL. INTANGIBLES)</t>
  </si>
  <si>
    <t>II-B-1-3</t>
  </si>
  <si>
    <t>PLANT IN SERVICE:  GROSS (EXCL. INTANGIBLES)</t>
  </si>
  <si>
    <t>Construction Work in Progress</t>
  </si>
  <si>
    <t>A107</t>
  </si>
  <si>
    <t>TOTAL CWIP</t>
  </si>
  <si>
    <t>Intangible and Transmission Plant Accum Dep</t>
  </si>
  <si>
    <t>Intangible Plant Accumulated Depreciation</t>
  </si>
  <si>
    <t>Transmission Plant Accum Depreciation:  Total</t>
  </si>
  <si>
    <t>Transmission Plant Gross</t>
  </si>
  <si>
    <t>Distribution Plant Gross</t>
  </si>
  <si>
    <t xml:space="preserve">Subtotal 364:  </t>
  </si>
  <si>
    <t xml:space="preserve">Subtotal 365:  </t>
  </si>
  <si>
    <t xml:space="preserve">Subtotal 366:  </t>
  </si>
  <si>
    <t xml:space="preserve">Subtotal 367:  </t>
  </si>
  <si>
    <t xml:space="preserve">Subtotal 368:  </t>
  </si>
  <si>
    <t>Transmission Plant Accum Depreciation</t>
  </si>
  <si>
    <t>Distribution Plant Accum Depreciation</t>
  </si>
  <si>
    <t>INT, TRAN, DIST PLANT ACCUM DEPR TOTAL</t>
  </si>
  <si>
    <t>OPERATING PLANT ACCUM DEPR TOTAL</t>
  </si>
  <si>
    <t>INTANGIBLE PLANT:  NET</t>
  </si>
  <si>
    <t>TRANSMISSION PLANT:  NET</t>
  </si>
  <si>
    <t>DISTRIBUTION PLANT:  NET</t>
  </si>
  <si>
    <t>OPERATING PLANT:  NET</t>
  </si>
  <si>
    <t>INT, TRAN, DIST PLANT:  NET</t>
  </si>
  <si>
    <t>General Plant:  Accumulated Depreciation</t>
  </si>
  <si>
    <t>Accumulated Depreciation</t>
  </si>
  <si>
    <t>Other Tangible-Deprc.</t>
  </si>
  <si>
    <t>ACCUM. DEP. FOR GENERAL PLANT</t>
  </si>
  <si>
    <t>GENERAL PLANT-NET (include. Comm Eq.)</t>
  </si>
  <si>
    <t>PLANT IN SERVICE NET (INCL. INTANGIBLES)</t>
  </si>
  <si>
    <t>PLANT IN SERVICE NET (EXCL. INTANGIBLES)</t>
  </si>
  <si>
    <t>A105</t>
  </si>
  <si>
    <t>TOTAL PLANT HELD FOR FUTURE USE</t>
  </si>
  <si>
    <t>Accumulated Provisions</t>
  </si>
  <si>
    <t>Reserve for Catastrophic Event</t>
  </si>
  <si>
    <t>Customers Advances for Construction</t>
  </si>
  <si>
    <t>ACCUMULATED PROVISIONS EX ADFIT</t>
  </si>
  <si>
    <t>Accumulated Deferred Federal Income Taxes</t>
  </si>
  <si>
    <t>TOTAL ACCUMULATED PROVISIONS INCL ADFIT</t>
  </si>
  <si>
    <t>Materials and Supplies</t>
  </si>
  <si>
    <t>Working Capital</t>
  </si>
  <si>
    <t>Material and Supplies</t>
  </si>
  <si>
    <t>Undistributed M&amp;S Expenses</t>
  </si>
  <si>
    <t>TOTAL MATERIALS &amp; SUPPLIES</t>
  </si>
  <si>
    <t>TOTAL CASH WORKING CAPITAL</t>
  </si>
  <si>
    <t>TOTAL PREPAYMENTS</t>
  </si>
  <si>
    <t>WORKING CAPITAL TOTAL</t>
  </si>
  <si>
    <t>II-B-8-10</t>
  </si>
  <si>
    <t>Misc Other Rate Base Items</t>
  </si>
  <si>
    <t>A235 Customer Deposits</t>
  </si>
  <si>
    <t>OTHER RATE BASE ITEMS EX REGULATORY ASSETS</t>
  </si>
  <si>
    <t>Non-Tax Related Regulatory Assets and Liabilities</t>
  </si>
  <si>
    <t>Regulatory Assets/(Liabilities) in Rate Base</t>
  </si>
  <si>
    <t>Non-tax Related Regulatory Assets</t>
  </si>
  <si>
    <t>Subtotal Non-Tax Regulatory Assets</t>
  </si>
  <si>
    <t>Subtotal Non-Tax Regulatory Liabilities</t>
  </si>
  <si>
    <t>TOTAL NON-TAX RELATED REGULATORY ASSETS</t>
  </si>
  <si>
    <t>Tax Related Regulatory Assets and Liabilities</t>
  </si>
  <si>
    <t>Subtotal Tax-Related Regulatory Assets</t>
  </si>
  <si>
    <t>Subtotal Tax-Related Regulatory Liabilities</t>
  </si>
  <si>
    <t>TOTAL TAX-RELATED REGULATORY ASSETS</t>
  </si>
  <si>
    <t>TOTAL REGULATORY ASSETS</t>
  </si>
  <si>
    <t>TOTAL OTHER RATE BASE ITEMS EX ADFIT</t>
  </si>
  <si>
    <t>II-B-6-12</t>
  </si>
  <si>
    <t>TOTAL RATE BASE (incl ADFIT)</t>
  </si>
  <si>
    <t>II-B-1-12</t>
  </si>
  <si>
    <t>RETURN ON RATE BASE</t>
  </si>
  <si>
    <t>Transmission Expense</t>
  </si>
  <si>
    <t>Operation</t>
  </si>
  <si>
    <t>Transmission Operation excl. 565</t>
  </si>
  <si>
    <t>Maintenance</t>
  </si>
  <si>
    <t>TOTAL TRANSMISSION EXPENSE</t>
  </si>
  <si>
    <t>TOTAL TRANSMISSION EXPENSE EXCL 565</t>
  </si>
  <si>
    <t>Distribution Expense</t>
  </si>
  <si>
    <t>Subtotal 580-589</t>
  </si>
  <si>
    <t>Subtotal 581-587, 589</t>
  </si>
  <si>
    <t>Subtotal 590-598</t>
  </si>
  <si>
    <t>Subtotal 591-597</t>
  </si>
  <si>
    <t>TOTAL DISTRIBUTION EXPENSE</t>
  </si>
  <si>
    <t>Customer and Sales Expenses</t>
  </si>
  <si>
    <t>Customer Accounting Expenses</t>
  </si>
  <si>
    <t>Subtotal Customer Accounting</t>
  </si>
  <si>
    <t xml:space="preserve">     Depreciation &amp; Amortization (II-E-1)</t>
  </si>
  <si>
    <t xml:space="preserve">     Other (II-E-4)</t>
  </si>
  <si>
    <t xml:space="preserve">     O&amp;M Expenses</t>
  </si>
  <si>
    <t xml:space="preserve">     Customer Expenses</t>
  </si>
  <si>
    <t xml:space="preserve">     A&amp;G Expenses</t>
  </si>
  <si>
    <t xml:space="preserve">     Distribution Plant:  Original Cost</t>
  </si>
  <si>
    <t xml:space="preserve">     Intangible Plant:  Original Cost</t>
  </si>
  <si>
    <t xml:space="preserve">     Transmission Plant:  Original Cost</t>
  </si>
  <si>
    <t>Total Electric Delivery Revenue:  Current Rates</t>
  </si>
  <si>
    <t>Subtotal 902-903</t>
  </si>
  <si>
    <t>Cust. Service &amp; Information Expense</t>
  </si>
  <si>
    <t>Subtotal Cust Svc &amp; Info Exp</t>
  </si>
  <si>
    <t>Subtotal 906, 908, 909</t>
  </si>
  <si>
    <t>Subtotal  Sales Exp</t>
  </si>
  <si>
    <t>Subtotal  912-917</t>
  </si>
  <si>
    <t>TOTAL O&amp;M EXPENSE</t>
  </si>
  <si>
    <t>TOTAL O&amp;M EXPENSE EXCL 565</t>
  </si>
  <si>
    <t>TOTAL A&amp;G EXPENSE</t>
  </si>
  <si>
    <t>TOTAL O&amp;M &amp; A&amp;G EXPENSE</t>
  </si>
  <si>
    <t>Transmission Payroll</t>
  </si>
  <si>
    <t>Operation Payroll</t>
  </si>
  <si>
    <t>Subtotal 561-567</t>
  </si>
  <si>
    <t>Maintenance Payroll</t>
  </si>
  <si>
    <t>Subtotal 569-573</t>
  </si>
  <si>
    <t>TOTAL TRANSMISSION PAYROLL</t>
  </si>
  <si>
    <t>Distribution Payroll</t>
  </si>
  <si>
    <t>Subtotal 581-589</t>
  </si>
  <si>
    <t>Distribution Operation:  Total Payroll</t>
  </si>
  <si>
    <t>Subtotal 591-598</t>
  </si>
  <si>
    <t>Distribution-Maintenance:  Total Payroll</t>
  </si>
  <si>
    <t>TOTAL DISTRIBUTION PAYROLL</t>
  </si>
  <si>
    <t>Customer and Sales Payroll</t>
  </si>
  <si>
    <t>Subtotal 901,904,905</t>
  </si>
  <si>
    <t>Subtotal:  Customer Accounting Payroll</t>
  </si>
  <si>
    <t>Cust. Service &amp; Info. Payroll</t>
  </si>
  <si>
    <t>Subtotal 906,908,909</t>
  </si>
  <si>
    <t>Misc. Cust. Service &amp; Inform.</t>
  </si>
  <si>
    <t>Subtotal 907,910</t>
  </si>
  <si>
    <t>Subtotal:  Cust. Service &amp; Information Payroll</t>
  </si>
  <si>
    <t>Demonstrating &amp; Selling Exp.</t>
  </si>
  <si>
    <t>Advertising Exp.</t>
  </si>
  <si>
    <t>Subtotal 912,913,917</t>
  </si>
  <si>
    <t>Misc. Sales Exp.</t>
  </si>
  <si>
    <t>Subtotal 911,916</t>
  </si>
  <si>
    <t>Subtotal:  Sales Payroll</t>
  </si>
  <si>
    <t>TOT. CUST. ACCT., SERV., INFO., &amp; SALES PAYROLL</t>
  </si>
  <si>
    <t>Adminstrative &amp; General Payroll</t>
  </si>
  <si>
    <t>TOTAL A&amp;G PAYROLL</t>
  </si>
  <si>
    <t>Subtotal 921-935</t>
  </si>
  <si>
    <t>TOTAL PAYROLL</t>
  </si>
  <si>
    <t>Exclusions</t>
  </si>
  <si>
    <t>TOTAL EXCLUSIONS FROM REPORTING PERIOD</t>
  </si>
  <si>
    <t>Intangible &amp; Operating Depr &amp; Amortization Exp</t>
  </si>
  <si>
    <t>Intangible Plant Depreciation &amp; Amortization Expense</t>
  </si>
  <si>
    <t>Transmission Plant Depreciation &amp; Amortization Expense</t>
  </si>
  <si>
    <t>Underground Conduit</t>
  </si>
  <si>
    <t>Distribution Plant Depreciation &amp; Amortization Expense</t>
  </si>
  <si>
    <t>Poles, Towers &amp; Fixtures</t>
  </si>
  <si>
    <t>Underground Conduits</t>
  </si>
  <si>
    <t>U.G. Conductors &amp; Devices</t>
  </si>
  <si>
    <t>Line Transformers</t>
  </si>
  <si>
    <t>General Plant Depreciation &amp; Amortization Exp</t>
  </si>
  <si>
    <t>General Plant Depreciation &amp; Amortization Expense</t>
  </si>
  <si>
    <t>A389.1</t>
  </si>
  <si>
    <t>Transportation equipment</t>
  </si>
  <si>
    <t>Store Equipment</t>
  </si>
  <si>
    <t>Tools, Shop &amp; Garage Equip</t>
  </si>
  <si>
    <t>Lab Equip</t>
  </si>
  <si>
    <t>Misc Equip</t>
  </si>
  <si>
    <t>DEPRECIATION &amp; AMORTIZATION  II-E-1</t>
  </si>
  <si>
    <t>MISC. OTHER EXPENSES FROM SCHEDULE II-E-4</t>
  </si>
  <si>
    <t>AMORTIZATION FROM SCHEDULE II-E-4.1</t>
  </si>
  <si>
    <t>TOTAL DEPRECIATION &amp; AMORTIZATION</t>
  </si>
  <si>
    <t>Total Payroll</t>
  </si>
  <si>
    <t>Total Property</t>
  </si>
  <si>
    <t>Total Non-Revenue Related</t>
  </si>
  <si>
    <t>TOTAL TAXES OTHER THAN INCOME TAXES</t>
  </si>
  <si>
    <t>Federal Income Taxes Before Adjust.</t>
  </si>
  <si>
    <t>TOTAL FEDERAL INCOME TAXES</t>
  </si>
  <si>
    <t xml:space="preserve">  Misc.Other Expenses</t>
  </si>
  <si>
    <t>Misc.Items</t>
  </si>
  <si>
    <t>TOTAL OTHER EXPENSES EXCLUDING FIT</t>
  </si>
  <si>
    <t>TOTAL OTHER EXPENSES INCLUDING FIT</t>
  </si>
  <si>
    <t>TOTAL EXPENSES</t>
  </si>
  <si>
    <t>Other Revenues:</t>
  </si>
  <si>
    <t>A451</t>
  </si>
  <si>
    <t>kW at Source (WP II-I-2.8)</t>
  </si>
  <si>
    <t>TOTAL OTHER REVENUES</t>
  </si>
  <si>
    <t>TOTAL REVENUE REQUIREMENT</t>
  </si>
  <si>
    <t>I-A-1 by Rate Class</t>
  </si>
  <si>
    <t>Residential</t>
  </si>
  <si>
    <t>&lt;=10 kW</t>
  </si>
  <si>
    <t>&gt; 10 kW</t>
  </si>
  <si>
    <t>(m)</t>
  </si>
  <si>
    <t>(n)</t>
  </si>
  <si>
    <t>Proposed Adjustment to Return On Rate Base</t>
  </si>
  <si>
    <t xml:space="preserve">  (WP II-I-1.5)</t>
  </si>
  <si>
    <t>PROPOSED Revenue</t>
  </si>
  <si>
    <t>II-B by Rate Class</t>
  </si>
  <si>
    <t>PROPOSED Return On Rate Base</t>
  </si>
  <si>
    <t>PROPOSED Rate Of Return</t>
  </si>
  <si>
    <t>Alloc</t>
  </si>
  <si>
    <t>#</t>
  </si>
  <si>
    <t>Factor</t>
  </si>
  <si>
    <t>Class Allocation Amounts</t>
  </si>
  <si>
    <t>Direct Assigned</t>
  </si>
  <si>
    <t>Not Applicable</t>
  </si>
  <si>
    <t>Customers, Weighted, All Voltages  (WP II-I-2.2)</t>
  </si>
  <si>
    <t>Customers, Weighted, Secondary Voltage</t>
  </si>
  <si>
    <t>Customers, Weighted, Retail</t>
  </si>
  <si>
    <t>Customers, Unweighted, All Voltages  (WP II-I-2.2)</t>
  </si>
  <si>
    <t>Customers, Unweighted, Retail</t>
  </si>
  <si>
    <t>Revenue  (WP II-I-2.2)</t>
  </si>
  <si>
    <t>Revenue, Retail</t>
  </si>
  <si>
    <t>Energy, Retail, Inside City Limits (at meter)</t>
  </si>
  <si>
    <t>4CP, All Voltages, Retail, at source (WP II-I-2.2)</t>
  </si>
  <si>
    <t>NCP, All Voltages, at src (WP II-I-2.2)</t>
  </si>
  <si>
    <t>NCP, ex HV</t>
  </si>
  <si>
    <t>* Transmission Function is not allocated to retail classes in this process.</t>
  </si>
  <si>
    <t>NCP, ex HV &amp; Substation</t>
  </si>
  <si>
    <t>NCP, Secondary Voltage</t>
  </si>
  <si>
    <t>NCP, Lighting Only</t>
  </si>
  <si>
    <t>Not Used</t>
  </si>
  <si>
    <t>Plant Acct 353, Original Cost</t>
  </si>
  <si>
    <t>Plant Accts 352-358, Original Cost</t>
  </si>
  <si>
    <t>Plant Acct 361, Original Cost</t>
  </si>
  <si>
    <t>Plant Acct 362, Original Cost</t>
  </si>
  <si>
    <t>Plant Acct 364, Original Cost</t>
  </si>
  <si>
    <t>Plant Acct 365, Original Cost</t>
  </si>
  <si>
    <t>Plant Acct 366, Original Cost</t>
  </si>
  <si>
    <t>Plant Acct 367, Original Cost</t>
  </si>
  <si>
    <t>Plant Acct 368, Original Cost</t>
  </si>
  <si>
    <t>Plant Acct 369, Original Cost</t>
  </si>
  <si>
    <t>Plant Acct 370, Original Cost</t>
  </si>
  <si>
    <t>Plant Accts 364-365, Original Cost</t>
  </si>
  <si>
    <t>Plant Accts 366-367, Original Cost</t>
  </si>
  <si>
    <t>Plant Accts 362-373, Original Cost</t>
  </si>
  <si>
    <t>Plant, Distribution, Net</t>
  </si>
  <si>
    <t>Plant, Operating, Original Cost</t>
  </si>
  <si>
    <t>Plant, Operating, Net</t>
  </si>
  <si>
    <t>Plant, General, Original Cost</t>
  </si>
  <si>
    <t>Plant, General, Net</t>
  </si>
  <si>
    <t>Plant In Service, Original Cost</t>
  </si>
  <si>
    <t>Plant, Net, ex Intangible</t>
  </si>
  <si>
    <t>Plant, Intangible, Net</t>
  </si>
  <si>
    <t>Plant, Transmission, Net</t>
  </si>
  <si>
    <t>Total Rate Base</t>
  </si>
  <si>
    <t>Distribution Operations Exp Accts 581-587, 589</t>
  </si>
  <si>
    <t>Distribution Maintenance Exp Accts 591-597</t>
  </si>
  <si>
    <t>Customer Accounting Exp Accts 902-903</t>
  </si>
  <si>
    <t>Sales Exp Accts 912-917</t>
  </si>
  <si>
    <t>O&amp;M Expense</t>
  </si>
  <si>
    <t>O&amp;M Expense Excl 565</t>
  </si>
  <si>
    <t>Payroll Accts 561-567</t>
  </si>
  <si>
    <t>Payroll Accts 569-573</t>
  </si>
  <si>
    <t>Payroll Accts 581-589</t>
  </si>
  <si>
    <t>Payroll Accts 591-598</t>
  </si>
  <si>
    <t>Payroll Accts 902-903</t>
  </si>
  <si>
    <t>Payroll Accts 906, 908, 909</t>
  </si>
  <si>
    <t>Payroll Accts 912, 913, 917</t>
  </si>
  <si>
    <t>Total Payroll ex A&amp;G</t>
  </si>
  <si>
    <t>Taxable Income</t>
  </si>
  <si>
    <t>Retail Cost Of Service (ex 565)</t>
  </si>
  <si>
    <t>Class Allocation Factors</t>
  </si>
  <si>
    <t>ASSIGNED</t>
  </si>
  <si>
    <t>N / A</t>
  </si>
  <si>
    <t>CUS W ALL</t>
  </si>
  <si>
    <t>CUS W SEC</t>
  </si>
  <si>
    <t>CUS W RTL</t>
  </si>
  <si>
    <t>CUS U ALL</t>
  </si>
  <si>
    <t>CUS U RTL</t>
  </si>
  <si>
    <t>REVENUE</t>
  </si>
  <si>
    <t>REVENUE RTL</t>
  </si>
  <si>
    <t>ENERGY ICL</t>
  </si>
  <si>
    <t>4CP RTL</t>
  </si>
  <si>
    <t>NCP ALL</t>
  </si>
  <si>
    <t>NCP XHV</t>
  </si>
  <si>
    <t>NCP XSS</t>
  </si>
  <si>
    <t>NCP SEC</t>
  </si>
  <si>
    <t>NCP LGT</t>
  </si>
  <si>
    <t>OPEB MED</t>
  </si>
  <si>
    <t>NOT USED</t>
  </si>
  <si>
    <t>PLT 353</t>
  </si>
  <si>
    <t>PLT 352-358</t>
  </si>
  <si>
    <t>PLT 361</t>
  </si>
  <si>
    <t>PLT 362</t>
  </si>
  <si>
    <t>PLT 364</t>
  </si>
  <si>
    <t>PLT 365</t>
  </si>
  <si>
    <t>PLT 366</t>
  </si>
  <si>
    <t>PLT 367</t>
  </si>
  <si>
    <t>PLT 368</t>
  </si>
  <si>
    <t>PLT 369</t>
  </si>
  <si>
    <t>PLT 370</t>
  </si>
  <si>
    <t>PLT OH</t>
  </si>
  <si>
    <t>PLT UG</t>
  </si>
  <si>
    <t>PLT 362-373</t>
  </si>
  <si>
    <t>PLTDIST_N</t>
  </si>
  <si>
    <t>PLTOPER</t>
  </si>
  <si>
    <t>PLTOPER_N</t>
  </si>
  <si>
    <t>PLTGEN</t>
  </si>
  <si>
    <t>PLTGEN_N</t>
  </si>
  <si>
    <t>PLANT</t>
  </si>
  <si>
    <t>PLT_N XINT</t>
  </si>
  <si>
    <t>PLT INT_N</t>
  </si>
  <si>
    <t>PLTTRAN_N</t>
  </si>
  <si>
    <t>RATEBASE</t>
  </si>
  <si>
    <t>DIST OPS</t>
  </si>
  <si>
    <t>DIST MAINT</t>
  </si>
  <si>
    <t>CUS ACCT</t>
  </si>
  <si>
    <t>CUS SVC INFO</t>
  </si>
  <si>
    <t>SALES EXP</t>
  </si>
  <si>
    <t>O&amp;M</t>
  </si>
  <si>
    <t>O&amp;M x565</t>
  </si>
  <si>
    <t>PAY TR OPS</t>
  </si>
  <si>
    <t>PAY TR MNT</t>
  </si>
  <si>
    <t>PAY DISTR OPS</t>
  </si>
  <si>
    <t>Payroll Accts 591-596</t>
  </si>
  <si>
    <t>PAY DISTR MNT</t>
  </si>
  <si>
    <t>PAY CUS ACCT</t>
  </si>
  <si>
    <t>PAY CUS SV INF</t>
  </si>
  <si>
    <t>PAY SALES</t>
  </si>
  <si>
    <t>PAYROLL XAG</t>
  </si>
  <si>
    <t>PAYROLL</t>
  </si>
  <si>
    <t>TAX INC</t>
  </si>
  <si>
    <t>RCOS x565</t>
  </si>
  <si>
    <t xml:space="preserve">  Transmission of Electricity Costs (Acct 565)</t>
  </si>
  <si>
    <t>Total O&amp;M and A&amp;G Expenses</t>
  </si>
  <si>
    <t xml:space="preserve">  Depreciation, Amortization, &amp; Other Expenses</t>
  </si>
  <si>
    <t xml:space="preserve">  Taxes Other Than FIT</t>
  </si>
  <si>
    <t>Cost-Based Return on  Rate Base</t>
  </si>
  <si>
    <t>COST OF SERVICE</t>
  </si>
  <si>
    <t>COST-BASED REVENUE REQUIREMENT</t>
  </si>
  <si>
    <t>Proposed Adjustment to Return (WP/ II-I-1.5)</t>
  </si>
  <si>
    <t>Proposed Adj for Federal Income Tax (WP/ II-I-1.5)</t>
  </si>
  <si>
    <t>Proposed Adj to Cost-Based Revenue</t>
  </si>
  <si>
    <t>PROPOSED REVENUE</t>
  </si>
  <si>
    <t>Shortfall / (Surplus) vs Cost-Based Revenues</t>
  </si>
  <si>
    <t>Change from Present Revenues</t>
  </si>
  <si>
    <t>Shortfall / (Surplus) vs Proposed Revenue</t>
  </si>
  <si>
    <t>Return at Present Rates</t>
  </si>
  <si>
    <t>Present Rate of Return</t>
  </si>
  <si>
    <t>Present Relative Rate of Return</t>
  </si>
  <si>
    <t>Cost-Based Rate of Return</t>
  </si>
  <si>
    <t>Cost-Based Relative Rate of Return</t>
  </si>
  <si>
    <t>Proposed Return on Rate Base</t>
  </si>
  <si>
    <t>Proposed Rate of Return</t>
  </si>
  <si>
    <t>Proposed Relative Rate of Return</t>
  </si>
  <si>
    <t>Differential vs Cost-Based</t>
  </si>
  <si>
    <t>RATE BASE</t>
  </si>
  <si>
    <t>Net Plant In Service</t>
  </si>
  <si>
    <t>COST-BASED</t>
  </si>
  <si>
    <t>Cost-Based Return on Rate Base</t>
  </si>
  <si>
    <t>PROPOSED</t>
  </si>
  <si>
    <t xml:space="preserve">       (WP/ II-I-1.5)</t>
  </si>
  <si>
    <t>PRESENT REVENUE</t>
  </si>
  <si>
    <t xml:space="preserve">  TCRF (incl Power Factor)</t>
  </si>
  <si>
    <t xml:space="preserve">  Distribution (incl Power Factor)</t>
  </si>
  <si>
    <t xml:space="preserve">  Customer</t>
  </si>
  <si>
    <t xml:space="preserve">  Meter</t>
  </si>
  <si>
    <t>Total Electric Delivery Revenues</t>
  </si>
  <si>
    <t xml:space="preserve">  Discretionary Service Revenues</t>
  </si>
  <si>
    <t xml:space="preserve">  Other Revenue</t>
  </si>
  <si>
    <t>Total Present Revenues</t>
  </si>
  <si>
    <t xml:space="preserve">  Transmission of Electricity (Acct 565)</t>
  </si>
  <si>
    <t xml:space="preserve">  Depreciation Amortization, &amp; Other Exp</t>
  </si>
  <si>
    <t xml:space="preserve">  Taxes Other Than FlT</t>
  </si>
  <si>
    <t>Operating Expenses</t>
  </si>
  <si>
    <t>Operating Income BEFORE FIT</t>
  </si>
  <si>
    <t xml:space="preserve">  Deductions:</t>
  </si>
  <si>
    <t xml:space="preserve">  Additions:</t>
  </si>
  <si>
    <t xml:space="preserve">  Tax Credits</t>
  </si>
  <si>
    <t xml:space="preserve">  ADD:</t>
  </si>
  <si>
    <t>Total Federal Income Taxes</t>
  </si>
  <si>
    <t>Return</t>
  </si>
  <si>
    <t>Relative Rate of Return</t>
  </si>
  <si>
    <t>Return on Rate Base (cost-based)</t>
  </si>
  <si>
    <t>Depreciation Expense</t>
  </si>
  <si>
    <t>NCP (kW)</t>
  </si>
  <si>
    <t>DIST Function:</t>
  </si>
  <si>
    <t>Land and Land Rights - Net</t>
  </si>
  <si>
    <t>Structures and Improvements - Net</t>
  </si>
  <si>
    <t>Station Equipment - Net</t>
  </si>
  <si>
    <t>Intangible, Transmission, Distribution Plant:  Orig Cost</t>
  </si>
  <si>
    <t>Total Plant:  Gross</t>
  </si>
  <si>
    <t>Federal Income Tax (cost-based)</t>
  </si>
  <si>
    <t>DIST+MET+CUST:</t>
  </si>
  <si>
    <t>Distribution Plant - Net</t>
  </si>
  <si>
    <t>4CP Retail Allocation Factor</t>
  </si>
  <si>
    <t xml:space="preserve">     Distribution Non-IDR</t>
  </si>
  <si>
    <t xml:space="preserve">     Distribution IDR</t>
  </si>
  <si>
    <t xml:space="preserve">     TCRF Non-IDR</t>
  </si>
  <si>
    <t xml:space="preserve">     TCRF IDR</t>
  </si>
  <si>
    <t>Subtotal from line 27</t>
  </si>
  <si>
    <t>PRESENT REVENUES (Adjusted)</t>
  </si>
  <si>
    <t>MET Function Revenue Req</t>
  </si>
  <si>
    <t>CUSTOMER Function Revenue Req</t>
  </si>
  <si>
    <t>DIST Function Revenue:  Adjusted</t>
  </si>
  <si>
    <t>TRAN Function Revenue Requirement</t>
  </si>
  <si>
    <t>Inside City Limits   WP/II-I-2.3</t>
  </si>
  <si>
    <t>Retail 4CP at ERCOT Peak</t>
  </si>
  <si>
    <t>OPEB Medicare Allocator</t>
  </si>
  <si>
    <t>Plant in Service, Net</t>
  </si>
  <si>
    <t>PLANT_N</t>
  </si>
  <si>
    <t>Plant in Service ex WHL, Original Cost</t>
  </si>
  <si>
    <t>PLANT_xWHL</t>
  </si>
  <si>
    <t>Plant, Distribution, Net ex Wholesale</t>
  </si>
  <si>
    <t>PLTDIST_N xWHL</t>
  </si>
  <si>
    <t>Customer Service, Information Exp 906, 908-909</t>
  </si>
  <si>
    <t xml:space="preserve">Pct of Oncor OPEB Liabilities Allocated from Generation:  </t>
  </si>
  <si>
    <t>OPEB Total Allocator</t>
  </si>
  <si>
    <t>OPEB TOTAL</t>
  </si>
  <si>
    <t>Total Adjusted Revenues (excluding Power Factor)</t>
  </si>
  <si>
    <t xml:space="preserve">     Customer Non-IDR</t>
  </si>
  <si>
    <t xml:space="preserve">     Meter Non-IDR</t>
  </si>
  <si>
    <t xml:space="preserve">     Customer IDR</t>
  </si>
  <si>
    <t xml:space="preserve">     Meter IDR</t>
  </si>
  <si>
    <t xml:space="preserve">II-H-4.1 p 9 line 26 </t>
  </si>
  <si>
    <t>Plant Acct 360, Original Cost</t>
  </si>
  <si>
    <t>PLT 360</t>
  </si>
  <si>
    <t>Rent from Property:  Fiber Optics, Overhead</t>
  </si>
  <si>
    <t>Rent from Property:  Fiber Optics, Underground</t>
  </si>
  <si>
    <t>WP II-I-1.2</t>
  </si>
  <si>
    <t>II-I-2-METT:  CLASS ALLOCATION FACTORS</t>
  </si>
  <si>
    <t>II-I-2-DIST:  CLASS ALLOCATION FACTORS</t>
  </si>
  <si>
    <t>II-I-2-TBILLTDCS:  CLASS ALLOCATION FACTORS</t>
  </si>
  <si>
    <t>TBILLTDCS</t>
  </si>
  <si>
    <t>DIST + MET</t>
  </si>
  <si>
    <t xml:space="preserve"> + TBILLTDCS</t>
  </si>
  <si>
    <t>II-I SUMMARY</t>
  </si>
  <si>
    <t>Cost-Based Federal Income Tax</t>
  </si>
  <si>
    <t>DIST Plant Function:</t>
  </si>
  <si>
    <t>A565 Transmission of Eletricity by Others</t>
  </si>
  <si>
    <t>O&amp;M Expenses</t>
  </si>
  <si>
    <t>Customer Expenses</t>
  </si>
  <si>
    <t>A&amp;G Expenses</t>
  </si>
  <si>
    <t>Other Expenses (II-E-4)</t>
  </si>
  <si>
    <t>Depreciation &amp; Amortization Expense</t>
  </si>
  <si>
    <t>Minus Other Revenues</t>
  </si>
  <si>
    <t>Test Year</t>
  </si>
  <si>
    <t>Revenue</t>
  </si>
  <si>
    <t>Requirement</t>
  </si>
  <si>
    <t>Metering</t>
  </si>
  <si>
    <t>≤ 10 kW</t>
  </si>
  <si>
    <t>Customer Function (TBILL+TDCS)</t>
  </si>
  <si>
    <t>II-I-1:  CLASS REVENUE REQUIREMENT ANALYSIS</t>
  </si>
  <si>
    <t xml:space="preserve">Customer Deposits </t>
  </si>
  <si>
    <t>Electric Plant Acquisition Adj.</t>
  </si>
  <si>
    <t>Retrospective Franchise Fees</t>
  </si>
  <si>
    <t>Rate Case Expenses - 2008 Dkt 35717 Appeals</t>
  </si>
  <si>
    <t>Rate Case Expenses - 2010 ED RT CS Dkt 38928</t>
  </si>
  <si>
    <t>Rate Case Expenses - 2017 Municipal Case</t>
  </si>
  <si>
    <t xml:space="preserve">Deferred-Mtr Eqt Substations </t>
  </si>
  <si>
    <t xml:space="preserve">Reg Asset - Defaulted REPs </t>
  </si>
  <si>
    <t xml:space="preserve">Deferred AMS Expense </t>
  </si>
  <si>
    <t>Under-Recovered AMS</t>
  </si>
  <si>
    <t>Self Insurance Reserve (a)</t>
  </si>
  <si>
    <t>Self Insurance Reserve (b)</t>
  </si>
  <si>
    <t>Energy Efficiency incl. Unbilled Deferral</t>
  </si>
  <si>
    <t>Amortization of Organizational Expenditures</t>
  </si>
  <si>
    <t>A114 Elecric Plant Acquisition Adj.</t>
  </si>
  <si>
    <t>Total:</t>
  </si>
  <si>
    <t>Check2</t>
  </si>
  <si>
    <t>wp iv j 5 line20</t>
  </si>
  <si>
    <r>
      <t xml:space="preserve">     Distribution Power Factor Non-IDR </t>
    </r>
    <r>
      <rPr>
        <b/>
        <sz val="11"/>
        <rFont val="Arial"/>
        <family val="2"/>
      </rPr>
      <t>(WP IV-J-5)</t>
    </r>
  </si>
  <si>
    <r>
      <t xml:space="preserve">     Distribution Power Factor IDR  </t>
    </r>
    <r>
      <rPr>
        <b/>
        <sz val="11"/>
        <rFont val="Arial"/>
        <family val="2"/>
      </rPr>
      <t>(WP IV-J-5)</t>
    </r>
  </si>
  <si>
    <t/>
  </si>
  <si>
    <t>Change</t>
  </si>
  <si>
    <t>Change Pct</t>
  </si>
  <si>
    <t>Revenue from Electric Delivery</t>
  </si>
  <si>
    <t xml:space="preserve">     minus Total Cost of Service</t>
  </si>
  <si>
    <t>Revenue Shortfall</t>
  </si>
  <si>
    <t xml:space="preserve">     Residential</t>
  </si>
  <si>
    <t xml:space="preserve">     Secondary &lt;= 10 kW</t>
  </si>
  <si>
    <t xml:space="preserve">     Secondary &gt; 10 kW</t>
  </si>
  <si>
    <t xml:space="preserve">     Primary DL &lt;= 10 kW</t>
  </si>
  <si>
    <t xml:space="preserve">     Primary DL &gt; 10 kW</t>
  </si>
  <si>
    <t xml:space="preserve">     Primary Substation</t>
  </si>
  <si>
    <t xml:space="preserve">     Transmission</t>
  </si>
  <si>
    <t xml:space="preserve">     Lighting Total</t>
  </si>
  <si>
    <t>Retail Electric Delivery Revenues</t>
  </si>
  <si>
    <t xml:space="preserve">     Wholesale Substation</t>
  </si>
  <si>
    <t xml:space="preserve">     Wholesale DLS</t>
  </si>
  <si>
    <t>WORKPAPER 1.1 - CONSOLIDATION OF FUNCTIONALIZED COST OF SERVICE</t>
  </si>
  <si>
    <t>WORKPAPER 1.2 - WHEREIN CERTAIN ACCOUNTS ARE SPLIT</t>
  </si>
  <si>
    <t>TX- Retail</t>
  </si>
  <si>
    <t>WORKPAPER 1.6 - SUMMARY OF ELECTRIC DELIVERY REVENUES BY RATE CLASS</t>
  </si>
  <si>
    <t>WORKPAPER 1.5 - PROPOSED RETURNS - After Adjustments for Customer Impact</t>
  </si>
  <si>
    <t>WORKPAPER 1.7 - REVENUE REQUIREMENTS BY RATE CLASS</t>
  </si>
  <si>
    <t>II-I-2:  CLASS ALLOCATION FACTORS</t>
  </si>
  <si>
    <t>WORKPAPER 2.1 - SUMMARY VOLTAGE ALLOCATION FACTORS</t>
  </si>
  <si>
    <t>WORKPAPER 2.2 - MISCELLANEOUS CALCULATIONS</t>
  </si>
  <si>
    <t>Schedule II-I-3 is applicable only to Non-ERCOT utilities operating in an area open to</t>
  </si>
  <si>
    <t xml:space="preserve">since Oncor is a member of the Electric Reliability Council of Texas.  </t>
  </si>
  <si>
    <t xml:space="preserve">competition.  This schedule is not applicable to Oncor Electric Delivery Company LLC </t>
  </si>
  <si>
    <t>Test Year MWh</t>
  </si>
  <si>
    <t>Energy, Inside City Limits (at meter)</t>
  </si>
  <si>
    <t>Accumulated Deferred State Income Tax</t>
  </si>
  <si>
    <t>TOTAL A&amp;G EXPENSE EXCL (DIST 928)</t>
  </si>
  <si>
    <t>TOTAL COST OF SERVICE EXCL 565 &amp; (DIST 928)</t>
  </si>
  <si>
    <t>TOTAL REVENUE REQUIREMENT EXCL 565 &amp; (DIST 928)</t>
  </si>
  <si>
    <t>TOTAL O&amp;M &amp; A&amp;G EXPENSE EXCL (DIST 928) &amp; 565</t>
  </si>
  <si>
    <t>TOTAL EXPENSES EXCL 565 &amp; (DIST 928)</t>
  </si>
  <si>
    <t>A283 Accumulated Deferred State Income Tax</t>
  </si>
  <si>
    <t>REV_RCE</t>
  </si>
  <si>
    <t>Revenue from RCE (DIST 928)</t>
  </si>
  <si>
    <t>METER</t>
  </si>
  <si>
    <t>RATIONALE FOR CLASSIFICATION</t>
  </si>
  <si>
    <t>see detail</t>
  </si>
  <si>
    <t xml:space="preserve"> See detail</t>
  </si>
  <si>
    <t xml:space="preserve"> See Schedule II-C</t>
  </si>
  <si>
    <t xml:space="preserve"> Classified on a composite basis derived from all tangible plant, since intangible plant is a common cost.</t>
  </si>
  <si>
    <t xml:space="preserve"> Related to all distribution plant, and classified on a composite basis.</t>
  </si>
  <si>
    <t xml:space="preserve"> Demand related because capacity of the equipment is sized to meet system loads and are fixed investment.</t>
  </si>
  <si>
    <t xml:space="preserve"> Demand related; based on system requirements to meet localized loading. </t>
  </si>
  <si>
    <t xml:space="preserve"> Demand related for regulators and other equipment is sized to meet peak loading.</t>
  </si>
  <si>
    <t xml:space="preserve"> Demand related for capacitors is sized to meet peak loading.</t>
  </si>
  <si>
    <t xml:space="preserve"> Services are built from the Distribution System to the customer and are customer related.</t>
  </si>
  <si>
    <t xml:space="preserve"> Metering equipment is required for each customer except those customers with non-metered loads.</t>
  </si>
  <si>
    <t xml:space="preserve"> Demand related; used only for Lighting</t>
  </si>
  <si>
    <t xml:space="preserve"> Related to all distribution plant, and is classified on a composite basis.</t>
  </si>
  <si>
    <t xml:space="preserve"> See Above</t>
  </si>
  <si>
    <t xml:space="preserve"> See General Plant above</t>
  </si>
  <si>
    <t xml:space="preserve"> Related to operating plant or plant; classified on a demand basis</t>
  </si>
  <si>
    <t xml:space="preserve"> Related to all plant in service facilities; classified on a composite basis.</t>
  </si>
  <si>
    <t xml:space="preserve"> Cash required for Company operation is related to all O&amp;M expense.</t>
  </si>
  <si>
    <t xml:space="preserve"> Relates to Transition Charge, and is demand related</t>
  </si>
  <si>
    <t xml:space="preserve"> Pension Costs are related to Payroll</t>
  </si>
  <si>
    <t xml:space="preserve"> Related to Oncor Life and Health liabilities</t>
  </si>
  <si>
    <t xml:space="preserve"> Related to Oncor postretirement medical  liabilities</t>
  </si>
  <si>
    <t xml:space="preserve"> All transmission operation expense accounts classified on same basis as associated transmission plant </t>
  </si>
  <si>
    <t xml:space="preserve"> accounts, all of which are demand related.</t>
  </si>
  <si>
    <t xml:space="preserve"> Method prescribed by PUC Substantive Rule 25.192; cost recovered in Transmission System Charge (TSC)</t>
  </si>
  <si>
    <t xml:space="preserve"> Classified on same basis as associated transmission plant; demand related</t>
  </si>
  <si>
    <t xml:space="preserve"> Related to all other distribution operation expense accounts; classified on a composite basis.</t>
  </si>
  <si>
    <t xml:space="preserve"> Load dispatching is required on a continuous basis; demand related</t>
  </si>
  <si>
    <t xml:space="preserve"> Related to associated distribution plant account 362; classified on the same basis.</t>
  </si>
  <si>
    <t xml:space="preserve"> Related to associated distribution plant account 365; classified on the same basis.</t>
  </si>
  <si>
    <t xml:space="preserve"> Related to associated distribution plant account 367; classified on the same basis.</t>
  </si>
  <si>
    <t xml:space="preserve"> Related to Lighting; classified on the same basis.</t>
  </si>
  <si>
    <t xml:space="preserve"> PLTDIST for DIST because it relates to connection between metering equipment and Distribution Plant.</t>
  </si>
  <si>
    <t xml:space="preserve"> Pertains to activities related to customer installations; customer related.</t>
  </si>
  <si>
    <t xml:space="preserve"> Rent is a fixed cost and therefore this account is demand related.</t>
  </si>
  <si>
    <t xml:space="preserve"> Related to all other distribution maintenance expense accounts; classified on a composite basis.</t>
  </si>
  <si>
    <t xml:space="preserve"> Related to the associated distribution plant account 361; classified on the same basis.</t>
  </si>
  <si>
    <t xml:space="preserve"> Related to the associated distribution plant account 362; classified on the same basis.</t>
  </si>
  <si>
    <t xml:space="preserve"> Related to the associated distribution plant accounts 364 &amp; 365; classified on the same basis.</t>
  </si>
  <si>
    <t xml:space="preserve"> Related to the associated distribution plant accounts 366 &amp; 367; classified on the same basis.</t>
  </si>
  <si>
    <t xml:space="preserve"> Related to the associated distribution plant account 368; classified on the same basis.</t>
  </si>
  <si>
    <t xml:space="preserve"> Pertains to activities related to customer meter readings; customer related.</t>
  </si>
  <si>
    <t xml:space="preserve"> Pertains to activities related to customer records; customer related.</t>
  </si>
  <si>
    <t xml:space="preserve"> Pertains to expense from uncollectible revenue, and is therefore revenue related.</t>
  </si>
  <si>
    <t xml:space="preserve"> Pertains to customer assistance, and is customer related.</t>
  </si>
  <si>
    <t xml:space="preserve"> Related to the associated customer accounts 906, 908, and 909; classified on the same basis.</t>
  </si>
  <si>
    <t xml:space="preserve"> Pertains to customer selling and promotional activities, and is customer related.</t>
  </si>
  <si>
    <t xml:space="preserve"> Pertains to advertising activities, and is customer related.</t>
  </si>
  <si>
    <t>Related to all plant in service facilities; classified on a composite basis.</t>
  </si>
  <si>
    <t>Related to all labor; classified on a composite basis.</t>
  </si>
  <si>
    <t>Pertains to fees and expenses associated with regulatory activities; therefore revenue related.</t>
  </si>
  <si>
    <t>Pertains to advertising activities, and is customer related.</t>
  </si>
  <si>
    <t xml:space="preserve"> Related to General Plant</t>
  </si>
  <si>
    <t xml:space="preserve"> Allocated on basis of other Transmission Operation payroll</t>
  </si>
  <si>
    <t xml:space="preserve"> Classified on same basis as corresponding O&amp;M expense</t>
  </si>
  <si>
    <t xml:space="preserve"> Allocated on basis of other Transmission Maintenance payroll</t>
  </si>
  <si>
    <t xml:space="preserve"> Allocated on basis of other Distribution Maintenance payroll</t>
  </si>
  <si>
    <t xml:space="preserve"> Classified on same basis as corresponding Customer Accounting expense</t>
  </si>
  <si>
    <t xml:space="preserve"> Classified on same basis as corresponding Customer Service &amp; Info. expense</t>
  </si>
  <si>
    <t xml:space="preserve"> Classified on same basis as corresponding A&amp;G expense</t>
  </si>
  <si>
    <t xml:space="preserve">  Related to all intangible plant accounts; classified on a composite basis.</t>
  </si>
  <si>
    <t xml:space="preserve"> These accounts are related to all distribution plant accounts, and are classified on a composite basis.</t>
  </si>
  <si>
    <t xml:space="preserve"> Related to distribution plant account 364; classified on the same basis.</t>
  </si>
  <si>
    <t xml:space="preserve"> Related to distribution plant account 365; classified on the same basis.</t>
  </si>
  <si>
    <t xml:space="preserve"> Related to distribution plant account 366; classified on the same basis.</t>
  </si>
  <si>
    <t xml:space="preserve"> Related to distribution plant account 367; classified on the same basis.</t>
  </si>
  <si>
    <t xml:space="preserve"> Related to distribution plant account 368; classified on the same basis.</t>
  </si>
  <si>
    <t xml:space="preserve"> Related to distribution plant account 369; classified on the same basis.</t>
  </si>
  <si>
    <t xml:space="preserve"> Related to distribution plant account 370; classified on the same basis.</t>
  </si>
  <si>
    <t xml:space="preserve"> Related to Lighting.</t>
  </si>
  <si>
    <t xml:space="preserve"> These accounts are related to all general plant accounts; classified on a composite basis.</t>
  </si>
  <si>
    <t xml:space="preserve"> see above</t>
  </si>
  <si>
    <t xml:space="preserve"> Related to all plant excluding intangible plant</t>
  </si>
  <si>
    <t xml:space="preserve"> Related to all labor; classified on a composite basis.</t>
  </si>
  <si>
    <t xml:space="preserve"> Gross Margin Tax is related to taxable income</t>
  </si>
  <si>
    <t xml:space="preserve"> Municipal franchise fees are related to energy sales inside municipal boundaries.</t>
  </si>
  <si>
    <t xml:space="preserve"> Pertain to items which are directly attributable, or are related to, total rate base.</t>
  </si>
  <si>
    <t xml:space="preserve"> Indirectly related to, total rate base.</t>
  </si>
  <si>
    <t xml:space="preserve"> Depreciation is related to Net Plant</t>
  </si>
  <si>
    <t xml:space="preserve"> Investment Tax Credit is related to Net Plant</t>
  </si>
  <si>
    <t xml:space="preserve"> Related primarily to the number of customers.</t>
  </si>
  <si>
    <t xml:space="preserve"> Incentive payments based on VAR impacts to distribution system; Wholesale excluded because their rates not cost-based</t>
  </si>
  <si>
    <t xml:space="preserve"> These revenues are related to cost of service, less account 565 &amp; Wholesale.</t>
  </si>
  <si>
    <t xml:space="preserve"> Discretionary Services are customer related.</t>
  </si>
  <si>
    <t xml:space="preserve"> Related to Distribution Plant</t>
  </si>
  <si>
    <t xml:space="preserve"> Using poles</t>
  </si>
  <si>
    <t xml:space="preserve"> Overhead fiberoptic using poles</t>
  </si>
  <si>
    <t xml:space="preserve"> Underground fiberoptic using underground conduit.</t>
  </si>
  <si>
    <t xml:space="preserve"> Office space leased to third parties.</t>
  </si>
  <si>
    <t>Meter</t>
  </si>
  <si>
    <t xml:space="preserve"> (h)</t>
  </si>
  <si>
    <t>Related to, and in support of, all O&amp;M expense, less account 565.</t>
  </si>
  <si>
    <t>Proposed DSC**</t>
  </si>
  <si>
    <t>(1)</t>
  </si>
  <si>
    <t>(2)</t>
  </si>
  <si>
    <t>(3) = (1) * (2)</t>
  </si>
  <si>
    <t>(4)</t>
  </si>
  <si>
    <t>(5)</t>
  </si>
  <si>
    <t>(6)</t>
  </si>
  <si>
    <t>(7) = (3)+(4)+(5)+(6)</t>
  </si>
  <si>
    <t>(8) = Sch H col (9)</t>
  </si>
  <si>
    <t>(9) = (7)*(8)</t>
  </si>
  <si>
    <t>(10)</t>
  </si>
  <si>
    <r>
      <t>(11)=(10)/</t>
    </r>
    <r>
      <rPr>
        <sz val="11"/>
        <color rgb="FF000000"/>
        <rFont val="Arial"/>
        <family val="2"/>
      </rPr>
      <t>∑</t>
    </r>
    <r>
      <rPr>
        <sz val="11"/>
        <color rgb="FF000000"/>
        <rFont val="Calibri"/>
        <family val="2"/>
      </rPr>
      <t>(10)</t>
    </r>
  </si>
  <si>
    <t>Rate Class</t>
  </si>
  <si>
    <r>
      <t>DIC</t>
    </r>
    <r>
      <rPr>
        <vertAlign val="subscript"/>
        <sz val="11"/>
        <color rgb="FF000000"/>
        <rFont val="Calibri"/>
        <family val="2"/>
      </rPr>
      <t>RC</t>
    </r>
  </si>
  <si>
    <r>
      <t>ROR</t>
    </r>
    <r>
      <rPr>
        <vertAlign val="subscript"/>
        <sz val="11"/>
        <color rgb="FF000000"/>
        <rFont val="Calibri"/>
        <family val="2"/>
      </rPr>
      <t>AT</t>
    </r>
  </si>
  <si>
    <r>
      <t>DEPR</t>
    </r>
    <r>
      <rPr>
        <vertAlign val="subscript"/>
        <sz val="11"/>
        <color rgb="FF000000"/>
        <rFont val="Calibri"/>
        <family val="2"/>
      </rPr>
      <t>RC-CLASS</t>
    </r>
  </si>
  <si>
    <r>
      <t>FIT</t>
    </r>
    <r>
      <rPr>
        <vertAlign val="subscript"/>
        <sz val="11"/>
        <color rgb="FF000000"/>
        <rFont val="Calibri"/>
        <family val="2"/>
      </rPr>
      <t>RC-CLASS</t>
    </r>
  </si>
  <si>
    <r>
      <t>OT</t>
    </r>
    <r>
      <rPr>
        <vertAlign val="subscript"/>
        <sz val="11"/>
        <color rgb="FF000000"/>
        <rFont val="Calibri"/>
        <family val="2"/>
      </rPr>
      <t>RC-CLASS</t>
    </r>
  </si>
  <si>
    <r>
      <t>DISTREV</t>
    </r>
    <r>
      <rPr>
        <vertAlign val="subscript"/>
        <sz val="11"/>
        <color rgb="FF000000"/>
        <rFont val="Calibri"/>
        <family val="2"/>
      </rPr>
      <t>RC-CLASS</t>
    </r>
  </si>
  <si>
    <r>
      <t>% GROWTH</t>
    </r>
    <r>
      <rPr>
        <vertAlign val="subscript"/>
        <sz val="11"/>
        <color rgb="FF000000"/>
        <rFont val="Calibri"/>
        <family val="2"/>
      </rPr>
      <t>CLASS</t>
    </r>
  </si>
  <si>
    <t>DISTREV*GROWTH</t>
  </si>
  <si>
    <r>
      <t>TNETDISTPLT</t>
    </r>
    <r>
      <rPr>
        <vertAlign val="subscript"/>
        <sz val="11"/>
        <color rgb="FF000000"/>
        <rFont val="Calibri"/>
        <family val="2"/>
      </rPr>
      <t>CLASS</t>
    </r>
  </si>
  <si>
    <r>
      <t>ALLOC</t>
    </r>
    <r>
      <rPr>
        <vertAlign val="subscript"/>
        <sz val="11"/>
        <color rgb="FF000000"/>
        <rFont val="Calibri"/>
        <family val="2"/>
      </rPr>
      <t>CLASS</t>
    </r>
  </si>
  <si>
    <t>Sec &lt; 10 kW</t>
  </si>
  <si>
    <t>Sec &gt; 10 kW</t>
  </si>
  <si>
    <t>Pri &lt; 10 kW</t>
  </si>
  <si>
    <t>Pri &gt; 10 kW</t>
  </si>
  <si>
    <t>Pri &gt; 10 kW Sub</t>
  </si>
  <si>
    <t>Wh Subst</t>
  </si>
  <si>
    <t>Wh DLS</t>
  </si>
  <si>
    <t>DCRF Exclusions</t>
  </si>
  <si>
    <t>DISTREV After DCRF Exclusions</t>
  </si>
  <si>
    <t>After DCRF Exclusions</t>
  </si>
  <si>
    <t>Exclusions of General Plant Investment from DISTREV</t>
  </si>
  <si>
    <t>A portion of Account 391 is updated in DCRF and Account 397 is updated in DCRF</t>
  </si>
  <si>
    <t>GROSS PLANT</t>
  </si>
  <si>
    <t>class</t>
  </si>
  <si>
    <t>alloc</t>
  </si>
  <si>
    <t>Check #</t>
  </si>
  <si>
    <t>ACCUM DEPR</t>
  </si>
  <si>
    <t>NET PLANT</t>
  </si>
  <si>
    <t>Exclusions of Depreciation Expense from DISTREV</t>
  </si>
  <si>
    <t>exclude meter-related</t>
  </si>
  <si>
    <t>amort for purposes</t>
  </si>
  <si>
    <t>of DCRF baseline</t>
  </si>
  <si>
    <t>Amort RA</t>
  </si>
  <si>
    <t>Int Cust Dep</t>
  </si>
  <si>
    <t>WORKPAPER 1.9 -DCRF BASELINE</t>
  </si>
  <si>
    <r>
      <t>Test Year</t>
    </r>
    <r>
      <rPr>
        <b/>
        <vertAlign val="superscript"/>
        <sz val="11"/>
        <rFont val="Arial"/>
        <family val="2"/>
      </rPr>
      <t>1</t>
    </r>
  </si>
  <si>
    <r>
      <t>Proposed</t>
    </r>
    <r>
      <rPr>
        <b/>
        <vertAlign val="superscript"/>
        <sz val="11"/>
        <rFont val="Arial"/>
        <family val="2"/>
      </rPr>
      <t>2</t>
    </r>
  </si>
  <si>
    <r>
      <rPr>
        <b/>
        <vertAlign val="super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Test-Year revenues have been adjusted to normalize billing units, to remove the revenues associated with </t>
    </r>
  </si>
  <si>
    <t>II-I-3:  FUNCTIONALIZED COST OF SERVICE ANALYSIS  (NON-ERCOT MEMBERS)</t>
  </si>
  <si>
    <t xml:space="preserve"> All transmission plant accounts are demand related, because the capacity of the equipment required  to serve the system load represents a fixed investment.</t>
  </si>
  <si>
    <t xml:space="preserve"> Related to, and supporting all operating plant facilities; classified on a composite basis using  operating plant or Labor excluding A&amp;G.  The DIST and MET functions are allocated based on operating  plant, and the TDCS function is allocated based on Labor less A&amp;G.</t>
  </si>
  <si>
    <t>Accumulated Deferred Income Taxes</t>
  </si>
  <si>
    <t>A114 Electric Plant Acquisition Adj.</t>
  </si>
  <si>
    <t>Administrative &amp; General Expenses</t>
  </si>
  <si>
    <t>Administrative &amp; General Payroll</t>
  </si>
  <si>
    <t xml:space="preserve"> Related to transmission ion plant account 352; classified on the same basis.</t>
  </si>
  <si>
    <t xml:space="preserve"> Related to transmission plant account 353; classified on the same basis.</t>
  </si>
  <si>
    <t>II-I-2.1f:  CONSOLIDATED FUNCTIONALIZED COST OF SERVICE</t>
  </si>
  <si>
    <t xml:space="preserve"> Related to municipal franchise fees and is related to energy sales inside municipal boundaries.</t>
  </si>
  <si>
    <t>TOTAL PAYROLL EXCLUDING A&amp;G</t>
  </si>
  <si>
    <t>SPONSOR:  MATTHEW A. TROXLE</t>
  </si>
  <si>
    <t>check:</t>
  </si>
  <si>
    <t>tbills column removed in wp ii I 1.1</t>
  </si>
  <si>
    <t>New</t>
  </si>
  <si>
    <t>Prev</t>
  </si>
  <si>
    <t>Row additions</t>
  </si>
  <si>
    <t>Row Deletions</t>
  </si>
  <si>
    <t>Deferred Margin Tax</t>
  </si>
  <si>
    <t>Unamortized Losses - Reacquired Debt</t>
  </si>
  <si>
    <t>Rocky Mound Series Compensator</t>
  </si>
  <si>
    <t>COVID19-ERP Proceeds and Expenses Dkt 50664 &amp; 50719</t>
  </si>
  <si>
    <t>COVID19-Incremental Expense Dkt 50664</t>
  </si>
  <si>
    <t>CWIP Tran &amp; Dist Non-Service Cost Pension/OPEBs</t>
  </si>
  <si>
    <t>Plant in service Tran &amp; Dist Non-Service Cost Pension/OPEBs</t>
  </si>
  <si>
    <t>Rate Case Expenses - Non-std Metering Tariff (Dkt 41890)</t>
  </si>
  <si>
    <t>Rate Case Expenses - Final AMS Rec Dkt 49721</t>
  </si>
  <si>
    <t>Rate Case Expenses - 2018 DCRF Dkt 48231</t>
  </si>
  <si>
    <t>Rate Case Expenses - 2019 DCRF Dkt 49427</t>
  </si>
  <si>
    <t>Rate Case Expenses - 2017 ED DOCKET 46957</t>
  </si>
  <si>
    <t>Rate Case Expenses - 2018 TCJA Dkt 48325</t>
  </si>
  <si>
    <t>Rate Case Expenses - 2021 Base Rate Case</t>
  </si>
  <si>
    <t>Wholesale Distribution Substation Service</t>
  </si>
  <si>
    <t>Sharyland Residential Interim Rate</t>
  </si>
  <si>
    <t>Study Costs/Transition to Comp - NTU</t>
  </si>
  <si>
    <t>PowerLineSafetyAct PURA 36.066</t>
  </si>
  <si>
    <t xml:space="preserve">TCRF Update 16 TAC 25.193 </t>
  </si>
  <si>
    <t>Workers Compensation</t>
  </si>
  <si>
    <t>228, 254</t>
  </si>
  <si>
    <t>TCRF Unbilled Revenue Deferral</t>
  </si>
  <si>
    <t>AMS Unbilled Revenue Deferral</t>
  </si>
  <si>
    <t>Capital structure refund Dkt 48522 (over-refund)</t>
  </si>
  <si>
    <t>FIT refund - rate Dkt 48325 (over-refund)</t>
  </si>
  <si>
    <t>Interest-rate savings Dkt 47675 &amp; 51881</t>
  </si>
  <si>
    <t>Docket No. 46957 Rider RCE (over-collection)</t>
  </si>
  <si>
    <t>Unamortized Gains - Reacquired Debt</t>
  </si>
  <si>
    <t>Unprotected Excess DFIT Asset</t>
  </si>
  <si>
    <t>Unprotected Excess Asset Grossup</t>
  </si>
  <si>
    <t>Unprotected Excess DFIT Liability</t>
  </si>
  <si>
    <t>Unprotected Excess DFIT Liability Grossup</t>
  </si>
  <si>
    <t>Protected Excess DFIT</t>
  </si>
  <si>
    <t>Excess DFIT Grossup</t>
  </si>
  <si>
    <t>FAS109 - Unamortized ITC</t>
  </si>
  <si>
    <t>Unprotected Plant-related Excess DFIT</t>
  </si>
  <si>
    <t>Excess DFIT Reserve</t>
  </si>
  <si>
    <t>Excess DFIT Reserve Gross-up</t>
  </si>
  <si>
    <t>Amortization of Protected Excess ADFIT</t>
  </si>
  <si>
    <t>Amortization of Non-protected Excess ADFIT</t>
  </si>
  <si>
    <t>Amortization of Excess ADFIT Reserve</t>
  </si>
  <si>
    <t>R&amp;D Credit</t>
  </si>
  <si>
    <t>Meals &amp; Entertainment</t>
  </si>
  <si>
    <t>Social Club Dues</t>
  </si>
  <si>
    <t>Commuter Expenses</t>
  </si>
  <si>
    <t>Employee Compensation Plans</t>
  </si>
  <si>
    <t>A454</t>
  </si>
  <si>
    <t>Rent from Property:</t>
  </si>
  <si>
    <t>A283 Deferred Margin Tax</t>
  </si>
  <si>
    <t>II-H-4.1 p 9 line 25</t>
  </si>
  <si>
    <t xml:space="preserve">     DCRF Non-IDR</t>
  </si>
  <si>
    <t xml:space="preserve">     DCRF IDR</t>
  </si>
  <si>
    <t>Was:</t>
  </si>
  <si>
    <t>Subtotal:</t>
  </si>
  <si>
    <t>check mis other exp</t>
  </si>
  <si>
    <t>Other Revenue  II-H-4.1 pg 9 line 26</t>
  </si>
  <si>
    <t>should match schedule D</t>
  </si>
  <si>
    <t xml:space="preserve">TOTAL COST OF SERVICE EXCL 565 </t>
  </si>
  <si>
    <t>TOTAL O&amp;M &amp; A&amp;G EXPENSE EXCL 565</t>
  </si>
  <si>
    <t xml:space="preserve">TOTAL EXPENSES EXCL 565 </t>
  </si>
  <si>
    <t xml:space="preserve">TOTAL A&amp;G EXPENSE </t>
  </si>
  <si>
    <t>TOTAL REVENUE REQUIREMENT EXCL 565</t>
  </si>
  <si>
    <t>TOTAL O&amp;M &amp; A&amp;G EXPENSE EXCL  565</t>
  </si>
  <si>
    <t>TOTAL COST OF SERVICE EXCL 565</t>
  </si>
  <si>
    <t xml:space="preserve">  Acct 565 </t>
  </si>
  <si>
    <t xml:space="preserve">  Discretionary</t>
  </si>
  <si>
    <t>Other</t>
  </si>
  <si>
    <t>Misc. Svc Revenues</t>
  </si>
  <si>
    <t xml:space="preserve">Rent from Property:  </t>
  </si>
  <si>
    <t>Pole Contacts</t>
  </si>
  <si>
    <t xml:space="preserve">  Fiber Optics, Overhead</t>
  </si>
  <si>
    <t>Fiber Optics, Underground</t>
  </si>
  <si>
    <t xml:space="preserve">  Antenna Lease</t>
  </si>
  <si>
    <t xml:space="preserve">Rent from Property: </t>
  </si>
  <si>
    <t xml:space="preserve"> Third Party</t>
  </si>
  <si>
    <t xml:space="preserve"> Right Of Way &amp; Misc</t>
  </si>
  <si>
    <t xml:space="preserve">Other </t>
  </si>
  <si>
    <t>Electric Revenues</t>
  </si>
  <si>
    <t>checks:</t>
  </si>
  <si>
    <t>lines 10+11</t>
  </si>
  <si>
    <t>line 13</t>
  </si>
  <si>
    <t>line 19</t>
  </si>
  <si>
    <t>line 21</t>
  </si>
  <si>
    <t>Total Cost of Service</t>
  </si>
  <si>
    <t>Cost Based Revenue Req:</t>
  </si>
  <si>
    <t>Other Revenues Breakdowns:</t>
  </si>
  <si>
    <t xml:space="preserve">Retail Delivery Service, found on Iteration workbook, Wholesale_NTS_RO tab, Excel Row 59 Column H. </t>
  </si>
  <si>
    <t xml:space="preserve">adjustments.  </t>
  </si>
  <si>
    <r>
      <t xml:space="preserve">2 </t>
    </r>
    <r>
      <rPr>
        <b/>
        <sz val="11"/>
        <rFont val="Arial"/>
        <family val="2"/>
      </rPr>
      <t xml:space="preserve">TCRF proposed revenue from Oncor Electric Delivery - Transmission Revenue Requirement for  </t>
    </r>
  </si>
  <si>
    <t>Checks</t>
  </si>
  <si>
    <t>Check:</t>
  </si>
  <si>
    <t>=3+4+5+6+7+8+9+10</t>
  </si>
  <si>
    <t xml:space="preserve">II H.4.1, p 1 Line 25 </t>
  </si>
  <si>
    <t>II-H-4.1 p 9 line 26</t>
  </si>
  <si>
    <t>II-H-4.1 p9 col j</t>
  </si>
  <si>
    <t>II-H-4.1 p9 line 28</t>
  </si>
  <si>
    <t>All inclusive</t>
  </si>
  <si>
    <r>
      <t>Test Year</t>
    </r>
    <r>
      <rPr>
        <b/>
        <vertAlign val="superscript"/>
        <sz val="11"/>
        <rFont val="Arial"/>
        <family val="2"/>
      </rPr>
      <t xml:space="preserve">1 </t>
    </r>
  </si>
  <si>
    <t>TY PF</t>
  </si>
  <si>
    <t>TY TCRF</t>
  </si>
  <si>
    <t>TY Other</t>
  </si>
  <si>
    <t>TY Revenues</t>
  </si>
  <si>
    <t>Less Other Revenues (incl PF)</t>
  </si>
  <si>
    <t>Total Revenue Requirement</t>
  </si>
  <si>
    <t>Less A565</t>
  </si>
  <si>
    <t>ADJ</t>
  </si>
  <si>
    <t>%Change</t>
  </si>
  <si>
    <t>( e ) =a+b+c+d</t>
  </si>
  <si>
    <t>(h)= f-g</t>
  </si>
  <si>
    <t>(j)= h - i</t>
  </si>
  <si>
    <t>(l) = j + k</t>
  </si>
  <si>
    <t>(n) = m/a</t>
  </si>
  <si>
    <t>(o)</t>
  </si>
  <si>
    <t>WHL Electric Delivery Revenues</t>
  </si>
  <si>
    <t>No TCRF, No Pf Present Revenues</t>
  </si>
  <si>
    <r>
      <t>Total Cost of Service</t>
    </r>
    <r>
      <rPr>
        <b/>
        <vertAlign val="superscript"/>
        <sz val="11"/>
        <rFont val="Arial"/>
        <family val="2"/>
      </rPr>
      <t>2</t>
    </r>
  </si>
  <si>
    <t xml:space="preserve">adjustments found in Present Revenues in WP 2.2 pulled from II-H-4.1 page 9.  </t>
  </si>
  <si>
    <t>ADJ DIST Revenue Requirement</t>
  </si>
  <si>
    <t>DIST Revenue Requirement (no Other Rev, No A565</t>
  </si>
  <si>
    <t>(m)= l - a</t>
  </si>
  <si>
    <t>with tcrf from Present Revs</t>
  </si>
  <si>
    <t>with tcrf from A565</t>
  </si>
  <si>
    <t>from 1.6 (no adjustments)</t>
  </si>
  <si>
    <t>2022 RATE CASE</t>
  </si>
  <si>
    <t>TEST YEAR ENDING 12/31/2021</t>
  </si>
  <si>
    <t>II-E-3.5</t>
  </si>
  <si>
    <t>Rate Case Expenses - AMS (a)</t>
  </si>
  <si>
    <t>Deferred AMS Expense  (a)</t>
  </si>
  <si>
    <t>Deferred Customer Education - AMS (a)</t>
  </si>
  <si>
    <t>Proposed</t>
  </si>
  <si>
    <t>Proposed Other Revenues Increase:</t>
  </si>
  <si>
    <t>Cost of Service</t>
  </si>
  <si>
    <t>%</t>
  </si>
  <si>
    <t>Increase</t>
  </si>
  <si>
    <t>Proposed Revenue, No A565, No Other Revenues</t>
  </si>
  <si>
    <t>No TCRF, No Pf Present Revenues, No Other Revenues</t>
  </si>
  <si>
    <t>SUMMARY OF ELECTRIC DELIVERY REVENUES BY RATE CLASS (no PF, no TCRF, No Other Revenues)</t>
  </si>
  <si>
    <r>
      <t xml:space="preserve">II-H-1.4 col. (c)                   </t>
    </r>
    <r>
      <rPr>
        <sz val="11"/>
        <rFont val="Arial"/>
        <family val="2"/>
      </rPr>
      <t>JAN 2021</t>
    </r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</si>
  <si>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</si>
  <si>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</si>
  <si>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</si>
  <si>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</si>
  <si>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</si>
  <si>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</si>
  <si>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</si>
  <si>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</si>
  <si>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</si>
  <si>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</si>
  <si>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</si>
  <si>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II-H-4_1 col. (a)</t>
  </si>
  <si>
    <t>Deferred Mobile Generator Costs HB 2483 &amp; PURA § 39.918</t>
  </si>
  <si>
    <t>Pension &amp; OPEB Reg Asset-ONCOR (GAAP)</t>
  </si>
  <si>
    <t>CWIP Tran &amp; Dist Non-Service Cost Pension/OPEBs (GAAP)</t>
  </si>
  <si>
    <t>Plant in service Tran &amp; Dist Non-Service Cost Pension/OPEBs (GAAP)</t>
  </si>
  <si>
    <t>Rate Case Expenses - 2021 DCRF Dkt 51996</t>
  </si>
  <si>
    <t>Rate Case Expenses - 2017 ED DOCKET 46957 (c)</t>
  </si>
  <si>
    <t>Rate Case Expenses - Test Year 2021 Base Rate Case</t>
  </si>
  <si>
    <t>Under-Recovered AMS (d)</t>
  </si>
  <si>
    <t>Estimated net removal costs (GAAP)</t>
  </si>
  <si>
    <t>Over-amortization of intangible investment</t>
  </si>
  <si>
    <t>TCRF Unbilled Revenue Deferral (GAAP)</t>
  </si>
  <si>
    <t>AMS Unbilled Revenue Deferral (GAAP)</t>
  </si>
  <si>
    <t>Interest-rate savings Dkt 47675 &amp; 52545</t>
  </si>
  <si>
    <t>Deferred OPEB Cost (b)</t>
  </si>
  <si>
    <t>Non-protected Plant-related Excess DFIT</t>
  </si>
  <si>
    <t>FIN 48 Interest</t>
  </si>
  <si>
    <t>Docket No. 46957 Rider RCE (over-collection) ©</t>
  </si>
  <si>
    <t>II-H-4.1 p9 line 29</t>
  </si>
  <si>
    <t>WP 2.7</t>
  </si>
  <si>
    <t>PROPOSED Revenue Excl 565 &amp; A928</t>
  </si>
  <si>
    <t>TOTAL A&amp;G EXPENSE Excl A928</t>
  </si>
  <si>
    <t xml:space="preserve"> FIN 48 Interest</t>
  </si>
  <si>
    <t>TOTAL O&amp;M &amp; A&amp;G EXPENSE EXCL 565 &amp;RCE A928</t>
  </si>
  <si>
    <t>TOTAL EXPENSES EXCL 565 &amp; RCE A928</t>
  </si>
  <si>
    <t>TOTAL COST OF SERVICE EXCL 565  &amp; RCE 928</t>
  </si>
  <si>
    <t>TOTAL REVENUE REQUIREMENT EXCL 565  &amp; RCE 928</t>
  </si>
  <si>
    <t>PROPOSED Revenue Excl 565  &amp; RCE A928</t>
  </si>
  <si>
    <t>TOTAL A&amp;G EXPENSE EXCL RCE A928</t>
  </si>
  <si>
    <t>TOTAL O&amp;M &amp; A&amp;G EXPENSE EXCL 565  &amp; RCE A928</t>
  </si>
  <si>
    <t>TOTAL EXPENSES EXCL 565 &amp;RCE A928</t>
  </si>
  <si>
    <t>TOTAL COST OF SERVICE EXCL 565 &amp; RCE A928</t>
  </si>
  <si>
    <t>TOTAL REVENUE REQUIREMENT EXCL 565 &amp;RCE A928</t>
  </si>
  <si>
    <t xml:space="preserve">  O&amp;M and A&amp;G Expenses (less Acct 565 &amp; RCE A928 )</t>
  </si>
  <si>
    <t xml:space="preserve">   RateCaseExpense A928</t>
  </si>
  <si>
    <t>Rate Case Expense A928</t>
  </si>
  <si>
    <t xml:space="preserve">  RCE A928 </t>
  </si>
  <si>
    <t>DIST Function Revenue ex 565 &amp; A928:  Adjusted</t>
  </si>
  <si>
    <t>Total Distribution Facilities Less A565 &amp; A928</t>
  </si>
  <si>
    <t>RateCaseExpense A928</t>
  </si>
  <si>
    <t>A928=</t>
  </si>
  <si>
    <t>RCE Portion</t>
  </si>
  <si>
    <t>Factor:</t>
  </si>
  <si>
    <t xml:space="preserve">                                                             </t>
  </si>
  <si>
    <t>TOTAL A&amp;G EXPENSE  EXCL DIST A928</t>
  </si>
  <si>
    <t>TOTAL O&amp;M &amp; A&amp;G EXPENSE EXCL 565 &amp; RCE A928</t>
  </si>
  <si>
    <t>TOTAL REVENUE REQUIREMENT EXCL 565 &amp; RCE A928</t>
  </si>
  <si>
    <t>Rate Case Expense Factor:</t>
  </si>
  <si>
    <t>Proposed Revenue Req ex 565 and RCE 928</t>
  </si>
  <si>
    <t>subtotal</t>
  </si>
  <si>
    <t xml:space="preserve">     plus Other Revenues(includes PF)</t>
  </si>
  <si>
    <t xml:space="preserve">  O&amp;M and A&amp;G Expenses (less Acct 565 &amp; DIST A928)</t>
  </si>
  <si>
    <t>Operating+Maintenance Exp (less Acct 565&amp; Dist A928)</t>
  </si>
  <si>
    <t xml:space="preserve">   DIST RCE A928</t>
  </si>
  <si>
    <t>Distribution (Includes A565 &amp; DIST RCE A928)</t>
  </si>
  <si>
    <t>check should = Other Revs from line 32</t>
  </si>
  <si>
    <t>TOTAL PRESENT REVENUES (Incl PF)</t>
  </si>
  <si>
    <t>5 year Amort</t>
  </si>
  <si>
    <t xml:space="preserve">Energy Efficiency Cost Recovery Factor and to increase test-year revenues to reflect TCOS, TCRF and DCRF </t>
  </si>
  <si>
    <t>Total Adjusted Revenues (no Power Factor, exclusde TCRF)</t>
  </si>
  <si>
    <t>** DIST function excluding Accounts A565 and Rate Case Expense portion of A928.</t>
  </si>
  <si>
    <t xml:space="preserve">  See Schedules IV-J-7 TCRF tab.</t>
  </si>
  <si>
    <t xml:space="preserve">Energy Efficiency Cost Recovery Factor and to increase test-year revenues to reflect TCOS, DCRF and TCRF </t>
  </si>
  <si>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 xml:space="preserve">Pulled from Summary Tab generated by WP II-I 1.1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</si>
</sst>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%"/>
    <numFmt numFmtId="167" formatCode="_(* #,##0.000000_);_(* \(#,##0.000000\);_(* &quot;-&quot;??_);_(@_)"/>
    <numFmt numFmtId="168" formatCode="_(* #,##0.000000_);_(* \(#,##0.000000\);_(* &quot;-&quot;??????_);_(@_)"/>
    <numFmt numFmtId="169" formatCode="#,##0.0000_);[Red]\(#,##0.0000\)"/>
    <numFmt numFmtId="170" formatCode="0.000%"/>
    <numFmt numFmtId="171" formatCode="#,##0.000000_);[Red]\(#,##0.000000\)"/>
    <numFmt numFmtId="172" formatCode="0.0000"/>
    <numFmt numFmtId="173" formatCode="#,##0.000000"/>
    <numFmt numFmtId="174" formatCode="_(* #,##0.000_);_(* \(#,##0.000\);_(* &quot;-&quot;??_);_(@_)"/>
    <numFmt numFmtId="175" formatCode="#,##0.000"/>
    <numFmt numFmtId="176" formatCode="0.0%"/>
    <numFmt numFmtId="177" formatCode="0.000000"/>
    <numFmt numFmtId="178" formatCode="&quot;$&quot;#,##0"/>
    <numFmt numFmtId="179" formatCode="#,##0.000_);\(#,##0.000\)"/>
    <numFmt numFmtId="180" formatCode="_(* #,##0.0000_);_(* \(#,##0.0000\);_(* &quot;-&quot;??_);_(@_)"/>
    <numFmt numFmtId="181" formatCode="0.00000000%"/>
    <numFmt numFmtId="182" formatCode="0.000000_);\(0.000000\)"/>
    <numFmt numFmtId="183" formatCode="0.000000%"/>
    <numFmt numFmtId="184" formatCode="0.000"/>
    <numFmt numFmtId="185" formatCode="_(* #,##0.000000000_);_(* \(#,##0.000000000\);_(* &quot;-&quot;??_);_(@_)"/>
    <numFmt numFmtId="186" formatCode="_(* #,##0.00000000000000000000_);_(* \(#,##0.00000000000000000000\);_(* &quot;-&quot;?????_);_(@_)"/>
    <numFmt numFmtId="187" formatCode="_(* #,##0.000000000000000000000000_);_(* \(#,##0.000000000000000000000000\);_(* &quot;-&quot;?????_);_(@_)"/>
    <numFmt numFmtId="188" formatCode="_(* #,##0.00000_);_(* \(#,##0.00000\);_(* &quot;-&quot;??_);_(@_)"/>
    <numFmt numFmtId="189" formatCode="#,##0.00000"/>
  </numFmts>
  <fonts count="91"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sz val="11"/>
      <color indexed="12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u val="single"/>
      <sz val="11"/>
      <name val="Arial"/>
      <family val="2"/>
    </font>
    <font>
      <sz val="11"/>
      <color indexed="8"/>
      <name val="Arial"/>
      <family val="2"/>
    </font>
    <font>
      <u val="singleAccounting"/>
      <sz val="11"/>
      <name val="Arial"/>
      <family val="2"/>
    </font>
    <font>
      <u val="singleAccounting"/>
      <sz val="11"/>
      <color indexed="12"/>
      <name val="Arial"/>
      <family val="2"/>
    </font>
    <font>
      <u val="single"/>
      <sz val="11"/>
      <name val="Arial"/>
      <family val="2"/>
    </font>
    <font>
      <b/>
      <sz val="8"/>
      <name val="Tahoma"/>
      <family val="2"/>
    </font>
    <font>
      <sz val="12"/>
      <name val="Arial"/>
      <family val="2"/>
    </font>
    <font>
      <b/>
      <sz val="11"/>
      <color indexed="9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b/>
      <sz val="9"/>
      <name val="Times New Roman"/>
      <family val="1"/>
    </font>
    <font>
      <u val="single"/>
      <sz val="11"/>
      <color indexed="12"/>
      <name val="Arial"/>
      <family val="2"/>
    </font>
    <font>
      <b/>
      <u val="singleAccounting"/>
      <sz val="11"/>
      <name val="Arial"/>
      <family val="2"/>
    </font>
    <font>
      <sz val="9"/>
      <color indexed="12"/>
      <name val="Times New Roman"/>
      <family val="1"/>
    </font>
    <font>
      <sz val="8"/>
      <name val="Times New Roman"/>
      <family val="1"/>
    </font>
    <font>
      <b/>
      <u val="single"/>
      <sz val="11"/>
      <color indexed="8"/>
      <name val="Arial"/>
      <family val="2"/>
    </font>
    <font>
      <sz val="11"/>
      <color indexed="16"/>
      <name val="Arial"/>
      <family val="2"/>
    </font>
    <font>
      <sz val="11"/>
      <color indexed="9"/>
      <name val="Arial"/>
      <family val="2"/>
    </font>
    <font>
      <b/>
      <sz val="10"/>
      <color indexed="10"/>
      <name val="Arial"/>
      <family val="2"/>
    </font>
    <font>
      <sz val="11"/>
      <color indexed="56"/>
      <name val="Arial"/>
      <family val="2"/>
    </font>
    <font>
      <sz val="11"/>
      <color indexed="60"/>
      <name val="Arial"/>
      <family val="2"/>
    </font>
    <font>
      <sz val="10"/>
      <color indexed="60"/>
      <name val="Arial"/>
      <family val="2"/>
    </font>
    <font>
      <u val="single"/>
      <sz val="11"/>
      <color indexed="8"/>
      <name val="Arial"/>
      <family val="2"/>
    </font>
    <font>
      <sz val="9"/>
      <name val="Tahoma"/>
      <family val="2"/>
    </font>
    <font>
      <b/>
      <sz val="8"/>
      <name val="Arial"/>
      <family val="2"/>
    </font>
    <font>
      <b/>
      <sz val="8"/>
      <name val="Times New Roman"/>
      <family val="1"/>
    </font>
    <font>
      <u val="single"/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u val="single"/>
      <sz val="11"/>
      <color theme="3" tint="-0.24997"/>
      <name val="Arial"/>
      <family val="2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  <font>
      <sz val="12"/>
      <name val="Times New Roman"/>
      <family val="1"/>
    </font>
    <font>
      <u val="singleAccounting"/>
      <sz val="8"/>
      <name val="Arial"/>
      <family val="2"/>
    </font>
    <font>
      <u val="singleAccounting"/>
      <sz val="8"/>
      <color theme="1"/>
      <name val="Arial"/>
      <family val="2"/>
    </font>
    <font>
      <b/>
      <sz val="12"/>
      <color rgb="FFFFFFFF"/>
      <name val="Arial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b/>
      <u val="single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Tahoma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sz val="11"/>
      <color theme="9" tint="-0.24997"/>
      <name val="Arial"/>
      <family val="2"/>
    </font>
    <font>
      <sz val="18"/>
      <name val="Arial"/>
      <family val="2"/>
    </font>
    <font>
      <b/>
      <sz val="11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FF0000"/>
      <name val="Arial"/>
      <family val="2"/>
    </font>
    <font>
      <i/>
      <sz val="14"/>
      <color rgb="FFC00000"/>
      <name val="Arial"/>
      <family val="2"/>
    </font>
    <font>
      <sz val="14"/>
      <color rgb="FFC00000"/>
      <name val="Arial"/>
      <family val="2"/>
    </font>
    <font>
      <i/>
      <sz val="16"/>
      <color rgb="FFC00000"/>
      <name val="Arial"/>
      <family val="2"/>
    </font>
    <font>
      <i/>
      <sz val="12"/>
      <color rgb="FFC00000"/>
      <name val="Arial"/>
      <family val="2"/>
    </font>
    <font>
      <sz val="12"/>
      <color rgb="FFC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i/>
      <sz val="11"/>
      <name val="Arial"/>
      <family val="2"/>
    </font>
    <font>
      <sz val="14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26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6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gray0625"/>
    </fill>
    <fill>
      <patternFill patternType="solid">
        <fgColor rgb="FFFFFF99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2" tint="-0.099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49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 style="thin">
        <color indexed="49"/>
      </top>
      <bottom style="double">
        <color indexed="49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 style="medium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thin">
        <color auto="1"/>
      </left>
      <right style="medium">
        <color auto="1"/>
      </right>
      <top/>
      <bottom/>
    </border>
    <border>
      <left/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/>
      <right/>
      <top/>
      <bottom style="double">
        <color auto="1"/>
      </bottom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</borders>
  <cellStyleXfs count="7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/>
      <protection/>
    </xf>
    <xf numFmtId="37" fontId="16" fillId="0" borderId="0">
      <alignment/>
      <protection/>
    </xf>
    <xf numFmtId="0" fontId="3" fillId="0" borderId="0">
      <alignment/>
      <protection/>
    </xf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2" fillId="2" borderId="0" applyNumberFormat="0" applyBorder="0" applyAlignment="0" applyProtection="0"/>
    <xf numFmtId="0" fontId="72" fillId="3" borderId="0" applyNumberFormat="0" applyBorder="0" applyAlignment="0" applyProtection="0"/>
    <xf numFmtId="0" fontId="72" fillId="4" borderId="0" applyNumberFormat="0" applyBorder="0" applyAlignment="0" applyProtection="0"/>
    <xf numFmtId="0" fontId="72" fillId="2" borderId="0" applyNumberFormat="0" applyBorder="0" applyAlignment="0" applyProtection="0"/>
    <xf numFmtId="0" fontId="72" fillId="5" borderId="0" applyNumberFormat="0" applyBorder="0" applyAlignment="0" applyProtection="0"/>
    <xf numFmtId="0" fontId="72" fillId="3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6" borderId="0" applyNumberFormat="0" applyBorder="0" applyAlignment="0" applyProtection="0"/>
    <xf numFmtId="0" fontId="72" fillId="9" borderId="0" applyNumberFormat="0" applyBorder="0" applyAlignment="0" applyProtection="0"/>
    <xf numFmtId="0" fontId="72" fillId="3" borderId="0" applyNumberFormat="0" applyBorder="0" applyAlignment="0" applyProtection="0"/>
    <xf numFmtId="0" fontId="73" fillId="10" borderId="0" applyNumberFormat="0" applyBorder="0" applyAlignment="0" applyProtection="0"/>
    <xf numFmtId="0" fontId="73" fillId="7" borderId="0" applyNumberFormat="0" applyBorder="0" applyAlignment="0" applyProtection="0"/>
    <xf numFmtId="0" fontId="73" fillId="8" borderId="0" applyNumberFormat="0" applyBorder="0" applyAlignment="0" applyProtection="0"/>
    <xf numFmtId="0" fontId="73" fillId="6" borderId="0" applyNumberFormat="0" applyBorder="0" applyAlignment="0" applyProtection="0"/>
    <xf numFmtId="0" fontId="73" fillId="10" borderId="0" applyNumberFormat="0" applyBorder="0" applyAlignment="0" applyProtection="0"/>
    <xf numFmtId="0" fontId="73" fillId="3" borderId="0" applyNumberFormat="0" applyBorder="0" applyAlignment="0" applyProtection="0"/>
    <xf numFmtId="0" fontId="73" fillId="10" borderId="0" applyNumberFormat="0" applyBorder="0" applyAlignment="0" applyProtection="0"/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0" borderId="0" applyNumberFormat="0" applyBorder="0" applyAlignment="0" applyProtection="0"/>
    <xf numFmtId="0" fontId="73" fillId="14" borderId="0" applyNumberFormat="0" applyBorder="0" applyAlignment="0" applyProtection="0"/>
    <xf numFmtId="0" fontId="74" fillId="15" borderId="0" applyNumberFormat="0" applyBorder="0" applyAlignment="0" applyProtection="0"/>
    <xf numFmtId="0" fontId="75" fillId="2" borderId="1" applyNumberFormat="0" applyAlignment="0" applyProtection="0"/>
    <xf numFmtId="0" fontId="76" fillId="16" borderId="2" applyNumberFormat="0" applyAlignment="0" applyProtection="0"/>
    <xf numFmtId="0" fontId="77" fillId="0" borderId="0" applyNumberFormat="0" applyFill="0" applyBorder="0" applyAlignment="0" applyProtection="0"/>
    <xf numFmtId="0" fontId="78" fillId="17" borderId="0" applyNumberFormat="0" applyBorder="0" applyAlignment="0" applyProtection="0"/>
    <xf numFmtId="0" fontId="79" fillId="0" borderId="3" applyNumberFormat="0" applyFill="0" applyAlignment="0" applyProtection="0"/>
    <xf numFmtId="0" fontId="80" fillId="0" borderId="4" applyNumberFormat="0" applyFill="0" applyAlignment="0" applyProtection="0"/>
    <xf numFmtId="0" fontId="81" fillId="0" borderId="5" applyNumberFormat="0" applyFill="0" applyAlignment="0" applyProtection="0"/>
    <xf numFmtId="0" fontId="81" fillId="0" borderId="0" applyNumberFormat="0" applyFill="0" applyBorder="0" applyAlignment="0" applyProtection="0"/>
    <xf numFmtId="0" fontId="82" fillId="3" borderId="1" applyNumberFormat="0" applyAlignment="0" applyProtection="0"/>
    <xf numFmtId="0" fontId="83" fillId="0" borderId="6" applyNumberFormat="0" applyFill="0" applyAlignment="0" applyProtection="0"/>
    <xf numFmtId="0" fontId="84" fillId="8" borderId="0" applyNumberFormat="0" applyBorder="0" applyAlignment="0" applyProtection="0"/>
    <xf numFmtId="0" fontId="3" fillId="4" borderId="7" applyNumberFormat="0" applyFont="0" applyAlignment="0" applyProtection="0"/>
    <xf numFmtId="0" fontId="85" fillId="2" borderId="8" applyNumberFormat="0" applyAlignment="0" applyProtection="0"/>
    <xf numFmtId="0" fontId="86" fillId="0" borderId="0" applyNumberFormat="0" applyFill="0" applyBorder="0" applyAlignment="0" applyProtection="0"/>
    <xf numFmtId="0" fontId="87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1501">
    <xf numFmtId="0" fontId="0" fillId="0" borderId="0" xfId="0"/>
    <xf numFmtId="0" fontId="0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Continuous"/>
    </xf>
    <xf numFmtId="0" fontId="0" fillId="0" borderId="0" xfId="0" applyFont="1" applyBorder="1" applyAlignment="1">
      <alignment horizontal="centerContinuous"/>
    </xf>
    <xf numFmtId="0" fontId="0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0" fillId="0" borderId="0" xfId="0" applyFont="1" applyAlignment="1">
      <alignment horizontal="centerContinuous"/>
    </xf>
    <xf numFmtId="0" fontId="4" fillId="0" borderId="0" xfId="0" applyFont="1" applyFill="1" applyBorder="1"/>
    <xf numFmtId="0" fontId="5" fillId="0" borderId="0" xfId="0" applyFont="1" applyFill="1" applyBorder="1"/>
    <xf numFmtId="0" fontId="4" fillId="0" borderId="0" xfId="0" applyFont="1" applyBorder="1" applyAlignment="1">
      <alignment horizontal="centerContinuous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8" borderId="10" xfId="0" applyFont="1" applyFill="1" applyBorder="1" applyAlignment="1">
      <alignment horizontal="center"/>
    </xf>
    <xf numFmtId="0" fontId="0" fillId="8" borderId="10" xfId="0" applyFont="1" applyFill="1" applyBorder="1"/>
    <xf numFmtId="0" fontId="0" fillId="8" borderId="11" xfId="0" applyFont="1" applyFill="1" applyBorder="1" applyAlignment="1">
      <alignment horizontal="center"/>
    </xf>
    <xf numFmtId="0" fontId="0" fillId="8" borderId="1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5" fontId="0" fillId="0" borderId="0" xfId="18" applyNumberFormat="1" applyFont="1" applyFill="1" applyBorder="1" applyAlignment="1" quotePrefix="1">
      <alignment horizontal="center"/>
    </xf>
    <xf numFmtId="165" fontId="0" fillId="0" borderId="0" xfId="18" applyNumberFormat="1" applyFont="1" applyFill="1" applyBorder="1"/>
    <xf numFmtId="0" fontId="4" fillId="0" borderId="0" xfId="0" applyFont="1" applyFill="1" applyBorder="1" applyAlignment="1">
      <alignment horizontal="center"/>
    </xf>
    <xf numFmtId="165" fontId="4" fillId="0" borderId="0" xfId="18" applyNumberFormat="1" applyFont="1" applyFill="1" applyBorder="1" applyAlignment="1" quotePrefix="1">
      <alignment horizontal="center"/>
    </xf>
    <xf numFmtId="165" fontId="4" fillId="0" borderId="0" xfId="18" applyNumberFormat="1" applyFont="1" applyFill="1" applyBorder="1"/>
    <xf numFmtId="164" fontId="7" fillId="0" borderId="13" xfId="16" applyNumberFormat="1" applyFont="1" applyFill="1" applyBorder="1"/>
    <xf numFmtId="165" fontId="0" fillId="0" borderId="0" xfId="0" applyNumberFormat="1" applyFont="1" applyFill="1" applyBorder="1"/>
    <xf numFmtId="165" fontId="7" fillId="0" borderId="0" xfId="18" applyNumberFormat="1" applyFont="1" applyFill="1" applyBorder="1"/>
    <xf numFmtId="0" fontId="4" fillId="0" borderId="0" xfId="0" applyFont="1" applyFill="1" applyBorder="1" applyAlignment="1" quotePrefix="1">
      <alignment horizontal="right"/>
    </xf>
    <xf numFmtId="165" fontId="7" fillId="0" borderId="0" xfId="18" applyNumberFormat="1" applyFont="1" applyFill="1" applyBorder="1" applyAlignment="1" quotePrefix="1">
      <alignment horizontal="center"/>
    </xf>
    <xf numFmtId="0" fontId="0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0" fillId="0" borderId="0" xfId="0" applyFont="1" applyFill="1" applyBorder="1" applyAlignment="1" quotePrefix="1">
      <alignment horizontal="center"/>
    </xf>
    <xf numFmtId="0" fontId="0" fillId="0" borderId="0" xfId="0" applyFont="1" applyFill="1" applyBorder="1" applyAlignment="1" quotePrefix="1">
      <alignment horizontal="left"/>
    </xf>
    <xf numFmtId="164" fontId="0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4" fillId="0" borderId="0" xfId="0" applyFont="1" applyFill="1" applyBorder="1" applyAlignment="1" quotePrefix="1">
      <alignment horizontal="left"/>
    </xf>
    <xf numFmtId="0" fontId="10" fillId="0" borderId="0" xfId="0" applyFont="1" applyFill="1" applyBorder="1" applyAlignment="1" applyProtection="1" quotePrefix="1">
      <alignment horizontal="left"/>
      <protection locked="0"/>
    </xf>
    <xf numFmtId="0" fontId="4" fillId="0" borderId="0" xfId="0" applyFont="1" applyFill="1" applyBorder="1" applyProtection="1">
      <protection locked="0"/>
    </xf>
    <xf numFmtId="165" fontId="4" fillId="0" borderId="0" xfId="18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165" fontId="4" fillId="0" borderId="0" xfId="18" applyNumberFormat="1" applyFont="1" applyFill="1" applyBorder="1" applyProtection="1"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0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right"/>
      <protection locked="0"/>
    </xf>
    <xf numFmtId="0" fontId="0" fillId="0" borderId="0" xfId="0" applyFont="1" applyFill="1" applyBorder="1" applyAlignment="1" applyProtection="1" quotePrefix="1">
      <alignment horizontal="center"/>
      <protection locked="0"/>
    </xf>
    <xf numFmtId="0" fontId="4" fillId="0" borderId="0" xfId="0" applyFont="1" applyFill="1" applyBorder="1" applyAlignment="1" applyProtection="1">
      <alignment horizontal="left"/>
      <protection locked="0"/>
    </xf>
    <xf numFmtId="0" fontId="0" fillId="0" borderId="0" xfId="0" applyFont="1" applyFill="1"/>
    <xf numFmtId="0" fontId="8" fillId="0" borderId="0" xfId="0" applyFont="1" applyFill="1" applyBorder="1" applyAlignment="1">
      <alignment horizontal="left"/>
    </xf>
    <xf numFmtId="0" fontId="4" fillId="0" borderId="0" xfId="0" applyFont="1" applyBorder="1"/>
    <xf numFmtId="165" fontId="0" fillId="0" borderId="0" xfId="18" applyNumberFormat="1" applyFont="1" applyBorder="1"/>
    <xf numFmtId="0" fontId="0" fillId="0" borderId="0" xfId="0" applyFont="1" applyFill="1" applyBorder="1" applyAlignment="1">
      <alignment/>
    </xf>
    <xf numFmtId="0" fontId="3" fillId="0" borderId="0" xfId="0" applyFont="1" applyBorder="1"/>
    <xf numFmtId="165" fontId="4" fillId="0" borderId="0" xfId="18" applyNumberFormat="1" applyFont="1" applyBorder="1"/>
    <xf numFmtId="165" fontId="0" fillId="0" borderId="0" xfId="18" applyNumberFormat="1" applyFont="1" applyFill="1" applyBorder="1" applyAlignment="1">
      <alignment horizontal="center"/>
    </xf>
    <xf numFmtId="165" fontId="7" fillId="0" borderId="13" xfId="18" applyNumberFormat="1" applyFont="1" applyFill="1" applyBorder="1"/>
    <xf numFmtId="0" fontId="10" fillId="0" borderId="0" xfId="0" applyFont="1" applyFill="1" applyBorder="1" applyAlignment="1" applyProtection="1">
      <alignment horizontal="left"/>
      <protection locked="0"/>
    </xf>
    <xf numFmtId="0" fontId="10" fillId="0" borderId="0" xfId="0" applyFont="1" applyBorder="1"/>
    <xf numFmtId="0" fontId="4" fillId="0" borderId="0" xfId="0" applyFont="1" applyBorder="1" applyAlignment="1">
      <alignment horizontal="center"/>
    </xf>
    <xf numFmtId="164" fontId="7" fillId="0" borderId="0" xfId="16" applyNumberFormat="1" applyFont="1" applyFill="1" applyBorder="1"/>
    <xf numFmtId="165" fontId="5" fillId="0" borderId="0" xfId="18" applyNumberFormat="1" applyFont="1" applyFill="1" applyBorder="1"/>
    <xf numFmtId="165" fontId="0" fillId="0" borderId="14" xfId="18" applyNumberFormat="1" applyFont="1" applyFill="1" applyBorder="1"/>
    <xf numFmtId="165" fontId="0" fillId="0" borderId="13" xfId="18" applyNumberFormat="1" applyFont="1" applyFill="1" applyBorder="1"/>
    <xf numFmtId="41" fontId="0" fillId="0" borderId="0" xfId="18" applyNumberFormat="1" applyFont="1" applyFill="1" applyBorder="1"/>
    <xf numFmtId="0" fontId="0" fillId="0" borderId="15" xfId="0" applyFont="1" applyFill="1" applyBorder="1"/>
    <xf numFmtId="0" fontId="0" fillId="0" borderId="16" xfId="0" applyFont="1" applyFill="1" applyBorder="1"/>
    <xf numFmtId="165" fontId="0" fillId="0" borderId="17" xfId="18" applyNumberFormat="1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49" fontId="0" fillId="0" borderId="0" xfId="0" applyNumberFormat="1" applyFont="1" applyFill="1" applyAlignment="1">
      <alignment horizontal="centerContinuous"/>
    </xf>
    <xf numFmtId="49" fontId="4" fillId="0" borderId="0" xfId="0" applyNumberFormat="1" applyFont="1" applyFill="1" applyAlignment="1">
      <alignment horizontal="centerContinuous"/>
    </xf>
    <xf numFmtId="49" fontId="4" fillId="0" borderId="0" xfId="0" applyNumberFormat="1" applyFont="1" applyFill="1" applyBorder="1" applyAlignment="1">
      <alignment horizontal="centerContinuous"/>
    </xf>
    <xf numFmtId="49" fontId="4" fillId="0" borderId="0" xfId="0" applyNumberFormat="1" applyFont="1" applyFill="1" applyBorder="1" applyAlignment="1" quotePrefix="1">
      <alignment horizontal="centerContinuous"/>
    </xf>
    <xf numFmtId="49" fontId="0" fillId="0" borderId="0" xfId="0" applyNumberFormat="1" applyFont="1" applyAlignment="1">
      <alignment horizontal="centerContinuous"/>
    </xf>
    <xf numFmtId="49" fontId="4" fillId="0" borderId="0" xfId="0" applyNumberFormat="1" applyFont="1" applyAlignment="1">
      <alignment horizontal="centerContinuous"/>
    </xf>
    <xf numFmtId="49" fontId="0" fillId="0" borderId="0" xfId="0" applyNumberFormat="1" applyFont="1" applyFill="1" applyBorder="1" applyAlignment="1">
      <alignment horizontal="centerContinuous"/>
    </xf>
    <xf numFmtId="0" fontId="0" fillId="0" borderId="18" xfId="0" applyFont="1" applyBorder="1"/>
    <xf numFmtId="0" fontId="0" fillId="0" borderId="13" xfId="0" applyFont="1" applyFill="1" applyBorder="1" applyAlignment="1">
      <alignment horizontal="left"/>
    </xf>
    <xf numFmtId="0" fontId="0" fillId="0" borderId="15" xfId="0" applyFont="1" applyBorder="1"/>
    <xf numFmtId="165" fontId="12" fillId="0" borderId="14" xfId="18" applyNumberFormat="1" applyFont="1" applyFill="1" applyBorder="1"/>
    <xf numFmtId="0" fontId="0" fillId="0" borderId="19" xfId="0" applyFont="1" applyBorder="1"/>
    <xf numFmtId="0" fontId="0" fillId="0" borderId="16" xfId="0" applyFont="1" applyFill="1" applyBorder="1" applyAlignment="1">
      <alignment horizontal="left"/>
    </xf>
    <xf numFmtId="0" fontId="0" fillId="0" borderId="16" xfId="0" applyFont="1" applyBorder="1"/>
    <xf numFmtId="165" fontId="0" fillId="0" borderId="16" xfId="18" applyNumberFormat="1" applyFont="1" applyFill="1" applyBorder="1"/>
    <xf numFmtId="165" fontId="12" fillId="0" borderId="0" xfId="18" applyNumberFormat="1" applyFont="1" applyFill="1" applyBorder="1"/>
    <xf numFmtId="0" fontId="4" fillId="0" borderId="0" xfId="0" applyFont="1" applyFill="1" applyBorder="1" applyAlignment="1">
      <alignment horizontal="left"/>
    </xf>
    <xf numFmtId="167" fontId="0" fillId="0" borderId="0" xfId="18" applyNumberFormat="1" applyFont="1" applyFill="1" applyBorder="1" applyAlignment="1" quotePrefix="1">
      <alignment horizontal="center"/>
    </xf>
    <xf numFmtId="0" fontId="0" fillId="0" borderId="18" xfId="0" applyFont="1" applyFill="1" applyBorder="1" applyAlignment="1">
      <alignment horizontal="left"/>
    </xf>
    <xf numFmtId="0" fontId="0" fillId="0" borderId="13" xfId="0" applyFont="1" applyFill="1" applyBorder="1"/>
    <xf numFmtId="168" fontId="0" fillId="0" borderId="13" xfId="18" applyNumberFormat="1" applyFont="1" applyFill="1" applyBorder="1" applyAlignment="1" quotePrefix="1">
      <alignment horizontal="center"/>
    </xf>
    <xf numFmtId="0" fontId="0" fillId="0" borderId="15" xfId="0" applyFont="1" applyFill="1" applyBorder="1" applyAlignment="1">
      <alignment horizontal="left"/>
    </xf>
    <xf numFmtId="168" fontId="0" fillId="0" borderId="0" xfId="18" applyNumberFormat="1" applyFont="1" applyFill="1" applyBorder="1" applyAlignment="1" quotePrefix="1">
      <alignment horizontal="center"/>
    </xf>
    <xf numFmtId="0" fontId="0" fillId="0" borderId="19" xfId="0" applyFont="1" applyFill="1" applyBorder="1" applyAlignment="1">
      <alignment horizontal="left"/>
    </xf>
    <xf numFmtId="168" fontId="0" fillId="0" borderId="16" xfId="18" applyNumberFormat="1" applyFont="1" applyFill="1" applyBorder="1" applyAlignment="1" quotePrefix="1">
      <alignment horizontal="center"/>
    </xf>
    <xf numFmtId="37" fontId="4" fillId="0" borderId="0" xfId="0" applyNumberFormat="1" applyFont="1" applyBorder="1" applyAlignment="1">
      <alignment horizontal="centerContinuous"/>
    </xf>
    <xf numFmtId="0" fontId="0" fillId="0" borderId="10" xfId="0" applyFont="1" applyFill="1" applyBorder="1"/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1" xfId="0" applyFont="1" applyFill="1" applyBorder="1" applyAlignment="1" quotePrefix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20" xfId="0" applyFont="1" applyFill="1" applyBorder="1"/>
    <xf numFmtId="6" fontId="0" fillId="0" borderId="0" xfId="0" applyNumberFormat="1" applyFont="1"/>
    <xf numFmtId="169" fontId="0" fillId="0" borderId="0" xfId="0" applyNumberFormat="1" applyFont="1"/>
    <xf numFmtId="6" fontId="0" fillId="0" borderId="13" xfId="0" applyNumberFormat="1" applyFont="1" applyBorder="1"/>
    <xf numFmtId="6" fontId="0" fillId="0" borderId="17" xfId="0" applyNumberFormat="1" applyFont="1" applyBorder="1"/>
    <xf numFmtId="43" fontId="0" fillId="0" borderId="0" xfId="18" applyNumberFormat="1" applyFont="1" applyFill="1" applyBorder="1" applyAlignment="1" quotePrefix="1">
      <alignment horizontal="center"/>
    </xf>
    <xf numFmtId="170" fontId="0" fillId="0" borderId="0" xfId="15" applyNumberFormat="1" applyFont="1" applyBorder="1"/>
    <xf numFmtId="169" fontId="0" fillId="0" borderId="0" xfId="0" applyNumberFormat="1" applyFont="1" applyBorder="1"/>
    <xf numFmtId="6" fontId="0" fillId="0" borderId="0" xfId="0" applyNumberFormat="1" applyFont="1" applyBorder="1"/>
    <xf numFmtId="170" fontId="0" fillId="0" borderId="14" xfId="15" applyNumberFormat="1" applyFont="1" applyBorder="1"/>
    <xf numFmtId="6" fontId="0" fillId="0" borderId="14" xfId="0" applyNumberFormat="1" applyFont="1" applyBorder="1"/>
    <xf numFmtId="171" fontId="0" fillId="0" borderId="0" xfId="0" applyNumberFormat="1" applyFont="1" applyBorder="1"/>
    <xf numFmtId="171" fontId="0" fillId="0" borderId="14" xfId="0" applyNumberFormat="1" applyFont="1" applyBorder="1"/>
    <xf numFmtId="5" fontId="0" fillId="0" borderId="0" xfId="16" applyNumberFormat="1" applyFont="1" applyBorder="1"/>
    <xf numFmtId="9" fontId="0" fillId="0" borderId="0" xfId="15" applyFont="1" applyBorder="1"/>
    <xf numFmtId="9" fontId="0" fillId="0" borderId="14" xfId="15" applyFont="1" applyBorder="1"/>
    <xf numFmtId="6" fontId="0" fillId="0" borderId="16" xfId="0" applyNumberFormat="1" applyFont="1" applyBorder="1"/>
    <xf numFmtId="6" fontId="0" fillId="0" borderId="21" xfId="0" applyNumberFormat="1" applyFont="1" applyBorder="1"/>
    <xf numFmtId="165" fontId="0" fillId="0" borderId="0" xfId="0" applyNumberFormat="1" applyFont="1"/>
    <xf numFmtId="38" fontId="0" fillId="0" borderId="0" xfId="0" applyNumberFormat="1" applyFont="1"/>
    <xf numFmtId="38" fontId="14" fillId="0" borderId="0" xfId="0" applyNumberFormat="1" applyFont="1"/>
    <xf numFmtId="165" fontId="0" fillId="0" borderId="0" xfId="0" applyNumberFormat="1" applyFont="1" applyBorder="1"/>
    <xf numFmtId="166" fontId="0" fillId="0" borderId="0" xfId="15" applyNumberFormat="1" applyFont="1" applyFill="1" applyBorder="1"/>
    <xf numFmtId="166" fontId="0" fillId="0" borderId="0" xfId="15" applyNumberFormat="1" applyFont="1" applyBorder="1"/>
    <xf numFmtId="6" fontId="14" fillId="0" borderId="0" xfId="0" applyNumberFormat="1" applyFont="1"/>
    <xf numFmtId="165" fontId="14" fillId="0" borderId="0" xfId="18" applyNumberFormat="1" applyFont="1" applyFill="1" applyBorder="1"/>
    <xf numFmtId="41" fontId="14" fillId="0" borderId="0" xfId="0" applyNumberFormat="1" applyFont="1"/>
    <xf numFmtId="6" fontId="0" fillId="0" borderId="0" xfId="0" applyNumberFormat="1" applyFont="1" applyFill="1"/>
    <xf numFmtId="10" fontId="0" fillId="0" borderId="0" xfId="15" applyNumberFormat="1" applyFont="1" applyFill="1" applyBorder="1"/>
    <xf numFmtId="0" fontId="3" fillId="0" borderId="0" xfId="0" applyFont="1"/>
    <xf numFmtId="0" fontId="0" fillId="0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right"/>
    </xf>
    <xf numFmtId="37" fontId="4" fillId="0" borderId="0" xfId="0" applyNumberFormat="1" applyFont="1" applyFill="1" applyAlignment="1">
      <alignment horizontal="centerContinuous"/>
    </xf>
    <xf numFmtId="37" fontId="4" fillId="0" borderId="0" xfId="0" applyNumberFormat="1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6" fillId="0" borderId="0" xfId="0" applyFont="1" applyBorder="1"/>
    <xf numFmtId="0" fontId="0" fillId="0" borderId="10" xfId="0" applyFont="1" applyFill="1" applyBorder="1" applyAlignment="1" quotePrefix="1">
      <alignment horizontal="center"/>
    </xf>
    <xf numFmtId="0" fontId="14" fillId="0" borderId="20" xfId="0" applyFont="1" applyFill="1" applyBorder="1"/>
    <xf numFmtId="0" fontId="4" fillId="0" borderId="16" xfId="0" applyFont="1" applyFill="1" applyBorder="1"/>
    <xf numFmtId="0" fontId="0" fillId="0" borderId="16" xfId="0" applyFont="1" applyFill="1" applyBorder="1" applyAlignment="1">
      <alignment horizontal="center"/>
    </xf>
    <xf numFmtId="165" fontId="0" fillId="0" borderId="16" xfId="18" applyNumberFormat="1" applyFont="1" applyFill="1" applyBorder="1" applyAlignment="1">
      <alignment horizontal="center"/>
    </xf>
    <xf numFmtId="39" fontId="0" fillId="0" borderId="0" xfId="16" applyNumberFormat="1" applyFont="1" applyFill="1" applyBorder="1" applyAlignment="1">
      <alignment horizontal="center"/>
    </xf>
    <xf numFmtId="165" fontId="12" fillId="0" borderId="0" xfId="18" applyNumberFormat="1" applyFont="1" applyFill="1" applyBorder="1" applyAlignment="1">
      <alignment horizontal="center"/>
    </xf>
    <xf numFmtId="43" fontId="0" fillId="0" borderId="0" xfId="16" applyNumberFormat="1" applyFont="1" applyFill="1" applyBorder="1"/>
    <xf numFmtId="0" fontId="4" fillId="0" borderId="0" xfId="0" applyFont="1" applyFill="1"/>
    <xf numFmtId="165" fontId="4" fillId="0" borderId="0" xfId="15" applyNumberFormat="1" applyFont="1" applyFill="1" applyBorder="1"/>
    <xf numFmtId="10" fontId="4" fillId="0" borderId="0" xfId="15" applyNumberFormat="1" applyFont="1" applyFill="1" applyBorder="1"/>
    <xf numFmtId="0" fontId="4" fillId="0" borderId="0" xfId="0" applyFont="1" applyFill="1" applyBorder="1" applyAlignment="1" quotePrefix="1">
      <alignment horizontal="center"/>
    </xf>
    <xf numFmtId="0" fontId="0" fillId="0" borderId="0" xfId="0" applyFont="1" applyBorder="1" applyAlignment="1">
      <alignment horizontal="right"/>
    </xf>
    <xf numFmtId="43" fontId="0" fillId="0" borderId="0" xfId="0" applyNumberFormat="1" applyFont="1" applyBorder="1"/>
    <xf numFmtId="0" fontId="4" fillId="0" borderId="0" xfId="0" applyFont="1" applyFill="1" applyAlignment="1">
      <alignment horizontal="centerContinuous"/>
    </xf>
    <xf numFmtId="0" fontId="4" fillId="0" borderId="0" xfId="0" applyFont="1" applyFill="1" applyBorder="1" applyAlignment="1" quotePrefix="1">
      <alignment horizontal="centerContinuous"/>
    </xf>
    <xf numFmtId="0" fontId="18" fillId="0" borderId="10" xfId="0" applyFont="1" applyFill="1" applyBorder="1" applyAlignment="1">
      <alignment horizontal="center"/>
    </xf>
    <xf numFmtId="164" fontId="0" fillId="0" borderId="10" xfId="16" applyNumberFormat="1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0" fillId="0" borderId="12" xfId="0" applyFont="1" applyFill="1" applyBorder="1" applyAlignment="1" quotePrefix="1">
      <alignment horizontal="center"/>
    </xf>
    <xf numFmtId="0" fontId="3" fillId="0" borderId="0" xfId="0" applyFont="1" applyFill="1"/>
    <xf numFmtId="0" fontId="18" fillId="0" borderId="0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167" fontId="0" fillId="0" borderId="13" xfId="18" applyNumberFormat="1" applyFont="1" applyFill="1" applyBorder="1" applyAlignment="1" quotePrefix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167" fontId="0" fillId="0" borderId="16" xfId="18" applyNumberFormat="1" applyFont="1" applyFill="1" applyBorder="1" applyAlignment="1" quotePrefix="1">
      <alignment horizontal="center"/>
    </xf>
    <xf numFmtId="0" fontId="3" fillId="0" borderId="0" xfId="0" applyFont="1" applyBorder="1" applyAlignment="1">
      <alignment horizontal="center"/>
    </xf>
    <xf numFmtId="0" fontId="16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Continuous"/>
    </xf>
    <xf numFmtId="49" fontId="20" fillId="0" borderId="0" xfId="0" applyNumberFormat="1" applyFont="1" applyAlignment="1">
      <alignment horizontal="centerContinuous"/>
    </xf>
    <xf numFmtId="49" fontId="21" fillId="0" borderId="0" xfId="0" applyNumberFormat="1" applyFont="1" applyAlignment="1">
      <alignment horizontal="centerContinuous"/>
    </xf>
    <xf numFmtId="0" fontId="21" fillId="0" borderId="0" xfId="0" applyFont="1" applyFill="1" applyBorder="1" applyAlignment="1">
      <alignment horizontal="center"/>
    </xf>
    <xf numFmtId="0" fontId="16" fillId="0" borderId="16" xfId="0" applyFont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0" fontId="4" fillId="0" borderId="18" xfId="0" applyFont="1" applyFill="1" applyBorder="1" applyAlignment="1">
      <alignment horizontal="left" indent="1"/>
    </xf>
    <xf numFmtId="0" fontId="4" fillId="0" borderId="13" xfId="0" applyFont="1" applyFill="1" applyBorder="1" applyAlignment="1">
      <alignment horizontal="left" indent="1"/>
    </xf>
    <xf numFmtId="3" fontId="4" fillId="0" borderId="17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left" indent="1"/>
    </xf>
    <xf numFmtId="0" fontId="16" fillId="0" borderId="16" xfId="0" applyFont="1" applyFill="1" applyBorder="1"/>
    <xf numFmtId="0" fontId="16" fillId="0" borderId="21" xfId="0" applyFont="1" applyBorder="1"/>
    <xf numFmtId="165" fontId="0" fillId="0" borderId="0" xfId="0" applyNumberFormat="1" applyFont="1" applyBorder="1" applyAlignment="1">
      <alignment horizontal="left" indent="1"/>
    </xf>
    <xf numFmtId="173" fontId="4" fillId="0" borderId="0" xfId="0" applyNumberFormat="1" applyFont="1" applyFill="1" applyBorder="1" applyAlignment="1">
      <alignment horizontal="center"/>
    </xf>
    <xf numFmtId="165" fontId="4" fillId="0" borderId="19" xfId="0" applyNumberFormat="1" applyFont="1" applyFill="1" applyBorder="1" applyAlignment="1">
      <alignment horizontal="left" indent="1"/>
    </xf>
    <xf numFmtId="165" fontId="4" fillId="0" borderId="16" xfId="0" applyNumberFormat="1" applyFont="1" applyFill="1" applyBorder="1" applyAlignment="1">
      <alignment horizontal="left" indent="1"/>
    </xf>
    <xf numFmtId="0" fontId="14" fillId="0" borderId="16" xfId="0" applyFont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indent="1"/>
    </xf>
    <xf numFmtId="0" fontId="19" fillId="0" borderId="0" xfId="0" applyFont="1" applyBorder="1"/>
    <xf numFmtId="0" fontId="0" fillId="0" borderId="13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left" indent="1"/>
    </xf>
    <xf numFmtId="3" fontId="7" fillId="0" borderId="16" xfId="0" applyNumberFormat="1" applyFont="1" applyFill="1" applyBorder="1"/>
    <xf numFmtId="3" fontId="22" fillId="0" borderId="16" xfId="0" applyNumberFormat="1" applyFont="1" applyFill="1" applyBorder="1"/>
    <xf numFmtId="3" fontId="4" fillId="0" borderId="21" xfId="0" applyNumberFormat="1" applyFont="1" applyFill="1" applyBorder="1" applyAlignment="1">
      <alignment horizontal="center"/>
    </xf>
    <xf numFmtId="0" fontId="4" fillId="0" borderId="15" xfId="0" applyFont="1" applyFill="1" applyBorder="1" applyAlignment="1">
      <alignment horizontal="left" indent="1"/>
    </xf>
    <xf numFmtId="3" fontId="0" fillId="0" borderId="0" xfId="0" applyNumberFormat="1" applyFont="1" applyBorder="1"/>
    <xf numFmtId="3" fontId="19" fillId="0" borderId="0" xfId="0" applyNumberFormat="1" applyFont="1" applyBorder="1"/>
    <xf numFmtId="3" fontId="19" fillId="0" borderId="0" xfId="15" applyNumberFormat="1" applyFont="1" applyBorder="1"/>
    <xf numFmtId="3" fontId="0" fillId="0" borderId="0" xfId="15" applyNumberFormat="1" applyFont="1" applyBorder="1"/>
    <xf numFmtId="165" fontId="0" fillId="0" borderId="16" xfId="0" applyNumberFormat="1" applyFont="1" applyBorder="1"/>
    <xf numFmtId="166" fontId="0" fillId="0" borderId="0" xfId="15" applyNumberFormat="1" applyFont="1"/>
    <xf numFmtId="9" fontId="4" fillId="0" borderId="0" xfId="15" applyFont="1" applyFill="1" applyBorder="1" applyAlignment="1">
      <alignment horizontal="center"/>
    </xf>
    <xf numFmtId="176" fontId="19" fillId="0" borderId="0" xfId="15" applyNumberFormat="1" applyFont="1" applyBorder="1"/>
    <xf numFmtId="0" fontId="0" fillId="0" borderId="13" xfId="0" applyFont="1" applyBorder="1"/>
    <xf numFmtId="0" fontId="19" fillId="0" borderId="0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right" indent="1"/>
    </xf>
    <xf numFmtId="0" fontId="4" fillId="0" borderId="16" xfId="0" applyFont="1" applyFill="1" applyBorder="1" applyAlignment="1">
      <alignment horizontal="right" indent="1"/>
    </xf>
    <xf numFmtId="164" fontId="4" fillId="0" borderId="0" xfId="16" applyNumberFormat="1" applyFont="1" applyBorder="1"/>
    <xf numFmtId="43" fontId="0" fillId="0" borderId="0" xfId="18" applyNumberFormat="1" applyFont="1" applyAlignment="1">
      <alignment horizontal="right"/>
    </xf>
    <xf numFmtId="164" fontId="23" fillId="0" borderId="0" xfId="16" applyNumberFormat="1" applyFont="1" applyBorder="1"/>
    <xf numFmtId="164" fontId="0" fillId="0" borderId="0" xfId="16" applyNumberFormat="1" applyFont="1" applyFill="1" applyBorder="1"/>
    <xf numFmtId="0" fontId="4" fillId="0" borderId="0" xfId="0" applyFont="1" applyBorder="1" applyAlignment="1">
      <alignment horizontal="right"/>
    </xf>
    <xf numFmtId="0" fontId="0" fillId="0" borderId="0" xfId="0" applyFont="1" applyBorder="1" applyAlignment="1">
      <alignment horizontal="left"/>
    </xf>
    <xf numFmtId="164" fontId="4" fillId="0" borderId="0" xfId="0" applyNumberFormat="1" applyFont="1" applyBorder="1"/>
    <xf numFmtId="43" fontId="0" fillId="0" borderId="0" xfId="18" applyNumberFormat="1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164" fontId="12" fillId="0" borderId="0" xfId="16" applyNumberFormat="1" applyFont="1" applyFill="1" applyBorder="1"/>
    <xf numFmtId="165" fontId="0" fillId="0" borderId="0" xfId="16" applyNumberFormat="1" applyFont="1" applyBorder="1"/>
    <xf numFmtId="166" fontId="4" fillId="0" borderId="0" xfId="15" applyNumberFormat="1" applyFont="1" applyBorder="1"/>
    <xf numFmtId="164" fontId="4" fillId="0" borderId="0" xfId="16" applyNumberFormat="1" applyFont="1" applyBorder="1" applyAlignment="1">
      <alignment horizontal="right"/>
    </xf>
    <xf numFmtId="164" fontId="0" fillId="0" borderId="0" xfId="16" applyNumberFormat="1" applyFont="1" applyBorder="1"/>
    <xf numFmtId="43" fontId="7" fillId="0" borderId="22" xfId="16" applyNumberFormat="1" applyFont="1" applyBorder="1"/>
    <xf numFmtId="0" fontId="19" fillId="0" borderId="0" xfId="0" applyFont="1" applyBorder="1" applyAlignment="1">
      <alignment horizontal="center"/>
    </xf>
    <xf numFmtId="43" fontId="0" fillId="0" borderId="0" xfId="18" applyFont="1" applyBorder="1" applyAlignment="1">
      <alignment horizontal="right"/>
    </xf>
    <xf numFmtId="2" fontId="19" fillId="0" borderId="0" xfId="0" applyNumberFormat="1" applyFont="1" applyBorder="1" applyAlignment="1">
      <alignment horizontal="right"/>
    </xf>
    <xf numFmtId="165" fontId="7" fillId="0" borderId="23" xfId="0" applyNumberFormat="1" applyFont="1" applyBorder="1"/>
    <xf numFmtId="165" fontId="7" fillId="0" borderId="24" xfId="0" applyNumberFormat="1" applyFont="1" applyBorder="1"/>
    <xf numFmtId="165" fontId="7" fillId="0" borderId="25" xfId="0" applyNumberFormat="1" applyFont="1" applyBorder="1"/>
    <xf numFmtId="165" fontId="24" fillId="0" borderId="0" xfId="0" applyNumberFormat="1" applyFont="1" applyBorder="1"/>
    <xf numFmtId="165" fontId="19" fillId="0" borderId="0" xfId="0" applyNumberFormat="1" applyFont="1" applyBorder="1"/>
    <xf numFmtId="176" fontId="16" fillId="0" borderId="0" xfId="15" applyNumberFormat="1" applyFont="1" applyBorder="1"/>
    <xf numFmtId="0" fontId="25" fillId="0" borderId="0" xfId="0" applyFont="1"/>
    <xf numFmtId="0" fontId="4" fillId="8" borderId="26" xfId="0" applyFont="1" applyFill="1" applyBorder="1"/>
    <xf numFmtId="0" fontId="0" fillId="8" borderId="26" xfId="0" applyFont="1" applyFill="1" applyBorder="1" applyAlignment="1">
      <alignment horizontal="center"/>
    </xf>
    <xf numFmtId="0" fontId="16" fillId="8" borderId="27" xfId="0" applyFont="1" applyFill="1" applyBorder="1"/>
    <xf numFmtId="0" fontId="0" fillId="8" borderId="28" xfId="0" applyFont="1" applyFill="1" applyBorder="1" applyAlignment="1">
      <alignment horizontal="center"/>
    </xf>
    <xf numFmtId="0" fontId="0" fillId="8" borderId="28" xfId="0" applyFont="1" applyFill="1" applyBorder="1"/>
    <xf numFmtId="0" fontId="0" fillId="8" borderId="10" xfId="0" applyFont="1" applyFill="1" applyBorder="1" applyAlignment="1" quotePrefix="1">
      <alignment horizontal="center"/>
    </xf>
    <xf numFmtId="0" fontId="16" fillId="8" borderId="26" xfId="0" applyFont="1" applyFill="1" applyBorder="1"/>
    <xf numFmtId="0" fontId="4" fillId="8" borderId="29" xfId="0" applyFont="1" applyFill="1" applyBorder="1" applyAlignment="1">
      <alignment horizontal="center"/>
    </xf>
    <xf numFmtId="0" fontId="0" fillId="8" borderId="29" xfId="0" applyFont="1" applyFill="1" applyBorder="1" applyAlignment="1">
      <alignment horizontal="center"/>
    </xf>
    <xf numFmtId="0" fontId="0" fillId="8" borderId="30" xfId="0" applyFont="1" applyFill="1" applyBorder="1" applyAlignment="1">
      <alignment horizontal="center"/>
    </xf>
    <xf numFmtId="0" fontId="16" fillId="8" borderId="30" xfId="0" applyFont="1" applyFill="1" applyBorder="1"/>
    <xf numFmtId="0" fontId="0" fillId="8" borderId="31" xfId="0" applyFont="1" applyFill="1" applyBorder="1" applyAlignment="1">
      <alignment horizontal="center"/>
    </xf>
    <xf numFmtId="0" fontId="14" fillId="0" borderId="0" xfId="0" applyFont="1" applyBorder="1"/>
    <xf numFmtId="0" fontId="0" fillId="0" borderId="0" xfId="0" applyFont="1" applyBorder="1" applyAlignment="1" quotePrefix="1">
      <alignment horizontal="left"/>
    </xf>
    <xf numFmtId="0" fontId="4" fillId="0" borderId="0" xfId="0" applyFont="1" applyBorder="1" applyAlignment="1" quotePrefix="1">
      <alignment horizontal="center"/>
    </xf>
    <xf numFmtId="0" fontId="20" fillId="0" borderId="0" xfId="0" applyFont="1"/>
    <xf numFmtId="0" fontId="4" fillId="0" borderId="0" xfId="0" applyFont="1" applyBorder="1" applyAlignment="1" quotePrefix="1">
      <alignment horizontal="left"/>
    </xf>
    <xf numFmtId="165" fontId="4" fillId="0" borderId="0" xfId="0" applyNumberFormat="1" applyFont="1" applyBorder="1"/>
    <xf numFmtId="165" fontId="4" fillId="0" borderId="0" xfId="0" applyNumberFormat="1" applyFont="1" applyFill="1" applyBorder="1"/>
    <xf numFmtId="0" fontId="4" fillId="8" borderId="32" xfId="0" applyFont="1" applyFill="1" applyBorder="1" applyAlignment="1">
      <alignment horizontal="left"/>
    </xf>
    <xf numFmtId="0" fontId="4" fillId="8" borderId="33" xfId="0" applyFont="1" applyFill="1" applyBorder="1" applyAlignment="1" quotePrefix="1">
      <alignment horizontal="center"/>
    </xf>
    <xf numFmtId="165" fontId="4" fillId="8" borderId="33" xfId="18" applyNumberFormat="1" applyFont="1" applyFill="1" applyBorder="1"/>
    <xf numFmtId="165" fontId="4" fillId="8" borderId="34" xfId="0" applyNumberFormat="1" applyFont="1" applyFill="1" applyBorder="1"/>
    <xf numFmtId="165" fontId="4" fillId="0" borderId="35" xfId="18" applyNumberFormat="1" applyFont="1" applyFill="1" applyBorder="1"/>
    <xf numFmtId="165" fontId="0" fillId="0" borderId="35" xfId="0" applyNumberFormat="1" applyFont="1" applyFill="1" applyBorder="1" applyAlignment="1">
      <alignment horizontal="right"/>
    </xf>
    <xf numFmtId="0" fontId="0" fillId="8" borderId="28" xfId="0" applyFont="1" applyFill="1" applyBorder="1" applyAlignment="1">
      <alignment horizontal="fill"/>
    </xf>
    <xf numFmtId="0" fontId="11" fillId="0" borderId="0" xfId="0" applyFont="1" applyBorder="1"/>
    <xf numFmtId="0" fontId="8" fillId="0" borderId="0" xfId="0" applyFont="1" applyBorder="1" applyAlignment="1">
      <alignment horizontal="center"/>
    </xf>
    <xf numFmtId="165" fontId="0" fillId="0" borderId="0" xfId="18" applyNumberFormat="1" applyFont="1" applyBorder="1" applyProtection="1">
      <protection locked="0"/>
    </xf>
    <xf numFmtId="165" fontId="0" fillId="0" borderId="0" xfId="18" applyNumberFormat="1" applyFont="1" applyFill="1" applyBorder="1" applyProtection="1">
      <protection locked="0"/>
    </xf>
    <xf numFmtId="165" fontId="12" fillId="0" borderId="0" xfId="18" applyNumberFormat="1" applyFont="1" applyBorder="1" applyProtection="1">
      <protection locked="0"/>
    </xf>
    <xf numFmtId="165" fontId="12" fillId="0" borderId="0" xfId="0" applyNumberFormat="1" applyFont="1" applyBorder="1"/>
    <xf numFmtId="165" fontId="12" fillId="0" borderId="0" xfId="0" applyNumberFormat="1" applyFont="1" applyFill="1" applyBorder="1"/>
    <xf numFmtId="165" fontId="12" fillId="0" borderId="0" xfId="18" applyNumberFormat="1" applyFont="1" applyFill="1" applyBorder="1" applyProtection="1">
      <protection locked="0"/>
    </xf>
    <xf numFmtId="0" fontId="8" fillId="0" borderId="0" xfId="0" applyFont="1" applyBorder="1"/>
    <xf numFmtId="165" fontId="4" fillId="0" borderId="0" xfId="18" applyNumberFormat="1" applyFont="1" applyBorder="1" applyProtection="1">
      <protection locked="0"/>
    </xf>
    <xf numFmtId="0" fontId="11" fillId="0" borderId="0" xfId="0" applyFont="1" applyFill="1" applyBorder="1"/>
    <xf numFmtId="0" fontId="0" fillId="0" borderId="0" xfId="0" applyFont="1" applyBorder="1" applyAlignment="1" quotePrefix="1">
      <alignment horizontal="fill"/>
    </xf>
    <xf numFmtId="0" fontId="0" fillId="0" borderId="0" xfId="0" applyFont="1" applyFill="1" applyBorder="1" applyAlignment="1" quotePrefix="1">
      <alignment horizontal="fill"/>
    </xf>
    <xf numFmtId="0" fontId="4" fillId="0" borderId="0" xfId="0" applyFont="1" applyBorder="1" applyAlignment="1">
      <alignment horizontal="left"/>
    </xf>
    <xf numFmtId="0" fontId="26" fillId="0" borderId="0" xfId="0" applyFont="1" applyBorder="1"/>
    <xf numFmtId="0" fontId="26" fillId="0" borderId="0" xfId="0" applyFont="1" applyBorder="1" applyAlignment="1">
      <alignment horizontal="center"/>
    </xf>
    <xf numFmtId="0" fontId="8" fillId="8" borderId="32" xfId="0" applyFont="1" applyFill="1" applyBorder="1" applyAlignment="1">
      <alignment horizontal="left"/>
    </xf>
    <xf numFmtId="0" fontId="8" fillId="8" borderId="33" xfId="0" applyFont="1" applyFill="1" applyBorder="1" applyAlignment="1">
      <alignment horizontal="left"/>
    </xf>
    <xf numFmtId="165" fontId="4" fillId="8" borderId="33" xfId="18" applyNumberFormat="1" applyFont="1" applyFill="1" applyBorder="1" applyProtection="1">
      <protection locked="0"/>
    </xf>
    <xf numFmtId="165" fontId="4" fillId="8" borderId="34" xfId="18" applyNumberFormat="1" applyFont="1" applyFill="1" applyBorder="1" applyProtection="1">
      <protection locked="0"/>
    </xf>
    <xf numFmtId="165" fontId="4" fillId="0" borderId="35" xfId="18" applyNumberFormat="1" applyFont="1" applyFill="1" applyBorder="1" applyProtection="1">
      <protection locked="0"/>
    </xf>
    <xf numFmtId="0" fontId="11" fillId="0" borderId="0" xfId="0" applyFont="1" applyFill="1" applyBorder="1" applyAlignment="1">
      <alignment horizontal="right"/>
    </xf>
    <xf numFmtId="166" fontId="0" fillId="0" borderId="0" xfId="15" applyNumberFormat="1" applyFont="1" applyFill="1" applyBorder="1" applyAlignment="1" applyProtection="1">
      <alignment horizontal="right"/>
      <protection locked="0"/>
    </xf>
    <xf numFmtId="43" fontId="0" fillId="0" borderId="0" xfId="0" applyNumberFormat="1" applyFont="1"/>
    <xf numFmtId="0" fontId="4" fillId="8" borderId="32" xfId="0" applyFont="1" applyFill="1" applyBorder="1"/>
    <xf numFmtId="0" fontId="4" fillId="8" borderId="33" xfId="0" applyFont="1" applyFill="1" applyBorder="1"/>
    <xf numFmtId="0" fontId="4" fillId="8" borderId="0" xfId="0" applyFont="1" applyFill="1" applyBorder="1"/>
    <xf numFmtId="0" fontId="4" fillId="8" borderId="11" xfId="0" applyFont="1" applyFill="1" applyBorder="1" applyAlignment="1">
      <alignment horizontal="center"/>
    </xf>
    <xf numFmtId="165" fontId="0" fillId="0" borderId="20" xfId="18" applyNumberFormat="1" applyFont="1" applyFill="1" applyBorder="1" applyAlignment="1" quotePrefix="1">
      <alignment horizontal="center"/>
    </xf>
    <xf numFmtId="165" fontId="0" fillId="0" borderId="20" xfId="18" applyNumberFormat="1" applyFont="1" applyFill="1" applyBorder="1"/>
    <xf numFmtId="165" fontId="0" fillId="0" borderId="0" xfId="0" applyNumberFormat="1" applyFont="1" applyFill="1"/>
    <xf numFmtId="165" fontId="27" fillId="0" borderId="0" xfId="18" applyNumberFormat="1" applyFont="1" applyFill="1" applyBorder="1" applyAlignment="1" quotePrefix="1">
      <alignment horizontal="center"/>
    </xf>
    <xf numFmtId="165" fontId="27" fillId="0" borderId="19" xfId="18" applyNumberFormat="1" applyFont="1" applyFill="1" applyBorder="1" applyAlignment="1" quotePrefix="1">
      <alignment horizontal="center"/>
    </xf>
    <xf numFmtId="165" fontId="27" fillId="0" borderId="16" xfId="18" applyNumberFormat="1" applyFont="1" applyFill="1" applyBorder="1" applyAlignment="1" quotePrefix="1">
      <alignment horizontal="center"/>
    </xf>
    <xf numFmtId="165" fontId="27" fillId="0" borderId="21" xfId="18" applyNumberFormat="1" applyFont="1" applyFill="1" applyBorder="1" applyAlignment="1" quotePrefix="1">
      <alignment horizontal="center"/>
    </xf>
    <xf numFmtId="165" fontId="12" fillId="0" borderId="0" xfId="0" applyNumberFormat="1" applyFont="1"/>
    <xf numFmtId="165" fontId="12" fillId="0" borderId="0" xfId="18" applyNumberFormat="1" applyFont="1" applyFill="1" applyBorder="1" applyAlignment="1" quotePrefix="1">
      <alignment horizontal="center"/>
    </xf>
    <xf numFmtId="0" fontId="4" fillId="0" borderId="0" xfId="0" applyFont="1" applyFill="1" applyBorder="1" applyAlignment="1">
      <alignment horizontal="right"/>
    </xf>
    <xf numFmtId="165" fontId="4" fillId="0" borderId="0" xfId="18" applyNumberFormat="1" applyFont="1" applyFill="1" applyBorder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Fill="1"/>
    <xf numFmtId="0" fontId="0" fillId="8" borderId="29" xfId="0" applyFont="1" applyFill="1" applyBorder="1"/>
    <xf numFmtId="165" fontId="12" fillId="0" borderId="0" xfId="0" applyNumberFormat="1" applyFont="1" applyFill="1"/>
    <xf numFmtId="0" fontId="4" fillId="8" borderId="27" xfId="0" applyFont="1" applyFill="1" applyBorder="1" applyAlignment="1" quotePrefix="1">
      <alignment horizontal="left"/>
    </xf>
    <xf numFmtId="0" fontId="4" fillId="8" borderId="20" xfId="0" applyFont="1" applyFill="1" applyBorder="1"/>
    <xf numFmtId="0" fontId="4" fillId="8" borderId="20" xfId="0" applyFont="1" applyFill="1" applyBorder="1" applyAlignment="1">
      <alignment horizontal="center"/>
    </xf>
    <xf numFmtId="165" fontId="4" fillId="8" borderId="20" xfId="18" applyNumberFormat="1" applyFont="1" applyFill="1" applyBorder="1"/>
    <xf numFmtId="165" fontId="4" fillId="8" borderId="28" xfId="0" applyNumberFormat="1" applyFont="1" applyFill="1" applyBorder="1"/>
    <xf numFmtId="165" fontId="4" fillId="0" borderId="10" xfId="18" applyNumberFormat="1" applyFont="1" applyFill="1" applyBorder="1"/>
    <xf numFmtId="0" fontId="4" fillId="8" borderId="30" xfId="0" applyFont="1" applyFill="1" applyBorder="1" applyAlignment="1" quotePrefix="1">
      <alignment horizontal="left"/>
    </xf>
    <xf numFmtId="0" fontId="4" fillId="8" borderId="36" xfId="0" applyFont="1" applyFill="1" applyBorder="1"/>
    <xf numFmtId="0" fontId="4" fillId="8" borderId="36" xfId="0" applyFont="1" applyFill="1" applyBorder="1" applyAlignment="1">
      <alignment horizontal="center"/>
    </xf>
    <xf numFmtId="165" fontId="4" fillId="8" borderId="36" xfId="18" applyNumberFormat="1" applyFont="1" applyFill="1" applyBorder="1"/>
    <xf numFmtId="165" fontId="4" fillId="8" borderId="31" xfId="0" applyNumberFormat="1" applyFont="1" applyFill="1" applyBorder="1"/>
    <xf numFmtId="165" fontId="4" fillId="0" borderId="12" xfId="18" applyNumberFormat="1" applyFont="1" applyFill="1" applyBorder="1"/>
    <xf numFmtId="0" fontId="0" fillId="0" borderId="20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165" fontId="4" fillId="8" borderId="33" xfId="0" applyNumberFormat="1" applyFont="1" applyFill="1" applyBorder="1"/>
    <xf numFmtId="165" fontId="4" fillId="0" borderId="35" xfId="0" applyNumberFormat="1" applyFont="1" applyFill="1" applyBorder="1"/>
    <xf numFmtId="0" fontId="4" fillId="8" borderId="27" xfId="0" applyFont="1" applyFill="1" applyBorder="1"/>
    <xf numFmtId="0" fontId="4" fillId="8" borderId="20" xfId="0" applyFont="1" applyFill="1" applyBorder="1" applyAlignment="1">
      <alignment horizontal="right"/>
    </xf>
    <xf numFmtId="0" fontId="4" fillId="8" borderId="0" xfId="0" applyFont="1" applyFill="1" applyBorder="1" applyAlignment="1">
      <alignment horizontal="right"/>
    </xf>
    <xf numFmtId="165" fontId="4" fillId="8" borderId="0" xfId="18" applyNumberFormat="1" applyFont="1" applyFill="1" applyBorder="1"/>
    <xf numFmtId="165" fontId="4" fillId="8" borderId="29" xfId="18" applyNumberFormat="1" applyFont="1" applyFill="1" applyBorder="1"/>
    <xf numFmtId="165" fontId="4" fillId="0" borderId="11" xfId="18" applyNumberFormat="1" applyFont="1" applyFill="1" applyBorder="1"/>
    <xf numFmtId="165" fontId="4" fillId="8" borderId="29" xfId="0" applyNumberFormat="1" applyFont="1" applyFill="1" applyBorder="1"/>
    <xf numFmtId="0" fontId="4" fillId="8" borderId="30" xfId="0" applyFont="1" applyFill="1" applyBorder="1"/>
    <xf numFmtId="0" fontId="4" fillId="8" borderId="36" xfId="0" applyFont="1" applyFill="1" applyBorder="1" applyAlignment="1">
      <alignment horizontal="right"/>
    </xf>
    <xf numFmtId="165" fontId="4" fillId="8" borderId="20" xfId="0" applyNumberFormat="1" applyFont="1" applyFill="1" applyBorder="1"/>
    <xf numFmtId="165" fontId="4" fillId="0" borderId="10" xfId="0" applyNumberFormat="1" applyFont="1" applyFill="1" applyBorder="1"/>
    <xf numFmtId="0" fontId="0" fillId="0" borderId="0" xfId="0" applyFont="1" applyFill="1" applyBorder="1" applyAlignment="1">
      <alignment horizontal="right"/>
    </xf>
    <xf numFmtId="0" fontId="4" fillId="8" borderId="33" xfId="0" applyFont="1" applyFill="1" applyBorder="1" applyAlignment="1">
      <alignment horizontal="right"/>
    </xf>
    <xf numFmtId="0" fontId="0" fillId="0" borderId="0" xfId="0" applyFont="1" applyBorder="1" applyProtection="1">
      <protection locked="0"/>
    </xf>
    <xf numFmtId="0" fontId="0" fillId="0" borderId="20" xfId="0" applyFont="1" applyFill="1" applyBorder="1" applyProtection="1">
      <protection locked="0"/>
    </xf>
    <xf numFmtId="0" fontId="4" fillId="0" borderId="0" xfId="0" applyFont="1" applyFill="1" applyBorder="1" applyAlignment="1" applyProtection="1" quotePrefix="1">
      <alignment horizontal="left"/>
      <protection locked="0"/>
    </xf>
    <xf numFmtId="0" fontId="4" fillId="8" borderId="32" xfId="0" applyFont="1" applyFill="1" applyBorder="1" applyProtection="1">
      <protection locked="0"/>
    </xf>
    <xf numFmtId="0" fontId="4" fillId="8" borderId="33" xfId="0" applyFont="1" applyFill="1" applyBorder="1" applyProtection="1">
      <protection locked="0"/>
    </xf>
    <xf numFmtId="165" fontId="4" fillId="8" borderId="33" xfId="18" applyNumberFormat="1" applyFont="1" applyFill="1" applyBorder="1" applyAlignment="1" applyProtection="1">
      <alignment horizontal="center"/>
      <protection locked="0"/>
    </xf>
    <xf numFmtId="165" fontId="4" fillId="0" borderId="0" xfId="18" applyNumberFormat="1" applyFont="1" applyFill="1" applyBorder="1" applyAlignment="1" applyProtection="1">
      <alignment horizontal="right"/>
      <protection locked="0"/>
    </xf>
    <xf numFmtId="165" fontId="0" fillId="0" borderId="0" xfId="18" applyNumberFormat="1" applyFont="1" applyFill="1" applyBorder="1" applyAlignment="1" applyProtection="1">
      <alignment horizontal="right"/>
      <protection locked="0"/>
    </xf>
    <xf numFmtId="0" fontId="0" fillId="0" borderId="0" xfId="0" applyFont="1" applyFill="1" applyBorder="1" applyAlignment="1" applyProtection="1">
      <alignment horizontal="right"/>
      <protection locked="0"/>
    </xf>
    <xf numFmtId="0" fontId="4" fillId="8" borderId="32" xfId="0" applyFont="1" applyFill="1" applyBorder="1" applyAlignment="1" applyProtection="1">
      <alignment horizontal="left"/>
      <protection locked="0"/>
    </xf>
    <xf numFmtId="165" fontId="4" fillId="8" borderId="33" xfId="18" applyNumberFormat="1" applyFont="1" applyFill="1" applyBorder="1" applyAlignment="1" applyProtection="1">
      <alignment horizontal="right"/>
      <protection locked="0"/>
    </xf>
    <xf numFmtId="165" fontId="4" fillId="0" borderId="35" xfId="18" applyNumberFormat="1" applyFont="1" applyFill="1" applyBorder="1" applyAlignment="1" applyProtection="1">
      <alignment horizontal="right"/>
      <protection locked="0"/>
    </xf>
    <xf numFmtId="165" fontId="0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Font="1"/>
    <xf numFmtId="165" fontId="0" fillId="0" borderId="0" xfId="18" applyNumberFormat="1" applyFont="1" applyFill="1" applyBorder="1" applyAlignment="1" applyProtection="1" quotePrefix="1">
      <alignment horizontal="center"/>
      <protection locked="0"/>
    </xf>
    <xf numFmtId="165" fontId="0" fillId="0" borderId="0" xfId="0" applyNumberFormat="1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10" fontId="28" fillId="0" borderId="0" xfId="15" applyNumberFormat="1" applyFont="1" applyFill="1" applyBorder="1" applyProtection="1">
      <protection locked="0"/>
    </xf>
    <xf numFmtId="10" fontId="0" fillId="0" borderId="0" xfId="15" applyNumberFormat="1" applyFont="1" applyFill="1" applyBorder="1" applyProtection="1">
      <protection locked="0"/>
    </xf>
    <xf numFmtId="165" fontId="14" fillId="0" borderId="0" xfId="18" applyNumberFormat="1" applyFont="1" applyFill="1" applyBorder="1" applyProtection="1">
      <protection locked="0"/>
    </xf>
    <xf numFmtId="165" fontId="10" fillId="0" borderId="0" xfId="18" applyNumberFormat="1" applyFont="1" applyFill="1" applyBorder="1" applyProtection="1">
      <protection locked="0"/>
    </xf>
    <xf numFmtId="10" fontId="17" fillId="0" borderId="0" xfId="15" applyNumberFormat="1" applyFont="1" applyFill="1" applyBorder="1" applyProtection="1">
      <protection locked="0"/>
    </xf>
    <xf numFmtId="10" fontId="4" fillId="0" borderId="0" xfId="15" applyNumberFormat="1" applyFont="1" applyFill="1" applyBorder="1" applyProtection="1">
      <protection locked="0"/>
    </xf>
    <xf numFmtId="165" fontId="4" fillId="0" borderId="0" xfId="18" applyNumberFormat="1" applyFont="1" applyFill="1" applyBorder="1" applyAlignment="1" applyProtection="1" quotePrefix="1">
      <alignment horizontal="center"/>
      <protection locked="0"/>
    </xf>
    <xf numFmtId="165" fontId="4" fillId="8" borderId="32" xfId="18" applyNumberFormat="1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5" fontId="0" fillId="0" borderId="0" xfId="18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Protection="1">
      <protection locked="0"/>
    </xf>
    <xf numFmtId="165" fontId="4" fillId="8" borderId="33" xfId="18" applyNumberFormat="1" applyFont="1" applyFill="1" applyBorder="1" applyAlignment="1" quotePrefix="1">
      <alignment horizontal="center"/>
    </xf>
    <xf numFmtId="165" fontId="4" fillId="8" borderId="34" xfId="18" applyNumberFormat="1" applyFont="1" applyFill="1" applyBorder="1" applyAlignment="1" quotePrefix="1">
      <alignment horizontal="center"/>
    </xf>
    <xf numFmtId="0" fontId="4" fillId="0" borderId="33" xfId="0" applyFont="1" applyFill="1" applyBorder="1" applyProtection="1">
      <protection locked="0"/>
    </xf>
    <xf numFmtId="165" fontId="4" fillId="0" borderId="0" xfId="18" applyNumberFormat="1" applyFont="1" applyFill="1" applyBorder="1" applyAlignment="1" applyProtection="1" quotePrefix="1">
      <alignment horizontal="left"/>
      <protection locked="0"/>
    </xf>
    <xf numFmtId="0" fontId="8" fillId="0" borderId="0" xfId="0" applyFont="1" applyFill="1" applyBorder="1" applyAlignment="1">
      <alignment/>
    </xf>
    <xf numFmtId="166" fontId="0" fillId="0" borderId="0" xfId="15" applyNumberFormat="1" applyFont="1" applyFill="1" applyBorder="1" applyProtection="1">
      <protection locked="0"/>
    </xf>
    <xf numFmtId="0" fontId="10" fillId="0" borderId="0" xfId="0" applyFont="1" applyFill="1" applyBorder="1"/>
    <xf numFmtId="0" fontId="6" fillId="0" borderId="0" xfId="0" applyFont="1"/>
    <xf numFmtId="0" fontId="1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/>
    </xf>
    <xf numFmtId="165" fontId="0" fillId="0" borderId="0" xfId="0" applyNumberFormat="1"/>
    <xf numFmtId="10" fontId="0" fillId="0" borderId="0" xfId="15" applyNumberFormat="1" applyFont="1" applyBorder="1" applyProtection="1">
      <protection locked="0"/>
    </xf>
    <xf numFmtId="0" fontId="4" fillId="8" borderId="33" xfId="0" applyFont="1" applyFill="1" applyBorder="1" applyAlignment="1" quotePrefix="1">
      <alignment horizontal="left"/>
    </xf>
    <xf numFmtId="37" fontId="0" fillId="0" borderId="20" xfId="0" applyNumberFormat="1" applyFont="1" applyFill="1" applyBorder="1" applyAlignment="1" quotePrefix="1">
      <alignment horizontal="center"/>
    </xf>
    <xf numFmtId="165" fontId="4" fillId="8" borderId="33" xfId="18" applyNumberFormat="1" applyFont="1" applyFill="1" applyBorder="1" applyAlignment="1">
      <alignment horizontal="center"/>
    </xf>
    <xf numFmtId="165" fontId="0" fillId="0" borderId="35" xfId="18" applyNumberFormat="1" applyFont="1" applyBorder="1"/>
    <xf numFmtId="0" fontId="0" fillId="0" borderId="0" xfId="0" applyFont="1" applyFill="1" applyBorder="1" applyAlignment="1" applyProtection="1" quotePrefix="1">
      <alignment horizontal="left"/>
      <protection locked="0"/>
    </xf>
    <xf numFmtId="165" fontId="30" fillId="0" borderId="0" xfId="18" applyNumberFormat="1" applyFont="1" applyFill="1" applyBorder="1" applyAlignment="1" quotePrefix="1">
      <alignment horizontal="center"/>
    </xf>
    <xf numFmtId="166" fontId="28" fillId="0" borderId="0" xfId="15" applyNumberFormat="1" applyFont="1" applyFill="1" applyBorder="1"/>
    <xf numFmtId="165" fontId="4" fillId="0" borderId="0" xfId="18" applyNumberFormat="1" applyFont="1" applyFill="1" applyBorder="1" applyAlignment="1">
      <alignment horizontal="right"/>
    </xf>
    <xf numFmtId="165" fontId="4" fillId="8" borderId="34" xfId="18" applyNumberFormat="1" applyFont="1" applyFill="1" applyBorder="1"/>
    <xf numFmtId="10" fontId="17" fillId="0" borderId="0" xfId="15" applyNumberFormat="1" applyFont="1" applyFill="1" applyBorder="1"/>
    <xf numFmtId="0" fontId="31" fillId="0" borderId="0" xfId="0" applyFont="1"/>
    <xf numFmtId="0" fontId="31" fillId="0" borderId="0" xfId="0" applyFont="1" applyFill="1" applyBorder="1"/>
    <xf numFmtId="0" fontId="32" fillId="0" borderId="0" xfId="0" applyFont="1"/>
    <xf numFmtId="10" fontId="28" fillId="0" borderId="0" xfId="15" applyNumberFormat="1" applyFont="1" applyFill="1" applyBorder="1"/>
    <xf numFmtId="0" fontId="0" fillId="0" borderId="0" xfId="0" applyFill="1"/>
    <xf numFmtId="37" fontId="0" fillId="0" borderId="0" xfId="0" applyNumberFormat="1" applyFont="1" applyFill="1" applyBorder="1" applyAlignment="1" quotePrefix="1">
      <alignment horizontal="center"/>
    </xf>
    <xf numFmtId="165" fontId="4" fillId="0" borderId="0" xfId="0" applyNumberFormat="1" applyFont="1" applyFill="1" applyBorder="1" applyAlignment="1">
      <alignment horizontal="right"/>
    </xf>
    <xf numFmtId="0" fontId="0" fillId="8" borderId="26" xfId="0" applyFont="1" applyFill="1" applyBorder="1"/>
    <xf numFmtId="0" fontId="0" fillId="8" borderId="0" xfId="0" applyFont="1" applyFill="1" applyBorder="1"/>
    <xf numFmtId="0" fontId="0" fillId="0" borderId="11" xfId="0" applyFont="1" applyFill="1" applyBorder="1"/>
    <xf numFmtId="165" fontId="0" fillId="0" borderId="0" xfId="18" applyNumberFormat="1" applyFont="1"/>
    <xf numFmtId="0" fontId="0" fillId="8" borderId="27" xfId="0" applyFont="1" applyFill="1" applyBorder="1" applyAlignment="1">
      <alignment horizontal="centerContinuous"/>
    </xf>
    <xf numFmtId="0" fontId="0" fillId="8" borderId="28" xfId="0" applyFont="1" applyFill="1" applyBorder="1" applyAlignment="1">
      <alignment horizontal="centerContinuous"/>
    </xf>
    <xf numFmtId="0" fontId="0" fillId="8" borderId="0" xfId="0" applyFont="1" applyFill="1" applyBorder="1" applyAlignment="1">
      <alignment horizontal="center"/>
    </xf>
    <xf numFmtId="0" fontId="0" fillId="8" borderId="27" xfId="0" applyFont="1" applyFill="1" applyBorder="1" applyAlignment="1">
      <alignment horizontal="center"/>
    </xf>
    <xf numFmtId="0" fontId="4" fillId="8" borderId="34" xfId="0" applyFont="1" applyFill="1" applyBorder="1" applyAlignment="1" quotePrefix="1">
      <alignment horizontal="center"/>
    </xf>
    <xf numFmtId="0" fontId="4" fillId="0" borderId="27" xfId="0" applyFont="1" applyFill="1" applyBorder="1"/>
    <xf numFmtId="0" fontId="0" fillId="0" borderId="20" xfId="0" applyFill="1" applyBorder="1"/>
    <xf numFmtId="165" fontId="4" fillId="0" borderId="20" xfId="18" applyNumberFormat="1" applyFont="1" applyFill="1" applyBorder="1" applyProtection="1">
      <protection locked="0"/>
    </xf>
    <xf numFmtId="0" fontId="0" fillId="0" borderId="28" xfId="0" applyFill="1" applyBorder="1"/>
    <xf numFmtId="165" fontId="4" fillId="0" borderId="28" xfId="18" applyNumberFormat="1" applyFont="1" applyFill="1" applyBorder="1" applyProtection="1">
      <protection locked="0"/>
    </xf>
    <xf numFmtId="0" fontId="0" fillId="0" borderId="26" xfId="0" applyFont="1" applyFill="1" applyBorder="1"/>
    <xf numFmtId="0" fontId="0" fillId="0" borderId="0" xfId="0" applyFill="1" applyBorder="1"/>
    <xf numFmtId="0" fontId="0" fillId="0" borderId="29" xfId="0" applyFill="1" applyBorder="1"/>
    <xf numFmtId="0" fontId="4" fillId="0" borderId="26" xfId="0" applyFont="1" applyFill="1" applyBorder="1" applyAlignment="1">
      <alignment horizontal="left"/>
    </xf>
    <xf numFmtId="0" fontId="4" fillId="0" borderId="29" xfId="0" applyFont="1" applyFill="1" applyBorder="1" applyAlignment="1" quotePrefix="1">
      <alignment horizontal="center"/>
    </xf>
    <xf numFmtId="165" fontId="4" fillId="0" borderId="29" xfId="0" applyNumberFormat="1" applyFont="1" applyFill="1" applyBorder="1"/>
    <xf numFmtId="165" fontId="0" fillId="0" borderId="29" xfId="0" applyNumberFormat="1" applyFont="1" applyFill="1" applyBorder="1"/>
    <xf numFmtId="0" fontId="4" fillId="0" borderId="30" xfId="0" applyFont="1" applyFill="1" applyBorder="1" applyAlignment="1">
      <alignment horizontal="left"/>
    </xf>
    <xf numFmtId="0" fontId="4" fillId="0" borderId="36" xfId="0" applyFont="1" applyFill="1" applyBorder="1" applyAlignment="1" quotePrefix="1">
      <alignment horizontal="center"/>
    </xf>
    <xf numFmtId="165" fontId="4" fillId="0" borderId="36" xfId="18" applyNumberFormat="1" applyFont="1" applyFill="1" applyBorder="1"/>
    <xf numFmtId="0" fontId="4" fillId="0" borderId="31" xfId="0" applyFont="1" applyFill="1" applyBorder="1" applyAlignment="1" quotePrefix="1">
      <alignment horizontal="center"/>
    </xf>
    <xf numFmtId="165" fontId="4" fillId="0" borderId="31" xfId="0" applyNumberFormat="1" applyFont="1" applyFill="1" applyBorder="1"/>
    <xf numFmtId="0" fontId="8" fillId="0" borderId="0" xfId="0" applyFont="1" applyFill="1" applyBorder="1" applyAlignment="1">
      <alignment horizontal="center"/>
    </xf>
    <xf numFmtId="0" fontId="4" fillId="0" borderId="27" xfId="0" applyFont="1" applyBorder="1"/>
    <xf numFmtId="0" fontId="0" fillId="0" borderId="20" xfId="0" applyBorder="1"/>
    <xf numFmtId="165" fontId="4" fillId="0" borderId="20" xfId="18" applyNumberFormat="1" applyFont="1" applyBorder="1" applyProtection="1">
      <protection locked="0"/>
    </xf>
    <xf numFmtId="0" fontId="0" fillId="0" borderId="27" xfId="0" applyBorder="1"/>
    <xf numFmtId="165" fontId="4" fillId="0" borderId="28" xfId="18" applyNumberFormat="1" applyFont="1" applyBorder="1" applyProtection="1">
      <protection locked="0"/>
    </xf>
    <xf numFmtId="0" fontId="0" fillId="0" borderId="26" xfId="0" applyFont="1" applyBorder="1"/>
    <xf numFmtId="0" fontId="0" fillId="0" borderId="0" xfId="0" applyBorder="1"/>
    <xf numFmtId="0" fontId="0" fillId="0" borderId="26" xfId="0" applyBorder="1"/>
    <xf numFmtId="0" fontId="0" fillId="0" borderId="29" xfId="0" applyBorder="1"/>
    <xf numFmtId="0" fontId="4" fillId="0" borderId="26" xfId="0" applyFont="1" applyBorder="1"/>
    <xf numFmtId="165" fontId="4" fillId="0" borderId="29" xfId="18" applyNumberFormat="1" applyFont="1" applyBorder="1" applyProtection="1">
      <protection locked="0"/>
    </xf>
    <xf numFmtId="0" fontId="4" fillId="0" borderId="30" xfId="0" applyFont="1" applyBorder="1"/>
    <xf numFmtId="0" fontId="0" fillId="0" borderId="36" xfId="0" applyBorder="1"/>
    <xf numFmtId="166" fontId="4" fillId="0" borderId="36" xfId="15" applyNumberFormat="1" applyFont="1" applyFill="1" applyBorder="1" applyAlignment="1" applyProtection="1">
      <alignment horizontal="right"/>
      <protection locked="0"/>
    </xf>
    <xf numFmtId="0" fontId="5" fillId="0" borderId="36" xfId="0" applyFont="1" applyBorder="1"/>
    <xf numFmtId="0" fontId="5" fillId="0" borderId="30" xfId="0" applyFont="1" applyBorder="1"/>
    <xf numFmtId="166" fontId="4" fillId="0" borderId="31" xfId="15" applyNumberFormat="1" applyFont="1" applyFill="1" applyBorder="1" applyAlignment="1" applyProtection="1">
      <alignment horizontal="right"/>
      <protection locked="0"/>
    </xf>
    <xf numFmtId="0" fontId="0" fillId="0" borderId="17" xfId="0" applyFont="1" applyFill="1" applyBorder="1" applyAlignment="1">
      <alignment horizontal="center"/>
    </xf>
    <xf numFmtId="41" fontId="0" fillId="0" borderId="0" xfId="0" applyNumberFormat="1" applyFont="1" applyFill="1" applyBorder="1" applyAlignment="1" applyProtection="1">
      <alignment horizontal="center"/>
      <protection locked="0"/>
    </xf>
    <xf numFmtId="41" fontId="0" fillId="0" borderId="16" xfId="0" applyNumberFormat="1" applyFont="1" applyFill="1" applyBorder="1" applyAlignment="1" applyProtection="1">
      <alignment horizontal="center"/>
      <protection locked="0"/>
    </xf>
    <xf numFmtId="0" fontId="0" fillId="0" borderId="14" xfId="0" applyFont="1" applyBorder="1"/>
    <xf numFmtId="0" fontId="4" fillId="8" borderId="28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165" fontId="4" fillId="8" borderId="27" xfId="18" applyNumberFormat="1" applyFont="1" applyFill="1" applyBorder="1"/>
    <xf numFmtId="0" fontId="4" fillId="8" borderId="3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165" fontId="4" fillId="8" borderId="30" xfId="18" applyNumberFormat="1" applyFont="1" applyFill="1" applyBorder="1"/>
    <xf numFmtId="165" fontId="4" fillId="8" borderId="31" xfId="18" applyNumberFormat="1" applyFont="1" applyFill="1" applyBorder="1"/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165" fontId="4" fillId="8" borderId="32" xfId="18" applyNumberFormat="1" applyFont="1" applyFill="1" applyBorder="1"/>
    <xf numFmtId="165" fontId="4" fillId="8" borderId="32" xfId="0" applyNumberFormat="1" applyFont="1" applyFill="1" applyBorder="1"/>
    <xf numFmtId="0" fontId="4" fillId="8" borderId="28" xfId="0" applyFont="1" applyFill="1" applyBorder="1" applyAlignment="1">
      <alignment horizontal="right"/>
    </xf>
    <xf numFmtId="0" fontId="4" fillId="8" borderId="10" xfId="0" applyFont="1" applyFill="1" applyBorder="1" applyAlignment="1">
      <alignment horizontal="right"/>
    </xf>
    <xf numFmtId="0" fontId="4" fillId="8" borderId="29" xfId="0" applyFont="1" applyFill="1" applyBorder="1" applyAlignment="1">
      <alignment horizontal="right"/>
    </xf>
    <xf numFmtId="0" fontId="4" fillId="8" borderId="11" xfId="0" applyFont="1" applyFill="1" applyBorder="1" applyAlignment="1">
      <alignment horizontal="right"/>
    </xf>
    <xf numFmtId="0" fontId="4" fillId="8" borderId="31" xfId="0" applyFont="1" applyFill="1" applyBorder="1" applyAlignment="1">
      <alignment horizontal="right"/>
    </xf>
    <xf numFmtId="0" fontId="4" fillId="8" borderId="12" xfId="0" applyFont="1" applyFill="1" applyBorder="1" applyAlignment="1">
      <alignment horizontal="right"/>
    </xf>
    <xf numFmtId="165" fontId="4" fillId="8" borderId="27" xfId="0" applyNumberFormat="1" applyFont="1" applyFill="1" applyBorder="1"/>
    <xf numFmtId="0" fontId="4" fillId="8" borderId="34" xfId="0" applyFont="1" applyFill="1" applyBorder="1" applyAlignment="1">
      <alignment horizontal="right"/>
    </xf>
    <xf numFmtId="0" fontId="4" fillId="8" borderId="35" xfId="0" applyFont="1" applyFill="1" applyBorder="1" applyAlignment="1">
      <alignment horizontal="right"/>
    </xf>
    <xf numFmtId="165" fontId="4" fillId="8" borderId="34" xfId="18" applyNumberFormat="1" applyFont="1" applyFill="1" applyBorder="1" applyAlignment="1" applyProtection="1">
      <alignment horizontal="center"/>
      <protection locked="0"/>
    </xf>
    <xf numFmtId="165" fontId="4" fillId="8" borderId="35" xfId="18" applyNumberFormat="1" applyFont="1" applyFill="1" applyBorder="1" applyAlignment="1" applyProtection="1">
      <alignment horizontal="center"/>
      <protection locked="0"/>
    </xf>
    <xf numFmtId="165" fontId="4" fillId="0" borderId="16" xfId="18" applyNumberFormat="1" applyFont="1" applyFill="1" applyBorder="1" applyAlignment="1" applyProtection="1">
      <alignment horizontal="center"/>
      <protection locked="0"/>
    </xf>
    <xf numFmtId="165" fontId="4" fillId="8" borderId="32" xfId="18" applyNumberFormat="1" applyFont="1" applyFill="1" applyBorder="1" applyAlignment="1" applyProtection="1">
      <alignment horizontal="right"/>
      <protection locked="0"/>
    </xf>
    <xf numFmtId="165" fontId="4" fillId="8" borderId="34" xfId="18" applyNumberFormat="1" applyFont="1" applyFill="1" applyBorder="1" applyAlignment="1" applyProtection="1">
      <alignment horizontal="right"/>
      <protection locked="0"/>
    </xf>
    <xf numFmtId="165" fontId="0" fillId="0" borderId="21" xfId="18" applyNumberFormat="1" applyFont="1" applyFill="1" applyBorder="1" applyProtection="1">
      <protection locked="0"/>
    </xf>
    <xf numFmtId="165" fontId="0" fillId="0" borderId="14" xfId="18" applyNumberFormat="1" applyFont="1" applyFill="1" applyBorder="1" applyProtection="1">
      <protection locked="0"/>
    </xf>
    <xf numFmtId="0" fontId="4" fillId="8" borderId="34" xfId="0" applyFont="1" applyFill="1" applyBorder="1" applyProtection="1">
      <protection locked="0"/>
    </xf>
    <xf numFmtId="165" fontId="4" fillId="8" borderId="32" xfId="18" applyNumberFormat="1" applyFont="1" applyFill="1" applyBorder="1" applyAlignment="1" quotePrefix="1">
      <alignment horizontal="center"/>
    </xf>
    <xf numFmtId="0" fontId="0" fillId="0" borderId="0" xfId="0" applyFont="1" applyFill="1" applyAlignment="1">
      <alignment horizontal="center"/>
    </xf>
    <xf numFmtId="165" fontId="4" fillId="8" borderId="34" xfId="18" applyNumberFormat="1" applyFont="1" applyFill="1" applyBorder="1" applyAlignment="1">
      <alignment horizontal="center"/>
    </xf>
    <xf numFmtId="165" fontId="4" fillId="8" borderId="35" xfId="18" applyNumberFormat="1" applyFont="1" applyFill="1" applyBorder="1" applyAlignment="1">
      <alignment horizontal="center"/>
    </xf>
    <xf numFmtId="0" fontId="0" fillId="8" borderId="11" xfId="0" applyFont="1" applyFill="1" applyBorder="1"/>
    <xf numFmtId="0" fontId="0" fillId="8" borderId="27" xfId="0" applyFont="1" applyFill="1" applyBorder="1"/>
    <xf numFmtId="0" fontId="0" fillId="8" borderId="20" xfId="0" applyFont="1" applyFill="1" applyBorder="1"/>
    <xf numFmtId="0" fontId="4" fillId="8" borderId="0" xfId="0" applyFont="1" applyFill="1" applyBorder="1" applyAlignment="1">
      <alignment horizontal="center"/>
    </xf>
    <xf numFmtId="0" fontId="0" fillId="8" borderId="36" xfId="0" applyFont="1" applyFill="1" applyBorder="1" applyAlignment="1">
      <alignment horizontal="center"/>
    </xf>
    <xf numFmtId="165" fontId="0" fillId="18" borderId="0" xfId="18" applyNumberFormat="1" applyFont="1" applyFill="1" applyBorder="1" applyAlignment="1" quotePrefix="1">
      <alignment horizontal="center"/>
    </xf>
    <xf numFmtId="0" fontId="0" fillId="0" borderId="22" xfId="0" applyFont="1" applyFill="1" applyBorder="1"/>
    <xf numFmtId="168" fontId="0" fillId="0" borderId="0" xfId="0" applyNumberFormat="1" applyFont="1"/>
    <xf numFmtId="41" fontId="0" fillId="0" borderId="22" xfId="0" applyNumberFormat="1" applyFont="1" applyFill="1" applyBorder="1"/>
    <xf numFmtId="41" fontId="0" fillId="0" borderId="22" xfId="18" applyNumberFormat="1" applyFont="1" applyFill="1" applyBorder="1"/>
    <xf numFmtId="41" fontId="0" fillId="0" borderId="0" xfId="0" applyNumberFormat="1" applyFont="1" applyFill="1" applyBorder="1"/>
    <xf numFmtId="41" fontId="0" fillId="0" borderId="0" xfId="0" applyNumberFormat="1" applyFont="1"/>
    <xf numFmtId="41" fontId="7" fillId="0" borderId="0" xfId="0" applyNumberFormat="1" applyFont="1"/>
    <xf numFmtId="0" fontId="0" fillId="0" borderId="27" xfId="0" applyFill="1" applyBorder="1"/>
    <xf numFmtId="0" fontId="0" fillId="0" borderId="26" xfId="0" applyFill="1" applyBorder="1"/>
    <xf numFmtId="0" fontId="4" fillId="0" borderId="26" xfId="0" applyFont="1" applyFill="1" applyBorder="1" applyAlignment="1" quotePrefix="1">
      <alignment horizontal="center"/>
    </xf>
    <xf numFmtId="165" fontId="4" fillId="0" borderId="29" xfId="18" applyNumberFormat="1" applyFont="1" applyFill="1" applyBorder="1"/>
    <xf numFmtId="0" fontId="0" fillId="0" borderId="0" xfId="0" applyFont="1" applyBorder="1" applyAlignment="1" quotePrefix="1">
      <alignment horizontal="center"/>
    </xf>
    <xf numFmtId="0" fontId="0" fillId="9" borderId="0" xfId="0" applyFont="1" applyFill="1" applyBorder="1" applyAlignment="1">
      <alignment horizontal="center"/>
    </xf>
    <xf numFmtId="0" fontId="0" fillId="9" borderId="0" xfId="0" applyFont="1" applyFill="1" applyBorder="1"/>
    <xf numFmtId="0" fontId="4" fillId="0" borderId="15" xfId="0" applyFont="1" applyFill="1" applyBorder="1" applyAlignment="1">
      <alignment horizontal="left"/>
    </xf>
    <xf numFmtId="165" fontId="4" fillId="0" borderId="14" xfId="18" applyNumberFormat="1" applyFont="1" applyFill="1" applyBorder="1"/>
    <xf numFmtId="0" fontId="4" fillId="0" borderId="15" xfId="0" applyFont="1" applyFill="1" applyBorder="1"/>
    <xf numFmtId="0" fontId="0" fillId="0" borderId="15" xfId="0" applyFont="1" applyFill="1" applyBorder="1" applyAlignment="1" quotePrefix="1">
      <alignment horizontal="left"/>
    </xf>
    <xf numFmtId="41" fontId="4" fillId="0" borderId="0" xfId="18" applyNumberFormat="1" applyFont="1" applyFill="1" applyBorder="1"/>
    <xf numFmtId="41" fontId="4" fillId="0" borderId="14" xfId="18" applyNumberFormat="1" applyFont="1" applyFill="1" applyBorder="1"/>
    <xf numFmtId="0" fontId="4" fillId="0" borderId="15" xfId="0" applyFont="1" applyFill="1" applyBorder="1" applyAlignment="1" quotePrefix="1">
      <alignment horizontal="left"/>
    </xf>
    <xf numFmtId="0" fontId="4" fillId="0" borderId="19" xfId="0" applyFont="1" applyFill="1" applyBorder="1" applyAlignment="1">
      <alignment horizontal="left"/>
    </xf>
    <xf numFmtId="165" fontId="4" fillId="0" borderId="16" xfId="18" applyNumberFormat="1" applyFont="1" applyFill="1" applyBorder="1"/>
    <xf numFmtId="165" fontId="4" fillId="0" borderId="21" xfId="18" applyNumberFormat="1" applyFont="1" applyFill="1" applyBorder="1"/>
    <xf numFmtId="0" fontId="4" fillId="0" borderId="18" xfId="0" applyFont="1" applyFill="1" applyBorder="1" applyAlignment="1" quotePrefix="1">
      <alignment horizontal="left"/>
    </xf>
    <xf numFmtId="41" fontId="4" fillId="0" borderId="13" xfId="18" applyNumberFormat="1" applyFont="1" applyFill="1" applyBorder="1"/>
    <xf numFmtId="165" fontId="4" fillId="0" borderId="13" xfId="18" applyNumberFormat="1" applyFont="1" applyFill="1" applyBorder="1"/>
    <xf numFmtId="165" fontId="4" fillId="0" borderId="17" xfId="18" applyNumberFormat="1" applyFont="1" applyFill="1" applyBorder="1"/>
    <xf numFmtId="10" fontId="0" fillId="0" borderId="14" xfId="15" applyNumberFormat="1" applyFont="1" applyFill="1" applyBorder="1"/>
    <xf numFmtId="10" fontId="0" fillId="0" borderId="16" xfId="15" applyNumberFormat="1" applyFont="1" applyFill="1" applyBorder="1"/>
    <xf numFmtId="10" fontId="0" fillId="0" borderId="21" xfId="15" applyNumberFormat="1" applyFont="1" applyFill="1" applyBorder="1"/>
    <xf numFmtId="0" fontId="4" fillId="0" borderId="18" xfId="0" applyFont="1" applyFill="1" applyBorder="1" applyAlignment="1">
      <alignment horizontal="left"/>
    </xf>
    <xf numFmtId="3" fontId="4" fillId="0" borderId="13" xfId="16" applyNumberFormat="1" applyFont="1" applyFill="1" applyBorder="1"/>
    <xf numFmtId="3" fontId="4" fillId="0" borderId="17" xfId="16" applyNumberFormat="1" applyFont="1" applyFill="1" applyBorder="1"/>
    <xf numFmtId="3" fontId="4" fillId="0" borderId="0" xfId="16" applyNumberFormat="1" applyFont="1" applyFill="1" applyBorder="1"/>
    <xf numFmtId="3" fontId="4" fillId="0" borderId="14" xfId="16" applyNumberFormat="1" applyFont="1" applyFill="1" applyBorder="1"/>
    <xf numFmtId="166" fontId="0" fillId="0" borderId="0" xfId="18" applyNumberFormat="1" applyFont="1" applyFill="1" applyBorder="1"/>
    <xf numFmtId="166" fontId="0" fillId="0" borderId="14" xfId="18" applyNumberFormat="1" applyFont="1" applyFill="1" applyBorder="1"/>
    <xf numFmtId="177" fontId="0" fillId="0" borderId="0" xfId="0" applyNumberFormat="1" applyFont="1" applyFill="1" applyBorder="1" applyAlignment="1">
      <alignment horizontal="right"/>
    </xf>
    <xf numFmtId="177" fontId="0" fillId="0" borderId="14" xfId="0" applyNumberFormat="1" applyFont="1" applyFill="1" applyBorder="1" applyAlignment="1">
      <alignment horizontal="right"/>
    </xf>
    <xf numFmtId="0" fontId="4" fillId="0" borderId="15" xfId="0" applyFont="1" applyBorder="1"/>
    <xf numFmtId="165" fontId="4" fillId="0" borderId="0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0" fontId="4" fillId="0" borderId="19" xfId="0" applyFont="1" applyBorder="1"/>
    <xf numFmtId="37" fontId="0" fillId="0" borderId="0" xfId="0" applyNumberFormat="1" applyFont="1" applyFill="1" applyBorder="1"/>
    <xf numFmtId="165" fontId="0" fillId="0" borderId="16" xfId="18" applyNumberFormat="1" applyFont="1" applyFill="1" applyBorder="1" applyProtection="1">
      <protection locked="0"/>
    </xf>
    <xf numFmtId="0" fontId="8" fillId="0" borderId="18" xfId="0" applyFont="1" applyFill="1" applyBorder="1" applyAlignment="1">
      <alignment horizontal="centerContinuous"/>
    </xf>
    <xf numFmtId="165" fontId="0" fillId="0" borderId="13" xfId="18" applyNumberFormat="1" applyFont="1" applyFill="1" applyBorder="1" applyAlignment="1" applyProtection="1">
      <alignment horizontal="centerContinuous"/>
      <protection locked="0"/>
    </xf>
    <xf numFmtId="165" fontId="0" fillId="0" borderId="17" xfId="18" applyNumberFormat="1" applyFont="1" applyFill="1" applyBorder="1" applyAlignment="1" applyProtection="1">
      <alignment horizontal="centerContinuous"/>
      <protection locked="0"/>
    </xf>
    <xf numFmtId="0" fontId="11" fillId="0" borderId="15" xfId="0" applyFont="1" applyFill="1" applyBorder="1" applyAlignment="1">
      <alignment horizontal="left"/>
    </xf>
    <xf numFmtId="166" fontId="0" fillId="0" borderId="14" xfId="15" applyNumberFormat="1" applyFont="1" applyFill="1" applyBorder="1" applyProtection="1">
      <protection locked="0"/>
    </xf>
    <xf numFmtId="0" fontId="0" fillId="0" borderId="19" xfId="0" applyFont="1" applyFill="1" applyBorder="1"/>
    <xf numFmtId="0" fontId="4" fillId="0" borderId="18" xfId="0" applyFont="1" applyFill="1" applyBorder="1" applyAlignment="1">
      <alignment horizontal="centerContinuous"/>
    </xf>
    <xf numFmtId="0" fontId="14" fillId="0" borderId="0" xfId="0" applyFont="1" applyFill="1" applyBorder="1"/>
    <xf numFmtId="37" fontId="0" fillId="0" borderId="0" xfId="16" applyNumberFormat="1" applyFont="1" applyFill="1" applyBorder="1"/>
    <xf numFmtId="37" fontId="14" fillId="0" borderId="0" xfId="16" applyNumberFormat="1" applyFont="1" applyFill="1" applyBorder="1"/>
    <xf numFmtId="37" fontId="4" fillId="0" borderId="0" xfId="16" applyNumberFormat="1" applyFont="1" applyFill="1" applyBorder="1"/>
    <xf numFmtId="3" fontId="0" fillId="0" borderId="0" xfId="16" applyNumberFormat="1" applyFont="1" applyFill="1" applyBorder="1"/>
    <xf numFmtId="3" fontId="14" fillId="0" borderId="0" xfId="16" applyNumberFormat="1" applyFont="1" applyFill="1" applyBorder="1"/>
    <xf numFmtId="164" fontId="4" fillId="0" borderId="0" xfId="16" applyNumberFormat="1" applyFont="1" applyFill="1" applyBorder="1"/>
    <xf numFmtId="37" fontId="0" fillId="0" borderId="0" xfId="22" applyNumberFormat="1" applyFont="1" applyFill="1" applyBorder="1" applyProtection="1">
      <alignment/>
      <protection/>
    </xf>
    <xf numFmtId="3" fontId="14" fillId="0" borderId="0" xfId="16" applyNumberFormat="1" applyFont="1" applyBorder="1" applyProtection="1">
      <protection/>
    </xf>
    <xf numFmtId="37" fontId="14" fillId="0" borderId="0" xfId="22" applyNumberFormat="1" applyFont="1" applyFill="1" applyBorder="1" applyProtection="1">
      <alignment/>
      <protection/>
    </xf>
    <xf numFmtId="3" fontId="4" fillId="0" borderId="0" xfId="16" applyNumberFormat="1" applyFont="1" applyBorder="1"/>
    <xf numFmtId="9" fontId="0" fillId="0" borderId="0" xfId="15" applyNumberFormat="1" applyFont="1" applyBorder="1"/>
    <xf numFmtId="165" fontId="0" fillId="0" borderId="0" xfId="22" applyNumberFormat="1" applyFont="1" applyBorder="1" applyProtection="1">
      <alignment/>
      <protection/>
    </xf>
    <xf numFmtId="3" fontId="0" fillId="0" borderId="0" xfId="16" applyNumberFormat="1" applyFont="1" applyBorder="1" applyProtection="1">
      <protection/>
    </xf>
    <xf numFmtId="178" fontId="4" fillId="0" borderId="0" xfId="16" applyNumberFormat="1" applyFont="1" applyBorder="1" applyProtection="1">
      <protection/>
    </xf>
    <xf numFmtId="178" fontId="4" fillId="0" borderId="0" xfId="16" applyNumberFormat="1" applyFont="1" applyBorder="1"/>
    <xf numFmtId="178" fontId="4" fillId="0" borderId="0" xfId="16" applyNumberFormat="1" applyFont="1" applyFill="1" applyBorder="1"/>
    <xf numFmtId="166" fontId="4" fillId="0" borderId="0" xfId="15" applyNumberFormat="1" applyFont="1" applyFill="1" applyBorder="1"/>
    <xf numFmtId="167" fontId="4" fillId="0" borderId="0" xfId="18" applyNumberFormat="1" applyFont="1" applyFill="1" applyBorder="1"/>
    <xf numFmtId="0" fontId="0" fillId="0" borderId="0" xfId="21" applyFont="1">
      <alignment/>
      <protection/>
    </xf>
    <xf numFmtId="0" fontId="0" fillId="0" borderId="10" xfId="21" applyFont="1" applyFill="1" applyBorder="1" applyAlignment="1">
      <alignment horizontal="center"/>
      <protection/>
    </xf>
    <xf numFmtId="0" fontId="0" fillId="0" borderId="10" xfId="21" applyFont="1" applyFill="1" applyBorder="1" applyAlignment="1" quotePrefix="1">
      <alignment horizontal="center"/>
      <protection/>
    </xf>
    <xf numFmtId="0" fontId="0" fillId="0" borderId="11" xfId="21" applyFont="1" applyFill="1" applyBorder="1" applyAlignment="1">
      <alignment horizontal="center"/>
      <protection/>
    </xf>
    <xf numFmtId="0" fontId="0" fillId="0" borderId="11" xfId="21" applyFont="1" applyFill="1" applyBorder="1" applyAlignment="1" quotePrefix="1">
      <alignment horizontal="center"/>
      <protection/>
    </xf>
    <xf numFmtId="0" fontId="0" fillId="0" borderId="12" xfId="21" applyFont="1" applyFill="1" applyBorder="1" applyAlignment="1">
      <alignment horizontal="center"/>
      <protection/>
    </xf>
    <xf numFmtId="0" fontId="0" fillId="0" borderId="12" xfId="21" applyFont="1" applyFill="1" applyBorder="1" applyAlignment="1" quotePrefix="1">
      <alignment horizontal="center"/>
      <protection/>
    </xf>
    <xf numFmtId="0" fontId="0" fillId="0" borderId="0" xfId="21" applyFont="1" applyBorder="1">
      <alignment/>
      <protection/>
    </xf>
    <xf numFmtId="0" fontId="0" fillId="0" borderId="0" xfId="21" applyFont="1" applyFill="1" applyBorder="1">
      <alignment/>
      <protection/>
    </xf>
    <xf numFmtId="165" fontId="0" fillId="0" borderId="0" xfId="20" applyNumberFormat="1" applyFont="1" applyFill="1" applyBorder="1" applyAlignment="1">
      <alignment horizontal="left"/>
    </xf>
    <xf numFmtId="0" fontId="0" fillId="0" borderId="0" xfId="21" applyFont="1" applyFill="1">
      <alignment/>
      <protection/>
    </xf>
    <xf numFmtId="0" fontId="0" fillId="0" borderId="18" xfId="21" applyFont="1" applyFill="1" applyBorder="1" applyAlignment="1">
      <alignment horizontal="left"/>
      <protection/>
    </xf>
    <xf numFmtId="0" fontId="0" fillId="0" borderId="13" xfId="21" applyFont="1" applyFill="1" applyBorder="1">
      <alignment/>
      <protection/>
    </xf>
    <xf numFmtId="165" fontId="0" fillId="0" borderId="13" xfId="20" applyNumberFormat="1" applyFont="1" applyFill="1" applyBorder="1" applyAlignment="1">
      <alignment horizontal="left"/>
    </xf>
    <xf numFmtId="165" fontId="0" fillId="0" borderId="17" xfId="20" applyNumberFormat="1" applyFont="1" applyFill="1" applyBorder="1" applyAlignment="1">
      <alignment horizontal="left"/>
    </xf>
    <xf numFmtId="0" fontId="0" fillId="0" borderId="15" xfId="21" applyFont="1" applyBorder="1" applyAlignment="1">
      <alignment horizontal="left"/>
      <protection/>
    </xf>
    <xf numFmtId="165" fontId="0" fillId="0" borderId="0" xfId="20" applyNumberFormat="1" applyFont="1" applyFill="1" applyBorder="1"/>
    <xf numFmtId="165" fontId="0" fillId="0" borderId="14" xfId="20" applyNumberFormat="1" applyFont="1" applyFill="1" applyBorder="1"/>
    <xf numFmtId="0" fontId="0" fillId="0" borderId="15" xfId="21" applyFont="1" applyFill="1" applyBorder="1" applyAlignment="1">
      <alignment horizontal="left"/>
      <protection/>
    </xf>
    <xf numFmtId="165" fontId="0" fillId="0" borderId="14" xfId="20" applyNumberFormat="1" applyFont="1" applyFill="1" applyBorder="1" applyAlignment="1">
      <alignment horizontal="left"/>
    </xf>
    <xf numFmtId="0" fontId="0" fillId="0" borderId="19" xfId="21" applyFont="1" applyFill="1" applyBorder="1" applyAlignment="1">
      <alignment horizontal="left"/>
      <protection/>
    </xf>
    <xf numFmtId="0" fontId="0" fillId="0" borderId="16" xfId="21" applyFont="1" applyFill="1" applyBorder="1" applyAlignment="1">
      <alignment horizontal="left"/>
      <protection/>
    </xf>
    <xf numFmtId="165" fontId="0" fillId="0" borderId="16" xfId="20" applyNumberFormat="1" applyFont="1" applyFill="1" applyBorder="1" applyAlignment="1">
      <alignment horizontal="left"/>
    </xf>
    <xf numFmtId="165" fontId="0" fillId="0" borderId="21" xfId="20" applyNumberFormat="1" applyFont="1" applyFill="1" applyBorder="1" applyAlignment="1">
      <alignment horizontal="left"/>
    </xf>
    <xf numFmtId="0" fontId="4" fillId="0" borderId="18" xfId="21" applyFont="1" applyBorder="1">
      <alignment/>
      <protection/>
    </xf>
    <xf numFmtId="0" fontId="0" fillId="0" borderId="13" xfId="21" applyFont="1" applyBorder="1">
      <alignment/>
      <protection/>
    </xf>
    <xf numFmtId="0" fontId="0" fillId="0" borderId="17" xfId="21" applyFont="1" applyFill="1" applyBorder="1">
      <alignment/>
      <protection/>
    </xf>
    <xf numFmtId="0" fontId="0" fillId="0" borderId="15" xfId="21" applyFont="1" applyBorder="1">
      <alignment/>
      <protection/>
    </xf>
    <xf numFmtId="0" fontId="0" fillId="0" borderId="19" xfId="21" applyFont="1" applyBorder="1">
      <alignment/>
      <protection/>
    </xf>
    <xf numFmtId="0" fontId="0" fillId="0" borderId="16" xfId="21" applyFont="1" applyBorder="1">
      <alignment/>
      <protection/>
    </xf>
    <xf numFmtId="0" fontId="0" fillId="0" borderId="13" xfId="0" applyBorder="1"/>
    <xf numFmtId="168" fontId="0" fillId="0" borderId="16" xfId="21" applyNumberFormat="1" applyFont="1" applyBorder="1">
      <alignment/>
      <protection/>
    </xf>
    <xf numFmtId="168" fontId="0" fillId="18" borderId="16" xfId="21" applyNumberFormat="1" applyFont="1" applyFill="1" applyBorder="1">
      <alignment/>
      <protection/>
    </xf>
    <xf numFmtId="168" fontId="0" fillId="18" borderId="21" xfId="21" applyNumberFormat="1" applyFont="1" applyFill="1" applyBorder="1">
      <alignment/>
      <protection/>
    </xf>
    <xf numFmtId="165" fontId="7" fillId="0" borderId="37" xfId="16" applyNumberFormat="1" applyFont="1" applyBorder="1"/>
    <xf numFmtId="165" fontId="7" fillId="0" borderId="38" xfId="16" applyNumberFormat="1" applyFont="1" applyBorder="1"/>
    <xf numFmtId="165" fontId="7" fillId="0" borderId="39" xfId="16" applyNumberFormat="1" applyFont="1" applyBorder="1"/>
    <xf numFmtId="165" fontId="7" fillId="0" borderId="22" xfId="16" applyNumberFormat="1" applyFont="1" applyBorder="1"/>
    <xf numFmtId="0" fontId="10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0" fontId="0" fillId="0" borderId="15" xfId="0" applyBorder="1"/>
    <xf numFmtId="0" fontId="0" fillId="0" borderId="19" xfId="0" applyBorder="1"/>
    <xf numFmtId="0" fontId="0" fillId="0" borderId="16" xfId="0" applyBorder="1"/>
    <xf numFmtId="0" fontId="0" fillId="18" borderId="0" xfId="0" applyFill="1" applyBorder="1"/>
    <xf numFmtId="0" fontId="0" fillId="18" borderId="14" xfId="0" applyFill="1" applyBorder="1"/>
    <xf numFmtId="0" fontId="0" fillId="18" borderId="16" xfId="0" applyFill="1" applyBorder="1"/>
    <xf numFmtId="0" fontId="0" fillId="18" borderId="21" xfId="0" applyFill="1" applyBorder="1"/>
    <xf numFmtId="0" fontId="0" fillId="0" borderId="0" xfId="0" applyFont="1"/>
    <xf numFmtId="0" fontId="0" fillId="0" borderId="0" xfId="0" applyAlignment="1">
      <alignment horizontal="centerContinuous"/>
    </xf>
    <xf numFmtId="49" fontId="4" fillId="0" borderId="13" xfId="0" applyNumberFormat="1" applyFont="1" applyFill="1" applyBorder="1" applyAlignment="1">
      <alignment horizontal="left" indent="1"/>
    </xf>
    <xf numFmtId="175" fontId="4" fillId="0" borderId="17" xfId="0" applyNumberFormat="1" applyFont="1" applyFill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indent="1"/>
    </xf>
    <xf numFmtId="41" fontId="7" fillId="0" borderId="0" xfId="16" applyNumberFormat="1" applyFont="1" applyFill="1" applyBorder="1"/>
    <xf numFmtId="41" fontId="13" fillId="0" borderId="0" xfId="16" applyNumberFormat="1" applyFont="1" applyFill="1" applyBorder="1"/>
    <xf numFmtId="41" fontId="0" fillId="0" borderId="0" xfId="16" applyNumberFormat="1" applyFont="1" applyFill="1" applyBorder="1"/>
    <xf numFmtId="41" fontId="12" fillId="0" borderId="0" xfId="16" applyNumberFormat="1" applyFont="1" applyFill="1" applyBorder="1"/>
    <xf numFmtId="41" fontId="0" fillId="18" borderId="0" xfId="0" applyNumberFormat="1" applyFont="1" applyFill="1"/>
    <xf numFmtId="164" fontId="0" fillId="0" borderId="13" xfId="16" applyNumberFormat="1" applyFont="1" applyFill="1" applyBorder="1"/>
    <xf numFmtId="164" fontId="4" fillId="0" borderId="17" xfId="16" applyNumberFormat="1" applyFont="1" applyBorder="1"/>
    <xf numFmtId="164" fontId="4" fillId="0" borderId="14" xfId="16" applyNumberFormat="1" applyFont="1" applyBorder="1"/>
    <xf numFmtId="164" fontId="0" fillId="0" borderId="16" xfId="0" applyNumberFormat="1" applyFont="1" applyBorder="1"/>
    <xf numFmtId="164" fontId="4" fillId="0" borderId="21" xfId="16" applyNumberFormat="1" applyFont="1" applyBorder="1"/>
    <xf numFmtId="164" fontId="0" fillId="0" borderId="16" xfId="16" applyNumberFormat="1" applyFont="1" applyFill="1" applyBorder="1"/>
    <xf numFmtId="43" fontId="0" fillId="0" borderId="0" xfId="0" applyNumberFormat="1" applyFont="1" applyFill="1"/>
    <xf numFmtId="0" fontId="6" fillId="0" borderId="0" xfId="0" applyFont="1" applyFill="1"/>
    <xf numFmtId="0" fontId="31" fillId="0" borderId="0" xfId="0" applyFont="1" applyFill="1"/>
    <xf numFmtId="0" fontId="4" fillId="0" borderId="18" xfId="0" applyFont="1" applyBorder="1"/>
    <xf numFmtId="164" fontId="0" fillId="0" borderId="16" xfId="16" applyNumberFormat="1" applyFont="1" applyFill="1" applyBorder="1" applyAlignment="1">
      <alignment horizontal="right"/>
    </xf>
    <xf numFmtId="0" fontId="4" fillId="8" borderId="32" xfId="0" applyFont="1" applyFill="1" applyBorder="1" applyAlignment="1" quotePrefix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30" xfId="0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0" fillId="0" borderId="31" xfId="0" applyFont="1" applyFill="1" applyBorder="1" applyAlignment="1">
      <alignment horizontal="center"/>
    </xf>
    <xf numFmtId="0" fontId="0" fillId="0" borderId="27" xfId="0" applyFont="1" applyFill="1" applyBorder="1"/>
    <xf numFmtId="0" fontId="0" fillId="0" borderId="28" xfId="0" applyFont="1" applyFill="1" applyBorder="1"/>
    <xf numFmtId="41" fontId="12" fillId="0" borderId="0" xfId="18" applyNumberFormat="1" applyFont="1" applyFill="1" applyBorder="1" applyAlignment="1">
      <alignment horizontal="center"/>
    </xf>
    <xf numFmtId="41" fontId="12" fillId="0" borderId="0" xfId="0" applyNumberFormat="1" applyFont="1" applyBorder="1"/>
    <xf numFmtId="165" fontId="23" fillId="0" borderId="0" xfId="18" applyNumberFormat="1" applyFont="1" applyFill="1" applyBorder="1" applyAlignment="1">
      <alignment horizontal="center"/>
    </xf>
    <xf numFmtId="0" fontId="0" fillId="0" borderId="27" xfId="0" applyFont="1" applyFill="1" applyBorder="1" applyAlignment="1" quotePrefix="1">
      <alignment horizontal="center"/>
    </xf>
    <xf numFmtId="0" fontId="0" fillId="0" borderId="28" xfId="0" applyFont="1" applyFill="1" applyBorder="1" applyAlignment="1" quotePrefix="1">
      <alignment horizontal="center"/>
    </xf>
    <xf numFmtId="165" fontId="12" fillId="0" borderId="0" xfId="18" applyNumberFormat="1" applyFont="1" applyBorder="1"/>
    <xf numFmtId="0" fontId="33" fillId="0" borderId="0" xfId="0" applyFont="1" applyBorder="1"/>
    <xf numFmtId="0" fontId="14" fillId="0" borderId="0" xfId="0" applyFont="1" applyBorder="1" applyAlignment="1" quotePrefix="1">
      <alignment horizontal="left"/>
    </xf>
    <xf numFmtId="0" fontId="14" fillId="0" borderId="0" xfId="0" applyFont="1" applyBorder="1" applyAlignment="1">
      <alignment horizontal="left"/>
    </xf>
    <xf numFmtId="173" fontId="0" fillId="0" borderId="0" xfId="0" applyNumberFormat="1" applyFont="1" applyFill="1" applyBorder="1"/>
    <xf numFmtId="165" fontId="4" fillId="0" borderId="27" xfId="18" applyNumberFormat="1" applyFont="1" applyFill="1" applyBorder="1" applyProtection="1">
      <protection locked="0"/>
    </xf>
    <xf numFmtId="165" fontId="4" fillId="0" borderId="26" xfId="18" applyNumberFormat="1" applyFont="1" applyFill="1" applyBorder="1"/>
    <xf numFmtId="165" fontId="0" fillId="0" borderId="26" xfId="0" applyNumberFormat="1" applyFont="1" applyFill="1" applyBorder="1"/>
    <xf numFmtId="165" fontId="4" fillId="0" borderId="27" xfId="18" applyNumberFormat="1" applyFont="1" applyBorder="1" applyProtection="1">
      <protection locked="0"/>
    </xf>
    <xf numFmtId="165" fontId="4" fillId="0" borderId="26" xfId="18" applyNumberFormat="1" applyFont="1" applyBorder="1" applyProtection="1">
      <protection locked="0"/>
    </xf>
    <xf numFmtId="166" fontId="4" fillId="0" borderId="30" xfId="15" applyNumberFormat="1" applyFont="1" applyFill="1" applyBorder="1" applyAlignment="1" applyProtection="1">
      <alignment horizontal="right"/>
      <protection locked="0"/>
    </xf>
    <xf numFmtId="165" fontId="4" fillId="8" borderId="28" xfId="18" applyNumberFormat="1" applyFont="1" applyFill="1" applyBorder="1"/>
    <xf numFmtId="165" fontId="4" fillId="8" borderId="26" xfId="18" applyNumberFormat="1" applyFont="1" applyFill="1" applyBorder="1"/>
    <xf numFmtId="165" fontId="4" fillId="8" borderId="32" xfId="18" applyNumberFormat="1" applyFont="1" applyFill="1" applyBorder="1" applyAlignment="1" applyProtection="1">
      <alignment horizontal="center"/>
      <protection locked="0"/>
    </xf>
    <xf numFmtId="0" fontId="0" fillId="0" borderId="17" xfId="0" applyBorder="1"/>
    <xf numFmtId="165" fontId="0" fillId="0" borderId="0" xfId="18" applyNumberFormat="1" applyFont="1" applyBorder="1"/>
    <xf numFmtId="0" fontId="0" fillId="0" borderId="0" xfId="0" applyFont="1" applyBorder="1"/>
    <xf numFmtId="0" fontId="0" fillId="0" borderId="0" xfId="0" applyFont="1" applyBorder="1" applyAlignment="1" quotePrefix="1">
      <alignment/>
    </xf>
    <xf numFmtId="0" fontId="0" fillId="0" borderId="0" xfId="0" applyFont="1" applyBorder="1" applyAlignment="1">
      <alignment/>
    </xf>
    <xf numFmtId="0" fontId="0" fillId="0" borderId="16" xfId="0" applyFont="1" applyBorder="1"/>
    <xf numFmtId="165" fontId="0" fillId="0" borderId="16" xfId="18" applyNumberFormat="1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2" fillId="8" borderId="11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2" fillId="0" borderId="0" xfId="0" applyFont="1" applyFill="1" applyBorder="1" applyAlignment="1" quotePrefix="1">
      <alignment horizontal="left"/>
    </xf>
    <xf numFmtId="0" fontId="2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/>
    </xf>
    <xf numFmtId="0" fontId="2" fillId="0" borderId="0" xfId="0" applyFont="1" applyBorder="1" applyAlignment="1" quotePrefix="1">
      <alignment horizontal="center"/>
    </xf>
    <xf numFmtId="0" fontId="2" fillId="8" borderId="11" xfId="0" applyFont="1" applyFill="1" applyBorder="1" applyAlignment="1" quotePrefix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Fill="1" applyBorder="1" applyAlignment="1">
      <alignment horizontal="center"/>
    </xf>
    <xf numFmtId="0" fontId="38" fillId="0" borderId="0" xfId="0" applyFont="1"/>
    <xf numFmtId="0" fontId="25" fillId="0" borderId="0" xfId="0" applyFont="1" applyFill="1" applyBorder="1"/>
    <xf numFmtId="0" fontId="2" fillId="0" borderId="0" xfId="0" applyFont="1" applyAlignment="1">
      <alignment horizontal="centerContinuous"/>
    </xf>
    <xf numFmtId="0" fontId="25" fillId="0" borderId="0" xfId="0" applyFont="1" applyFill="1" applyBorder="1" applyAlignment="1" quotePrefix="1">
      <alignment horizontal="left"/>
    </xf>
    <xf numFmtId="165" fontId="25" fillId="0" borderId="0" xfId="18" applyNumberFormat="1" applyFont="1" applyFill="1" applyBorder="1"/>
    <xf numFmtId="0" fontId="25" fillId="0" borderId="0" xfId="0" applyFont="1" applyFill="1" applyBorder="1" applyAlignment="1">
      <alignment horizontal="left"/>
    </xf>
    <xf numFmtId="0" fontId="25" fillId="0" borderId="0" xfId="0" applyFont="1" applyFill="1" applyBorder="1" applyAlignment="1" quotePrefix="1">
      <alignment horizontal="left" indent="1"/>
    </xf>
    <xf numFmtId="0" fontId="25" fillId="0" borderId="0" xfId="0" applyFont="1" applyFill="1" applyBorder="1" applyAlignment="1">
      <alignment horizontal="left" indent="1"/>
    </xf>
    <xf numFmtId="0" fontId="38" fillId="0" borderId="0" xfId="0" applyFont="1" applyFill="1" applyBorder="1"/>
    <xf numFmtId="0" fontId="39" fillId="0" borderId="0" xfId="0" applyFont="1"/>
    <xf numFmtId="0" fontId="2" fillId="8" borderId="26" xfId="0" applyFont="1" applyFill="1" applyBorder="1" applyAlignment="1">
      <alignment horizontal="center"/>
    </xf>
    <xf numFmtId="165" fontId="2" fillId="0" borderId="0" xfId="18" applyNumberFormat="1" applyFont="1" applyFill="1" applyBorder="1"/>
    <xf numFmtId="0" fontId="4" fillId="0" borderId="23" xfId="21" applyFont="1" applyBorder="1">
      <alignment/>
      <protection/>
    </xf>
    <xf numFmtId="0" fontId="0" fillId="0" borderId="24" xfId="21" applyFont="1" applyBorder="1">
      <alignment/>
      <protection/>
    </xf>
    <xf numFmtId="165" fontId="0" fillId="0" borderId="24" xfId="20" applyNumberFormat="1" applyFont="1" applyFill="1" applyBorder="1"/>
    <xf numFmtId="165" fontId="0" fillId="0" borderId="25" xfId="20" applyNumberFormat="1" applyFont="1" applyFill="1" applyBorder="1"/>
    <xf numFmtId="165" fontId="0" fillId="0" borderId="14" xfId="18" applyNumberFormat="1" applyFont="1" applyBorder="1"/>
    <xf numFmtId="165" fontId="0" fillId="0" borderId="21" xfId="18" applyNumberFormat="1" applyFont="1" applyBorder="1"/>
    <xf numFmtId="0" fontId="16" fillId="0" borderId="0" xfId="0" applyFont="1" applyFill="1"/>
    <xf numFmtId="3" fontId="19" fillId="0" borderId="0" xfId="0" applyNumberFormat="1" applyFont="1" applyFill="1" applyBorder="1"/>
    <xf numFmtId="175" fontId="0" fillId="0" borderId="0" xfId="0" applyNumberFormat="1" applyFill="1"/>
    <xf numFmtId="174" fontId="0" fillId="0" borderId="13" xfId="18" applyNumberFormat="1" applyFont="1" applyFill="1" applyBorder="1"/>
    <xf numFmtId="179" fontId="0" fillId="0" borderId="13" xfId="0" applyNumberFormat="1" applyFont="1" applyFill="1" applyBorder="1" applyAlignment="1">
      <alignment horizontal="center"/>
    </xf>
    <xf numFmtId="37" fontId="0" fillId="0" borderId="13" xfId="0" applyNumberFormat="1" applyFont="1" applyBorder="1"/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Protection="1">
      <protection locked="0"/>
    </xf>
    <xf numFmtId="41" fontId="0" fillId="0" borderId="0" xfId="0" applyNumberFormat="1"/>
    <xf numFmtId="165" fontId="0" fillId="0" borderId="13" xfId="18" applyNumberFormat="1" applyFont="1" applyFill="1" applyBorder="1"/>
    <xf numFmtId="165" fontId="0" fillId="0" borderId="0" xfId="18" applyNumberFormat="1" applyFont="1" applyFill="1" applyBorder="1"/>
    <xf numFmtId="41" fontId="0" fillId="0" borderId="0" xfId="16" applyNumberFormat="1" applyFont="1" applyFill="1" applyBorder="1"/>
    <xf numFmtId="164" fontId="0" fillId="0" borderId="0" xfId="16" applyNumberFormat="1" applyFont="1" applyFill="1" applyBorder="1"/>
    <xf numFmtId="164" fontId="0" fillId="0" borderId="13" xfId="16" applyNumberFormat="1" applyFont="1" applyFill="1" applyBorder="1"/>
    <xf numFmtId="0" fontId="0" fillId="0" borderId="0" xfId="0" applyFont="1" applyBorder="1" applyAlignment="1">
      <alignment horizontal="center"/>
    </xf>
    <xf numFmtId="164" fontId="23" fillId="0" borderId="14" xfId="16" applyNumberFormat="1" applyFont="1" applyFill="1" applyBorder="1"/>
    <xf numFmtId="164" fontId="4" fillId="0" borderId="14" xfId="16" applyNumberFormat="1" applyFont="1" applyFill="1" applyBorder="1"/>
    <xf numFmtId="43" fontId="19" fillId="0" borderId="0" xfId="0" applyNumberFormat="1" applyFont="1"/>
    <xf numFmtId="0" fontId="0" fillId="0" borderId="0" xfId="0" applyFont="1" applyFill="1" applyBorder="1" applyAlignment="1" applyProtection="1">
      <alignment horizontal="right"/>
      <protection locked="0"/>
    </xf>
    <xf numFmtId="0" fontId="0" fillId="0" borderId="0" xfId="0" applyFont="1" applyFill="1"/>
    <xf numFmtId="165" fontId="0" fillId="0" borderId="0" xfId="18" applyNumberFormat="1" applyFont="1" applyBorder="1"/>
    <xf numFmtId="0" fontId="2" fillId="8" borderId="26" xfId="0" applyFont="1" applyFill="1" applyBorder="1" applyAlignment="1" quotePrefix="1">
      <alignment horizontal="center"/>
    </xf>
    <xf numFmtId="0" fontId="2" fillId="19" borderId="18" xfId="0" applyFont="1" applyFill="1" applyBorder="1" applyAlignment="1">
      <alignment horizontal="center"/>
    </xf>
    <xf numFmtId="0" fontId="2" fillId="19" borderId="15" xfId="0" applyFont="1" applyFill="1" applyBorder="1" applyAlignment="1">
      <alignment horizontal="center"/>
    </xf>
    <xf numFmtId="0" fontId="2" fillId="19" borderId="37" xfId="0" applyFont="1" applyFill="1" applyBorder="1"/>
    <xf numFmtId="0" fontId="2" fillId="19" borderId="39" xfId="0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2" fillId="0" borderId="0" xfId="0" applyFont="1" applyAlignment="1">
      <alignment/>
    </xf>
    <xf numFmtId="0" fontId="2" fillId="8" borderId="40" xfId="0" applyFont="1" applyFill="1" applyBorder="1" applyAlignment="1">
      <alignment horizontal="center"/>
    </xf>
    <xf numFmtId="0" fontId="2" fillId="17" borderId="41" xfId="0" applyFont="1" applyFill="1" applyBorder="1" applyAlignment="1">
      <alignment horizontal="center"/>
    </xf>
    <xf numFmtId="0" fontId="2" fillId="8" borderId="41" xfId="0" applyFont="1" applyFill="1" applyBorder="1" applyAlignment="1" quotePrefix="1">
      <alignment horizontal="center"/>
    </xf>
    <xf numFmtId="0" fontId="2" fillId="8" borderId="42" xfId="0" applyFont="1" applyFill="1" applyBorder="1" applyAlignment="1" quotePrefix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42" xfId="0" applyFont="1" applyFill="1" applyBorder="1" applyAlignment="1">
      <alignment horizontal="center"/>
    </xf>
    <xf numFmtId="0" fontId="2" fillId="8" borderId="43" xfId="0" applyFont="1" applyFill="1" applyBorder="1" applyAlignment="1">
      <alignment horizontal="center"/>
    </xf>
    <xf numFmtId="165" fontId="2" fillId="0" borderId="0" xfId="18" applyNumberFormat="1" applyFont="1" applyFill="1" applyBorder="1" applyAlignment="1">
      <alignment horizontal="left"/>
    </xf>
    <xf numFmtId="0" fontId="25" fillId="0" borderId="0" xfId="0" applyFont="1" applyBorder="1"/>
    <xf numFmtId="0" fontId="25" fillId="0" borderId="0" xfId="0" applyFont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165" fontId="2" fillId="0" borderId="16" xfId="18" applyNumberFormat="1" applyFont="1" applyFill="1" applyBorder="1"/>
    <xf numFmtId="0" fontId="39" fillId="0" borderId="0" xfId="0" applyFont="1" applyBorder="1"/>
    <xf numFmtId="165" fontId="2" fillId="0" borderId="0" xfId="0" applyNumberFormat="1" applyFont="1" applyFill="1" applyBorder="1" applyAlignment="1">
      <alignment horizontal="left"/>
    </xf>
    <xf numFmtId="165" fontId="16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5" fontId="0" fillId="0" borderId="0" xfId="0" applyNumberFormat="1" applyFont="1"/>
    <xf numFmtId="0" fontId="0" fillId="0" borderId="0" xfId="0" applyFont="1" applyFill="1" applyBorder="1"/>
    <xf numFmtId="41" fontId="0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quotePrefix="1">
      <alignment horizontal="left"/>
    </xf>
    <xf numFmtId="0" fontId="0" fillId="0" borderId="0" xfId="0" applyFont="1" applyFill="1" applyBorder="1" applyAlignment="1">
      <alignment horizontal="left"/>
    </xf>
    <xf numFmtId="41" fontId="0" fillId="0" borderId="16" xfId="0" applyNumberFormat="1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>
      <alignment/>
    </xf>
    <xf numFmtId="0" fontId="0" fillId="0" borderId="0" xfId="0" applyFont="1" applyAlignment="1">
      <alignment horizontal="right"/>
    </xf>
    <xf numFmtId="0" fontId="0" fillId="0" borderId="0" xfId="0" applyFont="1" applyBorder="1" applyProtection="1">
      <protection locked="0"/>
    </xf>
    <xf numFmtId="0" fontId="0" fillId="8" borderId="10" xfId="0" applyFont="1" applyFill="1" applyBorder="1" applyAlignment="1">
      <alignment horizontal="center"/>
    </xf>
    <xf numFmtId="0" fontId="0" fillId="8" borderId="10" xfId="0" applyFont="1" applyFill="1" applyBorder="1"/>
    <xf numFmtId="0" fontId="0" fillId="8" borderId="28" xfId="0" applyFont="1" applyFill="1" applyBorder="1"/>
    <xf numFmtId="0" fontId="0" fillId="8" borderId="27" xfId="0" applyFont="1" applyFill="1" applyBorder="1" applyAlignment="1">
      <alignment horizontal="centerContinuous"/>
    </xf>
    <xf numFmtId="0" fontId="0" fillId="8" borderId="28" xfId="0" applyFont="1" applyFill="1" applyBorder="1" applyAlignment="1">
      <alignment horizontal="centerContinuous"/>
    </xf>
    <xf numFmtId="0" fontId="0" fillId="8" borderId="11" xfId="0" applyFont="1" applyFill="1" applyBorder="1" applyAlignment="1">
      <alignment horizontal="center"/>
    </xf>
    <xf numFmtId="0" fontId="0" fillId="8" borderId="29" xfId="0" applyFont="1" applyFill="1" applyBorder="1" applyAlignment="1">
      <alignment horizontal="center"/>
    </xf>
    <xf numFmtId="0" fontId="0" fillId="8" borderId="27" xfId="0" applyFont="1" applyFill="1" applyBorder="1" applyAlignment="1">
      <alignment horizontal="center"/>
    </xf>
    <xf numFmtId="0" fontId="0" fillId="8" borderId="26" xfId="0" applyFont="1" applyFill="1" applyBorder="1" applyAlignment="1">
      <alignment horizontal="center"/>
    </xf>
    <xf numFmtId="0" fontId="0" fillId="8" borderId="12" xfId="0" applyFont="1" applyFill="1" applyBorder="1" applyAlignment="1">
      <alignment horizontal="center"/>
    </xf>
    <xf numFmtId="0" fontId="0" fillId="8" borderId="30" xfId="0" applyFont="1" applyFill="1" applyBorder="1" applyAlignment="1">
      <alignment horizontal="center"/>
    </xf>
    <xf numFmtId="0" fontId="0" fillId="0" borderId="20" xfId="0" applyFont="1" applyFill="1" applyBorder="1" applyProtection="1">
      <protection locked="0"/>
    </xf>
    <xf numFmtId="0" fontId="0" fillId="0" borderId="0" xfId="0" applyFont="1" applyFill="1" applyBorder="1" applyAlignment="1" applyProtection="1" quotePrefix="1">
      <alignment horizontal="left"/>
      <protection locked="0"/>
    </xf>
    <xf numFmtId="165" fontId="0" fillId="0" borderId="0" xfId="0" applyNumberFormat="1" applyFont="1" applyFill="1"/>
    <xf numFmtId="165" fontId="0" fillId="0" borderId="0" xfId="18" applyNumberFormat="1" applyFont="1" applyFill="1" applyBorder="1" applyAlignment="1" quotePrefix="1">
      <alignment horizontal="center"/>
    </xf>
    <xf numFmtId="10" fontId="0" fillId="0" borderId="0" xfId="15" applyNumberFormat="1" applyFont="1" applyFill="1" applyBorder="1"/>
    <xf numFmtId="166" fontId="0" fillId="0" borderId="0" xfId="15" applyNumberFormat="1" applyFont="1" applyFill="1" applyBorder="1"/>
    <xf numFmtId="0" fontId="0" fillId="0" borderId="20" xfId="0" applyFont="1" applyFill="1" applyBorder="1"/>
    <xf numFmtId="0" fontId="0" fillId="0" borderId="20" xfId="0" applyFont="1" applyFill="1" applyBorder="1" applyAlignment="1">
      <alignment horizontal="center"/>
    </xf>
    <xf numFmtId="37" fontId="0" fillId="0" borderId="20" xfId="0" applyNumberFormat="1" applyFont="1" applyFill="1" applyBorder="1" applyAlignment="1" quotePrefix="1">
      <alignment horizontal="center"/>
    </xf>
    <xf numFmtId="0" fontId="0" fillId="0" borderId="13" xfId="0" applyFont="1" applyFill="1" applyBorder="1" applyAlignment="1">
      <alignment horizontal="centerContinuous"/>
    </xf>
    <xf numFmtId="164" fontId="0" fillId="0" borderId="13" xfId="0" applyNumberFormat="1" applyFont="1" applyFill="1" applyBorder="1" applyAlignment="1">
      <alignment horizontal="center"/>
    </xf>
    <xf numFmtId="164" fontId="4" fillId="0" borderId="17" xfId="16" applyNumberFormat="1" applyFont="1" applyFill="1" applyBorder="1"/>
    <xf numFmtId="43" fontId="0" fillId="0" borderId="0" xfId="18" applyNumberFormat="1" applyFont="1" applyFill="1" applyAlignment="1">
      <alignment horizontal="right"/>
    </xf>
    <xf numFmtId="165" fontId="7" fillId="0" borderId="37" xfId="16" applyNumberFormat="1" applyFont="1" applyFill="1" applyBorder="1"/>
    <xf numFmtId="41" fontId="0" fillId="0" borderId="0" xfId="0" applyNumberFormat="1" applyFont="1" applyFill="1" applyBorder="1" applyAlignment="1">
      <alignment horizontal="center"/>
    </xf>
    <xf numFmtId="165" fontId="7" fillId="0" borderId="38" xfId="16" applyNumberFormat="1" applyFont="1" applyFill="1" applyBorder="1"/>
    <xf numFmtId="5" fontId="0" fillId="0" borderId="0" xfId="16" applyNumberFormat="1" applyFont="1" applyFill="1" applyBorder="1"/>
    <xf numFmtId="4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Continuous" vertical="center"/>
    </xf>
    <xf numFmtId="5" fontId="12" fillId="0" borderId="0" xfId="16" applyNumberFormat="1" applyFont="1" applyFill="1" applyBorder="1"/>
    <xf numFmtId="164" fontId="0" fillId="0" borderId="16" xfId="0" applyNumberFormat="1" applyFont="1" applyFill="1" applyBorder="1" applyAlignment="1">
      <alignment horizontal="center"/>
    </xf>
    <xf numFmtId="164" fontId="4" fillId="0" borderId="21" xfId="16" applyNumberFormat="1" applyFont="1" applyFill="1" applyBorder="1"/>
    <xf numFmtId="0" fontId="4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165" fontId="0" fillId="0" borderId="0" xfId="0" applyNumberFormat="1" applyFont="1" applyFill="1" applyBorder="1"/>
    <xf numFmtId="41" fontId="0" fillId="0" borderId="0" xfId="0" applyNumberFormat="1" applyFont="1" applyFill="1" applyBorder="1"/>
    <xf numFmtId="165" fontId="0" fillId="0" borderId="0" xfId="0" applyNumberFormat="1" applyFont="1" applyBorder="1"/>
    <xf numFmtId="165" fontId="0" fillId="0" borderId="0" xfId="20" applyNumberFormat="1" applyFont="1" applyFill="1" applyBorder="1"/>
    <xf numFmtId="165" fontId="4" fillId="0" borderId="0" xfId="20" applyNumberFormat="1" applyFont="1" applyFill="1" applyBorder="1"/>
    <xf numFmtId="0" fontId="4" fillId="0" borderId="0" xfId="0" applyFont="1" applyFill="1" applyBorder="1" applyAlignment="1">
      <alignment horizontal="center"/>
    </xf>
    <xf numFmtId="180" fontId="0" fillId="0" borderId="13" xfId="18" applyNumberFormat="1" applyFont="1" applyFill="1" applyBorder="1"/>
    <xf numFmtId="180" fontId="4" fillId="0" borderId="17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Continuous"/>
    </xf>
    <xf numFmtId="39" fontId="0" fillId="0" borderId="0" xfId="16" applyNumberFormat="1" applyFont="1" applyFill="1" applyBorder="1"/>
    <xf numFmtId="22" fontId="0" fillId="0" borderId="0" xfId="0" applyNumberFormat="1" applyFont="1" applyFill="1" applyBorder="1" applyAlignment="1">
      <alignment horizontal="centerContinuous"/>
    </xf>
    <xf numFmtId="22" fontId="41" fillId="0" borderId="0" xfId="0" applyNumberFormat="1" applyFont="1" applyFill="1" applyBorder="1" applyAlignment="1">
      <alignment horizontal="centerContinuous"/>
    </xf>
    <xf numFmtId="37" fontId="4" fillId="0" borderId="0" xfId="0" applyNumberFormat="1" applyFont="1" applyFill="1" applyBorder="1" applyAlignment="1">
      <alignment horizontal="centerContinuous"/>
    </xf>
    <xf numFmtId="37" fontId="4" fillId="0" borderId="0" xfId="22" applyFont="1" applyFill="1" applyBorder="1" applyAlignment="1" applyProtection="1">
      <alignment horizontal="centerContinuous"/>
      <protection locked="0"/>
    </xf>
    <xf numFmtId="37" fontId="42" fillId="0" borderId="0" xfId="0" applyNumberFormat="1" applyFont="1" applyFill="1" applyBorder="1"/>
    <xf numFmtId="37" fontId="4" fillId="0" borderId="0" xfId="22" applyFont="1" applyFill="1" applyBorder="1" applyAlignment="1" applyProtection="1">
      <alignment horizontal="center"/>
      <protection/>
    </xf>
    <xf numFmtId="37" fontId="4" fillId="0" borderId="36" xfId="22" applyFont="1" applyFill="1" applyBorder="1" applyAlignment="1" applyProtection="1">
      <alignment horizontal="center"/>
      <protection/>
    </xf>
    <xf numFmtId="37" fontId="4" fillId="0" borderId="36" xfId="22" applyFont="1" applyFill="1" applyBorder="1" applyAlignment="1" applyProtection="1">
      <alignment horizontal="center"/>
      <protection locked="0"/>
    </xf>
    <xf numFmtId="37" fontId="14" fillId="0" borderId="0" xfId="22" applyFont="1" applyFill="1" applyBorder="1" applyAlignment="1" applyProtection="1">
      <alignment horizontal="center"/>
      <protection/>
    </xf>
    <xf numFmtId="37" fontId="0" fillId="0" borderId="0" xfId="22" applyFont="1" applyFill="1" applyBorder="1" applyAlignment="1" applyProtection="1">
      <alignment horizontal="center"/>
      <protection locked="0"/>
    </xf>
    <xf numFmtId="37" fontId="0" fillId="0" borderId="0" xfId="22" applyFont="1" applyFill="1" applyBorder="1" applyAlignment="1" applyProtection="1">
      <alignment horizontal="center"/>
      <protection/>
    </xf>
    <xf numFmtId="37" fontId="4" fillId="0" borderId="0" xfId="22" applyFont="1" applyFill="1" applyBorder="1" applyProtection="1">
      <alignment/>
      <protection/>
    </xf>
    <xf numFmtId="41" fontId="4" fillId="0" borderId="0" xfId="16" applyNumberFormat="1" applyFont="1" applyFill="1" applyBorder="1" applyProtection="1">
      <protection/>
    </xf>
    <xf numFmtId="10" fontId="4" fillId="0" borderId="0" xfId="15" applyNumberFormat="1" applyFont="1" applyFill="1" applyBorder="1" applyAlignment="1" applyProtection="1">
      <alignment horizontal="center"/>
      <protection/>
    </xf>
    <xf numFmtId="37" fontId="0" fillId="0" borderId="0" xfId="22" applyFont="1" applyFill="1" applyBorder="1" applyProtection="1">
      <alignment/>
      <protection/>
    </xf>
    <xf numFmtId="41" fontId="0" fillId="0" borderId="0" xfId="16" applyNumberFormat="1" applyFont="1" applyFill="1" applyBorder="1" applyProtection="1">
      <protection/>
    </xf>
    <xf numFmtId="10" fontId="0" fillId="0" borderId="0" xfId="15" applyNumberFormat="1" applyFont="1" applyFill="1" applyBorder="1" applyAlignment="1" applyProtection="1">
      <alignment horizontal="center"/>
      <protection/>
    </xf>
    <xf numFmtId="37" fontId="0" fillId="0" borderId="0" xfId="22" applyFont="1" applyFill="1" applyBorder="1" applyAlignment="1" applyProtection="1">
      <alignment horizontal="left"/>
      <protection/>
    </xf>
    <xf numFmtId="42" fontId="0" fillId="0" borderId="16" xfId="16" applyNumberFormat="1" applyFont="1" applyFill="1" applyBorder="1"/>
    <xf numFmtId="42" fontId="4" fillId="0" borderId="0" xfId="16" applyNumberFormat="1" applyFont="1" applyFill="1" applyBorder="1"/>
    <xf numFmtId="5" fontId="4" fillId="0" borderId="0" xfId="16" applyNumberFormat="1" applyFont="1" applyFill="1" applyBorder="1"/>
    <xf numFmtId="42" fontId="0" fillId="0" borderId="0" xfId="16" applyNumberFormat="1" applyFont="1" applyFill="1" applyBorder="1" applyProtection="1">
      <protection/>
    </xf>
    <xf numFmtId="6" fontId="0" fillId="0" borderId="0" xfId="16" applyNumberFormat="1" applyFont="1" applyFill="1" applyBorder="1" applyProtection="1">
      <protection/>
    </xf>
    <xf numFmtId="41" fontId="12" fillId="0" borderId="0" xfId="16" applyNumberFormat="1" applyFont="1" applyFill="1" applyBorder="1" applyProtection="1">
      <protection/>
    </xf>
    <xf numFmtId="6" fontId="12" fillId="0" borderId="0" xfId="16" applyNumberFormat="1" applyFont="1" applyFill="1" applyBorder="1" applyProtection="1">
      <protection/>
    </xf>
    <xf numFmtId="42" fontId="4" fillId="0" borderId="0" xfId="16" applyNumberFormat="1" applyFont="1" applyFill="1" applyBorder="1" applyProtection="1">
      <protection/>
    </xf>
    <xf numFmtId="6" fontId="4" fillId="0" borderId="0" xfId="16" applyNumberFormat="1" applyFont="1" applyFill="1" applyBorder="1" applyProtection="1">
      <protection/>
    </xf>
    <xf numFmtId="177" fontId="0" fillId="0" borderId="13" xfId="18" applyNumberFormat="1" applyFont="1" applyFill="1" applyBorder="1"/>
    <xf numFmtId="2" fontId="43" fillId="0" borderId="0" xfId="0" applyNumberFormat="1" applyFont="1" applyFill="1" applyBorder="1" applyAlignment="1">
      <alignment horizontal="center"/>
    </xf>
    <xf numFmtId="165" fontId="0" fillId="0" borderId="0" xfId="18" applyNumberFormat="1" applyFont="1" applyFill="1" applyBorder="1" applyAlignment="1">
      <alignment horizontal="center"/>
    </xf>
    <xf numFmtId="6" fontId="0" fillId="0" borderId="0" xfId="0" applyNumberFormat="1" applyFont="1" applyFill="1" applyBorder="1"/>
    <xf numFmtId="164" fontId="19" fillId="0" borderId="0" xfId="0" applyNumberFormat="1" applyFont="1" applyBorder="1"/>
    <xf numFmtId="41" fontId="23" fillId="0" borderId="0" xfId="16" applyNumberFormat="1" applyFont="1" applyFill="1" applyBorder="1" applyProtection="1">
      <protection/>
    </xf>
    <xf numFmtId="10" fontId="4" fillId="0" borderId="0" xfId="22" applyNumberFormat="1" applyFont="1" applyFill="1" applyBorder="1" applyAlignment="1" applyProtection="1">
      <alignment horizontal="center"/>
      <protection/>
    </xf>
    <xf numFmtId="10" fontId="0" fillId="0" borderId="0" xfId="0" applyNumberFormat="1" applyFont="1" applyFill="1" applyBorder="1"/>
    <xf numFmtId="3" fontId="0" fillId="0" borderId="0" xfId="0" applyNumberFormat="1" applyFont="1" applyFill="1" applyBorder="1"/>
    <xf numFmtId="165" fontId="5" fillId="0" borderId="0" xfId="0" applyNumberFormat="1" applyFont="1" applyFill="1" applyBorder="1"/>
    <xf numFmtId="164" fontId="4" fillId="0" borderId="0" xfId="16" applyNumberFormat="1" applyFont="1" applyFill="1" applyBorder="1" applyAlignment="1">
      <alignment horizontal="right"/>
    </xf>
    <xf numFmtId="0" fontId="37" fillId="8" borderId="43" xfId="0" applyFont="1" applyFill="1" applyBorder="1" applyAlignment="1" quotePrefix="1">
      <alignment horizontal="left"/>
    </xf>
    <xf numFmtId="0" fontId="2" fillId="8" borderId="11" xfId="0" applyFont="1" applyFill="1" applyBorder="1"/>
    <xf numFmtId="0" fontId="2" fillId="8" borderId="26" xfId="0" applyFont="1" applyFill="1" applyBorder="1"/>
    <xf numFmtId="0" fontId="2" fillId="19" borderId="15" xfId="0" applyFont="1" applyFill="1" applyBorder="1"/>
    <xf numFmtId="0" fontId="2" fillId="0" borderId="0" xfId="0" applyFont="1" applyFill="1" applyBorder="1" applyAlignment="1">
      <alignment horizontal="right"/>
    </xf>
    <xf numFmtId="0" fontId="39" fillId="0" borderId="18" xfId="0" applyFont="1" applyBorder="1"/>
    <xf numFmtId="0" fontId="37" fillId="0" borderId="13" xfId="0" applyFont="1" applyFill="1" applyBorder="1"/>
    <xf numFmtId="0" fontId="2" fillId="0" borderId="13" xfId="0" applyFont="1" applyFill="1" applyBorder="1"/>
    <xf numFmtId="0" fontId="39" fillId="0" borderId="15" xfId="0" applyFont="1" applyBorder="1"/>
    <xf numFmtId="0" fontId="39" fillId="0" borderId="15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165" fontId="44" fillId="0" borderId="0" xfId="18" applyNumberFormat="1" applyFont="1" applyFill="1" applyBorder="1" applyAlignment="1">
      <alignment horizontal="left"/>
    </xf>
    <xf numFmtId="165" fontId="44" fillId="0" borderId="0" xfId="18" applyNumberFormat="1" applyFont="1" applyFill="1" applyBorder="1"/>
    <xf numFmtId="0" fontId="4" fillId="0" borderId="0" xfId="0" applyFont="1" applyFill="1" applyBorder="1" applyAlignment="1">
      <alignment horizontal="center"/>
    </xf>
    <xf numFmtId="43" fontId="0" fillId="0" borderId="0" xfId="0" applyNumberFormat="1" applyFont="1" applyFill="1" applyBorder="1"/>
    <xf numFmtId="41" fontId="0" fillId="0" borderId="0" xfId="0" applyNumberFormat="1" applyFont="1" applyFill="1"/>
    <xf numFmtId="165" fontId="0" fillId="0" borderId="0" xfId="0" applyNumberFormat="1" applyFill="1"/>
    <xf numFmtId="0" fontId="16" fillId="0" borderId="0" xfId="0" applyFont="1" applyFill="1" applyBorder="1"/>
    <xf numFmtId="0" fontId="2" fillId="19" borderId="38" xfId="0" applyFont="1" applyFill="1" applyBorder="1"/>
    <xf numFmtId="0" fontId="25" fillId="17" borderId="37" xfId="0" applyFont="1" applyFill="1" applyBorder="1" applyAlignment="1" quotePrefix="1">
      <alignment horizontal="center"/>
    </xf>
    <xf numFmtId="0" fontId="25" fillId="17" borderId="39" xfId="0" applyFont="1" applyFill="1" applyBorder="1" applyAlignment="1" quotePrefix="1">
      <alignment horizontal="center"/>
    </xf>
    <xf numFmtId="0" fontId="25" fillId="17" borderId="38" xfId="0" applyFont="1" applyFill="1" applyBorder="1" applyAlignment="1" quotePrefix="1">
      <alignment horizontal="center"/>
    </xf>
    <xf numFmtId="0" fontId="39" fillId="0" borderId="14" xfId="0" applyFont="1" applyBorder="1"/>
    <xf numFmtId="0" fontId="39" fillId="0" borderId="21" xfId="0" applyFont="1" applyBorder="1"/>
    <xf numFmtId="165" fontId="39" fillId="0" borderId="14" xfId="0" applyNumberFormat="1" applyFont="1" applyBorder="1"/>
    <xf numFmtId="165" fontId="45" fillId="0" borderId="14" xfId="0" applyNumberFormat="1" applyFont="1" applyBorder="1"/>
    <xf numFmtId="0" fontId="25" fillId="0" borderId="0" xfId="0" applyFont="1" applyFill="1" applyBorder="1" applyAlignment="1" quotePrefix="1">
      <alignment horizontal="center"/>
    </xf>
    <xf numFmtId="165" fontId="2" fillId="0" borderId="0" xfId="18" applyNumberFormat="1" applyFont="1" applyBorder="1"/>
    <xf numFmtId="165" fontId="44" fillId="0" borderId="0" xfId="18" applyNumberFormat="1" applyFont="1" applyBorder="1"/>
    <xf numFmtId="0" fontId="2" fillId="0" borderId="16" xfId="0" applyFont="1" applyBorder="1"/>
    <xf numFmtId="42" fontId="0" fillId="0" borderId="0" xfId="16" applyNumberFormat="1" applyFont="1" applyFill="1" applyBorder="1"/>
    <xf numFmtId="41" fontId="0" fillId="0" borderId="13" xfId="16" applyNumberFormat="1" applyFont="1" applyFill="1" applyBorder="1"/>
    <xf numFmtId="41" fontId="0" fillId="0" borderId="13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20" fillId="8" borderId="27" xfId="0" applyFont="1" applyFill="1" applyBorder="1"/>
    <xf numFmtId="0" fontId="4" fillId="8" borderId="28" xfId="0" applyFont="1" applyFill="1" applyBorder="1" applyAlignment="1">
      <alignment horizontal="fill"/>
    </xf>
    <xf numFmtId="0" fontId="29" fillId="0" borderId="0" xfId="0" applyFont="1" applyFill="1"/>
    <xf numFmtId="0" fontId="4" fillId="8" borderId="20" xfId="0" applyFont="1" applyFill="1" applyBorder="1" applyAlignment="1" quotePrefix="1">
      <alignment horizontal="left"/>
    </xf>
    <xf numFmtId="0" fontId="4" fillId="8" borderId="36" xfId="0" applyFont="1" applyFill="1" applyBorder="1" applyAlignment="1" quotePrefix="1">
      <alignment horizontal="left"/>
    </xf>
    <xf numFmtId="0" fontId="4" fillId="19" borderId="23" xfId="0" applyFont="1" applyFill="1" applyBorder="1"/>
    <xf numFmtId="0" fontId="4" fillId="19" borderId="24" xfId="0" applyFont="1" applyFill="1" applyBorder="1" applyAlignment="1">
      <alignment horizontal="left"/>
    </xf>
    <xf numFmtId="0" fontId="4" fillId="19" borderId="24" xfId="0" applyFont="1" applyFill="1" applyBorder="1" applyAlignment="1">
      <alignment horizontal="center"/>
    </xf>
    <xf numFmtId="165" fontId="4" fillId="19" borderId="24" xfId="18" applyNumberFormat="1" applyFont="1" applyFill="1" applyBorder="1"/>
    <xf numFmtId="0" fontId="4" fillId="19" borderId="0" xfId="0" applyFont="1" applyFill="1" applyBorder="1" applyAlignment="1">
      <alignment horizontal="left"/>
    </xf>
    <xf numFmtId="0" fontId="4" fillId="19" borderId="0" xfId="0" applyFont="1" applyFill="1" applyBorder="1" applyAlignment="1">
      <alignment horizontal="center"/>
    </xf>
    <xf numFmtId="0" fontId="4" fillId="19" borderId="11" xfId="0" applyFont="1" applyFill="1" applyBorder="1" applyAlignment="1">
      <alignment horizontal="center"/>
    </xf>
    <xf numFmtId="0" fontId="4" fillId="19" borderId="32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Alignment="1">
      <alignment/>
    </xf>
    <xf numFmtId="0" fontId="4" fillId="0" borderId="0" xfId="0" applyFont="1" applyAlignment="1">
      <alignment/>
    </xf>
    <xf numFmtId="0" fontId="0" fillId="0" borderId="18" xfId="0" applyFont="1" applyFill="1" applyBorder="1" applyAlignment="1">
      <alignment horizontal="left"/>
    </xf>
    <xf numFmtId="0" fontId="0" fillId="0" borderId="18" xfId="21" applyFont="1" applyFill="1" applyBorder="1" applyAlignment="1">
      <alignment horizontal="left"/>
      <protection/>
    </xf>
    <xf numFmtId="165" fontId="4" fillId="0" borderId="0" xfId="0" applyNumberFormat="1" applyFont="1" applyFill="1" applyBorder="1" applyAlignment="1" quotePrefix="1">
      <alignment horizontal="center"/>
    </xf>
    <xf numFmtId="0" fontId="16" fillId="0" borderId="0" xfId="0" applyFont="1" applyFill="1" applyBorder="1" applyAlignment="1">
      <alignment horizontal="centerContinuous"/>
    </xf>
    <xf numFmtId="22" fontId="16" fillId="0" borderId="0" xfId="0" applyNumberFormat="1" applyFont="1" applyFill="1" applyBorder="1" applyAlignment="1">
      <alignment horizontal="centerContinuous"/>
    </xf>
    <xf numFmtId="37" fontId="20" fillId="0" borderId="0" xfId="0" applyNumberFormat="1" applyFont="1" applyFill="1" applyBorder="1" applyAlignment="1">
      <alignment horizontal="centerContinuous"/>
    </xf>
    <xf numFmtId="37" fontId="20" fillId="0" borderId="0" xfId="22" applyFont="1" applyFill="1" applyBorder="1" applyAlignment="1" applyProtection="1">
      <alignment horizontal="centerContinuous"/>
      <protection locked="0"/>
    </xf>
    <xf numFmtId="41" fontId="16" fillId="0" borderId="0" xfId="0" applyNumberFormat="1" applyFont="1" applyFill="1" applyBorder="1"/>
    <xf numFmtId="37" fontId="46" fillId="0" borderId="0" xfId="0" applyNumberFormat="1" applyFont="1" applyFill="1" applyBorder="1"/>
    <xf numFmtId="0" fontId="20" fillId="0" borderId="0" xfId="0" applyFont="1" applyFill="1" applyBorder="1" applyAlignment="1">
      <alignment horizontal="center"/>
    </xf>
    <xf numFmtId="37" fontId="20" fillId="0" borderId="0" xfId="22" applyFont="1" applyFill="1" applyBorder="1" applyAlignment="1" applyProtection="1">
      <alignment horizontal="center"/>
      <protection locked="0"/>
    </xf>
    <xf numFmtId="37" fontId="20" fillId="0" borderId="0" xfId="22" applyFont="1" applyFill="1" applyBorder="1" applyAlignment="1" applyProtection="1">
      <alignment horizontal="center"/>
      <protection/>
    </xf>
    <xf numFmtId="37" fontId="16" fillId="0" borderId="0" xfId="22" applyFont="1" applyFill="1" applyBorder="1" applyAlignment="1" applyProtection="1">
      <alignment horizontal="center"/>
      <protection locked="0"/>
    </xf>
    <xf numFmtId="0" fontId="16" fillId="0" borderId="0" xfId="0" applyFont="1" applyFill="1" applyBorder="1" applyAlignment="1">
      <alignment horizontal="right"/>
    </xf>
    <xf numFmtId="0" fontId="16" fillId="0" borderId="0" xfId="0" applyFont="1" applyAlignment="1">
      <alignment/>
    </xf>
    <xf numFmtId="42" fontId="20" fillId="0" borderId="0" xfId="16" applyNumberFormat="1" applyFont="1" applyFill="1" applyBorder="1"/>
    <xf numFmtId="5" fontId="20" fillId="0" borderId="0" xfId="16" applyNumberFormat="1" applyFont="1" applyFill="1" applyBorder="1"/>
    <xf numFmtId="3" fontId="16" fillId="0" borderId="0" xfId="0" applyNumberFormat="1" applyFont="1" applyFill="1" applyBorder="1"/>
    <xf numFmtId="165" fontId="0" fillId="0" borderId="0" xfId="18" applyNumberFormat="1" applyFont="1" applyFill="1" applyBorder="1" applyAlignment="1" quotePrefix="1">
      <alignment horizontal="center"/>
    </xf>
    <xf numFmtId="165" fontId="0" fillId="0" borderId="0" xfId="18" applyNumberFormat="1" applyFont="1" applyFill="1" applyBorder="1"/>
    <xf numFmtId="165" fontId="4" fillId="0" borderId="0" xfId="18" applyNumberFormat="1" applyFont="1" applyFill="1" applyBorder="1" applyAlignment="1" quotePrefix="1">
      <alignment horizontal="center"/>
    </xf>
    <xf numFmtId="165" fontId="4" fillId="0" borderId="0" xfId="18" applyNumberFormat="1" applyFont="1" applyFill="1" applyBorder="1"/>
    <xf numFmtId="165" fontId="4" fillId="0" borderId="0" xfId="18" applyNumberFormat="1" applyFont="1" applyFill="1" applyBorder="1" applyAlignment="1" applyProtection="1">
      <alignment horizontal="center"/>
      <protection locked="0"/>
    </xf>
    <xf numFmtId="165" fontId="4" fillId="0" borderId="0" xfId="18" applyNumberFormat="1" applyFont="1" applyFill="1" applyBorder="1" applyProtection="1">
      <protection locked="0"/>
    </xf>
    <xf numFmtId="165" fontId="0" fillId="0" borderId="14" xfId="18" applyNumberFormat="1" applyFont="1" applyFill="1" applyBorder="1"/>
    <xf numFmtId="165" fontId="12" fillId="0" borderId="14" xfId="18" applyNumberFormat="1" applyFont="1" applyFill="1" applyBorder="1"/>
    <xf numFmtId="165" fontId="12" fillId="0" borderId="0" xfId="18" applyNumberFormat="1" applyFont="1" applyFill="1" applyBorder="1"/>
    <xf numFmtId="166" fontId="0" fillId="0" borderId="0" xfId="15" applyNumberFormat="1" applyFont="1" applyFill="1" applyBorder="1"/>
    <xf numFmtId="165" fontId="4" fillId="8" borderId="33" xfId="18" applyNumberFormat="1" applyFont="1" applyFill="1" applyBorder="1"/>
    <xf numFmtId="165" fontId="0" fillId="0" borderId="0" xfId="18" applyNumberFormat="1" applyFont="1" applyFill="1" applyBorder="1" applyProtection="1">
      <protection locked="0"/>
    </xf>
    <xf numFmtId="165" fontId="4" fillId="8" borderId="33" xfId="18" applyNumberFormat="1" applyFont="1" applyFill="1" applyBorder="1" applyProtection="1">
      <protection locked="0"/>
    </xf>
    <xf numFmtId="166" fontId="0" fillId="0" borderId="0" xfId="15" applyNumberFormat="1" applyFont="1" applyFill="1" applyBorder="1" applyAlignment="1" applyProtection="1">
      <alignment horizontal="right"/>
      <protection locked="0"/>
    </xf>
    <xf numFmtId="165" fontId="4" fillId="0" borderId="0" xfId="18" applyNumberFormat="1" applyFont="1" applyFill="1" applyBorder="1" applyAlignment="1">
      <alignment horizontal="center"/>
    </xf>
    <xf numFmtId="165" fontId="4" fillId="8" borderId="20" xfId="18" applyNumberFormat="1" applyFont="1" applyFill="1" applyBorder="1"/>
    <xf numFmtId="165" fontId="4" fillId="0" borderId="0" xfId="18" applyNumberFormat="1" applyFont="1" applyFill="1" applyBorder="1" applyAlignment="1" applyProtection="1">
      <alignment horizontal="right"/>
      <protection locked="0"/>
    </xf>
    <xf numFmtId="165" fontId="0" fillId="0" borderId="0" xfId="18" applyNumberFormat="1" applyFont="1" applyFill="1" applyBorder="1" applyAlignment="1" applyProtection="1" quotePrefix="1">
      <alignment horizontal="center"/>
      <protection locked="0"/>
    </xf>
    <xf numFmtId="10" fontId="0" fillId="0" borderId="0" xfId="15" applyNumberFormat="1" applyFont="1" applyFill="1" applyBorder="1" applyProtection="1">
      <protection locked="0"/>
    </xf>
    <xf numFmtId="165" fontId="14" fillId="0" borderId="0" xfId="18" applyNumberFormat="1" applyFont="1" applyFill="1" applyBorder="1" applyProtection="1">
      <protection locked="0"/>
    </xf>
    <xf numFmtId="165" fontId="10" fillId="0" borderId="0" xfId="18" applyNumberFormat="1" applyFont="1" applyFill="1" applyBorder="1" applyProtection="1">
      <protection locked="0"/>
    </xf>
    <xf numFmtId="165" fontId="4" fillId="0" borderId="0" xfId="18" applyNumberFormat="1" applyFont="1" applyFill="1" applyBorder="1" applyAlignment="1" applyProtection="1" quotePrefix="1">
      <alignment horizontal="center"/>
      <protection locked="0"/>
    </xf>
    <xf numFmtId="165" fontId="4" fillId="0" borderId="0" xfId="18" applyNumberFormat="1" applyFont="1" applyFill="1" applyBorder="1" applyAlignment="1" applyProtection="1" quotePrefix="1">
      <alignment horizontal="left"/>
      <protection locked="0"/>
    </xf>
    <xf numFmtId="165" fontId="4" fillId="0" borderId="0" xfId="18" applyNumberFormat="1" applyFont="1" applyFill="1" applyBorder="1" applyAlignment="1">
      <alignment horizontal="right"/>
    </xf>
    <xf numFmtId="0" fontId="4" fillId="0" borderId="26" xfId="0" applyFont="1" applyFill="1" applyBorder="1"/>
    <xf numFmtId="0" fontId="0" fillId="0" borderId="0" xfId="0" applyFont="1" applyFill="1" applyBorder="1" applyAlignment="1" quotePrefix="1">
      <alignment horizontal="fill"/>
    </xf>
    <xf numFmtId="168" fontId="0" fillId="0" borderId="0" xfId="0" applyNumberFormat="1" applyFont="1"/>
    <xf numFmtId="0" fontId="4" fillId="0" borderId="27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16" fillId="0" borderId="0" xfId="0" applyNumberFormat="1" applyFont="1" applyFill="1" applyBorder="1" applyAlignment="1">
      <alignment horizontal="left" vertical="top" wrapText="1"/>
    </xf>
    <xf numFmtId="49" fontId="16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/>
    </xf>
    <xf numFmtId="0" fontId="4" fillId="0" borderId="20" xfId="0" applyFont="1" applyFill="1" applyBorder="1" applyAlignment="1">
      <alignment/>
    </xf>
    <xf numFmtId="0" fontId="4" fillId="0" borderId="28" xfId="0" applyFont="1" applyFill="1" applyBorder="1" applyAlignment="1">
      <alignment/>
    </xf>
    <xf numFmtId="0" fontId="4" fillId="0" borderId="29" xfId="0" applyFont="1" applyFill="1" applyBorder="1" applyAlignment="1">
      <alignment/>
    </xf>
    <xf numFmtId="0" fontId="16" fillId="0" borderId="36" xfId="0" applyFont="1" applyFill="1" applyBorder="1"/>
    <xf numFmtId="0" fontId="4" fillId="0" borderId="31" xfId="0" applyFont="1" applyFill="1" applyBorder="1" applyAlignment="1">
      <alignment horizontal="left"/>
    </xf>
    <xf numFmtId="0" fontId="4" fillId="0" borderId="36" xfId="0" applyFont="1" applyFill="1" applyBorder="1" applyAlignment="1">
      <alignment/>
    </xf>
    <xf numFmtId="0" fontId="4" fillId="0" borderId="31" xfId="0" applyFont="1" applyFill="1" applyBorder="1" applyAlignment="1">
      <alignment/>
    </xf>
    <xf numFmtId="165" fontId="4" fillId="8" borderId="44" xfId="18" applyNumberFormat="1" applyFont="1" applyFill="1" applyBorder="1"/>
    <xf numFmtId="0" fontId="4" fillId="0" borderId="36" xfId="0" applyFont="1" applyFill="1" applyBorder="1" applyAlignment="1">
      <alignment horizontal="left"/>
    </xf>
    <xf numFmtId="0" fontId="4" fillId="0" borderId="20" xfId="0" applyFont="1" applyFill="1" applyBorder="1" applyAlignment="1">
      <alignment horizontal="left"/>
    </xf>
    <xf numFmtId="0" fontId="0" fillId="0" borderId="31" xfId="0" applyFont="1" applyFill="1" applyBorder="1" applyProtection="1">
      <protection locked="0"/>
    </xf>
    <xf numFmtId="0" fontId="4" fillId="0" borderId="0" xfId="0" applyFont="1" applyFill="1" applyBorder="1" applyAlignment="1">
      <alignment horizontal="center"/>
    </xf>
    <xf numFmtId="177" fontId="0" fillId="0" borderId="0" xfId="0" applyNumberFormat="1" applyFont="1"/>
    <xf numFmtId="0" fontId="0" fillId="0" borderId="0" xfId="0" applyAlignment="1">
      <alignment horizontal="center"/>
    </xf>
    <xf numFmtId="166" fontId="4" fillId="0" borderId="0" xfId="15" applyNumberFormat="1" applyFont="1" applyFill="1" applyBorder="1" applyAlignment="1" applyProtection="1">
      <alignment horizontal="right"/>
      <protection locked="0"/>
    </xf>
    <xf numFmtId="0" fontId="5" fillId="0" borderId="0" xfId="0" applyFont="1" applyBorder="1"/>
    <xf numFmtId="0" fontId="0" fillId="0" borderId="36" xfId="0" applyFill="1" applyBorder="1"/>
    <xf numFmtId="0" fontId="0" fillId="0" borderId="31" xfId="0" applyFill="1" applyBorder="1"/>
    <xf numFmtId="0" fontId="0" fillId="0" borderId="0" xfId="0" applyFont="1" applyAlignment="1">
      <alignment horizontal="center"/>
    </xf>
    <xf numFmtId="165" fontId="0" fillId="0" borderId="0" xfId="18" applyNumberFormat="1" applyFont="1" applyBorder="1" applyProtection="1">
      <protection locked="0"/>
    </xf>
    <xf numFmtId="0" fontId="0" fillId="0" borderId="0" xfId="0" applyFont="1" applyBorder="1" applyAlignment="1" quotePrefix="1">
      <alignment horizontal="fill"/>
    </xf>
    <xf numFmtId="165" fontId="0" fillId="0" borderId="20" xfId="18" applyNumberFormat="1" applyFont="1" applyFill="1" applyBorder="1"/>
    <xf numFmtId="165" fontId="0" fillId="0" borderId="0" xfId="0" applyNumberFormat="1" applyFont="1" applyFill="1" applyBorder="1" applyProtection="1">
      <protection locked="0"/>
    </xf>
    <xf numFmtId="37" fontId="0" fillId="0" borderId="0" xfId="0" applyNumberFormat="1" applyFont="1" applyFill="1" applyBorder="1" applyAlignment="1" quotePrefix="1">
      <alignment horizontal="center"/>
    </xf>
    <xf numFmtId="0" fontId="0" fillId="8" borderId="0" xfId="0" applyFont="1" applyFill="1" applyBorder="1"/>
    <xf numFmtId="165" fontId="0" fillId="0" borderId="0" xfId="18" applyNumberFormat="1" applyFont="1"/>
    <xf numFmtId="0" fontId="0" fillId="8" borderId="10" xfId="0" applyFont="1" applyFill="1" applyBorder="1" applyAlignment="1" quotePrefix="1">
      <alignment horizontal="center"/>
    </xf>
    <xf numFmtId="0" fontId="4" fillId="0" borderId="27" xfId="0" applyFont="1" applyFill="1" applyBorder="1" applyAlignment="1">
      <alignment/>
    </xf>
    <xf numFmtId="0" fontId="4" fillId="0" borderId="26" xfId="0" applyFont="1" applyFill="1" applyBorder="1" applyAlignment="1">
      <alignment/>
    </xf>
    <xf numFmtId="0" fontId="0" fillId="0" borderId="30" xfId="0" applyFill="1" applyBorder="1"/>
    <xf numFmtId="165" fontId="23" fillId="0" borderId="0" xfId="18" applyNumberFormat="1" applyFont="1" applyFill="1" applyBorder="1"/>
    <xf numFmtId="0" fontId="16" fillId="8" borderId="12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/>
    </xf>
    <xf numFmtId="0" fontId="4" fillId="0" borderId="30" xfId="0" applyFont="1" applyFill="1" applyBorder="1" applyAlignment="1">
      <alignment/>
    </xf>
    <xf numFmtId="165" fontId="4" fillId="19" borderId="0" xfId="18" applyNumberFormat="1" applyFont="1" applyFill="1" applyBorder="1"/>
    <xf numFmtId="0" fontId="16" fillId="8" borderId="45" xfId="0" applyFont="1" applyFill="1" applyBorder="1"/>
    <xf numFmtId="2" fontId="0" fillId="0" borderId="0" xfId="0" applyNumberFormat="1"/>
    <xf numFmtId="0" fontId="16" fillId="0" borderId="20" xfId="0" applyFont="1" applyFill="1" applyBorder="1"/>
    <xf numFmtId="0" fontId="4" fillId="0" borderId="28" xfId="0" applyFont="1" applyFill="1" applyBorder="1" applyAlignment="1">
      <alignment horizontal="left"/>
    </xf>
    <xf numFmtId="0" fontId="4" fillId="0" borderId="29" xfId="0" applyFont="1" applyFill="1" applyBorder="1"/>
    <xf numFmtId="0" fontId="0" fillId="0" borderId="29" xfId="0" applyFont="1" applyFill="1" applyBorder="1"/>
    <xf numFmtId="0" fontId="0" fillId="0" borderId="31" xfId="0" applyFont="1" applyFill="1" applyBorder="1"/>
    <xf numFmtId="0" fontId="0" fillId="0" borderId="28" xfId="0" applyFont="1" applyFill="1" applyBorder="1" applyProtection="1">
      <protection locked="0"/>
    </xf>
    <xf numFmtId="0" fontId="0" fillId="0" borderId="29" xfId="0" applyFont="1" applyFill="1" applyBorder="1" applyProtection="1">
      <protection locked="0"/>
    </xf>
    <xf numFmtId="0" fontId="0" fillId="0" borderId="28" xfId="0" applyFont="1" applyFill="1" applyBorder="1" applyProtection="1">
      <protection locked="0"/>
    </xf>
    <xf numFmtId="0" fontId="0" fillId="0" borderId="29" xfId="0" applyFont="1" applyFill="1" applyBorder="1" applyProtection="1">
      <protection locked="0"/>
    </xf>
    <xf numFmtId="0" fontId="0" fillId="0" borderId="31" xfId="0" applyFont="1" applyFill="1" applyBorder="1" applyProtection="1">
      <protection locked="0"/>
    </xf>
    <xf numFmtId="0" fontId="0" fillId="0" borderId="28" xfId="0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0" fillId="0" borderId="3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 quotePrefix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quotePrefix="1"/>
    <xf numFmtId="0" fontId="0" fillId="0" borderId="16" xfId="0" applyFont="1" applyFill="1" applyBorder="1" applyAlignment="1">
      <alignment horizontal="center"/>
    </xf>
    <xf numFmtId="0" fontId="0" fillId="0" borderId="16" xfId="0" applyFont="1" applyFill="1" applyBorder="1"/>
    <xf numFmtId="37" fontId="0" fillId="0" borderId="0" xfId="0" applyNumberFormat="1" applyFont="1" applyFill="1" applyBorder="1"/>
    <xf numFmtId="181" fontId="0" fillId="0" borderId="0" xfId="0" applyNumberFormat="1" applyFont="1" applyFill="1" applyBorder="1"/>
    <xf numFmtId="10" fontId="0" fillId="0" borderId="0" xfId="0" applyNumberFormat="1" applyFont="1" applyFill="1" applyBorder="1"/>
    <xf numFmtId="166" fontId="0" fillId="0" borderId="0" xfId="0" applyNumberFormat="1" applyFont="1" applyFill="1" applyBorder="1"/>
    <xf numFmtId="182" fontId="0" fillId="0" borderId="0" xfId="0" applyNumberFormat="1" applyFont="1" applyFill="1" applyBorder="1"/>
    <xf numFmtId="37" fontId="0" fillId="0" borderId="46" xfId="0" applyNumberFormat="1" applyFont="1" applyFill="1" applyBorder="1"/>
    <xf numFmtId="183" fontId="0" fillId="0" borderId="0" xfId="0" applyNumberFormat="1" applyFont="1" applyFill="1" applyBorder="1"/>
    <xf numFmtId="3" fontId="0" fillId="0" borderId="0" xfId="0" applyNumberFormat="1" applyFont="1" applyFill="1" applyBorder="1"/>
    <xf numFmtId="0" fontId="51" fillId="0" borderId="0" xfId="0" applyFont="1" applyFill="1" applyBorder="1"/>
    <xf numFmtId="0" fontId="52" fillId="0" borderId="0" xfId="0" applyFont="1" applyFill="1" applyBorder="1"/>
    <xf numFmtId="37" fontId="0" fillId="0" borderId="0" xfId="0" applyNumberFormat="1" applyFont="1" applyFill="1" applyBorder="1"/>
    <xf numFmtId="37" fontId="4" fillId="0" borderId="0" xfId="0" applyNumberFormat="1" applyFont="1" applyFill="1" applyBorder="1"/>
    <xf numFmtId="0" fontId="47" fillId="0" borderId="0" xfId="21" applyFont="1" applyFill="1" applyBorder="1" applyAlignment="1">
      <alignment horizontal="center"/>
      <protection/>
    </xf>
    <xf numFmtId="37" fontId="4" fillId="0" borderId="0" xfId="22" applyFont="1" applyFill="1" applyBorder="1" applyAlignment="1" applyProtection="1">
      <alignment horizontal="left"/>
      <protection/>
    </xf>
    <xf numFmtId="41" fontId="4" fillId="0" borderId="0" xfId="16" applyNumberFormat="1" applyFont="1" applyFill="1" applyBorder="1" applyAlignment="1" applyProtection="1">
      <alignment horizontal="left"/>
      <protection/>
    </xf>
    <xf numFmtId="0" fontId="0" fillId="0" borderId="16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4" fillId="0" borderId="36" xfId="0" applyNumberFormat="1" applyFont="1" applyFill="1" applyBorder="1"/>
    <xf numFmtId="0" fontId="8" fillId="8" borderId="35" xfId="0" applyFont="1" applyFill="1" applyBorder="1" applyAlignment="1">
      <alignment horizontal="left"/>
    </xf>
    <xf numFmtId="0" fontId="4" fillId="8" borderId="35" xfId="0" applyFont="1" applyFill="1" applyBorder="1"/>
    <xf numFmtId="165" fontId="4" fillId="8" borderId="35" xfId="18" applyNumberFormat="1" applyFont="1" applyFill="1" applyBorder="1" applyProtection="1">
      <protection locked="0"/>
    </xf>
    <xf numFmtId="165" fontId="4" fillId="0" borderId="10" xfId="18" applyNumberFormat="1" applyFont="1" applyBorder="1" applyProtection="1">
      <protection locked="0"/>
    </xf>
    <xf numFmtId="0" fontId="0" fillId="0" borderId="11" xfId="0" applyBorder="1"/>
    <xf numFmtId="0" fontId="5" fillId="0" borderId="12" xfId="0" applyFont="1" applyBorder="1"/>
    <xf numFmtId="165" fontId="4" fillId="8" borderId="35" xfId="0" applyNumberFormat="1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4" fillId="8" borderId="35" xfId="18" applyNumberFormat="1" applyFont="1" applyFill="1" applyBorder="1"/>
    <xf numFmtId="0" fontId="0" fillId="19" borderId="33" xfId="0" applyFont="1" applyFill="1" applyBorder="1" applyAlignment="1">
      <alignment horizontal="center"/>
    </xf>
    <xf numFmtId="0" fontId="4" fillId="19" borderId="33" xfId="0" applyFont="1" applyFill="1" applyBorder="1" applyAlignment="1">
      <alignment horizontal="center"/>
    </xf>
    <xf numFmtId="165" fontId="4" fillId="19" borderId="33" xfId="18" applyNumberFormat="1" applyFont="1" applyFill="1" applyBorder="1"/>
    <xf numFmtId="165" fontId="4" fillId="19" borderId="34" xfId="0" applyNumberFormat="1" applyFont="1" applyFill="1" applyBorder="1"/>
    <xf numFmtId="0" fontId="4" fillId="19" borderId="35" xfId="0" applyFont="1" applyFill="1" applyBorder="1" applyAlignment="1">
      <alignment horizontal="center"/>
    </xf>
    <xf numFmtId="0" fontId="4" fillId="19" borderId="33" xfId="0" applyFont="1" applyFill="1" applyBorder="1"/>
    <xf numFmtId="0" fontId="4" fillId="19" borderId="32" xfId="0" applyFont="1" applyFill="1" applyBorder="1" applyAlignment="1">
      <alignment horizontal="left"/>
    </xf>
    <xf numFmtId="165" fontId="4" fillId="19" borderId="33" xfId="18" applyNumberFormat="1" applyFont="1" applyFill="1" applyBorder="1" applyProtection="1">
      <protection locked="0"/>
    </xf>
    <xf numFmtId="165" fontId="4" fillId="19" borderId="35" xfId="18" applyNumberFormat="1" applyFont="1" applyFill="1" applyBorder="1" applyProtection="1">
      <protection locked="0"/>
    </xf>
    <xf numFmtId="0" fontId="4" fillId="19" borderId="33" xfId="0" applyFont="1" applyFill="1" applyBorder="1" applyAlignment="1" quotePrefix="1">
      <alignment horizontal="left"/>
    </xf>
    <xf numFmtId="165" fontId="4" fillId="19" borderId="35" xfId="18" applyNumberFormat="1" applyFont="1" applyFill="1" applyBorder="1"/>
    <xf numFmtId="0" fontId="4" fillId="19" borderId="33" xfId="0" applyFont="1" applyFill="1" applyBorder="1" applyProtection="1">
      <protection locked="0"/>
    </xf>
    <xf numFmtId="165" fontId="4" fillId="19" borderId="25" xfId="0" applyNumberFormat="1" applyFont="1" applyFill="1" applyBorder="1"/>
    <xf numFmtId="0" fontId="25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0" fillId="8" borderId="10" xfId="0" applyFont="1" applyFill="1" applyBorder="1" applyAlignment="1">
      <alignment horizontal="center" wrapText="1"/>
    </xf>
    <xf numFmtId="0" fontId="4" fillId="8" borderId="11" xfId="0" applyFont="1" applyFill="1" applyBorder="1" applyAlignment="1">
      <alignment horizontal="center" wrapText="1"/>
    </xf>
    <xf numFmtId="0" fontId="0" fillId="8" borderId="11" xfId="0" applyFont="1" applyFill="1" applyBorder="1" applyAlignment="1">
      <alignment horizontal="center" wrapText="1"/>
    </xf>
    <xf numFmtId="0" fontId="0" fillId="8" borderId="1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wrapText="1"/>
    </xf>
    <xf numFmtId="0" fontId="0" fillId="8" borderId="10" xfId="0" applyFill="1" applyBorder="1" applyAlignment="1">
      <alignment wrapText="1"/>
    </xf>
    <xf numFmtId="0" fontId="0" fillId="8" borderId="11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165" fontId="4" fillId="0" borderId="0" xfId="18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5" fontId="4" fillId="8" borderId="34" xfId="0" applyNumberFormat="1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165" fontId="4" fillId="8" borderId="28" xfId="0" applyNumberFormat="1" applyFont="1" applyFill="1" applyBorder="1" applyAlignment="1">
      <alignment wrapText="1"/>
    </xf>
    <xf numFmtId="0" fontId="0" fillId="8" borderId="29" xfId="0" applyFont="1" applyFill="1" applyBorder="1" applyAlignment="1">
      <alignment wrapText="1"/>
    </xf>
    <xf numFmtId="165" fontId="4" fillId="8" borderId="31" xfId="0" applyNumberFormat="1" applyFont="1" applyFill="1" applyBorder="1" applyAlignment="1">
      <alignment wrapText="1"/>
    </xf>
    <xf numFmtId="0" fontId="25" fillId="0" borderId="0" xfId="0" applyFont="1" applyAlignment="1">
      <alignment wrapText="1"/>
    </xf>
    <xf numFmtId="165" fontId="0" fillId="0" borderId="0" xfId="18" applyNumberFormat="1" applyFont="1" applyAlignment="1">
      <alignment wrapText="1"/>
    </xf>
    <xf numFmtId="0" fontId="0" fillId="0" borderId="0" xfId="0" applyFont="1" applyBorder="1" applyAlignment="1">
      <alignment wrapText="1"/>
    </xf>
    <xf numFmtId="165" fontId="4" fillId="19" borderId="29" xfId="18" applyNumberFormat="1" applyFont="1" applyFill="1" applyBorder="1"/>
    <xf numFmtId="0" fontId="4" fillId="19" borderId="26" xfId="0" applyFont="1" applyFill="1" applyBorder="1"/>
    <xf numFmtId="165" fontId="4" fillId="19" borderId="34" xfId="18" applyNumberFormat="1" applyFont="1" applyFill="1" applyBorder="1"/>
    <xf numFmtId="165" fontId="0" fillId="0" borderId="16" xfId="18" applyNumberFormat="1" applyFont="1" applyFill="1" applyBorder="1"/>
    <xf numFmtId="0" fontId="0" fillId="0" borderId="0" xfId="0" applyFont="1" applyAlignment="1">
      <alignment wrapText="1"/>
    </xf>
    <xf numFmtId="0" fontId="55" fillId="0" borderId="0" xfId="0" applyFont="1"/>
    <xf numFmtId="165" fontId="55" fillId="0" borderId="0" xfId="18" applyNumberFormat="1" applyFont="1"/>
    <xf numFmtId="165" fontId="55" fillId="0" borderId="0" xfId="18" applyNumberFormat="1" applyFont="1" applyBorder="1"/>
    <xf numFmtId="0" fontId="4" fillId="0" borderId="0" xfId="0" applyFont="1" applyFill="1" applyBorder="1" applyAlignment="1">
      <alignment horizontal="center"/>
    </xf>
    <xf numFmtId="165" fontId="4" fillId="0" borderId="30" xfId="18" applyNumberFormat="1" applyFont="1" applyFill="1" applyBorder="1"/>
    <xf numFmtId="0" fontId="4" fillId="8" borderId="32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right"/>
    </xf>
    <xf numFmtId="0" fontId="4" fillId="8" borderId="26" xfId="0" applyFont="1" applyFill="1" applyBorder="1" applyAlignment="1">
      <alignment horizontal="right"/>
    </xf>
    <xf numFmtId="0" fontId="4" fillId="8" borderId="30" xfId="0" applyFont="1" applyFill="1" applyBorder="1" applyAlignment="1">
      <alignment horizontal="right"/>
    </xf>
    <xf numFmtId="165" fontId="4" fillId="8" borderId="32" xfId="18" applyNumberFormat="1" applyFont="1" applyFill="1" applyBorder="1" applyAlignment="1">
      <alignment horizontal="center"/>
    </xf>
    <xf numFmtId="0" fontId="4" fillId="8" borderId="32" xfId="0" applyFont="1" applyFill="1" applyBorder="1" applyAlignment="1">
      <alignment horizontal="right"/>
    </xf>
    <xf numFmtId="166" fontId="0" fillId="0" borderId="22" xfId="15" applyNumberFormat="1" applyFont="1" applyFill="1" applyBorder="1" applyProtection="1">
      <protection locked="0"/>
    </xf>
    <xf numFmtId="165" fontId="4" fillId="8" borderId="47" xfId="18" applyNumberFormat="1" applyFont="1" applyFill="1" applyBorder="1"/>
    <xf numFmtId="165" fontId="4" fillId="8" borderId="48" xfId="18" applyNumberFormat="1" applyFont="1" applyFill="1" applyBorder="1"/>
    <xf numFmtId="165" fontId="4" fillId="19" borderId="49" xfId="18" applyNumberFormat="1" applyFont="1" applyFill="1" applyBorder="1"/>
    <xf numFmtId="165" fontId="4" fillId="19" borderId="32" xfId="18" applyNumberFormat="1" applyFont="1" applyFill="1" applyBorder="1"/>
    <xf numFmtId="0" fontId="4" fillId="19" borderId="26" xfId="0" applyFont="1" applyFill="1" applyBorder="1" applyAlignment="1">
      <alignment horizontal="center"/>
    </xf>
    <xf numFmtId="0" fontId="4" fillId="19" borderId="29" xfId="0" applyFont="1" applyFill="1" applyBorder="1" applyAlignment="1">
      <alignment horizontal="center"/>
    </xf>
    <xf numFmtId="0" fontId="4" fillId="19" borderId="32" xfId="0" applyFont="1" applyFill="1" applyBorder="1" applyAlignment="1">
      <alignment horizontal="center"/>
    </xf>
    <xf numFmtId="0" fontId="4" fillId="19" borderId="34" xfId="0" applyFont="1" applyFill="1" applyBorder="1" applyAlignment="1">
      <alignment horizontal="center"/>
    </xf>
    <xf numFmtId="41" fontId="12" fillId="0" borderId="0" xfId="0" applyNumberFormat="1" applyFont="1" applyFill="1" applyBorder="1" applyAlignment="1" applyProtection="1">
      <alignment horizontal="center"/>
      <protection locked="0"/>
    </xf>
    <xf numFmtId="165" fontId="4" fillId="19" borderId="32" xfId="18" applyNumberFormat="1" applyFont="1" applyFill="1" applyBorder="1" applyProtection="1">
      <protection locked="0"/>
    </xf>
    <xf numFmtId="165" fontId="4" fillId="19" borderId="34" xfId="18" applyNumberFormat="1" applyFont="1" applyFill="1" applyBorder="1" applyProtection="1">
      <protection locked="0"/>
    </xf>
    <xf numFmtId="165" fontId="39" fillId="0" borderId="0" xfId="0" applyNumberFormat="1" applyFont="1"/>
    <xf numFmtId="165" fontId="0" fillId="0" borderId="15" xfId="18" applyNumberFormat="1" applyFont="1" applyFill="1" applyBorder="1" applyAlignment="1" quotePrefix="1">
      <alignment horizontal="center"/>
    </xf>
    <xf numFmtId="165" fontId="0" fillId="0" borderId="14" xfId="18" applyNumberFormat="1" applyFont="1" applyFill="1" applyBorder="1" applyAlignment="1" quotePrefix="1">
      <alignment horizontal="center"/>
    </xf>
    <xf numFmtId="165" fontId="0" fillId="0" borderId="19" xfId="18" applyNumberFormat="1" applyFont="1" applyFill="1" applyBorder="1" applyAlignment="1" quotePrefix="1">
      <alignment horizontal="center"/>
    </xf>
    <xf numFmtId="165" fontId="0" fillId="0" borderId="16" xfId="18" applyNumberFormat="1" applyFont="1" applyFill="1" applyBorder="1" applyAlignment="1" quotePrefix="1">
      <alignment horizontal="center"/>
    </xf>
    <xf numFmtId="165" fontId="0" fillId="0" borderId="21" xfId="18" applyNumberFormat="1" applyFont="1" applyFill="1" applyBorder="1" applyAlignment="1" quotePrefix="1">
      <alignment horizontal="center"/>
    </xf>
    <xf numFmtId="165" fontId="0" fillId="0" borderId="14" xfId="18" applyNumberFormat="1" applyFont="1" applyFill="1" applyBorder="1" applyAlignment="1">
      <alignment horizontal="center"/>
    </xf>
    <xf numFmtId="165" fontId="0" fillId="0" borderId="18" xfId="18" applyNumberFormat="1" applyFont="1" applyFill="1" applyBorder="1" applyAlignment="1" quotePrefix="1">
      <alignment horizontal="center"/>
    </xf>
    <xf numFmtId="165" fontId="0" fillId="0" borderId="37" xfId="18" applyNumberFormat="1" applyFont="1" applyFill="1" applyBorder="1" applyAlignment="1" quotePrefix="1">
      <alignment horizontal="center"/>
    </xf>
    <xf numFmtId="165" fontId="0" fillId="0" borderId="13" xfId="18" applyNumberFormat="1" applyFont="1" applyFill="1" applyBorder="1" applyAlignment="1" quotePrefix="1">
      <alignment horizontal="center"/>
    </xf>
    <xf numFmtId="165" fontId="0" fillId="0" borderId="17" xfId="18" applyNumberFormat="1" applyFont="1" applyFill="1" applyBorder="1" applyAlignment="1" quotePrefix="1">
      <alignment horizontal="center"/>
    </xf>
    <xf numFmtId="165" fontId="0" fillId="0" borderId="39" xfId="18" applyNumberFormat="1" applyFont="1" applyFill="1" applyBorder="1" applyAlignment="1" quotePrefix="1">
      <alignment horizontal="center"/>
    </xf>
    <xf numFmtId="165" fontId="0" fillId="0" borderId="38" xfId="18" applyNumberFormat="1" applyFont="1" applyFill="1" applyBorder="1" applyAlignment="1" quotePrefix="1">
      <alignment horizontal="center"/>
    </xf>
    <xf numFmtId="165" fontId="0" fillId="0" borderId="23" xfId="18" applyNumberFormat="1" applyFont="1" applyFill="1" applyBorder="1" applyAlignment="1" quotePrefix="1">
      <alignment horizontal="center"/>
    </xf>
    <xf numFmtId="165" fontId="0" fillId="0" borderId="24" xfId="18" applyNumberFormat="1" applyFont="1" applyFill="1" applyBorder="1" applyAlignment="1" quotePrefix="1">
      <alignment horizontal="center"/>
    </xf>
    <xf numFmtId="165" fontId="0" fillId="0" borderId="25" xfId="18" applyNumberFormat="1" applyFont="1" applyFill="1" applyBorder="1" applyAlignment="1" quotePrefix="1">
      <alignment horizontal="center"/>
    </xf>
    <xf numFmtId="166" fontId="0" fillId="0" borderId="23" xfId="15" applyNumberFormat="1" applyFont="1" applyFill="1" applyBorder="1" applyAlignment="1" applyProtection="1">
      <alignment horizontal="right"/>
      <protection locked="0"/>
    </xf>
    <xf numFmtId="166" fontId="0" fillId="0" borderId="24" xfId="15" applyNumberFormat="1" applyFont="1" applyFill="1" applyBorder="1" applyAlignment="1" applyProtection="1">
      <alignment horizontal="right"/>
      <protection locked="0"/>
    </xf>
    <xf numFmtId="166" fontId="0" fillId="0" borderId="25" xfId="15" applyNumberFormat="1" applyFont="1" applyFill="1" applyBorder="1" applyAlignment="1" applyProtection="1">
      <alignment horizontal="right"/>
      <protection locked="0"/>
    </xf>
    <xf numFmtId="0" fontId="0" fillId="8" borderId="28" xfId="0" applyFont="1" applyFill="1" applyBorder="1" applyAlignment="1">
      <alignment horizontal="center"/>
    </xf>
    <xf numFmtId="171" fontId="0" fillId="0" borderId="0" xfId="0" applyNumberFormat="1" applyFont="1" applyBorder="1"/>
    <xf numFmtId="9" fontId="0" fillId="0" borderId="0" xfId="15" applyFont="1" applyBorder="1"/>
    <xf numFmtId="6" fontId="0" fillId="0" borderId="0" xfId="0" applyNumberFormat="1" applyFont="1"/>
    <xf numFmtId="38" fontId="0" fillId="0" borderId="0" xfId="0" applyNumberFormat="1" applyFont="1"/>
    <xf numFmtId="166" fontId="0" fillId="0" borderId="0" xfId="15" applyNumberFormat="1" applyFont="1" applyBorder="1"/>
    <xf numFmtId="178" fontId="0" fillId="0" borderId="0" xfId="0" applyNumberFormat="1" applyFont="1"/>
    <xf numFmtId="37" fontId="0" fillId="0" borderId="0" xfId="0" applyNumberFormat="1" applyFont="1"/>
    <xf numFmtId="5" fontId="0" fillId="0" borderId="0" xfId="0" applyNumberFormat="1" applyFont="1"/>
    <xf numFmtId="5" fontId="0" fillId="0" borderId="16" xfId="0" applyNumberFormat="1" applyFont="1" applyBorder="1"/>
    <xf numFmtId="5" fontId="0" fillId="0" borderId="0" xfId="0" applyNumberFormat="1" applyFont="1" applyBorder="1"/>
    <xf numFmtId="5" fontId="0" fillId="0" borderId="0" xfId="0" applyNumberFormat="1" applyFont="1"/>
    <xf numFmtId="0" fontId="11" fillId="20" borderId="0" xfId="0" applyFont="1" applyFill="1" applyBorder="1" applyAlignment="1">
      <alignment horizontal="left"/>
    </xf>
    <xf numFmtId="0" fontId="0" fillId="20" borderId="0" xfId="0" applyFont="1" applyFill="1" applyBorder="1"/>
    <xf numFmtId="0" fontId="0" fillId="21" borderId="0" xfId="0" applyFill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center" vertical="center"/>
    </xf>
    <xf numFmtId="0" fontId="0" fillId="21" borderId="0" xfId="0" applyFont="1" applyFill="1" applyBorder="1" applyAlignment="1" applyProtection="1">
      <alignment horizontal="center"/>
      <protection locked="0"/>
    </xf>
    <xf numFmtId="0" fontId="0" fillId="21" borderId="0" xfId="0" applyFont="1" applyFill="1" applyBorder="1" applyProtection="1">
      <protection locked="0"/>
    </xf>
    <xf numFmtId="0" fontId="0" fillId="0" borderId="0" xfId="0" applyFill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  <protection locked="0"/>
    </xf>
    <xf numFmtId="165" fontId="0" fillId="0" borderId="0" xfId="18" applyNumberFormat="1" applyFont="1"/>
    <xf numFmtId="0" fontId="0" fillId="0" borderId="39" xfId="0" applyBorder="1"/>
    <xf numFmtId="165" fontId="0" fillId="0" borderId="37" xfId="0" applyNumberFormat="1" applyBorder="1"/>
    <xf numFmtId="165" fontId="0" fillId="0" borderId="39" xfId="0" applyNumberFormat="1" applyBorder="1"/>
    <xf numFmtId="165" fontId="0" fillId="0" borderId="38" xfId="0" applyNumberFormat="1" applyBorder="1"/>
    <xf numFmtId="0" fontId="0" fillId="0" borderId="12" xfId="0" applyFont="1" applyFill="1" applyBorder="1" applyAlignment="1">
      <alignment horizontal="center"/>
    </xf>
    <xf numFmtId="0" fontId="0" fillId="22" borderId="0" xfId="0" applyFont="1" applyFill="1" applyBorder="1" applyProtection="1">
      <protection locked="0"/>
    </xf>
    <xf numFmtId="165" fontId="0" fillId="0" borderId="16" xfId="18" applyNumberFormat="1" applyFont="1" applyFill="1" applyBorder="1" applyAlignment="1" quotePrefix="1">
      <alignment horizontal="center"/>
    </xf>
    <xf numFmtId="165" fontId="4" fillId="0" borderId="0" xfId="0" applyNumberFormat="1" applyFont="1" applyAlignment="1">
      <alignment/>
    </xf>
    <xf numFmtId="0" fontId="16" fillId="23" borderId="0" xfId="0" applyFont="1" applyFill="1"/>
    <xf numFmtId="0" fontId="0" fillId="23" borderId="0" xfId="0" applyFont="1" applyFill="1"/>
    <xf numFmtId="0" fontId="0" fillId="23" borderId="0" xfId="0" applyFill="1"/>
    <xf numFmtId="0" fontId="0" fillId="21" borderId="0" xfId="0" applyFont="1" applyFill="1" applyBorder="1" applyAlignment="1">
      <alignment horizontal="center"/>
    </xf>
    <xf numFmtId="0" fontId="0" fillId="20" borderId="0" xfId="0" applyFont="1" applyFill="1" applyBorder="1" applyProtection="1">
      <protection locked="0"/>
    </xf>
    <xf numFmtId="164" fontId="56" fillId="0" borderId="16" xfId="16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 applyProtection="1">
      <alignment horizontal="left" vertical="top"/>
      <protection locked="0"/>
    </xf>
    <xf numFmtId="165" fontId="0" fillId="0" borderId="0" xfId="18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/>
    </xf>
    <xf numFmtId="0" fontId="4" fillId="0" borderId="0" xfId="0" applyFont="1" applyFill="1" applyBorder="1" applyAlignment="1" applyProtection="1">
      <alignment horizontal="right" vertical="top"/>
      <protection locked="0"/>
    </xf>
    <xf numFmtId="165" fontId="57" fillId="0" borderId="0" xfId="18" applyNumberFormat="1" applyFont="1"/>
    <xf numFmtId="165" fontId="0" fillId="0" borderId="0" xfId="0" applyNumberFormat="1" applyFill="1" applyBorder="1"/>
    <xf numFmtId="0" fontId="6" fillId="0" borderId="0" xfId="0" applyFont="1" applyFill="1" applyBorder="1" applyAlignment="1">
      <alignment horizontal="centerContinuous"/>
    </xf>
    <xf numFmtId="164" fontId="0" fillId="0" borderId="11" xfId="16" applyNumberFormat="1" applyFont="1" applyFill="1" applyBorder="1" applyAlignment="1">
      <alignment horizontal="center"/>
    </xf>
    <xf numFmtId="0" fontId="0" fillId="0" borderId="0" xfId="0" applyFont="1" applyFill="1" applyBorder="1" quotePrefix="1"/>
    <xf numFmtId="165" fontId="4" fillId="0" borderId="0" xfId="18" applyNumberFormat="1" applyFont="1" applyFill="1" applyBorder="1" applyAlignment="1">
      <alignment horizontal="left"/>
    </xf>
    <xf numFmtId="165" fontId="0" fillId="0" borderId="19" xfId="18" applyNumberFormat="1" applyFont="1" applyFill="1" applyBorder="1"/>
    <xf numFmtId="165" fontId="0" fillId="0" borderId="0" xfId="18" applyNumberFormat="1" applyFont="1" applyFill="1"/>
    <xf numFmtId="41" fontId="0" fillId="0" borderId="0" xfId="0" applyNumberFormat="1" applyFill="1"/>
    <xf numFmtId="165" fontId="27" fillId="0" borderId="18" xfId="18" applyNumberFormat="1" applyFont="1" applyFill="1" applyBorder="1" applyAlignment="1" quotePrefix="1">
      <alignment horizontal="center"/>
    </xf>
    <xf numFmtId="165" fontId="27" fillId="0" borderId="13" xfId="18" applyNumberFormat="1" applyFont="1" applyFill="1" applyBorder="1" applyAlignment="1" quotePrefix="1">
      <alignment horizontal="center"/>
    </xf>
    <xf numFmtId="165" fontId="27" fillId="0" borderId="17" xfId="18" applyNumberFormat="1" applyFont="1" applyFill="1" applyBorder="1" applyAlignment="1" quotePrefix="1">
      <alignment horizontal="center"/>
    </xf>
    <xf numFmtId="165" fontId="27" fillId="0" borderId="15" xfId="18" applyNumberFormat="1" applyFont="1" applyFill="1" applyBorder="1" applyAlignment="1" quotePrefix="1">
      <alignment horizontal="center"/>
    </xf>
    <xf numFmtId="165" fontId="27" fillId="0" borderId="14" xfId="18" applyNumberFormat="1" applyFont="1" applyFill="1" applyBorder="1" applyAlignment="1" quotePrefix="1">
      <alignment horizontal="center"/>
    </xf>
    <xf numFmtId="165" fontId="7" fillId="0" borderId="23" xfId="18" applyNumberFormat="1" applyFont="1" applyFill="1" applyBorder="1" applyAlignment="1" quotePrefix="1">
      <alignment horizontal="center"/>
    </xf>
    <xf numFmtId="165" fontId="7" fillId="0" borderId="24" xfId="18" applyNumberFormat="1" applyFont="1" applyFill="1" applyBorder="1" applyAlignment="1" quotePrefix="1">
      <alignment horizontal="center"/>
    </xf>
    <xf numFmtId="165" fontId="7" fillId="0" borderId="25" xfId="18" applyNumberFormat="1" applyFont="1" applyFill="1" applyBorder="1" applyAlignment="1" quotePrefix="1">
      <alignment horizontal="center"/>
    </xf>
    <xf numFmtId="165" fontId="7" fillId="0" borderId="18" xfId="18" applyNumberFormat="1" applyFont="1" applyFill="1" applyBorder="1" applyAlignment="1" quotePrefix="1">
      <alignment horizontal="center"/>
    </xf>
    <xf numFmtId="165" fontId="7" fillId="0" borderId="13" xfId="18" applyNumberFormat="1" applyFont="1" applyFill="1" applyBorder="1" applyAlignment="1" quotePrefix="1">
      <alignment horizontal="center"/>
    </xf>
    <xf numFmtId="165" fontId="7" fillId="0" borderId="17" xfId="18" applyNumberFormat="1" applyFont="1" applyFill="1" applyBorder="1" applyAlignment="1" quotePrefix="1">
      <alignment horizontal="center"/>
    </xf>
    <xf numFmtId="165" fontId="7" fillId="0" borderId="15" xfId="18" applyNumberFormat="1" applyFont="1" applyFill="1" applyBorder="1" applyAlignment="1" quotePrefix="1">
      <alignment horizontal="center"/>
    </xf>
    <xf numFmtId="165" fontId="7" fillId="0" borderId="14" xfId="18" applyNumberFormat="1" applyFont="1" applyFill="1" applyBorder="1" applyAlignment="1" quotePrefix="1">
      <alignment horizontal="center"/>
    </xf>
    <xf numFmtId="165" fontId="7" fillId="0" borderId="19" xfId="18" applyNumberFormat="1" applyFont="1" applyFill="1" applyBorder="1" applyAlignment="1" quotePrefix="1">
      <alignment horizontal="center"/>
    </xf>
    <xf numFmtId="165" fontId="7" fillId="0" borderId="16" xfId="18" applyNumberFormat="1" applyFont="1" applyFill="1" applyBorder="1" applyAlignment="1" quotePrefix="1">
      <alignment horizontal="center"/>
    </xf>
    <xf numFmtId="165" fontId="7" fillId="0" borderId="21" xfId="18" applyNumberFormat="1" applyFont="1" applyFill="1" applyBorder="1" applyAlignment="1" quotePrefix="1">
      <alignment horizontal="center"/>
    </xf>
    <xf numFmtId="165" fontId="4" fillId="0" borderId="23" xfId="18" applyNumberFormat="1" applyFont="1" applyFill="1" applyBorder="1" applyAlignment="1" quotePrefix="1">
      <alignment horizontal="center"/>
    </xf>
    <xf numFmtId="165" fontId="4" fillId="0" borderId="24" xfId="18" applyNumberFormat="1" applyFont="1" applyFill="1" applyBorder="1" applyAlignment="1" quotePrefix="1">
      <alignment horizontal="center"/>
    </xf>
    <xf numFmtId="165" fontId="4" fillId="0" borderId="25" xfId="18" applyNumberFormat="1" applyFont="1" applyFill="1" applyBorder="1" applyAlignment="1" quotePrefix="1">
      <alignment horizontal="center"/>
    </xf>
    <xf numFmtId="165" fontId="0" fillId="0" borderId="22" xfId="18" applyNumberFormat="1" applyFont="1" applyFill="1" applyBorder="1" applyProtection="1">
      <protection locked="0"/>
    </xf>
    <xf numFmtId="165" fontId="0" fillId="0" borderId="22" xfId="18" applyNumberFormat="1" applyFont="1" applyFill="1" applyBorder="1" applyAlignment="1" quotePrefix="1">
      <alignment horizontal="center"/>
    </xf>
    <xf numFmtId="165" fontId="0" fillId="0" borderId="18" xfId="18" applyNumberFormat="1" applyFont="1" applyFill="1" applyBorder="1" applyAlignment="1" quotePrefix="1">
      <alignment horizontal="center"/>
    </xf>
    <xf numFmtId="165" fontId="0" fillId="0" borderId="13" xfId="18" applyNumberFormat="1" applyFont="1" applyFill="1" applyBorder="1" applyAlignment="1" quotePrefix="1">
      <alignment horizontal="center"/>
    </xf>
    <xf numFmtId="165" fontId="0" fillId="0" borderId="17" xfId="18" applyNumberFormat="1" applyFont="1" applyFill="1" applyBorder="1" applyAlignment="1" quotePrefix="1">
      <alignment horizontal="center"/>
    </xf>
    <xf numFmtId="165" fontId="0" fillId="0" borderId="15" xfId="18" applyNumberFormat="1" applyFont="1" applyFill="1" applyBorder="1" applyAlignment="1" quotePrefix="1">
      <alignment horizontal="center"/>
    </xf>
    <xf numFmtId="165" fontId="0" fillId="0" borderId="14" xfId="18" applyNumberFormat="1" applyFont="1" applyFill="1" applyBorder="1" applyAlignment="1" quotePrefix="1">
      <alignment horizontal="center"/>
    </xf>
    <xf numFmtId="165" fontId="4" fillId="0" borderId="35" xfId="18" applyNumberFormat="1" applyFont="1" applyFill="1" applyBorder="1" applyAlignment="1" quotePrefix="1">
      <alignment horizontal="center"/>
    </xf>
    <xf numFmtId="165" fontId="4" fillId="0" borderId="15" xfId="18" applyNumberFormat="1" applyFont="1" applyFill="1" applyBorder="1" applyAlignment="1" quotePrefix="1">
      <alignment horizontal="center"/>
    </xf>
    <xf numFmtId="165" fontId="4" fillId="0" borderId="14" xfId="18" applyNumberFormat="1" applyFont="1" applyFill="1" applyBorder="1" applyAlignment="1" quotePrefix="1">
      <alignment horizontal="center"/>
    </xf>
    <xf numFmtId="165" fontId="4" fillId="0" borderId="19" xfId="18" applyNumberFormat="1" applyFont="1" applyFill="1" applyBorder="1"/>
    <xf numFmtId="165" fontId="4" fillId="8" borderId="33" xfId="0" applyNumberFormat="1" applyFont="1" applyFill="1" applyBorder="1" applyAlignment="1">
      <alignment horizontal="center"/>
    </xf>
    <xf numFmtId="9" fontId="0" fillId="0" borderId="13" xfId="15" applyFont="1" applyFill="1" applyBorder="1" applyAlignment="1">
      <alignment horizontal="right"/>
    </xf>
    <xf numFmtId="9" fontId="40" fillId="0" borderId="0" xfId="15" applyFont="1" applyFill="1" applyBorder="1" applyAlignment="1">
      <alignment horizontal="right"/>
    </xf>
    <xf numFmtId="9" fontId="0" fillId="0" borderId="16" xfId="15" applyFont="1" applyFill="1" applyBorder="1" applyAlignment="1">
      <alignment horizontal="right"/>
    </xf>
    <xf numFmtId="165" fontId="0" fillId="0" borderId="21" xfId="18" applyNumberFormat="1" applyFont="1" applyFill="1" applyBorder="1"/>
    <xf numFmtId="167" fontId="0" fillId="0" borderId="17" xfId="18" applyNumberFormat="1" applyFont="1" applyFill="1" applyBorder="1" applyAlignment="1" quotePrefix="1">
      <alignment horizontal="center"/>
    </xf>
    <xf numFmtId="167" fontId="0" fillId="0" borderId="14" xfId="18" applyNumberFormat="1" applyFont="1" applyFill="1" applyBorder="1" applyAlignment="1" quotePrefix="1">
      <alignment horizontal="center"/>
    </xf>
    <xf numFmtId="167" fontId="0" fillId="0" borderId="21" xfId="18" applyNumberFormat="1" applyFont="1" applyFill="1" applyBorder="1" applyAlignment="1" quotePrefix="1">
      <alignment horizontal="center"/>
    </xf>
    <xf numFmtId="0" fontId="4" fillId="0" borderId="13" xfId="0" applyFont="1" applyFill="1" applyBorder="1" applyAlignment="1">
      <alignment horizontal="center"/>
    </xf>
    <xf numFmtId="3" fontId="0" fillId="0" borderId="17" xfId="0" applyNumberFormat="1" applyFont="1" applyFill="1" applyBorder="1"/>
    <xf numFmtId="0" fontId="0" fillId="0" borderId="0" xfId="0" applyFont="1" applyFill="1" applyBorder="1" applyAlignment="1" quotePrefix="1">
      <alignment horizontal="right" indent="1"/>
    </xf>
    <xf numFmtId="0" fontId="0" fillId="0" borderId="15" xfId="0" applyFont="1" applyFill="1" applyBorder="1" applyAlignment="1" quotePrefix="1">
      <alignment horizontal="right" indent="1"/>
    </xf>
    <xf numFmtId="0" fontId="0" fillId="0" borderId="15" xfId="0" applyFont="1" applyFill="1" applyBorder="1" applyAlignment="1">
      <alignment horizontal="right" indent="1"/>
    </xf>
    <xf numFmtId="0" fontId="0" fillId="0" borderId="0" xfId="0" applyFont="1" applyFill="1" applyBorder="1" applyAlignment="1">
      <alignment horizontal="right" indent="1"/>
    </xf>
    <xf numFmtId="0" fontId="0" fillId="0" borderId="0" xfId="0" applyFont="1" applyFill="1" applyAlignment="1">
      <alignment horizontal="left" indent="1"/>
    </xf>
    <xf numFmtId="166" fontId="0" fillId="0" borderId="0" xfId="15" applyNumberFormat="1" applyFont="1" applyFill="1"/>
    <xf numFmtId="3" fontId="0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6" fontId="0" fillId="0" borderId="22" xfId="15" applyNumberFormat="1" applyFont="1" applyFill="1" applyBorder="1"/>
    <xf numFmtId="0" fontId="16" fillId="0" borderId="0" xfId="0" applyFont="1" applyFill="1" applyAlignment="1">
      <alignment horizontal="centerContinuous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42" fontId="4" fillId="0" borderId="14" xfId="16" applyNumberFormat="1" applyFont="1" applyFill="1" applyBorder="1"/>
    <xf numFmtId="42" fontId="23" fillId="0" borderId="14" xfId="16" applyNumberFormat="1" applyFont="1" applyFill="1" applyBorder="1"/>
    <xf numFmtId="0" fontId="4" fillId="0" borderId="16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left" vertical="center"/>
    </xf>
    <xf numFmtId="164" fontId="0" fillId="0" borderId="0" xfId="0" applyNumberFormat="1" applyFont="1" applyFill="1" applyBorder="1"/>
    <xf numFmtId="164" fontId="4" fillId="0" borderId="0" xfId="0" applyNumberFormat="1" applyFont="1" applyFill="1" applyBorder="1"/>
    <xf numFmtId="0" fontId="0" fillId="0" borderId="18" xfId="0" applyFont="1" applyFill="1" applyBorder="1"/>
    <xf numFmtId="41" fontId="0" fillId="0" borderId="13" xfId="16" applyNumberFormat="1" applyFont="1" applyFill="1" applyBorder="1"/>
    <xf numFmtId="0" fontId="0" fillId="0" borderId="15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4" fillId="0" borderId="21" xfId="16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6" fontId="0" fillId="0" borderId="0" xfId="0" applyNumberFormat="1" applyFont="1" applyFill="1" applyBorder="1"/>
    <xf numFmtId="169" fontId="0" fillId="0" borderId="0" xfId="0" applyNumberFormat="1" applyFont="1" applyFill="1" applyBorder="1"/>
    <xf numFmtId="6" fontId="7" fillId="0" borderId="14" xfId="0" applyNumberFormat="1" applyFont="1" applyFill="1" applyBorder="1"/>
    <xf numFmtId="7" fontId="0" fillId="0" borderId="0" xfId="0" applyNumberFormat="1" applyFont="1"/>
    <xf numFmtId="37" fontId="0" fillId="0" borderId="0" xfId="0" applyNumberFormat="1" applyFont="1"/>
    <xf numFmtId="37" fontId="14" fillId="0" borderId="0" xfId="0" applyNumberFormat="1" applyFont="1"/>
    <xf numFmtId="0" fontId="0" fillId="0" borderId="15" xfId="0" applyFont="1" applyBorder="1" applyAlignment="1">
      <alignment vertical="center"/>
    </xf>
    <xf numFmtId="41" fontId="16" fillId="0" borderId="0" xfId="0" applyNumberFormat="1" applyFont="1"/>
    <xf numFmtId="165" fontId="25" fillId="0" borderId="0" xfId="0" applyNumberFormat="1" applyFont="1" applyFill="1" applyBorder="1" applyAlignment="1">
      <alignment horizontal="left"/>
    </xf>
    <xf numFmtId="165" fontId="4" fillId="0" borderId="0" xfId="18" applyNumberFormat="1" applyFont="1" applyAlignment="1">
      <alignment/>
    </xf>
    <xf numFmtId="0" fontId="0" fillId="0" borderId="0" xfId="0" applyFont="1" applyBorder="1" applyAlignment="1" quotePrefix="1">
      <alignment horizontal="left"/>
    </xf>
    <xf numFmtId="0" fontId="0" fillId="0" borderId="0" xfId="0" applyFont="1" applyBorder="1" applyAlignment="1" quotePrefix="1">
      <alignment horizontal="center"/>
    </xf>
    <xf numFmtId="0" fontId="4" fillId="0" borderId="30" xfId="0" applyFont="1" applyFill="1" applyBorder="1" applyAlignment="1" quotePrefix="1">
      <alignment horizontal="center"/>
    </xf>
    <xf numFmtId="41" fontId="0" fillId="0" borderId="0" xfId="0" applyNumberFormat="1" applyFont="1" applyFill="1" applyBorder="1" applyAlignment="1">
      <alignment horizontal="left"/>
    </xf>
    <xf numFmtId="41" fontId="12" fillId="0" borderId="0" xfId="0" applyNumberFormat="1" applyFont="1" applyFill="1" applyBorder="1"/>
    <xf numFmtId="41" fontId="12" fillId="0" borderId="0" xfId="0" applyNumberFormat="1" applyFont="1" applyFill="1" applyBorder="1" applyAlignment="1">
      <alignment horizontal="left"/>
    </xf>
    <xf numFmtId="41" fontId="4" fillId="0" borderId="0" xfId="0" applyNumberFormat="1" applyFont="1" applyFill="1" applyBorder="1"/>
    <xf numFmtId="0" fontId="59" fillId="0" borderId="0" xfId="0" applyFont="1" applyFill="1" applyBorder="1"/>
    <xf numFmtId="41" fontId="59" fillId="0" borderId="0" xfId="16" applyNumberFormat="1" applyFont="1" applyFill="1" applyBorder="1" applyProtection="1">
      <protection/>
    </xf>
    <xf numFmtId="41" fontId="60" fillId="0" borderId="0" xfId="16" applyNumberFormat="1" applyFont="1" applyFill="1" applyBorder="1" applyProtection="1">
      <protection/>
    </xf>
    <xf numFmtId="0" fontId="60" fillId="0" borderId="0" xfId="0" applyFont="1" applyFill="1" applyBorder="1"/>
    <xf numFmtId="0" fontId="60" fillId="0" borderId="0" xfId="0" applyFont="1" applyFill="1" applyBorder="1" applyAlignment="1">
      <alignment horizontal="left"/>
    </xf>
    <xf numFmtId="0" fontId="60" fillId="0" borderId="16" xfId="0" applyFont="1" applyFill="1" applyBorder="1"/>
    <xf numFmtId="10" fontId="14" fillId="0" borderId="0" xfId="15" applyNumberFormat="1" applyFont="1" applyFill="1" applyBorder="1" applyAlignment="1" applyProtection="1">
      <alignment horizontal="center"/>
      <protection/>
    </xf>
    <xf numFmtId="0" fontId="62" fillId="0" borderId="0" xfId="0" applyFont="1" applyFill="1" applyBorder="1"/>
    <xf numFmtId="0" fontId="62" fillId="0" borderId="0" xfId="0" applyFont="1"/>
    <xf numFmtId="165" fontId="62" fillId="0" borderId="0" xfId="18" applyNumberFormat="1" applyFont="1"/>
    <xf numFmtId="0" fontId="63" fillId="0" borderId="0" xfId="0" applyFont="1"/>
    <xf numFmtId="0" fontId="64" fillId="0" borderId="0" xfId="0" applyFont="1" applyFill="1" applyBorder="1"/>
    <xf numFmtId="37" fontId="54" fillId="0" borderId="0" xfId="22" applyFont="1" applyFill="1" applyBorder="1" applyProtection="1">
      <alignment/>
      <protection/>
    </xf>
    <xf numFmtId="0" fontId="0" fillId="9" borderId="0" xfId="0" applyFont="1" applyFill="1" applyBorder="1" applyAlignment="1">
      <alignment horizontal="center"/>
    </xf>
    <xf numFmtId="184" fontId="25" fillId="0" borderId="0" xfId="0" applyNumberFormat="1" applyFont="1" applyFill="1" applyBorder="1" applyAlignment="1">
      <alignment horizontal="left"/>
    </xf>
    <xf numFmtId="0" fontId="65" fillId="0" borderId="0" xfId="0" applyFont="1" applyFill="1" applyBorder="1"/>
    <xf numFmtId="0" fontId="66" fillId="0" borderId="0" xfId="0" applyFont="1"/>
    <xf numFmtId="0" fontId="67" fillId="0" borderId="0" xfId="0" applyFont="1"/>
    <xf numFmtId="0" fontId="68" fillId="0" borderId="0" xfId="0" applyFont="1"/>
    <xf numFmtId="165" fontId="38" fillId="0" borderId="0" xfId="0" applyNumberFormat="1" applyFont="1"/>
    <xf numFmtId="43" fontId="16" fillId="0" borderId="0" xfId="18" applyFont="1"/>
    <xf numFmtId="0" fontId="0" fillId="0" borderId="37" xfId="0" applyFont="1" applyFill="1" applyBorder="1" applyAlignment="1">
      <alignment horizontal="center"/>
    </xf>
    <xf numFmtId="0" fontId="0" fillId="0" borderId="37" xfId="0" applyFont="1" applyBorder="1"/>
    <xf numFmtId="37" fontId="4" fillId="0" borderId="50" xfId="22" applyFont="1" applyFill="1" applyBorder="1" applyAlignment="1" applyProtection="1">
      <alignment horizontal="center"/>
      <protection/>
    </xf>
    <xf numFmtId="37" fontId="4" fillId="0" borderId="50" xfId="22" applyFont="1" applyFill="1" applyBorder="1" applyAlignment="1" applyProtection="1">
      <alignment horizontal="center" wrapText="1"/>
      <protection/>
    </xf>
    <xf numFmtId="37" fontId="4" fillId="0" borderId="36" xfId="22" applyFont="1" applyFill="1" applyBorder="1" applyAlignment="1" applyProtection="1">
      <alignment horizontal="center" wrapText="1"/>
      <protection/>
    </xf>
    <xf numFmtId="37" fontId="4" fillId="0" borderId="0" xfId="22" applyFont="1" applyFill="1" applyBorder="1" applyAlignment="1" applyProtection="1">
      <alignment horizontal="center" wrapText="1"/>
      <protection/>
    </xf>
    <xf numFmtId="10" fontId="0" fillId="0" borderId="0" xfId="0" applyNumberFormat="1"/>
    <xf numFmtId="41" fontId="12" fillId="0" borderId="0" xfId="0" applyNumberFormat="1" applyFont="1"/>
    <xf numFmtId="165" fontId="12" fillId="0" borderId="0" xfId="18" applyNumberFormat="1" applyFont="1"/>
    <xf numFmtId="165" fontId="14" fillId="0" borderId="0" xfId="18" applyNumberFormat="1" applyFont="1"/>
    <xf numFmtId="10" fontId="12" fillId="0" borderId="0" xfId="0" applyNumberFormat="1" applyFont="1"/>
    <xf numFmtId="10" fontId="14" fillId="0" borderId="0" xfId="0" applyNumberFormat="1" applyFont="1"/>
    <xf numFmtId="10" fontId="0" fillId="0" borderId="0" xfId="0" applyNumberFormat="1" applyFont="1"/>
    <xf numFmtId="0" fontId="0" fillId="0" borderId="37" xfId="0" applyFont="1" applyFill="1" applyBorder="1" applyAlignment="1">
      <alignment horizontal="center" wrapText="1"/>
    </xf>
    <xf numFmtId="165" fontId="25" fillId="0" borderId="0" xfId="18" applyNumberFormat="1" applyFont="1" applyFill="1" applyBorder="1" applyAlignment="1">
      <alignment horizontal="left"/>
    </xf>
    <xf numFmtId="165" fontId="25" fillId="0" borderId="0" xfId="0" applyNumberFormat="1" applyFont="1" applyBorder="1"/>
    <xf numFmtId="165" fontId="25" fillId="0" borderId="0" xfId="0" applyNumberFormat="1" applyFont="1" applyFill="1" applyBorder="1" applyAlignment="1">
      <alignment horizontal="right"/>
    </xf>
    <xf numFmtId="1" fontId="25" fillId="0" borderId="0" xfId="0" applyNumberFormat="1" applyFont="1" applyFill="1" applyBorder="1" applyAlignment="1">
      <alignment horizontal="right"/>
    </xf>
    <xf numFmtId="185" fontId="25" fillId="0" borderId="0" xfId="0" applyNumberFormat="1" applyFont="1" applyFill="1" applyBorder="1" applyAlignment="1">
      <alignment horizontal="right"/>
    </xf>
    <xf numFmtId="0" fontId="0" fillId="24" borderId="0" xfId="0" applyFill="1"/>
    <xf numFmtId="0" fontId="4" fillId="0" borderId="0" xfId="0" applyFont="1" applyFill="1" applyBorder="1" applyAlignment="1">
      <alignment horizontal="center"/>
    </xf>
    <xf numFmtId="0" fontId="9" fillId="24" borderId="0" xfId="0" applyFont="1" applyFill="1" applyBorder="1"/>
    <xf numFmtId="165" fontId="5" fillId="24" borderId="0" xfId="0" applyNumberFormat="1" applyFont="1" applyFill="1" applyBorder="1"/>
    <xf numFmtId="0" fontId="4" fillId="0" borderId="0" xfId="0" applyFont="1" applyFill="1" applyBorder="1" applyAlignment="1">
      <alignment horizontal="center"/>
    </xf>
    <xf numFmtId="184" fontId="25" fillId="0" borderId="0" xfId="0" applyNumberFormat="1" applyFont="1" applyFill="1" applyBorder="1" applyAlignment="1">
      <alignment horizontal="right"/>
    </xf>
    <xf numFmtId="172" fontId="25" fillId="0" borderId="0" xfId="0" applyNumberFormat="1" applyFont="1" applyFill="1" applyBorder="1" applyAlignment="1">
      <alignment horizontal="right"/>
    </xf>
    <xf numFmtId="172" fontId="25" fillId="0" borderId="0" xfId="0" applyNumberFormat="1" applyFont="1" applyFill="1" applyBorder="1" applyAlignment="1" quotePrefix="1">
      <alignment horizontal="right"/>
    </xf>
    <xf numFmtId="165" fontId="3" fillId="0" borderId="0" xfId="18" applyNumberFormat="1" applyFont="1" applyFill="1" applyBorder="1"/>
    <xf numFmtId="164" fontId="58" fillId="0" borderId="0" xfId="16" applyNumberFormat="1" applyFont="1" applyFill="1" applyBorder="1"/>
    <xf numFmtId="164" fontId="0" fillId="0" borderId="18" xfId="16" applyNumberFormat="1" applyFont="1" applyFill="1" applyBorder="1" applyAlignment="1">
      <alignment horizontal="right"/>
    </xf>
    <xf numFmtId="41" fontId="0" fillId="0" borderId="13" xfId="18" applyNumberFormat="1" applyFont="1" applyFill="1" applyBorder="1" quotePrefix="1"/>
    <xf numFmtId="41" fontId="0" fillId="0" borderId="13" xfId="18" applyNumberFormat="1" applyFont="1" applyFill="1" applyBorder="1"/>
    <xf numFmtId="164" fontId="7" fillId="0" borderId="15" xfId="16" applyNumberFormat="1" applyFont="1" applyFill="1" applyBorder="1" applyAlignment="1">
      <alignment horizontal="right"/>
    </xf>
    <xf numFmtId="164" fontId="7" fillId="0" borderId="0" xfId="16" applyNumberFormat="1" applyFont="1" applyFill="1" applyBorder="1" applyAlignment="1">
      <alignment horizontal="right"/>
    </xf>
    <xf numFmtId="164" fontId="0" fillId="0" borderId="15" xfId="16" applyNumberFormat="1" applyFont="1" applyFill="1" applyBorder="1" applyAlignment="1">
      <alignment horizontal="right"/>
    </xf>
    <xf numFmtId="41" fontId="0" fillId="0" borderId="0" xfId="18" applyNumberFormat="1" applyFont="1" applyFill="1" applyBorder="1"/>
    <xf numFmtId="164" fontId="0" fillId="0" borderId="0" xfId="16" applyNumberFormat="1" applyFont="1" applyFill="1" applyBorder="1" applyAlignment="1">
      <alignment horizontal="right"/>
    </xf>
    <xf numFmtId="164" fontId="0" fillId="0" borderId="15" xfId="16" applyNumberFormat="1" applyFont="1" applyFill="1" applyBorder="1" applyAlignment="1">
      <alignment horizontal="right"/>
    </xf>
    <xf numFmtId="41" fontId="0" fillId="0" borderId="0" xfId="18" applyNumberFormat="1" applyFont="1" applyFill="1" applyBorder="1" quotePrefix="1"/>
    <xf numFmtId="41" fontId="12" fillId="0" borderId="0" xfId="18" applyNumberFormat="1" applyFont="1" applyFill="1" applyBorder="1"/>
    <xf numFmtId="164" fontId="4" fillId="0" borderId="19" xfId="16" applyNumberFormat="1" applyFont="1" applyFill="1" applyBorder="1" applyAlignment="1">
      <alignment horizontal="right"/>
    </xf>
    <xf numFmtId="165" fontId="0" fillId="0" borderId="16" xfId="0" applyNumberFormat="1" applyFont="1" applyFill="1" applyBorder="1" applyAlignment="1">
      <alignment horizontal="right"/>
    </xf>
    <xf numFmtId="164" fontId="0" fillId="0" borderId="18" xfId="16" applyNumberFormat="1" applyFont="1" applyFill="1" applyBorder="1" applyAlignment="1">
      <alignment horizontal="right"/>
    </xf>
    <xf numFmtId="164" fontId="0" fillId="0" borderId="15" xfId="16" applyNumberFormat="1" applyFont="1" applyFill="1" applyBorder="1"/>
    <xf numFmtId="43" fontId="0" fillId="0" borderId="16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center"/>
    </xf>
    <xf numFmtId="186" fontId="0" fillId="0" borderId="0" xfId="0" applyNumberFormat="1"/>
    <xf numFmtId="187" fontId="0" fillId="0" borderId="0" xfId="0" applyNumberFormat="1"/>
    <xf numFmtId="188" fontId="20" fillId="0" borderId="0" xfId="0" applyNumberFormat="1" applyFont="1"/>
    <xf numFmtId="165" fontId="0" fillId="0" borderId="0" xfId="0" applyNumberFormat="1" applyFont="1" applyFill="1" applyBorder="1" applyAlignment="1">
      <alignment horizontal="right"/>
    </xf>
    <xf numFmtId="0" fontId="59" fillId="0" borderId="16" xfId="0" applyFont="1" applyFill="1" applyBorder="1"/>
    <xf numFmtId="41" fontId="4" fillId="0" borderId="0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Border="1" applyAlignment="1">
      <alignment wrapText="1"/>
    </xf>
    <xf numFmtId="0" fontId="60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165" fontId="0" fillId="0" borderId="0" xfId="0" applyNumberFormat="1" applyFont="1" applyFill="1" applyBorder="1" applyAlignment="1">
      <alignment horizontal="left"/>
    </xf>
    <xf numFmtId="37" fontId="0" fillId="0" borderId="0" xfId="22" applyFont="1" applyFill="1" applyBorder="1" applyAlignment="1" applyProtection="1">
      <alignment horizontal="right"/>
      <protection locked="0"/>
    </xf>
    <xf numFmtId="10" fontId="0" fillId="0" borderId="0" xfId="0" applyNumberFormat="1" applyFont="1" applyFill="1" applyBorder="1" applyAlignment="1">
      <alignment horizontal="right"/>
    </xf>
    <xf numFmtId="10" fontId="14" fillId="0" borderId="0" xfId="0" applyNumberFormat="1" applyFont="1" applyFill="1" applyBorder="1" applyAlignment="1">
      <alignment horizontal="right"/>
    </xf>
    <xf numFmtId="37" fontId="4" fillId="0" borderId="0" xfId="22" applyFont="1" applyFill="1" applyBorder="1" applyAlignment="1" applyProtection="1">
      <alignment horizontal="right"/>
      <protection/>
    </xf>
    <xf numFmtId="0" fontId="0" fillId="0" borderId="0" xfId="0" applyFont="1" applyFill="1" applyBorder="1" applyAlignment="1">
      <alignment horizontal="left" vertical="top"/>
    </xf>
    <xf numFmtId="0" fontId="0" fillId="0" borderId="37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37" fontId="4" fillId="0" borderId="37" xfId="22" applyFont="1" applyFill="1" applyBorder="1" applyAlignment="1" applyProtection="1">
      <alignment horizontal="centerContinuous"/>
      <protection locked="0"/>
    </xf>
    <xf numFmtId="37" fontId="4" fillId="0" borderId="50" xfId="22" applyFont="1" applyFill="1" applyBorder="1" applyAlignment="1" applyProtection="1">
      <alignment horizontal="centerContinuous"/>
      <protection locked="0"/>
    </xf>
    <xf numFmtId="0" fontId="4" fillId="0" borderId="50" xfId="0" applyFont="1" applyBorder="1" applyAlignment="1">
      <alignment horizontal="center"/>
    </xf>
    <xf numFmtId="3" fontId="0" fillId="0" borderId="16" xfId="0" applyNumberFormat="1" applyFont="1" applyFill="1" applyBorder="1"/>
    <xf numFmtId="3" fontId="4" fillId="0" borderId="14" xfId="0" applyNumberFormat="1" applyFont="1" applyFill="1" applyBorder="1" applyAlignment="1">
      <alignment horizontal="center"/>
    </xf>
    <xf numFmtId="3" fontId="0" fillId="0" borderId="14" xfId="15" applyNumberFormat="1" applyFont="1" applyFill="1" applyBorder="1"/>
    <xf numFmtId="165" fontId="0" fillId="0" borderId="16" xfId="0" applyNumberFormat="1" applyFont="1" applyFill="1" applyBorder="1"/>
    <xf numFmtId="0" fontId="0" fillId="25" borderId="0" xfId="0" applyFill="1"/>
    <xf numFmtId="0" fontId="9" fillId="25" borderId="0" xfId="0" applyFont="1" applyFill="1" applyBorder="1"/>
    <xf numFmtId="165" fontId="5" fillId="25" borderId="0" xfId="0" applyNumberFormat="1" applyFont="1" applyFill="1" applyBorder="1"/>
    <xf numFmtId="165" fontId="0" fillId="0" borderId="0" xfId="18" applyNumberFormat="1" applyFont="1" applyFill="1" applyBorder="1"/>
    <xf numFmtId="0" fontId="9" fillId="0" borderId="16" xfId="0" applyFont="1" applyFill="1" applyBorder="1"/>
    <xf numFmtId="0" fontId="0" fillId="0" borderId="16" xfId="0" applyFont="1" applyFill="1" applyBorder="1" applyAlignment="1" applyProtection="1">
      <alignment horizontal="center"/>
      <protection locked="0"/>
    </xf>
    <xf numFmtId="0" fontId="0" fillId="0" borderId="16" xfId="0" applyFont="1" applyFill="1" applyBorder="1" applyProtection="1">
      <protection locked="0"/>
    </xf>
    <xf numFmtId="0" fontId="4" fillId="0" borderId="16" xfId="0" applyFont="1" applyFill="1" applyBorder="1" applyAlignment="1" applyProtection="1">
      <alignment horizontal="center"/>
      <protection locked="0"/>
    </xf>
    <xf numFmtId="165" fontId="5" fillId="0" borderId="16" xfId="0" applyNumberFormat="1" applyFont="1" applyFill="1" applyBorder="1"/>
    <xf numFmtId="0" fontId="0" fillId="0" borderId="16" xfId="0" applyFill="1" applyBorder="1"/>
    <xf numFmtId="0" fontId="4" fillId="0" borderId="0" xfId="0" applyFont="1" applyFill="1" applyBorder="1" applyAlignment="1">
      <alignment horizontal="center"/>
    </xf>
    <xf numFmtId="17" fontId="61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0" fillId="0" borderId="0" xfId="0" applyFont="1" applyFill="1" applyBorder="1" applyAlignment="1" applyProtection="1">
      <alignment horizontal="center"/>
      <protection locked="0"/>
    </xf>
    <xf numFmtId="168" fontId="0" fillId="0" borderId="0" xfId="0" applyNumberFormat="1" applyFont="1" applyFill="1"/>
    <xf numFmtId="16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top"/>
    </xf>
    <xf numFmtId="0" fontId="25" fillId="0" borderId="0" xfId="0" applyFont="1" applyFill="1"/>
    <xf numFmtId="165" fontId="0" fillId="0" borderId="0" xfId="18" applyNumberFormat="1" applyFont="1" applyFill="1"/>
    <xf numFmtId="165" fontId="16" fillId="0" borderId="0" xfId="0" applyNumberFormat="1" applyFont="1" applyFill="1"/>
    <xf numFmtId="44" fontId="19" fillId="0" borderId="0" xfId="0" applyNumberFormat="1" applyFont="1" applyBorder="1"/>
    <xf numFmtId="49" fontId="4" fillId="0" borderId="18" xfId="0" applyNumberFormat="1" applyFont="1" applyFill="1" applyBorder="1" applyAlignment="1">
      <alignment horizontal="left" indent="1"/>
    </xf>
    <xf numFmtId="0" fontId="4" fillId="0" borderId="19" xfId="0" applyFont="1" applyFill="1" applyBorder="1" applyAlignment="1">
      <alignment horizontal="left" indent="1"/>
    </xf>
    <xf numFmtId="164" fontId="19" fillId="0" borderId="0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5" xfId="0" applyFont="1" applyFill="1" applyBorder="1"/>
    <xf numFmtId="0" fontId="19" fillId="0" borderId="0" xfId="0" applyFont="1" applyFill="1"/>
    <xf numFmtId="37" fontId="3" fillId="0" borderId="0" xfId="28" applyNumberFormat="1" applyFill="1">
      <alignment/>
      <protection/>
    </xf>
    <xf numFmtId="41" fontId="0" fillId="0" borderId="16" xfId="0" applyNumberFormat="1" applyFont="1" applyFill="1" applyBorder="1" applyAlignment="1">
      <alignment horizontal="centerContinuous"/>
    </xf>
    <xf numFmtId="165" fontId="7" fillId="0" borderId="39" xfId="16" applyNumberFormat="1" applyFont="1" applyFill="1" applyBorder="1"/>
    <xf numFmtId="41" fontId="0" fillId="0" borderId="0" xfId="0" applyNumberFormat="1" applyFont="1" applyFill="1" applyBorder="1" applyAlignment="1">
      <alignment horizontal="centerContinuous"/>
    </xf>
    <xf numFmtId="0" fontId="19" fillId="0" borderId="0" xfId="0" applyFont="1" applyFill="1" applyAlignment="1">
      <alignment horizontal="center"/>
    </xf>
    <xf numFmtId="0" fontId="4" fillId="0" borderId="18" xfId="0" applyFont="1" applyFill="1" applyBorder="1"/>
    <xf numFmtId="0" fontId="19" fillId="0" borderId="0" xfId="0" applyFont="1" applyFill="1" applyBorder="1"/>
    <xf numFmtId="164" fontId="23" fillId="0" borderId="0" xfId="16" applyNumberFormat="1" applyFont="1" applyFill="1" applyBorder="1"/>
    <xf numFmtId="164" fontId="0" fillId="0" borderId="0" xfId="0" applyNumberFormat="1" applyFill="1"/>
    <xf numFmtId="0" fontId="3" fillId="0" borderId="0" xfId="28" applyFill="1">
      <alignment/>
      <protection/>
    </xf>
    <xf numFmtId="0" fontId="4" fillId="0" borderId="19" xfId="0" applyFont="1" applyFill="1" applyBorder="1" applyAlignment="1">
      <alignment horizontal="right"/>
    </xf>
    <xf numFmtId="0" fontId="0" fillId="0" borderId="13" xfId="0" applyFont="1" applyFill="1" applyBorder="1" applyAlignment="1">
      <alignment horizontal="left"/>
    </xf>
    <xf numFmtId="0" fontId="0" fillId="0" borderId="13" xfId="0" applyFont="1" applyFill="1" applyBorder="1" applyAlignment="1">
      <alignment horizontal="centerContinuous"/>
    </xf>
    <xf numFmtId="164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left"/>
    </xf>
    <xf numFmtId="0" fontId="0" fillId="0" borderId="16" xfId="0" applyFont="1" applyFill="1" applyBorder="1" applyAlignment="1">
      <alignment horizontal="left"/>
    </xf>
    <xf numFmtId="41" fontId="0" fillId="0" borderId="21" xfId="0" applyNumberFormat="1" applyFont="1" applyFill="1" applyBorder="1" applyAlignment="1">
      <alignment horizontal="centerContinuous"/>
    </xf>
    <xf numFmtId="41" fontId="0" fillId="0" borderId="39" xfId="0" applyNumberFormat="1" applyFont="1" applyFill="1" applyBorder="1" applyAlignment="1">
      <alignment horizontal="centerContinuous"/>
    </xf>
    <xf numFmtId="165" fontId="0" fillId="0" borderId="0" xfId="16" applyNumberFormat="1" applyFont="1" applyBorder="1"/>
    <xf numFmtId="165" fontId="0" fillId="0" borderId="0" xfId="18" applyNumberFormat="1" applyFont="1" applyAlignment="1">
      <alignment horizontal="right"/>
    </xf>
    <xf numFmtId="3" fontId="4" fillId="0" borderId="0" xfId="0" applyNumberFormat="1" applyFont="1" applyFill="1" applyBorder="1"/>
    <xf numFmtId="3" fontId="71" fillId="0" borderId="0" xfId="0" applyNumberFormat="1" applyFont="1"/>
    <xf numFmtId="189" fontId="0" fillId="0" borderId="0" xfId="0" applyNumberFormat="1" applyFont="1" applyFill="1" applyBorder="1"/>
    <xf numFmtId="166" fontId="0" fillId="0" borderId="0" xfId="0" applyNumberFormat="1" applyFill="1"/>
    <xf numFmtId="176" fontId="4" fillId="0" borderId="14" xfId="15" applyNumberFormat="1" applyFont="1" applyFill="1" applyBorder="1"/>
    <xf numFmtId="0" fontId="16" fillId="8" borderId="20" xfId="0" applyFont="1" applyFill="1" applyBorder="1"/>
    <xf numFmtId="0" fontId="16" fillId="8" borderId="0" xfId="0" applyFont="1" applyFill="1" applyBorder="1"/>
    <xf numFmtId="0" fontId="0" fillId="0" borderId="36" xfId="0" applyFont="1" applyFill="1" applyBorder="1" applyAlignment="1">
      <alignment horizontal="center"/>
    </xf>
    <xf numFmtId="0" fontId="0" fillId="0" borderId="36" xfId="0" applyFont="1" applyBorder="1"/>
    <xf numFmtId="6" fontId="0" fillId="0" borderId="36" xfId="0" applyNumberFormat="1" applyFont="1" applyBorder="1"/>
    <xf numFmtId="38" fontId="0" fillId="0" borderId="36" xfId="0" applyNumberFormat="1" applyFont="1" applyBorder="1"/>
    <xf numFmtId="37" fontId="0" fillId="0" borderId="36" xfId="0" applyNumberFormat="1" applyFont="1" applyBorder="1"/>
    <xf numFmtId="43" fontId="0" fillId="0" borderId="0" xfId="18" applyNumberFormat="1" applyFont="1" applyFill="1" applyBorder="1" applyAlignment="1" quotePrefix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 applyProtection="1">
      <alignment/>
      <protection locked="0"/>
    </xf>
    <xf numFmtId="0" fontId="0" fillId="0" borderId="0" xfId="0" applyFont="1" applyFill="1" applyBorder="1" applyAlignment="1" applyProtection="1">
      <alignment horizontal="left"/>
      <protection locked="0"/>
    </xf>
    <xf numFmtId="165" fontId="0" fillId="0" borderId="0" xfId="18" applyNumberFormat="1" applyFont="1" applyFill="1" applyBorder="1" applyAlignment="1" applyProtection="1">
      <alignment horizontal="left"/>
      <protection locked="0"/>
    </xf>
    <xf numFmtId="0" fontId="0" fillId="0" borderId="0" xfId="0" applyFill="1" applyAlignment="1">
      <alignment horizontal="left"/>
    </xf>
    <xf numFmtId="0" fontId="0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Fill="1" applyBorder="1" applyAlignment="1">
      <alignment horizontal="center"/>
    </xf>
    <xf numFmtId="41" fontId="4" fillId="0" borderId="0" xfId="0" applyNumberFormat="1" applyFont="1" applyFill="1" applyBorder="1" applyAlignment="1">
      <alignment horizontal="center"/>
    </xf>
    <xf numFmtId="0" fontId="69" fillId="0" borderId="0" xfId="0" applyFont="1" applyFill="1" applyBorder="1"/>
    <xf numFmtId="10" fontId="0" fillId="0" borderId="0" xfId="0" applyNumberFormat="1" applyFill="1" applyBorder="1"/>
    <xf numFmtId="10" fontId="14" fillId="0" borderId="0" xfId="0" applyNumberFormat="1" applyFont="1" applyFill="1" applyBorder="1"/>
    <xf numFmtId="165" fontId="0" fillId="0" borderId="0" xfId="18" applyNumberFormat="1" applyFont="1" applyFill="1" applyBorder="1" applyAlignment="1">
      <alignment horizontal="center"/>
    </xf>
    <xf numFmtId="43" fontId="12" fillId="0" borderId="0" xfId="0" applyNumberFormat="1" applyFont="1" applyFill="1" applyBorder="1"/>
    <xf numFmtId="10" fontId="4" fillId="0" borderId="0" xfId="0" applyNumberFormat="1" applyFont="1" applyFill="1" applyBorder="1"/>
    <xf numFmtId="165" fontId="10" fillId="0" borderId="0" xfId="0" applyNumberFormat="1" applyFont="1" applyFill="1" applyBorder="1"/>
    <xf numFmtId="165" fontId="23" fillId="0" borderId="0" xfId="0" applyNumberFormat="1" applyFont="1" applyFill="1" applyBorder="1"/>
    <xf numFmtId="10" fontId="10" fillId="0" borderId="0" xfId="0" applyNumberFormat="1" applyFont="1" applyFill="1" applyBorder="1"/>
    <xf numFmtId="0" fontId="0" fillId="0" borderId="0" xfId="0" applyFont="1" applyFill="1" applyBorder="1" applyAlignment="1">
      <alignment horizontal="left" indent="3"/>
    </xf>
    <xf numFmtId="165" fontId="0" fillId="0" borderId="0" xfId="18" applyNumberFormat="1" applyFont="1" applyFill="1" applyAlignment="1">
      <alignment/>
    </xf>
    <xf numFmtId="165" fontId="0" fillId="0" borderId="0" xfId="18" applyNumberFormat="1" applyFont="1" applyFill="1"/>
    <xf numFmtId="6" fontId="0" fillId="0" borderId="0" xfId="15" applyNumberFormat="1" applyFont="1" applyFill="1" applyBorder="1" applyAlignment="1" applyProtection="1">
      <alignment horizontal="center"/>
      <protection/>
    </xf>
    <xf numFmtId="10" fontId="4" fillId="0" borderId="0" xfId="15" applyNumberFormat="1" applyFont="1" applyFill="1" applyBorder="1" applyAlignment="1" applyProtection="1" quotePrefix="1">
      <alignment horizontal="center"/>
      <protection/>
    </xf>
    <xf numFmtId="165" fontId="4" fillId="0" borderId="0" xfId="18" applyNumberFormat="1" applyFont="1" applyFill="1" applyBorder="1" applyAlignment="1" applyProtection="1">
      <alignment horizontal="center"/>
      <protection/>
    </xf>
    <xf numFmtId="0" fontId="0" fillId="0" borderId="0" xfId="21" applyFont="1" applyBorder="1">
      <alignment/>
      <protection/>
    </xf>
    <xf numFmtId="0" fontId="4" fillId="0" borderId="0" xfId="21" applyFont="1" applyFill="1" applyBorder="1">
      <alignment/>
      <protection/>
    </xf>
    <xf numFmtId="165" fontId="0" fillId="0" borderId="0" xfId="20" applyNumberFormat="1" applyFont="1" applyFill="1" applyBorder="1" applyAlignment="1" quotePrefix="1">
      <alignment horizontal="center"/>
    </xf>
    <xf numFmtId="165" fontId="4" fillId="0" borderId="0" xfId="20" applyNumberFormat="1" applyFont="1" applyFill="1" applyBorder="1" applyAlignment="1" quotePrefix="1">
      <alignment horizontal="center"/>
    </xf>
    <xf numFmtId="165" fontId="4" fillId="0" borderId="0" xfId="20" applyNumberFormat="1" applyFont="1" applyFill="1" applyBorder="1"/>
    <xf numFmtId="0" fontId="4" fillId="0" borderId="0" xfId="21" applyFont="1" applyFill="1" applyBorder="1" applyAlignment="1" applyProtection="1">
      <alignment horizontal="center"/>
      <protection locked="0"/>
    </xf>
    <xf numFmtId="165" fontId="4" fillId="0" borderId="0" xfId="20" applyNumberFormat="1" applyFont="1" applyFill="1" applyBorder="1" applyProtection="1">
      <protection locked="0"/>
    </xf>
    <xf numFmtId="0" fontId="0" fillId="0" borderId="0" xfId="21" applyFont="1" applyFill="1" applyBorder="1">
      <alignment/>
      <protection/>
    </xf>
    <xf numFmtId="165" fontId="0" fillId="0" borderId="39" xfId="20" applyNumberFormat="1" applyFont="1" applyFill="1" applyBorder="1" applyAlignment="1">
      <alignment horizontal="center"/>
    </xf>
    <xf numFmtId="165" fontId="0" fillId="0" borderId="38" xfId="20" applyNumberFormat="1" applyFont="1" applyFill="1" applyBorder="1" applyAlignment="1">
      <alignment horizontal="center"/>
    </xf>
    <xf numFmtId="164" fontId="0" fillId="0" borderId="37" xfId="25" applyNumberFormat="1" applyFont="1" applyFill="1" applyBorder="1"/>
    <xf numFmtId="165" fontId="0" fillId="0" borderId="39" xfId="20" applyNumberFormat="1" applyFont="1" applyFill="1" applyBorder="1"/>
    <xf numFmtId="165" fontId="0" fillId="0" borderId="38" xfId="20" applyNumberFormat="1" applyFont="1" applyFill="1" applyBorder="1"/>
    <xf numFmtId="164" fontId="0" fillId="0" borderId="37" xfId="25" applyNumberFormat="1" applyFont="1" applyFill="1" applyBorder="1" applyAlignment="1" quotePrefix="1">
      <alignment horizontal="center"/>
    </xf>
    <xf numFmtId="165" fontId="0" fillId="0" borderId="39" xfId="20" applyNumberFormat="1" applyFont="1" applyFill="1" applyBorder="1" applyAlignment="1" quotePrefix="1">
      <alignment horizontal="center"/>
    </xf>
    <xf numFmtId="165" fontId="0" fillId="0" borderId="38" xfId="20" applyNumberFormat="1" applyFont="1" applyFill="1" applyBorder="1" applyAlignment="1" quotePrefix="1">
      <alignment horizontal="center"/>
    </xf>
    <xf numFmtId="164" fontId="0" fillId="0" borderId="37" xfId="25" applyNumberFormat="1" applyFont="1" applyFill="1" applyBorder="1" applyProtection="1">
      <protection/>
    </xf>
    <xf numFmtId="165" fontId="0" fillId="0" borderId="39" xfId="20" applyNumberFormat="1" applyFont="1" applyFill="1" applyBorder="1" applyProtection="1">
      <protection/>
    </xf>
    <xf numFmtId="165" fontId="0" fillId="0" borderId="38" xfId="20" applyNumberFormat="1" applyFont="1" applyFill="1" applyBorder="1" applyProtection="1">
      <protection/>
    </xf>
    <xf numFmtId="164" fontId="0" fillId="0" borderId="0" xfId="25" applyNumberFormat="1" applyFont="1" applyFill="1" applyProtection="1">
      <protection/>
    </xf>
    <xf numFmtId="165" fontId="0" fillId="0" borderId="0" xfId="20" applyNumberFormat="1" applyFont="1" applyFill="1" applyBorder="1" applyProtection="1">
      <protection/>
    </xf>
    <xf numFmtId="42" fontId="0" fillId="0" borderId="37" xfId="25" applyNumberFormat="1" applyFont="1" applyFill="1" applyBorder="1" applyProtection="1">
      <protection/>
    </xf>
    <xf numFmtId="41" fontId="0" fillId="0" borderId="39" xfId="25" applyNumberFormat="1" applyFont="1" applyFill="1" applyBorder="1" applyProtection="1">
      <protection/>
    </xf>
    <xf numFmtId="41" fontId="0" fillId="0" borderId="39" xfId="20" applyNumberFormat="1" applyFont="1" applyFill="1" applyBorder="1" applyProtection="1">
      <protection/>
    </xf>
    <xf numFmtId="41" fontId="0" fillId="0" borderId="38" xfId="20" applyNumberFormat="1" applyFont="1" applyFill="1" applyBorder="1" applyProtection="1">
      <protection/>
    </xf>
    <xf numFmtId="164" fontId="0" fillId="0" borderId="0" xfId="25" applyNumberFormat="1" applyFont="1" applyFill="1" applyProtection="1">
      <protection locked="0"/>
    </xf>
    <xf numFmtId="166" fontId="0" fillId="0" borderId="22" xfId="26" applyNumberFormat="1" applyFont="1" applyFill="1" applyBorder="1" applyProtection="1">
      <protection locked="0"/>
    </xf>
    <xf numFmtId="166" fontId="0" fillId="0" borderId="0" xfId="26" applyNumberFormat="1" applyFont="1" applyFill="1" applyBorder="1" applyProtection="1">
      <protection locked="0"/>
    </xf>
    <xf numFmtId="42" fontId="0" fillId="0" borderId="37" xfId="20" applyNumberFormat="1" applyFont="1" applyFill="1" applyBorder="1" applyAlignment="1">
      <alignment horizontal="center"/>
    </xf>
    <xf numFmtId="165" fontId="0" fillId="0" borderId="0" xfId="20" applyNumberFormat="1" applyFont="1" applyFill="1" applyBorder="1" applyAlignment="1">
      <alignment horizontal="center"/>
    </xf>
    <xf numFmtId="164" fontId="0" fillId="0" borderId="37" xfId="25" applyNumberFormat="1" applyFont="1" applyFill="1" applyBorder="1" applyAlignment="1">
      <alignment horizontal="right"/>
    </xf>
    <xf numFmtId="165" fontId="0" fillId="0" borderId="39" xfId="20" applyNumberFormat="1" applyFont="1" applyFill="1" applyBorder="1" applyAlignment="1">
      <alignment horizontal="right"/>
    </xf>
    <xf numFmtId="165" fontId="0" fillId="0" borderId="38" xfId="20" applyNumberFormat="1" applyFont="1" applyFill="1" applyBorder="1" applyAlignment="1">
      <alignment horizontal="right"/>
    </xf>
    <xf numFmtId="164" fontId="0" fillId="0" borderId="37" xfId="25" applyNumberFormat="1" applyFont="1" applyFill="1" applyBorder="1" applyAlignment="1">
      <alignment horizontal="center"/>
    </xf>
    <xf numFmtId="42" fontId="0" fillId="0" borderId="37" xfId="20" applyNumberFormat="1" applyFont="1" applyFill="1" applyBorder="1"/>
    <xf numFmtId="41" fontId="0" fillId="0" borderId="39" xfId="20" applyNumberFormat="1" applyFont="1" applyFill="1" applyBorder="1"/>
    <xf numFmtId="41" fontId="0" fillId="0" borderId="38" xfId="20" applyNumberFormat="1" applyFont="1" applyFill="1" applyBorder="1"/>
    <xf numFmtId="164" fontId="0" fillId="0" borderId="0" xfId="25" applyNumberFormat="1" applyFont="1" applyFill="1" applyBorder="1"/>
    <xf numFmtId="165" fontId="0" fillId="0" borderId="0" xfId="20" applyNumberFormat="1" applyFont="1" applyFill="1" applyBorder="1" applyProtection="1">
      <protection locked="0"/>
    </xf>
    <xf numFmtId="164" fontId="0" fillId="0" borderId="22" xfId="25" applyNumberFormat="1" applyFont="1" applyFill="1" applyBorder="1" applyProtection="1">
      <protection locked="0"/>
    </xf>
    <xf numFmtId="164" fontId="0" fillId="0" borderId="37" xfId="25" applyNumberFormat="1" applyFont="1" applyFill="1" applyBorder="1" applyProtection="1">
      <protection locked="0"/>
    </xf>
    <xf numFmtId="165" fontId="0" fillId="0" borderId="38" xfId="20" applyNumberFormat="1" applyFont="1" applyFill="1" applyBorder="1" applyProtection="1">
      <protection locked="0"/>
    </xf>
    <xf numFmtId="164" fontId="0" fillId="0" borderId="18" xfId="25" applyNumberFormat="1" applyFont="1" applyFill="1" applyBorder="1"/>
    <xf numFmtId="41" fontId="0" fillId="0" borderId="15" xfId="25" applyNumberFormat="1" applyFont="1" applyFill="1" applyBorder="1"/>
    <xf numFmtId="41" fontId="0" fillId="0" borderId="0" xfId="25" applyNumberFormat="1" applyFont="1" applyFill="1" applyBorder="1"/>
    <xf numFmtId="41" fontId="0" fillId="0" borderId="14" xfId="25" applyNumberFormat="1" applyFont="1" applyFill="1" applyBorder="1"/>
    <xf numFmtId="41" fontId="0" fillId="0" borderId="15" xfId="20" applyNumberFormat="1" applyFont="1" applyFill="1" applyBorder="1"/>
    <xf numFmtId="41" fontId="0" fillId="0" borderId="0" xfId="20" applyNumberFormat="1" applyFont="1" applyFill="1" applyBorder="1"/>
    <xf numFmtId="41" fontId="0" fillId="0" borderId="14" xfId="20" applyNumberFormat="1" applyFont="1" applyFill="1" applyBorder="1"/>
    <xf numFmtId="41" fontId="0" fillId="0" borderId="19" xfId="20" applyNumberFormat="1" applyFont="1" applyFill="1" applyBorder="1"/>
    <xf numFmtId="41" fontId="0" fillId="0" borderId="16" xfId="20" applyNumberFormat="1" applyFont="1" applyFill="1" applyBorder="1"/>
    <xf numFmtId="41" fontId="0" fillId="0" borderId="21" xfId="20" applyNumberFormat="1" applyFont="1" applyFill="1" applyBorder="1"/>
    <xf numFmtId="165" fontId="0" fillId="0" borderId="23" xfId="20" applyNumberFormat="1" applyFont="1" applyFill="1" applyBorder="1"/>
    <xf numFmtId="165" fontId="0" fillId="0" borderId="24" xfId="20" applyNumberFormat="1" applyFont="1" applyFill="1" applyBorder="1"/>
    <xf numFmtId="165" fontId="0" fillId="0" borderId="25" xfId="20" applyNumberFormat="1" applyFont="1" applyFill="1" applyBorder="1"/>
    <xf numFmtId="164" fontId="0" fillId="0" borderId="23" xfId="25" applyNumberFormat="1" applyFont="1" applyFill="1" applyBorder="1" applyProtection="1">
      <protection/>
    </xf>
    <xf numFmtId="168" fontId="0" fillId="0" borderId="0" xfId="0" applyNumberFormat="1" applyFont="1" applyFill="1"/>
    <xf numFmtId="0" fontId="4" fillId="0" borderId="11" xfId="0" applyFont="1" applyFill="1" applyBorder="1" applyAlignment="1">
      <alignment horizontal="center"/>
    </xf>
    <xf numFmtId="0" fontId="0" fillId="0" borderId="12" xfId="0" applyFont="1" applyBorder="1"/>
    <xf numFmtId="165" fontId="4" fillId="0" borderId="10" xfId="18" applyNumberFormat="1" applyFont="1" applyFill="1" applyBorder="1" applyProtection="1">
      <protection locked="0"/>
    </xf>
    <xf numFmtId="0" fontId="0" fillId="0" borderId="11" xfId="0" applyFill="1" applyBorder="1"/>
    <xf numFmtId="165" fontId="0" fillId="0" borderId="11" xfId="0" applyNumberFormat="1" applyFont="1" applyFill="1" applyBorder="1"/>
    <xf numFmtId="165" fontId="0" fillId="0" borderId="0" xfId="18" applyNumberFormat="1" applyFont="1" applyFill="1" applyBorder="1" applyAlignment="1">
      <alignment horizontal="right"/>
    </xf>
    <xf numFmtId="42" fontId="0" fillId="0" borderId="0" xfId="15" applyNumberFormat="1" applyFont="1" applyFill="1" applyBorder="1" applyAlignment="1" applyProtection="1">
      <alignment horizontal="center"/>
      <protection/>
    </xf>
    <xf numFmtId="42" fontId="12" fillId="0" borderId="0" xfId="16" applyNumberFormat="1" applyFont="1" applyFill="1" applyBorder="1" applyProtection="1">
      <protection/>
    </xf>
    <xf numFmtId="43" fontId="0" fillId="0" borderId="0" xfId="0" applyNumberFormat="1"/>
    <xf numFmtId="43" fontId="0" fillId="0" borderId="0" xfId="0" applyNumberFormat="1" applyFill="1"/>
    <xf numFmtId="42" fontId="0" fillId="0" borderId="0" xfId="0" applyNumberFormat="1" applyFont="1" applyFill="1" applyBorder="1"/>
    <xf numFmtId="0" fontId="0" fillId="0" borderId="15" xfId="0" applyFill="1" applyBorder="1"/>
    <xf numFmtId="165" fontId="0" fillId="0" borderId="14" xfId="18" applyNumberFormat="1" applyFont="1" applyFill="1" applyBorder="1"/>
    <xf numFmtId="43" fontId="4" fillId="8" borderId="20" xfId="18" applyNumberFormat="1" applyFont="1" applyFill="1" applyBorder="1"/>
    <xf numFmtId="0" fontId="89" fillId="0" borderId="0" xfId="0" applyFont="1" applyFill="1" applyBorder="1" applyAlignment="1">
      <alignment horizontal="centerContinuous"/>
    </xf>
    <xf numFmtId="0" fontId="90" fillId="0" borderId="0" xfId="0" applyFont="1" applyFill="1" applyBorder="1" applyAlignment="1">
      <alignment horizontal="centerContinuous"/>
    </xf>
    <xf numFmtId="3" fontId="0" fillId="0" borderId="37" xfId="0" applyNumberFormat="1" applyFont="1" applyBorder="1"/>
    <xf numFmtId="165" fontId="4" fillId="0" borderId="0" xfId="18" applyNumberFormat="1" applyFont="1"/>
    <xf numFmtId="165" fontId="69" fillId="0" borderId="0" xfId="18" applyNumberFormat="1" applyFont="1" applyFill="1" applyBorder="1"/>
    <xf numFmtId="165" fontId="69" fillId="0" borderId="0" xfId="18" applyNumberFormat="1" applyFont="1"/>
    <xf numFmtId="41" fontId="0" fillId="0" borderId="0" xfId="0" applyNumberFormat="1" applyBorder="1"/>
    <xf numFmtId="165" fontId="0" fillId="0" borderId="0" xfId="0" applyNumberFormat="1" applyBorder="1"/>
    <xf numFmtId="2" fontId="0" fillId="0" borderId="0" xfId="15" applyNumberFormat="1" applyFont="1" applyFill="1" applyBorder="1" applyAlignment="1" applyProtection="1">
      <alignment horizontal="center"/>
      <protection/>
    </xf>
    <xf numFmtId="0" fontId="0" fillId="0" borderId="18" xfId="0" applyFont="1" applyFill="1" applyBorder="1" applyAlignment="1">
      <alignment horizontal="center"/>
    </xf>
    <xf numFmtId="165" fontId="0" fillId="0" borderId="13" xfId="20" applyNumberFormat="1" applyFont="1" applyFill="1" applyBorder="1" applyProtection="1">
      <protection/>
    </xf>
    <xf numFmtId="165" fontId="0" fillId="0" borderId="17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3" fontId="0" fillId="0" borderId="14" xfId="0" applyNumberFormat="1" applyFont="1" applyFill="1" applyBorder="1" applyAlignment="1">
      <alignment horizontal="right"/>
    </xf>
    <xf numFmtId="0" fontId="0" fillId="0" borderId="19" xfId="0" applyFont="1" applyFill="1" applyBorder="1" applyAlignment="1">
      <alignment horizontal="center"/>
    </xf>
    <xf numFmtId="177" fontId="0" fillId="0" borderId="16" xfId="0" applyNumberFormat="1" applyFont="1" applyFill="1" applyBorder="1"/>
    <xf numFmtId="0" fontId="0" fillId="0" borderId="16" xfId="0" applyFont="1" applyFill="1" applyBorder="1" applyAlignment="1">
      <alignment horizontal="centerContinuous"/>
    </xf>
    <xf numFmtId="167" fontId="0" fillId="0" borderId="21" xfId="0" applyNumberFormat="1" applyFont="1" applyFill="1" applyBorder="1" applyAlignment="1">
      <alignment horizontal="right"/>
    </xf>
    <xf numFmtId="0" fontId="20" fillId="0" borderId="0" xfId="0" applyFont="1" applyBorder="1"/>
    <xf numFmtId="165" fontId="0" fillId="0" borderId="0" xfId="0" applyNumberFormat="1" applyFont="1" applyBorder="1" applyProtection="1">
      <protection locked="0"/>
    </xf>
    <xf numFmtId="0" fontId="3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7" fillId="0" borderId="0" xfId="21" applyFont="1" applyFill="1" applyBorder="1" applyAlignment="1">
      <alignment horizontal="center"/>
      <protection/>
    </xf>
    <xf numFmtId="0" fontId="16" fillId="0" borderId="0" xfId="0" applyFont="1" applyAlignment="1">
      <alignment wrapText="1"/>
    </xf>
  </cellXfs>
  <cellStyles count="5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2" xfId="21"/>
    <cellStyle name="Normal_kyret" xfId="22"/>
    <cellStyle name="Normal 3" xfId="23"/>
    <cellStyle name="Comma 3" xfId="24"/>
    <cellStyle name="Currency 2" xfId="25"/>
    <cellStyle name="Percent 2" xfId="26"/>
    <cellStyle name="Normal 4" xfId="27"/>
    <cellStyle name="Normal 5" xfId="28"/>
    <cellStyle name="Comma 4" xfId="29"/>
    <cellStyle name="Currency 3" xfId="30"/>
    <cellStyle name="Percent 3" xfId="31"/>
    <cellStyle name="20% - Accent1 2" xfId="32"/>
    <cellStyle name="20% - Accent2 2" xfId="33"/>
    <cellStyle name="20% - Accent3 2" xfId="34"/>
    <cellStyle name="20% - Accent4 2" xfId="35"/>
    <cellStyle name="20% - Accent5 2" xfId="36"/>
    <cellStyle name="20% - Accent6 2" xfId="37"/>
    <cellStyle name="40% - Accent1 2" xfId="38"/>
    <cellStyle name="40% - Accent2 2" xfId="39"/>
    <cellStyle name="40% - Accent3 2" xfId="40"/>
    <cellStyle name="40% - Accent4 2" xfId="41"/>
    <cellStyle name="40% - Accent5 2" xfId="42"/>
    <cellStyle name="40% - Accent6 2" xfId="43"/>
    <cellStyle name="60% - Accent1 2" xfId="44"/>
    <cellStyle name="60% - Accent2 2" xfId="45"/>
    <cellStyle name="60% - Accent3 2" xfId="46"/>
    <cellStyle name="60% - Accent4 2" xfId="47"/>
    <cellStyle name="60% - Accent5 2" xfId="48"/>
    <cellStyle name="60% - Accent6 2" xfId="49"/>
    <cellStyle name="Accent1 2" xfId="50"/>
    <cellStyle name="Accent2 2" xfId="51"/>
    <cellStyle name="Accent3 2" xfId="52"/>
    <cellStyle name="Accent4 2" xfId="53"/>
    <cellStyle name="Accent5 2" xfId="54"/>
    <cellStyle name="Accent6 2" xfId="55"/>
    <cellStyle name="Bad 2" xfId="56"/>
    <cellStyle name="Calculation 2" xfId="57"/>
    <cellStyle name="Check Cell 2" xfId="58"/>
    <cellStyle name="Explanatory Text 2" xfId="59"/>
    <cellStyle name="Good 2" xfId="60"/>
    <cellStyle name="Heading 1 2" xfId="61"/>
    <cellStyle name="Heading 2 2" xfId="62"/>
    <cellStyle name="Heading 3 2" xfId="63"/>
    <cellStyle name="Heading 4 2" xfId="64"/>
    <cellStyle name="Input 2" xfId="65"/>
    <cellStyle name="Linked Cell 2" xfId="66"/>
    <cellStyle name="Neutral 2" xfId="67"/>
    <cellStyle name="Note 2" xfId="68"/>
    <cellStyle name="Output 2" xfId="69"/>
    <cellStyle name="Title 2" xfId="70"/>
    <cellStyle name="Total 2" xfId="71"/>
    <cellStyle name="Warning Text 2" xfId="72"/>
  </cellStyles>
  <dxfs count="6">
    <dxf>
      <font>
        <color indexed="10"/>
      </font>
    </dxf>
    <dxf>
      <font>
        <color indexed="17"/>
      </font>
    </dxf>
    <dxf>
      <font>
        <color auto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indexed="10"/>
      </font>
    </dxf>
    <dxf>
      <font>
        <color auto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calcChain" Target="calcChain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externalLink" Target="externalLinks/externalLink2.xml" /><Relationship Id="rId25" Type="http://schemas.openxmlformats.org/officeDocument/2006/relationships/externalLink" Target="externalLinks/externalLink3.xml" /><Relationship Id="rId26" Type="http://schemas.openxmlformats.org/officeDocument/2006/relationships/externalLink" Target="externalLinks/externalLink4.xml" /><Relationship Id="rId27" Type="http://schemas.openxmlformats.org/officeDocument/2006/relationships/externalLink" Target="externalLinks/externalLink5.xml" /><Relationship Id="rId20" Type="http://schemas.openxmlformats.org/officeDocument/2006/relationships/worksheet" Target="worksheets/sheet19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23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28" Type="http://schemas.openxmlformats.org/officeDocument/2006/relationships/externalLink" Target="externalLinks/externalLink6.xml" /><Relationship Id="rId29" Type="http://schemas.openxmlformats.org/officeDocument/2006/relationships/externalLink" Target="externalLinks/externalLink7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I%20WP/WP_II-I-2.5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I%20WP/WP_II-I-2.3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I%20WP/WP_II-I-2.8.xlsx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I%20WP/WP_II-I-2.4.xlsx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1.4.xlsx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4_1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V%20(Rate%20Design)/Section%20V%20Workpapers/WP_IV-J-5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P II-I 2.5"/>
      <sheetName val="WP_II-I-2.5"/>
    </sheetNames>
    <sheetDataSet>
      <sheetData sheetId="0">
        <row r="13">
          <cell r="P13">
            <v>0.557504814734644</v>
          </cell>
        </row>
        <row r="15">
          <cell r="P15">
            <v>0.0859528851112406</v>
          </cell>
        </row>
        <row r="17">
          <cell r="P17">
            <v>0.265124647515235</v>
          </cell>
        </row>
        <row r="19">
          <cell r="P19">
            <v>0.00372275260292699</v>
          </cell>
        </row>
        <row r="21">
          <cell r="P21">
            <v>0.0776838184783128</v>
          </cell>
        </row>
        <row r="23">
          <cell r="P23">
            <v>0.00265468959021297</v>
          </cell>
        </row>
        <row r="25">
          <cell r="P25">
            <v>0.00577905503100209</v>
          </cell>
        </row>
        <row r="27">
          <cell r="P27">
            <v>0.000555733117753564</v>
          </cell>
        </row>
        <row r="29">
          <cell r="P29">
            <v>0.000306310337332266</v>
          </cell>
        </row>
        <row r="31">
          <cell r="P31">
            <v>0.000715293481340226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parison"/>
      <sheetName val="WP_II-I-2.3"/>
    </sheetNames>
    <sheetDataSet>
      <sheetData sheetId="0">
        <row r="12">
          <cell r="G12">
            <v>39273336849</v>
          </cell>
        </row>
        <row r="16">
          <cell r="G16">
            <v>1402919575</v>
          </cell>
        </row>
        <row r="28">
          <cell r="G28">
            <v>41118783953</v>
          </cell>
        </row>
        <row r="36">
          <cell r="G36">
            <v>709722</v>
          </cell>
        </row>
        <row r="40">
          <cell r="G40">
            <v>150548402</v>
          </cell>
        </row>
        <row r="44">
          <cell r="G44">
            <v>6461046747</v>
          </cell>
        </row>
        <row r="56">
          <cell r="G56">
            <v>1040290060</v>
          </cell>
        </row>
        <row r="68">
          <cell r="G68">
            <v>7792495871</v>
          </cell>
        </row>
        <row r="72">
          <cell r="G72">
            <v>288201719</v>
          </cell>
        </row>
        <row r="76">
          <cell r="G76">
            <v>69787353</v>
          </cell>
        </row>
        <row r="81">
          <cell r="G81">
            <v>79376522.3245254</v>
          </cell>
        </row>
        <row r="85">
          <cell r="G85">
            <v>118215494.191164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WP_II-I-2.8"/>
    </sheetNames>
    <sheetDataSet>
      <sheetData sheetId="0">
        <row r="22">
          <cell r="E22">
            <v>11677303.1993347</v>
          </cell>
          <cell r="F22">
            <v>326399.978942999</v>
          </cell>
          <cell r="G22">
            <v>8488977.93186573</v>
          </cell>
          <cell r="H22">
            <v>3375.96725212982</v>
          </cell>
          <cell r="I22">
            <v>2134206.49372281</v>
          </cell>
          <cell r="J22">
            <v>698990.473477375</v>
          </cell>
          <cell r="K22">
            <v>2122210.8675</v>
          </cell>
          <cell r="L22">
            <v>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oles"/>
      <sheetName val="Conductors"/>
      <sheetName val="Other 365-368"/>
      <sheetName val="WP_II-I-2.4"/>
    </sheetNames>
    <sheetDataSet>
      <sheetData sheetId="0">
        <row r="17">
          <cell r="D17">
            <v>0.829656920421454</v>
          </cell>
          <cell r="E17">
            <v>0.170343079578546</v>
          </cell>
        </row>
        <row r="26">
          <cell r="D26">
            <v>0.849453225521412</v>
          </cell>
          <cell r="E26">
            <v>0.150546774478588</v>
          </cell>
        </row>
        <row r="37">
          <cell r="D37">
            <v>0.811284632615545</v>
          </cell>
          <cell r="E37">
            <v>0.188715367384455</v>
          </cell>
        </row>
        <row r="49">
          <cell r="D49">
            <v>0.607131700042289</v>
          </cell>
          <cell r="E49">
            <v>0.39286829995771</v>
          </cell>
        </row>
        <row r="58">
          <cell r="D58">
            <v>0.0587996513509795</v>
          </cell>
          <cell r="E58">
            <v>0.880957237870391</v>
          </cell>
          <cell r="F58">
            <v>0.0602431107786291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</sheetNames>
    <sheetDataSet>
      <sheetData sheetId="0">
        <row r="22">
          <cell r="H22">
            <v>10304122.0270918</v>
          </cell>
        </row>
        <row r="23">
          <cell r="H23">
            <v>15210692.8814063</v>
          </cell>
        </row>
        <row r="24">
          <cell r="H24">
            <v>4975046.45996005</v>
          </cell>
        </row>
        <row r="25">
          <cell r="H25">
            <v>7161654.2581807</v>
          </cell>
        </row>
        <row r="26">
          <cell r="H26">
            <v>9893940.86345773</v>
          </cell>
        </row>
        <row r="27">
          <cell r="H27">
            <v>13703432.7195672</v>
          </cell>
        </row>
        <row r="28">
          <cell r="H28">
            <v>13094260.923743</v>
          </cell>
        </row>
        <row r="29">
          <cell r="H29">
            <v>13262385.9170043</v>
          </cell>
        </row>
        <row r="30">
          <cell r="H30">
            <v>12256549.3699918</v>
          </cell>
        </row>
        <row r="31">
          <cell r="H31">
            <v>9028955.66418167</v>
          </cell>
        </row>
        <row r="32">
          <cell r="H32">
            <v>5987311.11664547</v>
          </cell>
        </row>
        <row r="33">
          <cell r="H33">
            <v>8553740.40324883</v>
          </cell>
        </row>
      </sheetData>
      <sheetData sheetId="1">
        <row r="22">
          <cell r="H22">
            <v>302376.575609868</v>
          </cell>
        </row>
        <row r="23">
          <cell r="H23">
            <v>371448.400894492</v>
          </cell>
        </row>
        <row r="24">
          <cell r="H24">
            <v>230458.389927116</v>
          </cell>
        </row>
        <row r="25">
          <cell r="H25">
            <v>238419.301903911</v>
          </cell>
        </row>
        <row r="26">
          <cell r="H26">
            <v>289000.925167375</v>
          </cell>
        </row>
        <row r="27">
          <cell r="H27">
            <v>355367.541869655</v>
          </cell>
        </row>
        <row r="28">
          <cell r="H28">
            <v>360484.342640014</v>
          </cell>
        </row>
        <row r="29">
          <cell r="H29">
            <v>359856.657856942</v>
          </cell>
        </row>
        <row r="30">
          <cell r="H30">
            <v>352972.737967015</v>
          </cell>
        </row>
        <row r="31">
          <cell r="H31">
            <v>282551.734612858</v>
          </cell>
        </row>
        <row r="32">
          <cell r="H32">
            <v>231923.158250351</v>
          </cell>
        </row>
        <row r="33">
          <cell r="H33">
            <v>257011.059905103</v>
          </cell>
        </row>
      </sheetData>
      <sheetData sheetId="2">
        <row r="22">
          <cell r="H22">
            <v>6701402.14236038</v>
          </cell>
        </row>
        <row r="23">
          <cell r="H23">
            <v>7317948.50401264</v>
          </cell>
        </row>
        <row r="24">
          <cell r="H24">
            <v>5868274.06417098</v>
          </cell>
        </row>
        <row r="25">
          <cell r="H25">
            <v>7041668.66935636</v>
          </cell>
        </row>
        <row r="26">
          <cell r="H26">
            <v>8185384.25348949</v>
          </cell>
        </row>
        <row r="27">
          <cell r="H27">
            <v>9206163.57321327</v>
          </cell>
        </row>
        <row r="28">
          <cell r="H28">
            <v>9293781.10362425</v>
          </cell>
        </row>
        <row r="29">
          <cell r="H29">
            <v>9793744.3547214</v>
          </cell>
        </row>
        <row r="30">
          <cell r="H30">
            <v>9444954.30354684</v>
          </cell>
        </row>
        <row r="31">
          <cell r="H31">
            <v>7748899.19057932</v>
          </cell>
        </row>
        <row r="32">
          <cell r="H32">
            <v>6759945.90013156</v>
          </cell>
        </row>
        <row r="33">
          <cell r="H33">
            <v>6706951.27924006</v>
          </cell>
        </row>
      </sheetData>
      <sheetData sheetId="3">
        <row r="22">
          <cell r="H22">
            <v>3557.9194726229</v>
          </cell>
        </row>
        <row r="23">
          <cell r="H23">
            <v>3747.74368871501</v>
          </cell>
        </row>
        <row r="24">
          <cell r="H24">
            <v>3561.47747147705</v>
          </cell>
        </row>
        <row r="25">
          <cell r="H25">
            <v>5536.80737017526</v>
          </cell>
        </row>
        <row r="26">
          <cell r="H26">
            <v>3423.69240417738</v>
          </cell>
        </row>
        <row r="27">
          <cell r="H27">
            <v>3571.21229821265</v>
          </cell>
        </row>
        <row r="28">
          <cell r="H28">
            <v>3447.20324886412</v>
          </cell>
        </row>
        <row r="29">
          <cell r="H29">
            <v>4044.92050835379</v>
          </cell>
        </row>
        <row r="30">
          <cell r="H30">
            <v>4336.84152628426</v>
          </cell>
        </row>
        <row r="31">
          <cell r="H31">
            <v>3594.87092101906</v>
          </cell>
        </row>
        <row r="32">
          <cell r="H32">
            <v>3614.93800546437</v>
          </cell>
        </row>
        <row r="33">
          <cell r="H33">
            <v>4234.48081176542</v>
          </cell>
        </row>
      </sheetData>
      <sheetData sheetId="4">
        <row r="22">
          <cell r="H22">
            <v>2042661.29872893</v>
          </cell>
        </row>
        <row r="23">
          <cell r="H23">
            <v>2067073.96804418</v>
          </cell>
        </row>
        <row r="24">
          <cell r="H24">
            <v>2076501.16663666</v>
          </cell>
        </row>
        <row r="25">
          <cell r="H25">
            <v>2176403.14758944</v>
          </cell>
        </row>
        <row r="26">
          <cell r="H26">
            <v>2246691.10811684</v>
          </cell>
        </row>
        <row r="27">
          <cell r="H27">
            <v>2282776.87514348</v>
          </cell>
        </row>
        <row r="28">
          <cell r="H28">
            <v>2290333.59361228</v>
          </cell>
        </row>
        <row r="29">
          <cell r="H29">
            <v>2343455.63212824</v>
          </cell>
        </row>
        <row r="30">
          <cell r="H30">
            <v>2335945.12185167</v>
          </cell>
        </row>
        <row r="31">
          <cell r="H31">
            <v>2229063.33430268</v>
          </cell>
        </row>
        <row r="32">
          <cell r="H32">
            <v>2170687.80617019</v>
          </cell>
        </row>
        <row r="33">
          <cell r="H33">
            <v>2167904.01270752</v>
          </cell>
        </row>
      </sheetData>
      <sheetData sheetId="5">
        <row r="22">
          <cell r="H22">
            <v>711074.353135793</v>
          </cell>
        </row>
        <row r="23">
          <cell r="H23">
            <v>750572.301620074</v>
          </cell>
        </row>
        <row r="24">
          <cell r="H24">
            <v>771721.449913401</v>
          </cell>
        </row>
        <row r="25">
          <cell r="H25">
            <v>763613.529693125</v>
          </cell>
        </row>
        <row r="26">
          <cell r="H26">
            <v>802187.574482683</v>
          </cell>
        </row>
        <row r="27">
          <cell r="H27">
            <v>830093.385768623</v>
          </cell>
        </row>
        <row r="28">
          <cell r="H28">
            <v>823224.675612693</v>
          </cell>
        </row>
        <row r="29">
          <cell r="H29">
            <v>847474.94215963</v>
          </cell>
        </row>
        <row r="30">
          <cell r="H30">
            <v>828808.833775346</v>
          </cell>
        </row>
        <row r="31">
          <cell r="H31">
            <v>813329.358972587</v>
          </cell>
        </row>
        <row r="32">
          <cell r="H32">
            <v>787656.790021827</v>
          </cell>
        </row>
        <row r="33">
          <cell r="H33">
            <v>804600.200920205</v>
          </cell>
        </row>
      </sheetData>
      <sheetData sheetId="6">
        <row r="22">
          <cell r="H22">
            <v>2541926.90820896</v>
          </cell>
        </row>
        <row r="23">
          <cell r="H23">
            <v>2555962.97821561</v>
          </cell>
        </row>
        <row r="24">
          <cell r="H24">
            <v>2588208.32177778</v>
          </cell>
        </row>
        <row r="25">
          <cell r="H25">
            <v>2652306.20381818</v>
          </cell>
        </row>
        <row r="26">
          <cell r="H26">
            <v>2651789.37281588</v>
          </cell>
        </row>
        <row r="27">
          <cell r="H27">
            <v>2700196.02352518</v>
          </cell>
        </row>
        <row r="28">
          <cell r="H28">
            <v>2650262.62560284</v>
          </cell>
        </row>
        <row r="29">
          <cell r="H29">
            <v>2727072.0770922</v>
          </cell>
        </row>
        <row r="30">
          <cell r="H30">
            <v>2754518.93</v>
          </cell>
        </row>
        <row r="31">
          <cell r="H31">
            <v>2790485.87</v>
          </cell>
        </row>
        <row r="32">
          <cell r="H32">
            <v>2757659.26</v>
          </cell>
        </row>
        <row r="33">
          <cell r="H33">
            <v>2789934.55</v>
          </cell>
        </row>
      </sheetData>
      <sheetData sheetId="7">
        <row r="22">
          <cell r="H22">
            <v>98783.9610868276</v>
          </cell>
        </row>
        <row r="23">
          <cell r="H23">
            <v>98783.9610868276</v>
          </cell>
        </row>
        <row r="24">
          <cell r="H24">
            <v>98783.9610868276</v>
          </cell>
        </row>
        <row r="25">
          <cell r="H25">
            <v>98783.9610868276</v>
          </cell>
        </row>
        <row r="26">
          <cell r="H26">
            <v>98783.9610868276</v>
          </cell>
        </row>
        <row r="27">
          <cell r="H27">
            <v>98783.9610868276</v>
          </cell>
        </row>
        <row r="28">
          <cell r="H28">
            <v>98783.9610868276</v>
          </cell>
        </row>
        <row r="29">
          <cell r="H29">
            <v>98783.9610868276</v>
          </cell>
        </row>
        <row r="30">
          <cell r="H30">
            <v>98783.9610868276</v>
          </cell>
        </row>
        <row r="31">
          <cell r="H31">
            <v>98783.9610868276</v>
          </cell>
        </row>
        <row r="32">
          <cell r="H32">
            <v>98783.9610868276</v>
          </cell>
        </row>
        <row r="33">
          <cell r="H33">
            <v>98783.9610868276</v>
          </cell>
        </row>
      </sheetData>
      <sheetData sheetId="8">
        <row r="22">
          <cell r="H22">
            <v>69840.4392387055</v>
          </cell>
        </row>
        <row r="23">
          <cell r="H23">
            <v>101575.176062048</v>
          </cell>
        </row>
        <row r="24">
          <cell r="H24">
            <v>49737.5284317544</v>
          </cell>
        </row>
        <row r="25">
          <cell r="H25">
            <v>44554.5859872443</v>
          </cell>
        </row>
        <row r="26">
          <cell r="H26">
            <v>54740.3853175966</v>
          </cell>
        </row>
        <row r="27">
          <cell r="H27">
            <v>71375.8815853765</v>
          </cell>
        </row>
        <row r="28">
          <cell r="H28">
            <v>76121.73823944</v>
          </cell>
        </row>
        <row r="29">
          <cell r="H29">
            <v>82588.5692097</v>
          </cell>
        </row>
        <row r="30">
          <cell r="H30">
            <v>79395.3169449</v>
          </cell>
        </row>
        <row r="31">
          <cell r="H31">
            <v>56011.8671921</v>
          </cell>
        </row>
        <row r="32">
          <cell r="H32">
            <v>46784.7726368</v>
          </cell>
        </row>
        <row r="33">
          <cell r="H33">
            <v>57640.1939795</v>
          </cell>
        </row>
      </sheetData>
      <sheetData sheetId="9">
        <row r="22">
          <cell r="H22">
            <v>84908.0469588192</v>
          </cell>
        </row>
        <row r="23">
          <cell r="H23">
            <v>127209.271910018</v>
          </cell>
        </row>
        <row r="24">
          <cell r="H24">
            <v>65877.2708198183</v>
          </cell>
        </row>
        <row r="25">
          <cell r="H25">
            <v>55369.7596707661</v>
          </cell>
        </row>
        <row r="26">
          <cell r="H26">
            <v>68309.0959395592</v>
          </cell>
        </row>
        <row r="27">
          <cell r="H27">
            <v>84144.7193426044</v>
          </cell>
        </row>
        <row r="28">
          <cell r="H28">
            <v>92044.7608890703</v>
          </cell>
        </row>
        <row r="29">
          <cell r="H29">
            <v>93752.0920510753</v>
          </cell>
        </row>
        <row r="30">
          <cell r="H30">
            <v>96152.5250067995</v>
          </cell>
        </row>
        <row r="31">
          <cell r="H31">
            <v>79809.1749170035</v>
          </cell>
        </row>
        <row r="32">
          <cell r="H32">
            <v>67759.0506527884</v>
          </cell>
        </row>
        <row r="33">
          <cell r="H33">
            <v>76314.5699150285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</sheetNames>
    <sheetDataSet>
      <sheetData sheetId="0">
        <row r="41">
          <cell r="O41">
            <v>20397856.6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7">
          <cell r="E17">
            <v>39099396</v>
          </cell>
          <cell r="J17">
            <v>35189456</v>
          </cell>
          <cell r="K17">
            <v>98530478</v>
          </cell>
          <cell r="L17">
            <v>913823619</v>
          </cell>
          <cell r="M17">
            <v>101924886</v>
          </cell>
          <cell r="N17">
            <v>771619863</v>
          </cell>
          <cell r="O17">
            <v>1921088302</v>
          </cell>
        </row>
        <row r="19">
          <cell r="E19">
            <v>3653160</v>
          </cell>
          <cell r="J19">
            <v>7488978</v>
          </cell>
          <cell r="K19">
            <v>22174681</v>
          </cell>
          <cell r="L19">
            <v>40375265</v>
          </cell>
          <cell r="M19">
            <v>4663022</v>
          </cell>
          <cell r="N19">
            <v>20855235</v>
          </cell>
          <cell r="O19">
            <v>95557181</v>
          </cell>
        </row>
        <row r="21">
          <cell r="E21">
            <v>2377704</v>
          </cell>
          <cell r="J21">
            <v>21993762</v>
          </cell>
          <cell r="K21">
            <v>73280837</v>
          </cell>
          <cell r="L21">
            <v>487454470</v>
          </cell>
          <cell r="M21">
            <v>53196813</v>
          </cell>
          <cell r="N21">
            <v>407082996</v>
          </cell>
          <cell r="O21">
            <v>1043008878</v>
          </cell>
        </row>
        <row r="22">
          <cell r="E22">
            <v>65352</v>
          </cell>
          <cell r="J22">
            <v>604507</v>
          </cell>
          <cell r="K22">
            <v>2014149</v>
          </cell>
          <cell r="L22">
            <v>208502330</v>
          </cell>
          <cell r="M22">
            <v>22754248</v>
          </cell>
          <cell r="N22">
            <v>209709426</v>
          </cell>
          <cell r="O22">
            <v>443584660</v>
          </cell>
        </row>
        <row r="24">
          <cell r="E24">
            <v>37212</v>
          </cell>
          <cell r="J24">
            <v>231459</v>
          </cell>
          <cell r="K24">
            <v>688423</v>
          </cell>
          <cell r="L24">
            <v>88985</v>
          </cell>
          <cell r="M24">
            <v>34364</v>
          </cell>
          <cell r="N24">
            <v>189054</v>
          </cell>
          <cell r="O24">
            <v>1232285</v>
          </cell>
        </row>
        <row r="26">
          <cell r="E26">
            <v>66720</v>
          </cell>
          <cell r="J26">
            <v>1038830</v>
          </cell>
          <cell r="K26">
            <v>2411928</v>
          </cell>
          <cell r="L26">
            <v>23635902</v>
          </cell>
          <cell r="M26">
            <v>1245618</v>
          </cell>
          <cell r="N26">
            <v>9552468</v>
          </cell>
          <cell r="O26">
            <v>37884746</v>
          </cell>
        </row>
        <row r="27">
          <cell r="E27">
            <v>19176</v>
          </cell>
          <cell r="J27">
            <v>298570</v>
          </cell>
          <cell r="K27">
            <v>693213</v>
          </cell>
          <cell r="L27">
            <v>126184106</v>
          </cell>
          <cell r="M27">
            <v>6649933</v>
          </cell>
          <cell r="N27">
            <v>96586079</v>
          </cell>
          <cell r="O27">
            <v>230411901</v>
          </cell>
        </row>
        <row r="28">
          <cell r="E28">
            <v>1560</v>
          </cell>
          <cell r="J28">
            <v>235825</v>
          </cell>
          <cell r="K28">
            <v>387770</v>
          </cell>
          <cell r="L28">
            <v>5914883</v>
          </cell>
          <cell r="M28">
            <v>550250</v>
          </cell>
          <cell r="N28">
            <v>24415314</v>
          </cell>
          <cell r="O28">
            <v>31504042</v>
          </cell>
        </row>
        <row r="29">
          <cell r="E29">
            <v>3396</v>
          </cell>
          <cell r="J29">
            <v>550491</v>
          </cell>
          <cell r="K29">
            <v>872229</v>
          </cell>
          <cell r="L29">
            <v>10981592</v>
          </cell>
          <cell r="M29">
            <v>195271</v>
          </cell>
          <cell r="N29">
            <v>101662088</v>
          </cell>
          <cell r="O29">
            <v>114261671</v>
          </cell>
        </row>
        <row r="35">
          <cell r="E35">
            <v>662496</v>
          </cell>
          <cell r="J35">
            <v>1158944.19</v>
          </cell>
          <cell r="K35">
            <v>124173</v>
          </cell>
          <cell r="L35">
            <v>55849051.94</v>
          </cell>
          <cell r="M35">
            <v>3242373</v>
          </cell>
          <cell r="N35">
            <v>0</v>
          </cell>
          <cell r="O35">
            <v>60374542.13</v>
          </cell>
        </row>
        <row r="37">
          <cell r="E37">
            <v>180</v>
          </cell>
          <cell r="J37">
            <v>18966</v>
          </cell>
          <cell r="K37">
            <v>45377</v>
          </cell>
          <cell r="L37">
            <v>404990</v>
          </cell>
          <cell r="M37">
            <v>139023</v>
          </cell>
          <cell r="N37">
            <v>0</v>
          </cell>
          <cell r="O37">
            <v>608356</v>
          </cell>
        </row>
        <row r="38">
          <cell r="E38">
            <v>576</v>
          </cell>
          <cell r="J38">
            <v>46357</v>
          </cell>
          <cell r="K38">
            <v>130338</v>
          </cell>
          <cell r="L38">
            <v>1344434</v>
          </cell>
          <cell r="M38">
            <v>639063</v>
          </cell>
          <cell r="N38">
            <v>0</v>
          </cell>
          <cell r="O38">
            <v>2160192</v>
          </cell>
        </row>
        <row r="41">
          <cell r="O41">
            <v>22468503.44</v>
          </cell>
        </row>
        <row r="42">
          <cell r="O42">
            <v>16972346.1599998</v>
          </cell>
        </row>
        <row r="45">
          <cell r="J45">
            <v>68856145.19</v>
          </cell>
          <cell r="K45">
            <v>201353596</v>
          </cell>
          <cell r="L45">
            <v>1888848625.76207</v>
          </cell>
          <cell r="M45">
            <v>195234864</v>
          </cell>
          <cell r="N45">
            <v>1641672523</v>
          </cell>
          <cell r="O45">
            <v>4035406603.55207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ec &gt; 10 NIDR PF ADJ"/>
      <sheetName val="Sec &gt; 10 NIDR OTH ADJ"/>
      <sheetName val="Sec &gt; 10 IDR PF ADJ "/>
      <sheetName val="Sec &gt; 10 IDR OTH ADJ "/>
      <sheetName val="Pri &gt; 10 NIDR PF ADJ "/>
      <sheetName val="Pri &gt; 10 NIDR OTH ADJ "/>
      <sheetName val="Pri &gt; 10 IDR PF ADJ "/>
      <sheetName val="Pri &gt; 10 IDR OTH ADJ"/>
      <sheetName val="Pri &gt; 10 IDR SUB PF ADJ "/>
      <sheetName val="Pri &gt; 10 IDR SUB OTH ADJ"/>
      <sheetName val="TRANSMISSION"/>
      <sheetName val="TRANSMISSION OTH ADJ"/>
      <sheetName val="XFMR"/>
      <sheetName val="DLS"/>
      <sheetName val="DISTRIBUTION KW ADJ"/>
      <sheetName val="Annualization"/>
      <sheetName val="Annualization -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6">
          <cell r="G36">
            <v>4153637.21778492</v>
          </cell>
          <cell r="I36">
            <v>5533242.4708652</v>
          </cell>
          <cell r="K36">
            <v>550983.319695662</v>
          </cell>
          <cell r="M36">
            <v>3633067.15010522</v>
          </cell>
          <cell r="O36">
            <v>64600.9084803338</v>
          </cell>
          <cell r="Q36">
            <v>353466.755141007</v>
          </cell>
          <cell r="S36">
            <v>14288997.8220723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S49"/>
  <sheetViews>
    <sheetView view="pageBreakPreview" zoomScale="75" zoomScaleNormal="75" zoomScaleSheetLayoutView="75" workbookViewId="0" topLeftCell="A1">
      <selection pane="topLeft" activeCell="F46" sqref="F46"/>
    </sheetView>
  </sheetViews>
  <sheetFormatPr defaultRowHeight="14.25"/>
  <cols>
    <col min="1" max="2" width="1.5" customWidth="1"/>
    <col min="3" max="3" width="3" customWidth="1"/>
    <col min="4" max="4" width="41" customWidth="1"/>
    <col min="5" max="5" width="3.625" customWidth="1"/>
    <col min="6" max="6" width="15.25" customWidth="1"/>
    <col min="7" max="7" width="16.625" customWidth="1"/>
    <col min="8" max="9" width="13.625" customWidth="1"/>
    <col min="10" max="10" width="14.375" customWidth="1"/>
    <col min="11" max="11" width="12.375" customWidth="1"/>
    <col min="12" max="12" width="12.875" customWidth="1"/>
    <col min="13" max="13" width="14.375" customWidth="1"/>
    <col min="14" max="14" width="14.125" bestFit="1" customWidth="1"/>
    <col min="15" max="15" width="11.5" bestFit="1" customWidth="1"/>
    <col min="16" max="16" width="13" bestFit="1" customWidth="1"/>
    <col min="17" max="17" width="1.625" customWidth="1"/>
    <col min="18" max="18" width="2.625" customWidth="1"/>
    <col min="19" max="19" width="28.25" customWidth="1"/>
  </cols>
  <sheetData>
    <row r="1" spans="4:8" ht="15">
      <c r="D1" s="1247"/>
      <c r="H1" s="370"/>
    </row>
    <row r="2" ht="15" thickBot="1"/>
    <row r="3" spans="1:17" ht="14.25">
      <c r="A3" s="557" t="s">
        <v>0</v>
      </c>
      <c r="B3" s="557"/>
      <c r="C3" s="547"/>
      <c r="D3" s="548"/>
      <c r="E3" s="548"/>
      <c r="F3" s="549"/>
      <c r="G3" s="548"/>
      <c r="H3" s="548"/>
      <c r="I3" s="548"/>
      <c r="J3" s="548"/>
      <c r="K3" s="548"/>
      <c r="L3" s="548"/>
      <c r="M3" s="548"/>
      <c r="N3" s="549"/>
      <c r="O3" s="549"/>
      <c r="P3" s="549"/>
      <c r="Q3" s="547"/>
    </row>
    <row r="4" spans="1:17" ht="14.25">
      <c r="A4" s="547"/>
      <c r="B4" s="547"/>
      <c r="C4" s="547"/>
      <c r="D4" s="550" t="s">
        <v>4</v>
      </c>
      <c r="E4" s="550"/>
      <c r="F4" s="550" t="s">
        <v>10</v>
      </c>
      <c r="G4" s="550" t="s">
        <v>408</v>
      </c>
      <c r="H4" s="550" t="s">
        <v>409</v>
      </c>
      <c r="I4" s="550" t="s">
        <v>409</v>
      </c>
      <c r="J4" s="550" t="s">
        <v>97</v>
      </c>
      <c r="K4" s="550" t="s">
        <v>97</v>
      </c>
      <c r="L4" s="550" t="s">
        <v>410</v>
      </c>
      <c r="M4" s="550" t="s">
        <v>411</v>
      </c>
      <c r="N4" s="550" t="s">
        <v>412</v>
      </c>
      <c r="O4" s="550" t="s">
        <v>407</v>
      </c>
      <c r="P4" s="550" t="s">
        <v>407</v>
      </c>
      <c r="Q4" s="547"/>
    </row>
    <row r="5" spans="1:17" ht="14.25">
      <c r="A5" s="547"/>
      <c r="B5" s="547"/>
      <c r="C5" s="547"/>
      <c r="D5" s="550"/>
      <c r="E5" s="550"/>
      <c r="F5" s="550"/>
      <c r="G5" s="550"/>
      <c r="H5" s="551" t="s">
        <v>416</v>
      </c>
      <c r="I5" s="551" t="s">
        <v>417</v>
      </c>
      <c r="J5" s="551" t="s">
        <v>416</v>
      </c>
      <c r="K5" s="551" t="s">
        <v>417</v>
      </c>
      <c r="L5" s="551" t="s">
        <v>414</v>
      </c>
      <c r="M5" s="550"/>
      <c r="N5" s="550"/>
      <c r="O5" s="550" t="s">
        <v>414</v>
      </c>
      <c r="P5" s="550" t="s">
        <v>415</v>
      </c>
      <c r="Q5" s="547"/>
    </row>
    <row r="6" spans="1:17" ht="15" thickBot="1">
      <c r="A6" s="547"/>
      <c r="B6" s="547"/>
      <c r="C6" s="547"/>
      <c r="D6" s="552"/>
      <c r="E6" s="552"/>
      <c r="F6" s="553"/>
      <c r="G6" s="552"/>
      <c r="H6" s="552"/>
      <c r="I6" s="552"/>
      <c r="J6" s="552"/>
      <c r="K6" s="552"/>
      <c r="L6" s="552"/>
      <c r="M6" s="552"/>
      <c r="N6" s="553"/>
      <c r="O6" s="553"/>
      <c r="P6" s="553"/>
      <c r="Q6" s="547"/>
    </row>
    <row r="7" spans="1:17" ht="14.25">
      <c r="A7" s="547"/>
      <c r="B7" s="547"/>
      <c r="C7" s="547"/>
      <c r="D7" s="547"/>
      <c r="E7" s="547"/>
      <c r="F7" s="547"/>
      <c r="G7" s="547"/>
      <c r="H7" s="547"/>
      <c r="I7" s="547"/>
      <c r="J7" s="547"/>
      <c r="K7" s="547"/>
      <c r="L7" s="547"/>
      <c r="M7" s="547"/>
      <c r="N7" s="547"/>
      <c r="O7" s="547"/>
      <c r="P7" s="547"/>
      <c r="Q7" s="547"/>
    </row>
    <row r="8" spans="1:19" ht="14.25">
      <c r="A8" s="547"/>
      <c r="B8" s="547"/>
      <c r="C8" s="554"/>
      <c r="D8" s="876" t="s">
        <v>1395</v>
      </c>
      <c r="E8" s="559"/>
      <c r="F8" s="560">
        <f>SUM(G8:P8)</f>
        <v>2306625914.8585715</v>
      </c>
      <c r="G8" s="560">
        <f>'WP II-I-1.7'!E23</f>
        <v>1207545357.7283404</v>
      </c>
      <c r="H8" s="560">
        <f>'WP II-I-1.7'!F23</f>
        <v>41122596.197384663</v>
      </c>
      <c r="I8" s="560">
        <f>'WP II-I-1.7'!G23</f>
        <v>818254176.40634346</v>
      </c>
      <c r="J8" s="560">
        <f>'WP II-I-1.7'!H23</f>
        <v>295364.15068427072</v>
      </c>
      <c r="K8" s="560">
        <f>'WP II-I-1.7'!I23</f>
        <v>133694018.94102408</v>
      </c>
      <c r="L8" s="560">
        <f>'WP II-I-1.7'!J23</f>
        <v>13404714.996930279</v>
      </c>
      <c r="M8" s="560">
        <f>'WP II-I-1.7'!K23</f>
        <v>24606814.600160129</v>
      </c>
      <c r="N8" s="560">
        <f>'WP II-I-1.7'!L23</f>
        <v>59672372.365106717</v>
      </c>
      <c r="O8" s="560">
        <f>'WP II-I-1.7'!M23</f>
        <v>1480635.4328071722</v>
      </c>
      <c r="P8" s="561">
        <f>'WP II-I-1.7'!N23</f>
        <v>6549864.0397905577</v>
      </c>
      <c r="Q8" s="547"/>
      <c r="S8" s="1120" t="b">
        <f>IF(ROUND(F45+F46+F8-'WP II-I-1.1'!G456,1)=0,TRUE,F45+F46+F8-'WP II-I-1.1'!G456)</f>
        <v>1</v>
      </c>
    </row>
    <row r="9" spans="1:17" ht="14.25">
      <c r="A9" s="547"/>
      <c r="B9" s="547"/>
      <c r="C9" s="554"/>
      <c r="D9" s="562"/>
      <c r="E9" s="554"/>
      <c r="F9" s="554"/>
      <c r="G9" s="563"/>
      <c r="H9" s="563"/>
      <c r="I9" s="563"/>
      <c r="J9" s="563"/>
      <c r="K9" s="563"/>
      <c r="L9" s="563"/>
      <c r="M9" s="563"/>
      <c r="N9" s="563"/>
      <c r="O9" s="563"/>
      <c r="P9" s="564"/>
      <c r="Q9" s="547"/>
    </row>
    <row r="10" spans="1:19" ht="14.25">
      <c r="A10" s="547"/>
      <c r="B10" s="547"/>
      <c r="C10" s="554"/>
      <c r="D10" s="565" t="s">
        <v>934</v>
      </c>
      <c r="E10" s="555"/>
      <c r="F10" s="556">
        <f>SUM(G10:P10)</f>
        <v>200341062.39813826</v>
      </c>
      <c r="G10" s="556">
        <f>'WP II-I-1.7'!E25</f>
        <v>111684992.49878599</v>
      </c>
      <c r="H10" s="556">
        <f>'WP II-I-1.7'!F25</f>
        <v>17198916.707493149</v>
      </c>
      <c r="I10" s="556">
        <f>'WP II-I-1.7'!G25</f>
        <v>53110885.934578843</v>
      </c>
      <c r="J10" s="556">
        <f>'WP II-I-1.7'!H25</f>
        <v>744278.78978886304</v>
      </c>
      <c r="K10" s="556">
        <f>'WP II-I-1.7'!I25</f>
        <v>15544460.27763591</v>
      </c>
      <c r="L10" s="556">
        <f>'WP II-I-1.7'!J25</f>
        <v>532402.95398341166</v>
      </c>
      <c r="M10" s="556">
        <f>'WP II-I-1.7'!K25</f>
        <v>1172829.3216267072</v>
      </c>
      <c r="N10" s="556">
        <f>'WP II-I-1.7'!L25</f>
        <v>142786.01692027733</v>
      </c>
      <c r="O10" s="556">
        <f>'WP II-I-1.7'!M25</f>
        <v>62823.441183004914</v>
      </c>
      <c r="P10" s="566">
        <f>'WP II-I-1.7'!N25</f>
        <v>146686.45614214157</v>
      </c>
      <c r="Q10" s="547"/>
      <c r="S10" t="b">
        <f>IF(ROUND(F10-'WP II-I-1.1'!H456,1)=0,TRUE,F10-'WP II-I-1.1'!H456)</f>
        <v>1</v>
      </c>
    </row>
    <row r="11" spans="1:17" ht="14.25">
      <c r="A11" s="547"/>
      <c r="B11" s="547"/>
      <c r="C11" s="554"/>
      <c r="D11" s="562"/>
      <c r="E11" s="554"/>
      <c r="F11" s="554"/>
      <c r="G11" s="563"/>
      <c r="H11" s="563"/>
      <c r="I11" s="563"/>
      <c r="J11" s="563"/>
      <c r="K11" s="563"/>
      <c r="L11" s="563"/>
      <c r="M11" s="563"/>
      <c r="N11" s="563"/>
      <c r="O11" s="563"/>
      <c r="P11" s="564"/>
      <c r="Q11" s="547"/>
    </row>
    <row r="12" spans="1:19" ht="14.25">
      <c r="A12" s="547"/>
      <c r="B12" s="547"/>
      <c r="C12" s="554"/>
      <c r="D12" s="567" t="s">
        <v>935</v>
      </c>
      <c r="E12" s="568"/>
      <c r="F12" s="569">
        <f>SUM(G12:P12)</f>
        <v>104379391.32196172</v>
      </c>
      <c r="G12" s="569">
        <f>'WP II-I-1.7'!E27</f>
        <v>57205974.739097841</v>
      </c>
      <c r="H12" s="569">
        <f>'WP II-I-1.7'!F27</f>
        <v>8455436.7309308499</v>
      </c>
      <c r="I12" s="569">
        <f>'WP II-I-1.7'!G27</f>
        <v>27857670.479817279</v>
      </c>
      <c r="J12" s="569">
        <f>'WP II-I-1.7'!H27</f>
        <v>359398.34633882204</v>
      </c>
      <c r="K12" s="569">
        <f>'WP II-I-1.7'!I27</f>
        <v>7883822.9233798599</v>
      </c>
      <c r="L12" s="569">
        <f>'WP II-I-1.7'!J27</f>
        <v>305330.92314543127</v>
      </c>
      <c r="M12" s="569">
        <f>'WP II-I-1.7'!K27</f>
        <v>741936.81266225758</v>
      </c>
      <c r="N12" s="569">
        <f>'WP II-I-1.7'!L27</f>
        <v>1471849.0080995939</v>
      </c>
      <c r="O12" s="569">
        <f>'WP II-I-1.7'!M27</f>
        <v>29390.593528284848</v>
      </c>
      <c r="P12" s="570">
        <f>'WP II-I-1.7'!N27</f>
        <v>68580.76496149553</v>
      </c>
      <c r="Q12" s="547"/>
      <c r="S12" t="b">
        <f>IF(ROUND(F12-'WP II-I-1.1'!I456,1)=0,TRUE,F12-'WP II-I-1.1'!I456)</f>
        <v>1</v>
      </c>
    </row>
    <row r="13" spans="1:17" ht="14.25">
      <c r="A13" s="547"/>
      <c r="B13" s="547"/>
      <c r="C13" s="554"/>
      <c r="D13" s="554"/>
      <c r="E13" s="554"/>
      <c r="F13" s="554"/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47"/>
    </row>
    <row r="14" spans="1:17" ht="15">
      <c r="A14" s="547"/>
      <c r="B14" s="547"/>
      <c r="C14" s="554"/>
      <c r="D14" s="571" t="s">
        <v>925</v>
      </c>
      <c r="E14" s="572"/>
      <c r="F14" s="572"/>
      <c r="G14" s="559"/>
      <c r="H14" s="559"/>
      <c r="I14" s="559"/>
      <c r="J14" s="559"/>
      <c r="K14" s="559"/>
      <c r="L14" s="559"/>
      <c r="M14" s="559"/>
      <c r="N14" s="559"/>
      <c r="O14" s="559"/>
      <c r="P14" s="573"/>
      <c r="Q14" s="547"/>
    </row>
    <row r="15" spans="1:17" ht="14.25">
      <c r="A15" s="547"/>
      <c r="B15" s="547"/>
      <c r="C15" s="554"/>
      <c r="D15" s="565" t="s">
        <v>923</v>
      </c>
      <c r="E15" s="554"/>
      <c r="F15" s="556">
        <f>SUM(G15:P15)</f>
        <v>17037413208.399998</v>
      </c>
      <c r="G15" s="556">
        <f>'II-I-Total'!J60</f>
        <v>9298089222.3611202</v>
      </c>
      <c r="H15" s="556">
        <f>'II-I-Total'!K60</f>
        <v>459760142.3841213</v>
      </c>
      <c r="I15" s="556">
        <f>'II-I-Total'!L60</f>
        <v>5684926249.4001265</v>
      </c>
      <c r="J15" s="556">
        <f>'II-I-Total'!M60</f>
        <v>6766367.9984488823</v>
      </c>
      <c r="K15" s="556">
        <f>'II-I-Total'!N60</f>
        <v>884030312.54265165</v>
      </c>
      <c r="L15" s="556">
        <f>'II-I-Total'!O60</f>
        <v>75057775.084058687</v>
      </c>
      <c r="M15" s="556">
        <f>'II-I-Total'!P60</f>
        <v>21799668.883879375</v>
      </c>
      <c r="N15" s="556">
        <f>'II-I-Total'!Q60</f>
        <v>554643384.75115907</v>
      </c>
      <c r="O15" s="556">
        <f>'II-I-Total'!R60</f>
        <v>8980454.7128393222</v>
      </c>
      <c r="P15" s="566">
        <f>'II-I-Total'!S60</f>
        <v>43359630.281592369</v>
      </c>
      <c r="Q15" s="547"/>
    </row>
    <row r="16" spans="1:19" ht="14.25">
      <c r="A16" s="547"/>
      <c r="B16" s="547"/>
      <c r="C16" s="554"/>
      <c r="D16" s="574" t="s">
        <v>915</v>
      </c>
      <c r="E16" s="554"/>
      <c r="F16" s="556">
        <f>SUM(G16:P16)</f>
        <v>683000510.00813818</v>
      </c>
      <c r="G16" s="556">
        <f>'II-I-Total'!J83</f>
        <v>379834069.69047773</v>
      </c>
      <c r="H16" s="556">
        <f>'II-I-Total'!K83</f>
        <v>15300982.107665461</v>
      </c>
      <c r="I16" s="556">
        <f>'II-I-Total'!L83</f>
        <v>237996209.06867737</v>
      </c>
      <c r="J16" s="556">
        <f>'II-I-Total'!M83</f>
        <v>245203.69598301943</v>
      </c>
      <c r="K16" s="556">
        <f>'II-I-Total'!N83</f>
        <v>38356622.668801248</v>
      </c>
      <c r="L16" s="556">
        <f>'II-I-Total'!O83</f>
        <v>3620199.2762538223</v>
      </c>
      <c r="M16" s="556">
        <f>'II-I-Total'!P83</f>
        <v>1383463.2660256971</v>
      </c>
      <c r="N16" s="556">
        <f>'II-I-Total'!Q83</f>
        <v>3922745.944692445</v>
      </c>
      <c r="O16" s="556">
        <f>'II-I-Total'!R83</f>
        <v>432136.60320334812</v>
      </c>
      <c r="P16" s="566">
        <f>'II-I-Total'!S83</f>
        <v>1908877.6863581536</v>
      </c>
      <c r="Q16" s="547"/>
      <c r="S16" s="963" t="b">
        <f>IF(F16-(SUM('WP II-I-1.1'!G461:I461))=0,TRUE,F16-(SUM('WP II-I-1.1'!G461:I461)))</f>
        <v>1</v>
      </c>
    </row>
    <row r="17" spans="1:17" ht="14.25">
      <c r="A17" s="547"/>
      <c r="B17" s="547"/>
      <c r="C17" s="554"/>
      <c r="D17" s="565" t="s">
        <v>916</v>
      </c>
      <c r="E17" s="554"/>
      <c r="F17" s="556">
        <f>SUM(G17:P17)</f>
        <v>546347839.99000013</v>
      </c>
      <c r="G17" s="556">
        <f>'II-I-Total'!J22</f>
        <v>293773706.03282535</v>
      </c>
      <c r="H17" s="556">
        <f>'II-I-Total'!K22</f>
        <v>17898989.279674497</v>
      </c>
      <c r="I17" s="556">
        <f>'II-I-Total'!L22</f>
        <v>175240361.05862743</v>
      </c>
      <c r="J17" s="556">
        <f>'II-I-Total'!M22</f>
        <v>385591.23445296049</v>
      </c>
      <c r="K17" s="556">
        <f>'II-I-Total'!N22</f>
        <v>29457396.199803971</v>
      </c>
      <c r="L17" s="556">
        <f>'II-I-Total'!O22</f>
        <v>1951234.1505564619</v>
      </c>
      <c r="M17" s="556">
        <f>'II-I-Total'!P22</f>
        <v>869060.78685406793</v>
      </c>
      <c r="N17" s="556">
        <f>'II-I-Total'!Q22</f>
        <v>25252299.387269996</v>
      </c>
      <c r="O17" s="556">
        <f>'II-I-Total'!R22</f>
        <v>232807.75665253677</v>
      </c>
      <c r="P17" s="566">
        <f>'II-I-Total'!S22</f>
        <v>1286394.1032827827</v>
      </c>
      <c r="Q17" s="547"/>
    </row>
    <row r="18" spans="1:19" ht="14.25">
      <c r="A18" s="547"/>
      <c r="B18" s="547"/>
      <c r="C18" s="554"/>
      <c r="D18" s="574" t="s">
        <v>924</v>
      </c>
      <c r="E18" s="554"/>
      <c r="F18" s="556">
        <f>SUM(G18:P18)</f>
        <v>82404685.944568396</v>
      </c>
      <c r="G18" s="556">
        <f>'II-I-Total'!J25</f>
        <v>45850278.323586799</v>
      </c>
      <c r="H18" s="556">
        <f>'II-I-Total'!K25</f>
        <v>1770897.0750423032</v>
      </c>
      <c r="I18" s="556">
        <f>'II-I-Total'!L25</f>
        <v>28788315.074287303</v>
      </c>
      <c r="J18" s="556">
        <f>'II-I-Total'!M25</f>
        <v>25535.902038935445</v>
      </c>
      <c r="K18" s="556">
        <f>'II-I-Total'!N25</f>
        <v>4606241.090191206</v>
      </c>
      <c r="L18" s="556">
        <f>'II-I-Total'!O25</f>
        <v>442044.22908963409</v>
      </c>
      <c r="M18" s="556">
        <f>'II-I-Total'!P25</f>
        <v>162487.88675137755</v>
      </c>
      <c r="N18" s="556">
        <f>'II-I-Total'!Q25</f>
        <v>473466.33778424712</v>
      </c>
      <c r="O18" s="556">
        <f>'II-I-Total'!R25</f>
        <v>52629.278813041012</v>
      </c>
      <c r="P18" s="566">
        <f>'II-I-Total'!S25</f>
        <v>232790.74698357988</v>
      </c>
      <c r="Q18" s="547"/>
      <c r="S18" s="963">
        <f>IF(ROUND(F18-(SUM('WP II-I-1.1'!G465:I465)-'WP II-I-1.1'!F465),1)=0,TRUE,F18-(SUM('WP II-I-1.1'!G465:I465)-'WP II-I-1.1'!F36))</f>
        <v>2.9802322387695312E-08</v>
      </c>
    </row>
    <row r="19" spans="1:17" ht="14.25">
      <c r="A19" s="547"/>
      <c r="B19" s="547"/>
      <c r="C19" s="554"/>
      <c r="D19" s="575" t="s">
        <v>443</v>
      </c>
      <c r="E19" s="576"/>
      <c r="F19" s="569">
        <f>SUM(G19:P19)</f>
        <v>460498198.7299999</v>
      </c>
      <c r="G19" s="569">
        <f>'II-I-Total'!J24</f>
        <v>210697996.6051693</v>
      </c>
      <c r="H19" s="569">
        <f>'II-I-Total'!K24</f>
        <v>8641668.9486459792</v>
      </c>
      <c r="I19" s="569">
        <f>'II-I-Total'!L24</f>
        <v>178652944.13622558</v>
      </c>
      <c r="J19" s="569">
        <f>'II-I-Total'!M24</f>
        <v>71539.685166159703</v>
      </c>
      <c r="K19" s="569">
        <f>'II-I-Total'!N24</f>
        <v>28656331.881986994</v>
      </c>
      <c r="L19" s="569">
        <f>'II-I-Total'!O24</f>
        <v>3850802.1869688313</v>
      </c>
      <c r="M19" s="569">
        <f>'II-I-Total'!P24</f>
        <v>22791528.856317755</v>
      </c>
      <c r="N19" s="569">
        <f>'II-I-Total'!Q24</f>
        <v>5993922.560486896</v>
      </c>
      <c r="O19" s="569">
        <f>'II-I-Total'!R24</f>
        <v>330064.78976667323</v>
      </c>
      <c r="P19" s="570">
        <f>'II-I-Total'!S24</f>
        <v>811399.07926575246</v>
      </c>
      <c r="Q19" s="547"/>
    </row>
    <row r="20" spans="1:17" ht="14.25">
      <c r="A20" s="547"/>
      <c r="B20" s="547"/>
      <c r="C20" s="547"/>
      <c r="D20" s="547"/>
      <c r="E20" s="547"/>
      <c r="F20" s="54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47"/>
    </row>
    <row r="21" spans="1:17" ht="15">
      <c r="A21" s="547"/>
      <c r="B21" s="547"/>
      <c r="C21" s="571" t="s">
        <v>970</v>
      </c>
      <c r="D21" s="577"/>
      <c r="E21" s="572"/>
      <c r="F21" s="572"/>
      <c r="G21" s="559"/>
      <c r="H21" s="559"/>
      <c r="I21" s="559"/>
      <c r="J21" s="559"/>
      <c r="K21" s="559"/>
      <c r="L21" s="559"/>
      <c r="M21" s="559"/>
      <c r="N21" s="559"/>
      <c r="O21" s="559"/>
      <c r="P21" s="573"/>
      <c r="Q21" s="547"/>
    </row>
    <row r="22" spans="1:17" ht="14.25">
      <c r="A22" s="547"/>
      <c r="B22" s="547"/>
      <c r="C22" s="574"/>
      <c r="D22" s="554" t="s">
        <v>926</v>
      </c>
      <c r="E22" s="554"/>
      <c r="F22" s="556">
        <f>SUM(G22:P22)</f>
        <v>9042309241.5699997</v>
      </c>
      <c r="G22" s="556">
        <f>'II-I-DIST'!J313</f>
        <v>5041542812.5898514</v>
      </c>
      <c r="H22" s="556">
        <f>'II-I-DIST'!K313</f>
        <v>168914816.86327031</v>
      </c>
      <c r="I22" s="556">
        <f>'II-I-DIST'!L313</f>
        <v>3186699293.1129718</v>
      </c>
      <c r="J22" s="556">
        <f>'II-I-DIST'!M313</f>
        <v>1134336.0414486711</v>
      </c>
      <c r="K22" s="556">
        <f>'II-I-DIST'!N313</f>
        <v>480108121.40188324</v>
      </c>
      <c r="L22" s="556">
        <f>'II-I-DIST'!O313</f>
        <v>41534062.296515077</v>
      </c>
      <c r="M22" s="556">
        <f>'II-I-DIST'!P313</f>
        <v>9445430.7418611608</v>
      </c>
      <c r="N22" s="556">
        <f>'II-I-DIST'!Q313</f>
        <v>81890650.661846638</v>
      </c>
      <c r="O22" s="556">
        <f>'II-I-DIST'!R313</f>
        <v>4978117.3229614524</v>
      </c>
      <c r="P22" s="566">
        <f>'II-I-DIST'!S313</f>
        <v>26061600.537388835</v>
      </c>
      <c r="Q22" s="547"/>
    </row>
    <row r="23" spans="1:17" ht="14.25">
      <c r="A23" s="547"/>
      <c r="B23" s="547"/>
      <c r="C23" s="574" t="s">
        <v>61</v>
      </c>
      <c r="D23" s="554" t="s">
        <v>919</v>
      </c>
      <c r="E23" s="554"/>
      <c r="F23" s="556">
        <f>SUM(G23:P23)</f>
        <v>13350683.629999999</v>
      </c>
      <c r="G23" s="556">
        <f>'II-I-DIST'!J133-'II-I-DIST'!J280</f>
        <v>7271694.270676882</v>
      </c>
      <c r="H23" s="556">
        <f>'II-I-DIST'!K133-'II-I-DIST'!K280</f>
        <v>299569.2797435032</v>
      </c>
      <c r="I23" s="556">
        <f>'II-I-DIST'!L133-'II-I-DIST'!L280</f>
        <v>4523793.9062789371</v>
      </c>
      <c r="J23" s="556">
        <f>'II-I-DIST'!M133-'II-I-DIST'!M280</f>
        <v>1535.9233529069099</v>
      </c>
      <c r="K23" s="556">
        <f>'II-I-DIST'!N133-'II-I-DIST'!N280</f>
        <v>650080.08970575058</v>
      </c>
      <c r="L23" s="556">
        <f>'II-I-DIST'!O133-'II-I-DIST'!O280</f>
        <v>51624.716485786121</v>
      </c>
      <c r="M23" s="556">
        <f>'II-I-DIST'!P133-'II-I-DIST'!P280</f>
        <v>12272.058277306343</v>
      </c>
      <c r="N23" s="556">
        <f>'II-I-DIST'!Q133-'II-I-DIST'!Q280</f>
        <v>498637.68965575664</v>
      </c>
      <c r="O23" s="556">
        <f>'II-I-DIST'!R133-'II-I-DIST'!R280</f>
        <v>6187.5453837422647</v>
      </c>
      <c r="P23" s="566">
        <f>'II-I-DIST'!S133-'II-I-DIST'!S280</f>
        <v>35288.150439428748</v>
      </c>
      <c r="Q23" s="547"/>
    </row>
    <row r="24" spans="1:17" ht="14.25">
      <c r="A24" s="547"/>
      <c r="B24" s="547"/>
      <c r="C24" s="574" t="s">
        <v>62</v>
      </c>
      <c r="D24" s="554" t="s">
        <v>920</v>
      </c>
      <c r="E24" s="554"/>
      <c r="F24" s="556">
        <f>SUM(G24:P24)</f>
        <v>95316075.739999995</v>
      </c>
      <c r="G24" s="556">
        <f>'II-I-DIST'!J134-'II-I-DIST'!J281</f>
        <v>51915645.750491187</v>
      </c>
      <c r="H24" s="556">
        <f>'II-I-DIST'!K134-'II-I-DIST'!K281</f>
        <v>2138749.5164102693</v>
      </c>
      <c r="I24" s="556">
        <f>'II-I-DIST'!L134-'II-I-DIST'!L281</f>
        <v>32297243.688264504</v>
      </c>
      <c r="J24" s="556">
        <f>'II-I-DIST'!M134-'II-I-DIST'!M281</f>
        <v>10965.594773554662</v>
      </c>
      <c r="K24" s="556">
        <f>'II-I-DIST'!N134-'II-I-DIST'!N281</f>
        <v>4641191.7759944201</v>
      </c>
      <c r="L24" s="556">
        <f>'II-I-DIST'!O134-'II-I-DIST'!O281</f>
        <v>368570.29370077408</v>
      </c>
      <c r="M24" s="556">
        <f>'II-I-DIST'!P134-'II-I-DIST'!P281</f>
        <v>87615.321332082618</v>
      </c>
      <c r="N24" s="556">
        <f>'II-I-DIST'!Q134-'II-I-DIST'!Q281</f>
        <v>3559981.5793138305</v>
      </c>
      <c r="O24" s="556">
        <f>'II-I-DIST'!R134-'II-I-DIST'!R281</f>
        <v>44175.456537386701</v>
      </c>
      <c r="P24" s="566">
        <f>'II-I-DIST'!S134-'II-I-DIST'!S281</f>
        <v>251936.76318199927</v>
      </c>
      <c r="Q24" s="547"/>
    </row>
    <row r="25" spans="1:17" ht="14.25">
      <c r="A25" s="547"/>
      <c r="B25" s="547"/>
      <c r="C25" s="574" t="s">
        <v>63</v>
      </c>
      <c r="D25" s="554" t="s">
        <v>921</v>
      </c>
      <c r="E25" s="554"/>
      <c r="F25" s="556">
        <f>SUM(G25:P25)</f>
        <v>1296516100.8700001</v>
      </c>
      <c r="G25" s="556">
        <f>'II-I-DIST'!J135-'II-I-DIST'!J282</f>
        <v>682386222.93288147</v>
      </c>
      <c r="H25" s="556">
        <f>'II-I-DIST'!K135-'II-I-DIST'!K282</f>
        <v>16664018.7450433</v>
      </c>
      <c r="I25" s="556">
        <f>'II-I-DIST'!L135-'II-I-DIST'!L282</f>
        <v>439369611.2790547</v>
      </c>
      <c r="J25" s="556">
        <f>'II-I-DIST'!M135-'II-I-DIST'!M282</f>
        <v>248393.75154693937</v>
      </c>
      <c r="K25" s="556">
        <f>'II-I-DIST'!N135-'II-I-DIST'!N282</f>
        <v>105132741.15037766</v>
      </c>
      <c r="L25" s="556">
        <f>'II-I-DIST'!O135-'II-I-DIST'!O282</f>
        <v>38019650.341997132</v>
      </c>
      <c r="M25" s="556">
        <f>'II-I-DIST'!P135-'II-I-DIST'!P282</f>
        <v>0</v>
      </c>
      <c r="N25" s="556">
        <f>'II-I-DIST'!Q135-'II-I-DIST'!Q282</f>
        <v>4431672.81188027</v>
      </c>
      <c r="O25" s="556">
        <f>'II-I-DIST'!R135-'II-I-DIST'!R282</f>
        <v>4556893.0539287422</v>
      </c>
      <c r="P25" s="566">
        <f>'II-I-DIST'!S135-'II-I-DIST'!S282</f>
        <v>5706896.8032897273</v>
      </c>
      <c r="Q25" s="547"/>
    </row>
    <row r="26" spans="1:17" ht="14.25">
      <c r="A26" s="547"/>
      <c r="B26" s="547"/>
      <c r="C26" s="575"/>
      <c r="D26" s="576" t="s">
        <v>927</v>
      </c>
      <c r="E26" s="576"/>
      <c r="F26" s="578">
        <f>SUM(G26:P26)</f>
        <v>1</v>
      </c>
      <c r="G26" s="578">
        <f>'II-I-DIST'!J1341</f>
        <v>0.45880672250755639</v>
      </c>
      <c r="H26" s="578">
        <f>'II-I-DIST'!K1341</f>
        <v>0.012824408342322071</v>
      </c>
      <c r="I26" s="578">
        <f>'II-I-DIST'!L1341</f>
        <v>0.33353592656394998</v>
      </c>
      <c r="J26" s="578">
        <f>'II-I-DIST'!M1341</f>
        <v>0.00013264333757564555</v>
      </c>
      <c r="K26" s="578">
        <f>'II-I-DIST'!N1341</f>
        <v>0.08385397465701605</v>
      </c>
      <c r="L26" s="578">
        <f>'II-I-DIST'!O1341</f>
        <v>0.027463663718043225</v>
      </c>
      <c r="M26" s="578">
        <f>'II-I-DIST'!P1341</f>
        <v>0.083382660873536657</v>
      </c>
      <c r="N26" s="578">
        <f>'II-I-DIST'!Q1341</f>
        <v>0</v>
      </c>
      <c r="O26" s="579">
        <v>0</v>
      </c>
      <c r="P26" s="580">
        <v>0</v>
      </c>
      <c r="Q26" s="547"/>
    </row>
    <row r="27" spans="1:17" ht="14.25">
      <c r="A27" s="547"/>
      <c r="B27" s="547"/>
      <c r="C27" s="554"/>
      <c r="D27" s="554"/>
      <c r="E27" s="554"/>
      <c r="F27" s="554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47"/>
    </row>
    <row r="28" spans="1:17" ht="15">
      <c r="A28" s="547"/>
      <c r="B28" s="547"/>
      <c r="C28" s="547"/>
      <c r="D28" s="678" t="s">
        <v>917</v>
      </c>
      <c r="E28" s="679"/>
      <c r="F28" s="679"/>
      <c r="G28" s="680">
        <f>'WP II-I-2.2'!E37</f>
        <v>15210692.881406292</v>
      </c>
      <c r="H28" s="680">
        <f>'WP II-I-2.2'!F37</f>
        <v>371448.40089449205</v>
      </c>
      <c r="I28" s="680">
        <f>'WP II-I-2.2'!G37</f>
        <v>9793744.3547214009</v>
      </c>
      <c r="J28" s="680">
        <f>'WP II-I-2.2'!H37</f>
        <v>5536.8073701752573</v>
      </c>
      <c r="K28" s="680">
        <f>'WP II-I-2.2'!I37</f>
        <v>2343455.6321282429</v>
      </c>
      <c r="L28" s="680">
        <f>'WP II-I-2.2'!J37</f>
        <v>847474.94215962989</v>
      </c>
      <c r="M28" s="680">
        <f>'WP II-I-2.2'!K37</f>
        <v>2790485.8700000001</v>
      </c>
      <c r="N28" s="680">
        <f>'WP II-I-2.2'!L37</f>
        <v>98783.961086827592</v>
      </c>
      <c r="O28" s="680">
        <f>'WP II-I-2.2'!M37</f>
        <v>101575.17606204849</v>
      </c>
      <c r="P28" s="681">
        <f>'WP II-I-2.2'!N37</f>
        <v>127209.27191001845</v>
      </c>
      <c r="Q28" s="547"/>
    </row>
    <row r="30" spans="4:19" ht="14.25">
      <c r="D30" s="558" t="s">
        <v>936</v>
      </c>
      <c r="E30" s="559"/>
      <c r="F30" s="560">
        <f>SUM(G30:P30)</f>
        <v>3960794562.072607</v>
      </c>
      <c r="G30" s="560">
        <f>'II-I-DIST'!J37</f>
        <v>1966558316.4801493</v>
      </c>
      <c r="H30" s="560">
        <f>'II-I-DIST'!K37</f>
        <v>62349174.07404428</v>
      </c>
      <c r="I30" s="560">
        <f>'II-I-DIST'!L37</f>
        <v>1369989855.8473969</v>
      </c>
      <c r="J30" s="560">
        <f>'II-I-DIST'!M37</f>
        <v>515183.39321837691</v>
      </c>
      <c r="K30" s="560">
        <f>'II-I-DIST'!N37</f>
        <v>272378640.68161362</v>
      </c>
      <c r="L30" s="560">
        <f>'II-I-DIST'!O37</f>
        <v>58811985.559967726</v>
      </c>
      <c r="M30" s="560">
        <f>'II-I-DIST'!P37</f>
        <v>162461694.85642991</v>
      </c>
      <c r="N30" s="560">
        <f>'II-I-DIST'!Q37</f>
        <v>59696005.279062159</v>
      </c>
      <c r="O30" s="560">
        <f>'II-I-DIST'!R37</f>
        <v>1481240.2881279618</v>
      </c>
      <c r="P30" s="561">
        <f>'II-I-DIST'!S37</f>
        <v>6552465.612596944</v>
      </c>
      <c r="S30" s="963" t="b">
        <f>IF(ROUND(F30-'WP II-I-1.1'!G456,2)=0,TRUE,F30-'WP II-I-1.1'!G456)</f>
        <v>1</v>
      </c>
    </row>
    <row r="31" spans="4:16" ht="14.25">
      <c r="D31" s="587" t="s">
        <v>937</v>
      </c>
      <c r="E31" s="422"/>
      <c r="F31" s="556">
        <f>'WP II-I-1.1'!F456</f>
        <v>1445176353.4782901</v>
      </c>
      <c r="G31" s="590"/>
      <c r="H31" s="590"/>
      <c r="I31" s="590"/>
      <c r="J31" s="590"/>
      <c r="K31" s="590"/>
      <c r="L31" s="590"/>
      <c r="M31" s="590"/>
      <c r="N31" s="590"/>
      <c r="O31" s="590"/>
      <c r="P31" s="591"/>
    </row>
    <row r="32" spans="4:16" ht="14.25">
      <c r="D32" s="588"/>
      <c r="E32" s="589"/>
      <c r="F32" s="569"/>
      <c r="G32" s="592"/>
      <c r="H32" s="592"/>
      <c r="I32" s="592"/>
      <c r="J32" s="592"/>
      <c r="K32" s="592"/>
      <c r="L32" s="592"/>
      <c r="M32" s="592"/>
      <c r="N32" s="592"/>
      <c r="O32" s="592"/>
      <c r="P32" s="593"/>
    </row>
    <row r="34" spans="3:16" ht="15">
      <c r="C34" s="614" t="s">
        <v>918</v>
      </c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644"/>
    </row>
    <row r="35" spans="3:16" ht="14.25">
      <c r="C35" s="587"/>
      <c r="D35" s="647" t="s">
        <v>972</v>
      </c>
      <c r="E35" s="422"/>
      <c r="F35" s="645">
        <f>SUM(G35:P35)</f>
        <v>1967625126.8699999</v>
      </c>
      <c r="G35" s="645">
        <f>'II-I-DIST'!J15</f>
        <v>925628833.10099077</v>
      </c>
      <c r="H35" s="645">
        <f>'II-I-DIST'!K15</f>
        <v>25721820.585483331</v>
      </c>
      <c r="I35" s="645">
        <f>'II-I-DIST'!L15</f>
        <v>658414733.63081193</v>
      </c>
      <c r="J35" s="645">
        <f>'II-I-DIST'!M15</f>
        <v>291840.01456292707</v>
      </c>
      <c r="K35" s="645">
        <f>'II-I-DIST'!N15</f>
        <v>160201273.62697214</v>
      </c>
      <c r="L35" s="645">
        <f>'II-I-DIST'!O15</f>
        <v>47191842.007465109</v>
      </c>
      <c r="M35" s="645">
        <f>'II-I-DIST'!P15</f>
        <v>137854134.38382378</v>
      </c>
      <c r="N35" s="645">
        <f>'II-I-DIST'!Q15</f>
        <v>10957440.883090312</v>
      </c>
      <c r="O35" s="645">
        <f>'II-I-DIST'!R15</f>
        <v>214703.74389727382</v>
      </c>
      <c r="P35" s="682">
        <f>'II-I-DIST'!S15</f>
        <v>1148504.8929023938</v>
      </c>
    </row>
    <row r="36" spans="3:19" ht="14.25">
      <c r="C36" s="587"/>
      <c r="D36" s="647" t="s">
        <v>973</v>
      </c>
      <c r="E36" s="422"/>
      <c r="F36" s="645">
        <f t="shared" si="0" ref="F36:F47">SUM(G36:P36)</f>
        <v>245305.53000000003</v>
      </c>
      <c r="G36" s="645">
        <f>'II-I-DIST'!J16</f>
        <v>211382.27115438183</v>
      </c>
      <c r="H36" s="645">
        <f>'II-I-DIST'!K16</f>
        <v>20459.034674143855</v>
      </c>
      <c r="I36" s="645">
        <f>'II-I-DIST'!L16</f>
        <v>10111.178373824361</v>
      </c>
      <c r="J36" s="645">
        <f>'II-I-DIST'!M16</f>
        <v>238.26143515301391</v>
      </c>
      <c r="K36" s="645">
        <f>'II-I-DIST'!N16</f>
        <v>203.54548295348263</v>
      </c>
      <c r="L36" s="645">
        <f>'II-I-DIST'!O16</f>
        <v>-91.058921478263471</v>
      </c>
      <c r="M36" s="645">
        <f>'II-I-DIST'!P16</f>
        <v>-384.86850408314456</v>
      </c>
      <c r="N36" s="645">
        <f>'II-I-DIST'!Q16</f>
        <v>3371.953089149315</v>
      </c>
      <c r="O36" s="645">
        <f>'II-I-DIST'!R16</f>
        <v>4.3069900105113224</v>
      </c>
      <c r="P36" s="682">
        <f>'II-I-DIST'!S16</f>
        <v>10.906225945007437</v>
      </c>
      <c r="S36" s="370"/>
    </row>
    <row r="37" spans="3:19" ht="14.25">
      <c r="C37" s="587"/>
      <c r="D37" s="647" t="s">
        <v>974</v>
      </c>
      <c r="E37" s="422"/>
      <c r="F37" s="645">
        <f t="shared" si="0"/>
        <v>423126451.57999986</v>
      </c>
      <c r="G37" s="645">
        <f>'II-I-DIST'!J17</f>
        <v>228351197.69918948</v>
      </c>
      <c r="H37" s="645">
        <f>'II-I-DIST'!K17</f>
        <v>7879417.5337146763</v>
      </c>
      <c r="I37" s="645">
        <f>'II-I-DIST'!L17</f>
        <v>144052746.12633011</v>
      </c>
      <c r="J37" s="645">
        <f>'II-I-DIST'!M17</f>
        <v>73200.400360594373</v>
      </c>
      <c r="K37" s="645">
        <f>'II-I-DIST'!N17</f>
        <v>24811551.005587529</v>
      </c>
      <c r="L37" s="645">
        <f>'II-I-DIST'!O17</f>
        <v>2275900.9610185553</v>
      </c>
      <c r="M37" s="645">
        <f>'II-I-DIST'!P17</f>
        <v>333312.71977059619</v>
      </c>
      <c r="N37" s="645">
        <f>'II-I-DIST'!Q17</f>
        <v>13755288.878110368</v>
      </c>
      <c r="O37" s="645">
        <f>'II-I-DIST'!R17</f>
        <v>268581.45248894574</v>
      </c>
      <c r="P37" s="682">
        <f>'II-I-DIST'!S17</f>
        <v>1325254.8034290271</v>
      </c>
      <c r="S37" s="370"/>
    </row>
    <row r="38" spans="3:16" ht="14.25">
      <c r="C38" s="587"/>
      <c r="D38" s="648" t="s">
        <v>976</v>
      </c>
      <c r="E38" s="422"/>
      <c r="F38" s="645">
        <f t="shared" si="0"/>
        <v>459817144.96000004</v>
      </c>
      <c r="G38" s="645">
        <f>'II-I-DIST'!J20</f>
        <v>245541115.9493264</v>
      </c>
      <c r="H38" s="645">
        <f>'II-I-DIST'!K20</f>
        <v>10276120.921946548</v>
      </c>
      <c r="I38" s="645">
        <f>'II-I-DIST'!L20</f>
        <v>152545188.60102925</v>
      </c>
      <c r="J38" s="645">
        <f>'II-I-DIST'!M20</f>
        <v>53564.307646005793</v>
      </c>
      <c r="K38" s="645">
        <f>'II-I-DIST'!N20</f>
        <v>22671111.715072885</v>
      </c>
      <c r="L38" s="645">
        <f>'II-I-DIST'!O20</f>
        <v>1729044.1579440564</v>
      </c>
      <c r="M38" s="645">
        <f>'II-I-DIST'!P20</f>
        <v>355894.64544424589</v>
      </c>
      <c r="N38" s="645">
        <f>'II-I-DIST'!Q20</f>
        <v>25207217.0691224</v>
      </c>
      <c r="O38" s="645">
        <f>'II-I-DIST'!R20</f>
        <v>207236.76421000628</v>
      </c>
      <c r="P38" s="682">
        <f>'II-I-DIST'!S20</f>
        <v>1230650.828258262</v>
      </c>
    </row>
    <row r="39" spans="3:19" ht="14.25">
      <c r="C39" s="587"/>
      <c r="D39" s="648" t="s">
        <v>975</v>
      </c>
      <c r="E39" s="422"/>
      <c r="F39" s="645">
        <f t="shared" si="0"/>
        <v>-2772903.8900000001</v>
      </c>
      <c r="G39" s="645">
        <f>'II-I-DIST'!J21</f>
        <v>-1543390.5515567327</v>
      </c>
      <c r="H39" s="645">
        <f>'II-I-DIST'!K21</f>
        <v>-51305.984354939697</v>
      </c>
      <c r="I39" s="645">
        <f>'II-I-DIST'!L21</f>
        <v>-976083.77518535266</v>
      </c>
      <c r="J39" s="645">
        <f>'II-I-DIST'!M21</f>
        <v>-353.45193577617982</v>
      </c>
      <c r="K39" s="645">
        <f>'II-I-DIST'!N21</f>
        <v>-149598.65391797083</v>
      </c>
      <c r="L39" s="645">
        <f>'II-I-DIST'!O21</f>
        <v>-14829.983075911421</v>
      </c>
      <c r="M39" s="645">
        <f>'II-I-DIST'!P21</f>
        <v>-2808.1133578213053</v>
      </c>
      <c r="N39" s="645">
        <f>'II-I-DIST'!Q21</f>
        <v>-24635.280438396596</v>
      </c>
      <c r="O39" s="645">
        <f>'II-I-DIST'!R21</f>
        <v>-1777.4662907368477</v>
      </c>
      <c r="P39" s="682">
        <f>'II-I-DIST'!S21</f>
        <v>-8120.6298863619722</v>
      </c>
      <c r="S39" s="370"/>
    </row>
    <row r="40" spans="3:19" ht="14.25">
      <c r="C40" s="587"/>
      <c r="D40" s="422" t="s">
        <v>364</v>
      </c>
      <c r="E40" s="422"/>
      <c r="F40" s="645">
        <f t="shared" si="0"/>
        <v>447450198.57999992</v>
      </c>
      <c r="G40" s="645">
        <f>'II-I-DIST'!J24</f>
        <v>203428715.90736896</v>
      </c>
      <c r="H40" s="645">
        <f>'II-I-DIST'!K24</f>
        <v>7522309.0925597213</v>
      </c>
      <c r="I40" s="645">
        <f>'II-I-DIST'!L24</f>
        <v>175192550.21805555</v>
      </c>
      <c r="J40" s="645">
        <f>'II-I-DIST'!M24</f>
        <v>23085.309625855549</v>
      </c>
      <c r="K40" s="645">
        <f>'II-I-DIST'!N24</f>
        <v>27643693.561539356</v>
      </c>
      <c r="L40" s="645">
        <f>'II-I-DIST'!O24</f>
        <v>3816059.1758927209</v>
      </c>
      <c r="M40" s="645">
        <f>'II-I-DIST'!P24</f>
        <v>22715111.199533135</v>
      </c>
      <c r="N40" s="645">
        <f>'II-I-DIST'!Q24</f>
        <v>5980508.7794760233</v>
      </c>
      <c r="O40" s="645">
        <f>'II-I-DIST'!R24</f>
        <v>326076.81255177851</v>
      </c>
      <c r="P40" s="682">
        <f>'II-I-DIST'!S24</f>
        <v>802088.5233968125</v>
      </c>
      <c r="S40" t="b">
        <f>IF(ROUND(F40-'WP II-I-1.1'!G464,2)=0,TRUE,F40-'WP II-I-1.1'!G464)</f>
        <v>1</v>
      </c>
    </row>
    <row r="41" spans="3:19" ht="14.25">
      <c r="C41" s="587"/>
      <c r="D41" s="422" t="s">
        <v>508</v>
      </c>
      <c r="E41" s="422"/>
      <c r="F41" s="645">
        <f t="shared" si="0"/>
        <v>78221384.964147449</v>
      </c>
      <c r="G41" s="645">
        <f>'II-I-DIST'!J25</f>
        <v>43523262.399335511</v>
      </c>
      <c r="H41" s="645">
        <f>'II-I-DIST'!K25</f>
        <v>1413378.3039685555</v>
      </c>
      <c r="I41" s="645">
        <f>'II-I-DIST'!L25</f>
        <v>27675493.672436036</v>
      </c>
      <c r="J41" s="645">
        <f>'II-I-DIST'!M25</f>
        <v>10069.516607757541</v>
      </c>
      <c r="K41" s="645">
        <f>'II-I-DIST'!N25</f>
        <v>4281733.0776786599</v>
      </c>
      <c r="L41" s="645">
        <f>'II-I-DIST'!O25</f>
        <v>430785.88604914851</v>
      </c>
      <c r="M41" s="645">
        <f>'II-I-DIST'!P25</f>
        <v>136515.78952741998</v>
      </c>
      <c r="N41" s="645">
        <f>'II-I-DIST'!Q25</f>
        <v>468980.55176922469</v>
      </c>
      <c r="O41" s="645">
        <f>'II-I-DIST'!R25</f>
        <v>51351.15506097996</v>
      </c>
      <c r="P41" s="682">
        <f>'II-I-DIST'!S25</f>
        <v>229814.61171414371</v>
      </c>
      <c r="S41" t="b">
        <f>IF(ROUND(F41-'WP II-I-1.1'!G465,2)=0,TRUE,F41-'WP II-I-1.1'!G465)</f>
        <v>1</v>
      </c>
    </row>
    <row r="42" spans="3:16" ht="14.25">
      <c r="C42" s="587"/>
      <c r="D42" s="422" t="s">
        <v>509</v>
      </c>
      <c r="E42" s="422"/>
      <c r="F42" s="645">
        <f>SUM(G42:P42)</f>
        <v>638839835.45845938</v>
      </c>
      <c r="G42" s="645">
        <f>'II-I-DIST'!J27</f>
        <v>355272832.23113191</v>
      </c>
      <c r="H42" s="645">
        <f>'II-I-DIST'!K27</f>
        <v>11529736.593214385</v>
      </c>
      <c r="I42" s="645">
        <f>'II-I-DIST'!L27</f>
        <v>226242269.25939763</v>
      </c>
      <c r="J42" s="645">
        <f>'II-I-DIST'!M27</f>
        <v>82109.80870428143</v>
      </c>
      <c r="K42" s="645">
        <f>'II-I-DIST'!N27</f>
        <v>34931887.255133517</v>
      </c>
      <c r="L42" s="645">
        <f>'II-I-DIST'!O27</f>
        <v>3501360.2412508894</v>
      </c>
      <c r="M42" s="645">
        <f>'II-I-DIST'!P27</f>
        <v>1107731.7001616287</v>
      </c>
      <c r="N42" s="645">
        <f>'II-I-DIST'!Q27</f>
        <v>3875733.6648428761</v>
      </c>
      <c r="O42" s="645">
        <f>'II-I-DIST'!R27</f>
        <v>418676.58700630709</v>
      </c>
      <c r="P42" s="682">
        <f>'II-I-DIST'!S27</f>
        <v>1877498.1176160574</v>
      </c>
    </row>
    <row r="43" spans="3:16" ht="14.25">
      <c r="C43" s="587"/>
      <c r="D43" s="646" t="s">
        <v>977</v>
      </c>
      <c r="E43" s="422"/>
      <c r="F43" s="645">
        <f t="shared" si="0"/>
        <v>51757981.979999997</v>
      </c>
      <c r="G43" s="645">
        <f>'II-I-DIST'!J31</f>
        <v>33855632.526791662</v>
      </c>
      <c r="H43" s="645">
        <f>'II-I-DIST'!K31</f>
        <v>1962762.0071621498</v>
      </c>
      <c r="I43" s="645">
        <f>'II-I-DIST'!L31</f>
        <v>13167153.063852251</v>
      </c>
      <c r="J43" s="645">
        <f>'II-I-DIST'!M31</f>
        <v>18570.773788421666</v>
      </c>
      <c r="K43" s="645">
        <f>'II-I-DIST'!N31</f>
        <v>2013214.4519353835</v>
      </c>
      <c r="L43" s="645">
        <f>'II-I-DIST'!O31</f>
        <v>118085.82765535745</v>
      </c>
      <c r="M43" s="645">
        <f>'II-I-DIST'!P31</f>
        <v>37812.599969035866</v>
      </c>
      <c r="N43" s="645">
        <f>'II-I-DIST'!Q31</f>
        <v>527901.21999979834</v>
      </c>
      <c r="O43" s="645">
        <f>'II-I-DIST'!R31</f>
        <v>3613.0677866034262</v>
      </c>
      <c r="P43" s="682">
        <f>'II-I-DIST'!S31</f>
        <v>53236.441059334698</v>
      </c>
    </row>
    <row r="44" spans="3:16" ht="14.25">
      <c r="C44" s="587"/>
      <c r="D44" s="422" t="s">
        <v>735</v>
      </c>
      <c r="E44" s="422"/>
      <c r="F44" s="645">
        <f t="shared" si="0"/>
        <v>0</v>
      </c>
      <c r="G44" s="645">
        <f>'II-I-DIST'!J35</f>
        <v>0</v>
      </c>
      <c r="H44" s="645">
        <f>'II-I-DIST'!K35</f>
        <v>0</v>
      </c>
      <c r="I44" s="645">
        <f>'II-I-DIST'!L35</f>
        <v>0</v>
      </c>
      <c r="J44" s="645">
        <f>'II-I-DIST'!M35</f>
        <v>0</v>
      </c>
      <c r="K44" s="645">
        <f>'II-I-DIST'!N35</f>
        <v>0</v>
      </c>
      <c r="L44" s="645">
        <f>'II-I-DIST'!O35</f>
        <v>0</v>
      </c>
      <c r="M44" s="645">
        <f>'II-I-DIST'!P35</f>
        <v>0</v>
      </c>
      <c r="N44" s="645">
        <f>'II-I-DIST'!Q35</f>
        <v>0</v>
      </c>
      <c r="O44" s="645">
        <f>'II-I-DIST'!R35</f>
        <v>0</v>
      </c>
      <c r="P44" s="682">
        <f>'II-I-DIST'!S35</f>
        <v>0</v>
      </c>
    </row>
    <row r="45" spans="3:16" ht="14.25">
      <c r="C45" s="587"/>
      <c r="D45" s="977" t="s">
        <v>1397</v>
      </c>
      <c r="E45" s="422"/>
      <c r="F45" s="370">
        <f>SUM(G45:P45)</f>
        <v>1646625.77403555</v>
      </c>
      <c r="G45" s="645">
        <f>'WP II-I-1.7'!E18</f>
        <v>824746.22336069902</v>
      </c>
      <c r="H45" s="645">
        <f>'WP II-I-1.7'!F18</f>
        <v>33960.67903355274</v>
      </c>
      <c r="I45" s="645">
        <f>'WP II-I-1.7'!G18</f>
        <v>560215.85273149016</v>
      </c>
      <c r="J45" s="645">
        <f>'WP II-I-1.7'!H18</f>
        <v>623.20619305211824</v>
      </c>
      <c r="K45" s="645">
        <f>'WP II-I-1.7'!I18</f>
        <v>114082.03459886929</v>
      </c>
      <c r="L45" s="645">
        <f>'WP II-I-1.7'!J18</f>
        <v>22961.479548275718</v>
      </c>
      <c r="M45" s="645">
        <f>'WP II-I-1.7'!K18</f>
        <v>63196.956486994015</v>
      </c>
      <c r="N45" s="645">
        <f>'WP II-I-1.7'!L18</f>
        <v>23632.913955440974</v>
      </c>
      <c r="O45" s="645">
        <f>'WP II-I-1.7'!M18</f>
        <v>604.85532078952042</v>
      </c>
      <c r="P45" s="682">
        <f>'WP II-I-1.7'!N18</f>
        <v>2601.5728063862907</v>
      </c>
    </row>
    <row r="46" spans="3:16" s="386" customFormat="1" ht="13.5" customHeight="1">
      <c r="C46" s="1474"/>
      <c r="D46" s="730" t="s">
        <v>971</v>
      </c>
      <c r="E46" s="404"/>
      <c r="F46" s="1324">
        <f t="shared" si="0"/>
        <v>1652522021.4399998</v>
      </c>
      <c r="G46" s="1324">
        <f>'II-I-DIST'!J622</f>
        <v>758188212.5284481</v>
      </c>
      <c r="H46" s="1324">
        <f>'II-I-DIST'!K622</f>
        <v>21192617.197626065</v>
      </c>
      <c r="I46" s="1324">
        <f>'II-I-DIST'!L622</f>
        <v>551175463.58832192</v>
      </c>
      <c r="J46" s="1324">
        <f>'II-I-DIST'!M622</f>
        <v>219196.03634105407</v>
      </c>
      <c r="K46" s="1324">
        <f>'II-I-DIST'!N622</f>
        <v>138570539.70599067</v>
      </c>
      <c r="L46" s="1324">
        <f>'II-I-DIST'!O622</f>
        <v>45384309.083489172</v>
      </c>
      <c r="M46" s="1324">
        <f>'II-I-DIST'!P622</f>
        <v>137791683.29978278</v>
      </c>
      <c r="N46" s="1324">
        <f>'II-I-DIST'!Q622</f>
        <v>0</v>
      </c>
      <c r="O46" s="1324">
        <f>'II-I-DIST'!R622</f>
        <v>0</v>
      </c>
      <c r="P46" s="1475">
        <f>'II-I-DIST'!S622</f>
        <v>0</v>
      </c>
    </row>
    <row r="47" spans="3:16" ht="14.25">
      <c r="C47" s="588"/>
      <c r="D47" s="649" t="s">
        <v>1396</v>
      </c>
      <c r="E47" s="589"/>
      <c r="F47" s="650">
        <f t="shared" si="0"/>
        <v>2306625914.8585715</v>
      </c>
      <c r="G47" s="650">
        <f>'WP II-I-1.7'!E23</f>
        <v>1207545357.7283404</v>
      </c>
      <c r="H47" s="650">
        <f>'WP II-I-1.7'!F23</f>
        <v>41122596.197384663</v>
      </c>
      <c r="I47" s="650">
        <f>'WP II-I-1.7'!G23</f>
        <v>818254176.40634346</v>
      </c>
      <c r="J47" s="650">
        <f>'WP II-I-1.7'!H23</f>
        <v>295364.15068427072</v>
      </c>
      <c r="K47" s="650">
        <f>'WP II-I-1.7'!I23</f>
        <v>133694018.94102408</v>
      </c>
      <c r="L47" s="650">
        <f>'WP II-I-1.7'!J23</f>
        <v>13404714.996930279</v>
      </c>
      <c r="M47" s="650">
        <f>'WP II-I-1.7'!K23</f>
        <v>24606814.600160129</v>
      </c>
      <c r="N47" s="650">
        <f>'WP II-I-1.7'!L23</f>
        <v>59672372.365106717</v>
      </c>
      <c r="O47" s="650">
        <f>'WP II-I-1.7'!M23</f>
        <v>1480635.4328071722</v>
      </c>
      <c r="P47" s="683">
        <f>'WP II-I-1.7'!N23</f>
        <v>6549864.0397905577</v>
      </c>
    </row>
    <row r="48" spans="3:16" ht="14.25">
      <c r="C48" s="422"/>
      <c r="D48" s="646"/>
      <c r="E48" s="422"/>
      <c r="F48" s="645"/>
      <c r="G48" s="645"/>
      <c r="H48" s="645"/>
      <c r="I48" s="645"/>
      <c r="J48" s="645"/>
      <c r="K48" s="645"/>
      <c r="L48" s="645"/>
      <c r="M48" s="645"/>
      <c r="N48" s="645"/>
      <c r="O48" s="645"/>
      <c r="P48" s="645"/>
    </row>
    <row r="49" spans="8:8" ht="14.25">
      <c r="H49" s="370"/>
    </row>
  </sheetData>
  <printOptions horizontalCentered="1"/>
  <pageMargins left="0.5" right="0.5" top="1.75" bottom="0.5" header="1.5" footer="0.5"/>
  <pageSetup orientation="landscape" scale="57" r:id="rId1"/>
  <headerFooter alignWithMargins="0">
    <oddHeader>&amp;RII-I LinkSheet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B1:T82"/>
  <sheetViews>
    <sheetView zoomScaleSheetLayoutView="100" workbookViewId="0" topLeftCell="C1">
      <selection pane="topLeft" activeCell="F16" sqref="F16:F18"/>
    </sheetView>
  </sheetViews>
  <sheetFormatPr defaultColWidth="12.505" defaultRowHeight="17.25" customHeight="1"/>
  <cols>
    <col min="1" max="1" width="2.75" style="666" customWidth="1"/>
    <col min="2" max="3" width="1.5" style="666" customWidth="1"/>
    <col min="4" max="4" width="5.125" style="666" customWidth="1"/>
    <col min="5" max="5" width="28.625" style="666" customWidth="1"/>
    <col min="6" max="6" width="22.875" style="666" customWidth="1"/>
    <col min="7" max="7" width="2.375" style="666" customWidth="1"/>
    <col min="8" max="9" width="12.625" style="666" bestFit="1" customWidth="1"/>
    <col min="10" max="10" width="13.375" style="666" bestFit="1" customWidth="1"/>
    <col min="11" max="11" width="8.625" style="666" bestFit="1" customWidth="1"/>
    <col min="12" max="12" width="11.875" style="666" customWidth="1"/>
    <col min="13" max="15" width="12.625" style="666" bestFit="1" customWidth="1"/>
    <col min="16" max="16" width="15.625" style="674" customWidth="1"/>
    <col min="17" max="17" width="11.5" style="674" customWidth="1"/>
    <col min="18" max="18" width="14.625" style="666" customWidth="1"/>
    <col min="19" max="19" width="2.5" style="666" customWidth="1"/>
    <col min="20" max="16384" width="12.5" style="666"/>
  </cols>
  <sheetData>
    <row r="1" spans="5:5" ht="17.25" customHeight="1">
      <c r="E1" s="1248"/>
    </row>
    <row r="2" spans="2:18" s="675" customFormat="1" ht="17.25" customHeight="1">
      <c r="B2" s="1497" t="s">
        <v>1332</v>
      </c>
      <c r="C2" s="1497"/>
      <c r="D2" s="1497"/>
      <c r="E2" s="1497"/>
      <c r="F2" s="1497"/>
      <c r="G2" s="1497"/>
      <c r="H2" s="1497"/>
      <c r="I2" s="1497"/>
      <c r="J2" s="1497"/>
      <c r="K2" s="1497"/>
      <c r="L2" s="1497"/>
      <c r="M2" s="1497"/>
      <c r="N2" s="1497"/>
      <c r="O2" s="1497"/>
      <c r="P2" s="1497"/>
      <c r="Q2" s="1497"/>
      <c r="R2" s="1497"/>
    </row>
    <row r="3" spans="2:18" s="675" customFormat="1" ht="17.25" customHeight="1">
      <c r="B3" s="1497" t="s">
        <v>1</v>
      </c>
      <c r="C3" s="1497"/>
      <c r="D3" s="1497"/>
      <c r="E3" s="1497"/>
      <c r="F3" s="1497"/>
      <c r="G3" s="1497"/>
      <c r="H3" s="1497"/>
      <c r="I3" s="1497"/>
      <c r="J3" s="1497"/>
      <c r="K3" s="1497"/>
      <c r="L3" s="1497"/>
      <c r="M3" s="1497"/>
      <c r="N3" s="1497"/>
      <c r="O3" s="1497"/>
      <c r="P3" s="1497"/>
      <c r="Q3" s="1497"/>
      <c r="R3" s="1497"/>
    </row>
    <row r="4" spans="2:18" s="675" customFormat="1" ht="17.25" customHeight="1">
      <c r="B4" s="1497" t="s">
        <v>984</v>
      </c>
      <c r="C4" s="1497"/>
      <c r="D4" s="1497"/>
      <c r="E4" s="1497"/>
      <c r="F4" s="1497"/>
      <c r="G4" s="1497"/>
      <c r="H4" s="1497"/>
      <c r="I4" s="1497"/>
      <c r="J4" s="1497"/>
      <c r="K4" s="1497"/>
      <c r="L4" s="1497"/>
      <c r="M4" s="1497"/>
      <c r="N4" s="1497"/>
      <c r="O4" s="1497"/>
      <c r="P4" s="1497"/>
      <c r="Q4" s="1497"/>
      <c r="R4" s="1497"/>
    </row>
    <row r="5" spans="2:18" s="675" customFormat="1" ht="17.25" customHeight="1">
      <c r="B5" s="1497" t="s">
        <v>1333</v>
      </c>
      <c r="C5" s="1497"/>
      <c r="D5" s="1497"/>
      <c r="E5" s="1497"/>
      <c r="F5" s="1497"/>
      <c r="G5" s="1497"/>
      <c r="H5" s="1497"/>
      <c r="I5" s="1497"/>
      <c r="J5" s="1497"/>
      <c r="K5" s="1497"/>
      <c r="L5" s="1497"/>
      <c r="M5" s="1497"/>
      <c r="N5" s="1497"/>
      <c r="O5" s="1497"/>
      <c r="P5" s="1497"/>
      <c r="Q5" s="1497"/>
      <c r="R5" s="1497"/>
    </row>
    <row r="6" spans="2:18" s="675" customFormat="1" ht="17.25" customHeight="1">
      <c r="B6" s="1497" t="s">
        <v>1202</v>
      </c>
      <c r="C6" s="1497"/>
      <c r="D6" s="1497"/>
      <c r="E6" s="1497"/>
      <c r="F6" s="1497"/>
      <c r="G6" s="1497"/>
      <c r="H6" s="1497"/>
      <c r="I6" s="1497"/>
      <c r="J6" s="1497"/>
      <c r="K6" s="1497"/>
      <c r="L6" s="1497"/>
      <c r="M6" s="1497"/>
      <c r="N6" s="1497"/>
      <c r="O6" s="1497"/>
      <c r="P6" s="1497"/>
      <c r="Q6" s="1497"/>
      <c r="R6" s="1497"/>
    </row>
    <row r="7" spans="5:17" s="675" customFormat="1" ht="17.25" customHeight="1">
      <c r="E7" s="724"/>
      <c r="F7" s="660"/>
      <c r="G7" s="660"/>
      <c r="H7" s="660"/>
      <c r="I7" s="660"/>
      <c r="J7" s="653"/>
      <c r="K7" s="653"/>
      <c r="L7" s="653"/>
      <c r="M7" s="653"/>
      <c r="N7" s="663"/>
      <c r="O7" s="653"/>
      <c r="P7" s="849"/>
      <c r="Q7" s="653"/>
    </row>
    <row r="8" spans="5:17" s="675" customFormat="1" ht="17.25" customHeight="1">
      <c r="E8" s="668"/>
      <c r="F8" s="652"/>
      <c r="G8" s="652"/>
      <c r="H8" s="652"/>
      <c r="I8" s="652"/>
      <c r="J8" s="652"/>
      <c r="K8" s="652"/>
      <c r="L8" s="652"/>
      <c r="M8" s="652"/>
      <c r="N8" s="663"/>
      <c r="O8" s="653"/>
      <c r="P8" s="651"/>
      <c r="Q8" s="653"/>
    </row>
    <row r="9" spans="5:18" s="675" customFormat="1" ht="21" customHeight="1">
      <c r="E9" s="652"/>
      <c r="F9" s="656">
        <v>1</v>
      </c>
      <c r="G9" s="656"/>
      <c r="H9" s="661">
        <v>3</v>
      </c>
      <c r="I9" s="661">
        <v>4</v>
      </c>
      <c r="J9" s="656">
        <v>5</v>
      </c>
      <c r="K9" s="656">
        <v>6</v>
      </c>
      <c r="L9" s="656">
        <v>7</v>
      </c>
      <c r="M9" s="656">
        <v>8</v>
      </c>
      <c r="N9" s="656">
        <v>9</v>
      </c>
      <c r="O9" s="656">
        <v>10</v>
      </c>
      <c r="P9" s="710">
        <v>11</v>
      </c>
      <c r="Q9" s="711">
        <v>12</v>
      </c>
      <c r="R9" s="675">
        <v>13</v>
      </c>
    </row>
    <row r="10" spans="4:18" s="675" customFormat="1" ht="17.25" customHeight="1">
      <c r="D10" s="712"/>
      <c r="E10" s="712"/>
      <c r="F10" s="713" t="s">
        <v>978</v>
      </c>
      <c r="G10" s="713"/>
      <c r="H10" s="714"/>
      <c r="I10" s="714"/>
      <c r="J10" s="715"/>
      <c r="K10" s="714"/>
      <c r="L10" s="714"/>
      <c r="M10" s="714"/>
      <c r="N10" s="716"/>
      <c r="O10" s="717"/>
      <c r="P10" s="706"/>
      <c r="Q10" s="708"/>
      <c r="R10" s="842"/>
    </row>
    <row r="11" spans="4:18" s="675" customFormat="1" ht="17.25" customHeight="1">
      <c r="D11" s="718" t="s">
        <v>406</v>
      </c>
      <c r="E11" s="718" t="s">
        <v>4</v>
      </c>
      <c r="F11" s="657" t="s">
        <v>979</v>
      </c>
      <c r="G11" s="657"/>
      <c r="H11" s="654" t="s">
        <v>730</v>
      </c>
      <c r="I11" s="654" t="s">
        <v>409</v>
      </c>
      <c r="J11" s="676" t="s">
        <v>409</v>
      </c>
      <c r="K11" s="662" t="s">
        <v>410</v>
      </c>
      <c r="L11" s="662" t="s">
        <v>410</v>
      </c>
      <c r="M11" s="662" t="s">
        <v>410</v>
      </c>
      <c r="N11" s="662" t="s">
        <v>411</v>
      </c>
      <c r="O11" s="705" t="s">
        <v>412</v>
      </c>
      <c r="P11" s="707" t="s">
        <v>407</v>
      </c>
      <c r="Q11" s="709" t="s">
        <v>407</v>
      </c>
      <c r="R11" s="843" t="s">
        <v>10</v>
      </c>
    </row>
    <row r="12" spans="4:18" s="675" customFormat="1" ht="17.25" customHeight="1">
      <c r="D12" s="718"/>
      <c r="E12" s="718"/>
      <c r="F12" s="657" t="s">
        <v>980</v>
      </c>
      <c r="G12" s="657"/>
      <c r="H12" s="654"/>
      <c r="I12" s="654" t="s">
        <v>982</v>
      </c>
      <c r="J12" s="676" t="s">
        <v>732</v>
      </c>
      <c r="K12" s="654" t="s">
        <v>982</v>
      </c>
      <c r="L12" s="662" t="s">
        <v>732</v>
      </c>
      <c r="M12" s="662" t="s">
        <v>414</v>
      </c>
      <c r="N12" s="662"/>
      <c r="O12" s="705"/>
      <c r="P12" s="707" t="s">
        <v>458</v>
      </c>
      <c r="Q12" s="709" t="s">
        <v>415</v>
      </c>
      <c r="R12" s="843" t="s">
        <v>1024</v>
      </c>
    </row>
    <row r="13" spans="4:19" s="675" customFormat="1" ht="17.25" customHeight="1">
      <c r="D13" s="823"/>
      <c r="E13" s="823"/>
      <c r="F13" s="657" t="s">
        <v>10</v>
      </c>
      <c r="G13" s="657"/>
      <c r="H13" s="824"/>
      <c r="I13" s="824"/>
      <c r="J13" s="825"/>
      <c r="K13" s="824"/>
      <c r="L13" s="824"/>
      <c r="M13" s="824"/>
      <c r="N13" s="824"/>
      <c r="O13" s="825"/>
      <c r="P13" s="826"/>
      <c r="Q13" s="841"/>
      <c r="R13" s="844" t="s">
        <v>1300</v>
      </c>
      <c r="S13" s="724"/>
    </row>
    <row r="14" spans="4:19" s="675" customFormat="1" ht="19.5" customHeight="1">
      <c r="D14" s="828"/>
      <c r="E14" s="829"/>
      <c r="F14" s="829"/>
      <c r="G14" s="829"/>
      <c r="H14" s="830"/>
      <c r="I14" s="830"/>
      <c r="J14" s="830"/>
      <c r="K14" s="830"/>
      <c r="L14" s="830"/>
      <c r="M14" s="830"/>
      <c r="N14" s="830"/>
      <c r="O14" s="830"/>
      <c r="P14" s="830"/>
      <c r="Q14" s="652"/>
      <c r="R14" s="845"/>
      <c r="S14" s="724"/>
    </row>
    <row r="15" spans="4:20" s="675" customFormat="1" ht="17.25" customHeight="1">
      <c r="D15" s="831"/>
      <c r="E15" s="659"/>
      <c r="F15" s="658"/>
      <c r="G15" s="658"/>
      <c r="H15" s="665"/>
      <c r="I15" s="665"/>
      <c r="J15" s="665"/>
      <c r="K15" s="665"/>
      <c r="L15" s="665"/>
      <c r="M15" s="665"/>
      <c r="N15" s="665"/>
      <c r="O15" s="665"/>
      <c r="P15" s="665"/>
      <c r="Q15" s="652"/>
      <c r="R15" s="845"/>
      <c r="S15" s="724"/>
      <c r="T15" s="675" t="s">
        <v>1203</v>
      </c>
    </row>
    <row r="16" spans="4:20" s="675" customFormat="1" ht="17.25" customHeight="1">
      <c r="D16" s="832">
        <v>1</v>
      </c>
      <c r="E16" s="651" t="s">
        <v>1412</v>
      </c>
      <c r="F16" s="677">
        <f>'II-I-DIST'!$F$33</f>
        <v>3960794562.0726075</v>
      </c>
      <c r="G16" s="677"/>
      <c r="H16" s="677">
        <f>'II-I-DIST'!$J$33</f>
        <v>1966558316.4801493</v>
      </c>
      <c r="I16" s="677">
        <f>'II-I-DIST'!$K$33</f>
        <v>62349174.07404428</v>
      </c>
      <c r="J16" s="677">
        <f>'II-I-DIST'!$L$33</f>
        <v>1369989855.8473969</v>
      </c>
      <c r="K16" s="677">
        <f>'II-I-DIST'!$M$33</f>
        <v>515183.39321837691</v>
      </c>
      <c r="L16" s="677">
        <f>'II-I-DIST'!$N$33</f>
        <v>272378640.68161362</v>
      </c>
      <c r="M16" s="677">
        <f>'II-I-DIST'!$O$33</f>
        <v>58811985.559967726</v>
      </c>
      <c r="N16" s="677">
        <f>'II-I-DIST'!$P$33</f>
        <v>162461694.85642991</v>
      </c>
      <c r="O16" s="677">
        <f>'II-I-DIST'!$Q$33</f>
        <v>59696005.279062159</v>
      </c>
      <c r="P16" s="677">
        <f>'II-I-DIST'!$R$33</f>
        <v>1481240.2881279618</v>
      </c>
      <c r="Q16" s="850">
        <f>'II-I-DIST'!$S$33</f>
        <v>6552465.612596944</v>
      </c>
      <c r="R16" s="847">
        <f>SUM(H16+I16+J16+K16+L16+M16+N16+O16)</f>
        <v>3952760856.1718822</v>
      </c>
      <c r="S16" s="724"/>
      <c r="T16" s="1080">
        <f>F16-P16-Q16-R16</f>
        <v>0</v>
      </c>
    </row>
    <row r="17" spans="4:20" s="675" customFormat="1" ht="17.25" customHeight="1">
      <c r="D17" s="832">
        <v>2</v>
      </c>
      <c r="E17" s="659" t="s">
        <v>981</v>
      </c>
      <c r="F17" s="719">
        <f>'II-I-MET'!$F$33</f>
        <v>200341062.39813831</v>
      </c>
      <c r="G17" s="719"/>
      <c r="H17" s="677">
        <f>'II-I-MET'!J33</f>
        <v>111684992.49878599</v>
      </c>
      <c r="I17" s="677">
        <f>'II-I-MET'!K33</f>
        <v>17198916.707493149</v>
      </c>
      <c r="J17" s="677">
        <f>'II-I-MET'!L33</f>
        <v>53110885.934578843</v>
      </c>
      <c r="K17" s="677">
        <f>'II-I-MET'!M33</f>
        <v>744278.78978886304</v>
      </c>
      <c r="L17" s="677">
        <f>'II-I-MET'!N33</f>
        <v>15544460.27763591</v>
      </c>
      <c r="M17" s="677">
        <f>'II-I-MET'!O33</f>
        <v>532402.95398341166</v>
      </c>
      <c r="N17" s="677">
        <f>'II-I-MET'!P33</f>
        <v>1172829.3216267072</v>
      </c>
      <c r="O17" s="677">
        <f>'II-I-MET'!Q33</f>
        <v>142786.01692027733</v>
      </c>
      <c r="P17" s="677">
        <f>'II-I-MET'!R33</f>
        <v>62823.441183004914</v>
      </c>
      <c r="Q17" s="850">
        <f>'II-I-MET'!S33</f>
        <v>146686.45614214157</v>
      </c>
      <c r="R17" s="847">
        <f>SUM(H17+I17+J17+K17+L17+M17+N17+O17)</f>
        <v>200131552.50081313</v>
      </c>
      <c r="S17" s="724"/>
      <c r="T17" s="1080">
        <f t="shared" si="0" ref="T17:T18">F17-P17-Q17-R17</f>
        <v>0</v>
      </c>
    </row>
    <row r="18" spans="4:20" s="675" customFormat="1" ht="17.25" customHeight="1">
      <c r="D18" s="832">
        <v>3</v>
      </c>
      <c r="E18" s="659" t="s">
        <v>983</v>
      </c>
      <c r="F18" s="834">
        <f>'II-I-TBILLTDCS'!$F$33</f>
        <v>104379391.32196172</v>
      </c>
      <c r="G18" s="719"/>
      <c r="H18" s="835">
        <f>'II-I-TBILLTDCS'!J33</f>
        <v>57205974.739097841</v>
      </c>
      <c r="I18" s="835">
        <f>'II-I-TBILLTDCS'!K33</f>
        <v>8455436.7309308499</v>
      </c>
      <c r="J18" s="835">
        <f>'II-I-TBILLTDCS'!L33</f>
        <v>27857670.479817279</v>
      </c>
      <c r="K18" s="835">
        <f>'II-I-TBILLTDCS'!M33</f>
        <v>359398.34633882204</v>
      </c>
      <c r="L18" s="835">
        <f>'II-I-TBILLTDCS'!N33</f>
        <v>7883822.9233798599</v>
      </c>
      <c r="M18" s="835">
        <f>'II-I-TBILLTDCS'!O33</f>
        <v>305330.92314543127</v>
      </c>
      <c r="N18" s="835">
        <f>'II-I-TBILLTDCS'!P33</f>
        <v>741936.81266225758</v>
      </c>
      <c r="O18" s="835">
        <f>'II-I-TBILLTDCS'!Q33</f>
        <v>1471849.0080995939</v>
      </c>
      <c r="P18" s="835">
        <f>'II-I-TBILLTDCS'!R33</f>
        <v>29390.593528284848</v>
      </c>
      <c r="Q18" s="851">
        <f>'II-I-TBILLTDCS'!S33</f>
        <v>68580.76496149553</v>
      </c>
      <c r="R18" s="848">
        <f>SUM(H18+I18+J18+K18+L18+M18+N18+O18)</f>
        <v>104281419.96347193</v>
      </c>
      <c r="S18" s="724"/>
      <c r="T18" s="1080">
        <f t="shared" si="0"/>
        <v>0</v>
      </c>
    </row>
    <row r="19" spans="4:20" s="675" customFormat="1" ht="17.25" customHeight="1">
      <c r="D19" s="832">
        <v>4</v>
      </c>
      <c r="E19" s="827" t="s">
        <v>1000</v>
      </c>
      <c r="F19" s="725">
        <f>SUM(F16:F18)</f>
        <v>4265515015.7927079</v>
      </c>
      <c r="G19" s="659"/>
      <c r="H19" s="725">
        <f t="shared" si="1" ref="H19:P19">SUM(H16:H18)</f>
        <v>2135449283.7180331</v>
      </c>
      <c r="I19" s="725">
        <f t="shared" si="1"/>
        <v>88003527.512468278</v>
      </c>
      <c r="J19" s="725">
        <f t="shared" si="1"/>
        <v>1450958412.2617931</v>
      </c>
      <c r="K19" s="725">
        <f t="shared" si="1"/>
        <v>1618860.5293460619</v>
      </c>
      <c r="L19" s="725">
        <f t="shared" si="1"/>
        <v>295806923.88262939</v>
      </c>
      <c r="M19" s="725">
        <f t="shared" si="1"/>
        <v>59649719.437096566</v>
      </c>
      <c r="N19" s="725">
        <f t="shared" si="1"/>
        <v>164376460.99071884</v>
      </c>
      <c r="O19" s="725">
        <f t="shared" si="1"/>
        <v>61310640.304082029</v>
      </c>
      <c r="P19" s="725">
        <f t="shared" si="1"/>
        <v>1573454.3228392517</v>
      </c>
      <c r="Q19" s="725">
        <f>SUM(Q16:Q18)</f>
        <v>6767732.8337005805</v>
      </c>
      <c r="R19" s="847">
        <f>SUM(H19+I19+J19+K19+L19+M19+N19+O19)</f>
        <v>4257173828.636167</v>
      </c>
      <c r="S19" s="724"/>
      <c r="T19" s="1080">
        <f>H19+I19+J19+K19+L19+M19+N19+O19-R19</f>
        <v>0</v>
      </c>
    </row>
    <row r="20" spans="4:19" s="675" customFormat="1" ht="17.25" customHeight="1">
      <c r="D20" s="833"/>
      <c r="E20" s="722"/>
      <c r="F20" s="722"/>
      <c r="G20" s="722"/>
      <c r="H20" s="723"/>
      <c r="I20" s="723"/>
      <c r="J20" s="723"/>
      <c r="K20" s="723"/>
      <c r="L20" s="723"/>
      <c r="M20" s="723"/>
      <c r="N20" s="723"/>
      <c r="O20" s="723"/>
      <c r="P20" s="723"/>
      <c r="Q20" s="852"/>
      <c r="R20" s="846"/>
      <c r="S20" s="724"/>
    </row>
    <row r="21" spans="5:18" s="675" customFormat="1" ht="17.25" customHeight="1">
      <c r="E21" s="660"/>
      <c r="F21" s="659"/>
      <c r="G21" s="659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52"/>
    </row>
    <row r="22" spans="5:18" ht="17.25" customHeight="1">
      <c r="E22" s="672" t="s">
        <v>1299</v>
      </c>
      <c r="F22" s="1265">
        <f>IF('II-I-DIST'!F33='WP II-I-1.1'!G456,TRUE,'II-I-DIST'!F33-'WP II-I-1.1'!G456)</f>
        <v>0.0041480064392089844</v>
      </c>
      <c r="G22" s="671"/>
      <c r="H22" s="670"/>
      <c r="I22" s="670"/>
      <c r="J22" s="670"/>
      <c r="K22" s="670"/>
      <c r="L22" s="670"/>
      <c r="M22" s="670"/>
      <c r="N22" s="670"/>
      <c r="O22" s="670"/>
      <c r="P22" s="720"/>
      <c r="Q22" s="666"/>
      <c r="R22" s="1249"/>
    </row>
    <row r="23" spans="5:17" ht="17.25" customHeight="1">
      <c r="E23" s="673"/>
      <c r="F23" s="1265">
        <f>IF('II-I-MET'!F33='WP II-I-1.1'!H456,TRUE,'II-I-MET'!F33-'WP II-I-1.1'!H456)</f>
        <v>-0.0024909377098083496</v>
      </c>
      <c r="G23" s="671"/>
      <c r="H23" s="670"/>
      <c r="I23" s="670"/>
      <c r="J23" s="670"/>
      <c r="K23" s="670"/>
      <c r="L23" s="670"/>
      <c r="M23" s="670"/>
      <c r="N23" s="670"/>
      <c r="O23" s="670"/>
      <c r="P23" s="720"/>
      <c r="Q23" s="666"/>
    </row>
    <row r="24" spans="5:17" ht="17.25" customHeight="1">
      <c r="E24" s="671"/>
      <c r="F24" s="1265">
        <f>IF('II-I-TBILLTDCS'!F33='WP II-I-1.1'!I456,TRUE,'II-I-TBILLTDCS'!F33-'WP II-I-1.1'!I456)</f>
        <v>0.002911984920501709</v>
      </c>
      <c r="G24" s="671"/>
      <c r="H24" s="670"/>
      <c r="I24" s="670"/>
      <c r="J24" s="670"/>
      <c r="K24" s="670"/>
      <c r="L24" s="670"/>
      <c r="M24" s="670"/>
      <c r="N24" s="670"/>
      <c r="O24" s="670"/>
      <c r="P24" s="720"/>
      <c r="Q24" s="666"/>
    </row>
    <row r="25" spans="5:18" ht="17.25" customHeight="1">
      <c r="E25" s="655"/>
      <c r="F25" s="671" t="b">
        <f>IF(SUM(F16:F18)='II-I-Total'!F33,TRUE,SUM(F16:F18)-'II-I-Total'!F33)</f>
        <v>1</v>
      </c>
      <c r="G25" s="671"/>
      <c r="H25" s="671" t="b">
        <f>IF(SUM(H16:H18)='II-I-Total'!J33,TRUE,SUM(H16:H18)-'II-I-Total'!J33)</f>
        <v>1</v>
      </c>
      <c r="I25" s="671" t="b">
        <f>IF(SUM(I16:I18)='II-I-Total'!K33,TRUE,SUM(I16:I18)-'II-I-Total'!K33)</f>
        <v>1</v>
      </c>
      <c r="J25" s="671" t="b">
        <f>IF(SUM(J16:J18)='II-I-Total'!L33,TRUE,SUM(J16:J18)-'II-I-Total'!L33)</f>
        <v>1</v>
      </c>
      <c r="K25" s="671" t="b">
        <f>IF(SUM(K16:K18)='II-I-Total'!M33,TRUE,SUM(K16:K18)-'II-I-Total'!M33)</f>
        <v>1</v>
      </c>
      <c r="L25" s="671">
        <f>IF(SUM(L16:L18)='II-I-Total'!N33,TRUE,SUM(L16:L18)-'II-I-Total'!N33)</f>
        <v>-1.1920928955078125E-07</v>
      </c>
      <c r="M25" s="671" t="b">
        <f>IF(SUM(M16:M18)='II-I-Total'!O33,TRUE,SUM(M16:M18)-'II-I-Total'!O33)</f>
        <v>1</v>
      </c>
      <c r="N25" s="1244" t="b">
        <f>IF(SUM(N16:N18)='II-I-Total'!P33,TRUE,SUM(N16:N18)-'II-I-Total'!P33)</f>
        <v>1</v>
      </c>
      <c r="O25" s="671" t="b">
        <f>IF(SUM(O16:O18)='II-I-Total'!Q33,TRUE,SUM(O16:O18)-'II-I-Total'!Q33)</f>
        <v>1</v>
      </c>
      <c r="P25" s="671" t="b">
        <f>IF(SUM(P16:P18)='II-I-Total'!R33,TRUE,SUM(P16:P18)-'II-I-Total'!R33)</f>
        <v>1</v>
      </c>
      <c r="Q25" s="671" t="b">
        <f>IF(SUM(Q16:Q18)='II-I-Total'!S33,TRUE,SUM(Q16:Q18)-'II-I-Total'!S33)</f>
        <v>1</v>
      </c>
      <c r="R25" s="1221">
        <f>F19-P19-Q19-R19</f>
        <v>0</v>
      </c>
    </row>
    <row r="26" spans="5:18" ht="17.25" customHeight="1">
      <c r="E26" s="671"/>
      <c r="F26" s="1221"/>
      <c r="G26" s="1221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720"/>
    </row>
    <row r="27" spans="5:18" ht="17.25" customHeight="1">
      <c r="E27" s="655"/>
      <c r="F27" s="1265"/>
      <c r="G27" s="1265"/>
      <c r="H27" s="670"/>
      <c r="I27" s="670"/>
      <c r="J27" s="670"/>
      <c r="K27" s="670"/>
      <c r="L27" s="670"/>
      <c r="M27" s="670"/>
      <c r="N27" s="670"/>
      <c r="O27" s="670"/>
      <c r="P27" s="670"/>
      <c r="Q27" s="670"/>
      <c r="R27" s="1266"/>
    </row>
    <row r="28" spans="6:18" ht="17.25" customHeight="1">
      <c r="F28" s="1221"/>
      <c r="G28" s="671"/>
      <c r="H28" s="1221"/>
      <c r="I28" s="1221"/>
      <c r="J28" s="1221"/>
      <c r="K28" s="1221"/>
      <c r="L28" s="1221"/>
      <c r="M28" s="1221"/>
      <c r="N28" s="1221"/>
      <c r="O28" s="1221"/>
      <c r="P28" s="1221"/>
      <c r="Q28" s="1221"/>
      <c r="R28" s="1266"/>
    </row>
    <row r="29" spans="6:18" ht="17.25" customHeight="1">
      <c r="F29" s="1267"/>
      <c r="G29" s="671"/>
      <c r="H29" s="1267"/>
      <c r="I29" s="1267"/>
      <c r="J29" s="1267"/>
      <c r="K29" s="1267"/>
      <c r="L29" s="1269"/>
      <c r="M29" s="1267"/>
      <c r="N29" s="1267"/>
      <c r="O29" s="1267"/>
      <c r="P29" s="1268"/>
      <c r="Q29" s="1267"/>
      <c r="R29" s="1267"/>
    </row>
    <row r="30" spans="6:18" ht="17.25" customHeight="1">
      <c r="F30" s="1221"/>
      <c r="G30" s="671"/>
      <c r="H30" s="670"/>
      <c r="I30" s="1277"/>
      <c r="J30" s="1275"/>
      <c r="K30" s="1276"/>
      <c r="L30" s="670"/>
      <c r="M30" s="670"/>
      <c r="N30" s="670"/>
      <c r="O30" s="670"/>
      <c r="P30" s="670"/>
      <c r="Q30" s="670"/>
      <c r="R30" s="720"/>
    </row>
    <row r="31" spans="5:18" ht="17.25" customHeight="1">
      <c r="E31" s="671"/>
      <c r="F31" s="671"/>
      <c r="G31" s="671"/>
      <c r="H31" s="670"/>
      <c r="I31" s="670"/>
      <c r="J31" s="670"/>
      <c r="K31" s="670"/>
      <c r="L31" s="670"/>
      <c r="M31" s="670"/>
      <c r="N31" s="670"/>
      <c r="O31" s="670"/>
      <c r="P31" s="670"/>
      <c r="Q31" s="670"/>
      <c r="R31" s="720"/>
    </row>
    <row r="32" spans="5:18" ht="17.25" customHeight="1">
      <c r="E32" s="673"/>
      <c r="F32" s="671"/>
      <c r="G32" s="671"/>
      <c r="H32" s="670"/>
      <c r="I32" s="670"/>
      <c r="J32" s="670"/>
      <c r="K32" s="670"/>
      <c r="L32" s="670"/>
      <c r="M32" s="670"/>
      <c r="N32" s="670"/>
      <c r="O32" s="670"/>
      <c r="P32" s="670"/>
      <c r="Q32" s="670"/>
      <c r="R32" s="720"/>
    </row>
    <row r="33" spans="5:18" ht="17.25" customHeight="1">
      <c r="E33" s="673"/>
      <c r="F33" s="671"/>
      <c r="G33" s="671"/>
      <c r="H33" s="670"/>
      <c r="I33" s="670"/>
      <c r="J33" s="670"/>
      <c r="K33" s="670"/>
      <c r="L33" s="670"/>
      <c r="M33" s="670"/>
      <c r="N33" s="670"/>
      <c r="O33" s="670"/>
      <c r="P33" s="670"/>
      <c r="Q33" s="670"/>
      <c r="R33" s="720"/>
    </row>
    <row r="34" spans="5:18" ht="17.25" customHeight="1">
      <c r="E34" s="673"/>
      <c r="F34" s="671"/>
      <c r="G34" s="671"/>
      <c r="H34" s="670"/>
      <c r="I34" s="670"/>
      <c r="J34" s="670"/>
      <c r="K34" s="670"/>
      <c r="L34" s="670"/>
      <c r="M34" s="670"/>
      <c r="N34" s="670"/>
      <c r="O34" s="670"/>
      <c r="P34" s="670"/>
      <c r="Q34" s="670"/>
      <c r="R34" s="720"/>
    </row>
    <row r="35" spans="5:18" ht="17.25" customHeight="1">
      <c r="E35" s="673"/>
      <c r="F35" s="671"/>
      <c r="G35" s="671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720"/>
    </row>
    <row r="36" spans="5:18" ht="17.25" customHeight="1">
      <c r="E36" s="673"/>
      <c r="F36" s="671"/>
      <c r="G36" s="671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720"/>
    </row>
    <row r="37" spans="5:18" ht="17.25" customHeight="1">
      <c r="E37" s="673"/>
      <c r="F37" s="671"/>
      <c r="G37" s="671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720"/>
    </row>
    <row r="38" spans="5:18" ht="17.25" customHeight="1">
      <c r="E38" s="673"/>
      <c r="F38" s="671"/>
      <c r="G38" s="671"/>
      <c r="H38" s="670"/>
      <c r="I38" s="670"/>
      <c r="J38" s="670"/>
      <c r="K38" s="670"/>
      <c r="L38" s="670"/>
      <c r="M38" s="670"/>
      <c r="N38" s="670"/>
      <c r="O38" s="670"/>
      <c r="P38" s="670"/>
      <c r="Q38" s="670"/>
      <c r="R38" s="720"/>
    </row>
    <row r="39" spans="5:18" ht="17.25" customHeight="1">
      <c r="E39" s="655"/>
      <c r="F39" s="671"/>
      <c r="G39" s="671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720"/>
    </row>
    <row r="40" spans="5:18" ht="17.25" customHeight="1">
      <c r="E40" s="671"/>
      <c r="F40" s="671"/>
      <c r="G40" s="671"/>
      <c r="H40" s="670"/>
      <c r="I40" s="670"/>
      <c r="J40" s="670"/>
      <c r="K40" s="670"/>
      <c r="L40" s="670"/>
      <c r="M40" s="670"/>
      <c r="N40" s="670"/>
      <c r="O40" s="670"/>
      <c r="P40" s="670"/>
      <c r="Q40" s="670"/>
      <c r="R40" s="720"/>
    </row>
    <row r="41" spans="5:18" ht="17.25" customHeight="1">
      <c r="E41" s="655"/>
      <c r="F41" s="671"/>
      <c r="G41" s="671"/>
      <c r="H41" s="670"/>
      <c r="I41" s="670"/>
      <c r="J41" s="670"/>
      <c r="K41" s="670"/>
      <c r="L41" s="670"/>
      <c r="M41" s="670"/>
      <c r="N41" s="670"/>
      <c r="O41" s="670"/>
      <c r="P41" s="670"/>
      <c r="Q41" s="670"/>
      <c r="R41" s="720"/>
    </row>
    <row r="42" spans="5:18" ht="17.25" customHeight="1">
      <c r="E42" s="671"/>
      <c r="F42" s="671"/>
      <c r="G42" s="671"/>
      <c r="H42" s="670"/>
      <c r="I42" s="670"/>
      <c r="J42" s="670"/>
      <c r="K42" s="670"/>
      <c r="L42" s="670"/>
      <c r="M42" s="670"/>
      <c r="N42" s="670"/>
      <c r="O42" s="670"/>
      <c r="P42" s="670"/>
      <c r="Q42" s="670"/>
      <c r="R42" s="720"/>
    </row>
    <row r="43" spans="5:18" ht="17.25" customHeight="1">
      <c r="E43" s="655"/>
      <c r="F43" s="671"/>
      <c r="G43" s="671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720"/>
    </row>
    <row r="44" spans="5:18" ht="17.25" customHeight="1">
      <c r="E44" s="673"/>
      <c r="F44" s="671"/>
      <c r="G44" s="671"/>
      <c r="H44" s="670"/>
      <c r="I44" s="670"/>
      <c r="J44" s="670"/>
      <c r="K44" s="670"/>
      <c r="L44" s="670"/>
      <c r="M44" s="670"/>
      <c r="N44" s="670"/>
      <c r="O44" s="670"/>
      <c r="P44" s="670"/>
      <c r="Q44" s="670"/>
      <c r="R44" s="720"/>
    </row>
    <row r="45" spans="5:18" ht="17.25" customHeight="1">
      <c r="E45" s="655"/>
      <c r="F45" s="671"/>
      <c r="G45" s="671"/>
      <c r="H45" s="670"/>
      <c r="I45" s="670"/>
      <c r="J45" s="670"/>
      <c r="K45" s="670"/>
      <c r="L45" s="670"/>
      <c r="M45" s="670"/>
      <c r="N45" s="670"/>
      <c r="O45" s="670"/>
      <c r="P45" s="670"/>
      <c r="Q45" s="670"/>
      <c r="R45" s="720"/>
    </row>
    <row r="46" spans="5:18" ht="17.25" customHeight="1">
      <c r="E46" s="671"/>
      <c r="F46" s="669"/>
      <c r="G46" s="669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720"/>
    </row>
    <row r="47" spans="5:18" ht="17.25" customHeight="1">
      <c r="E47" s="655"/>
      <c r="F47" s="669"/>
      <c r="G47" s="669"/>
      <c r="H47" s="670"/>
      <c r="I47" s="670"/>
      <c r="J47" s="670"/>
      <c r="K47" s="670"/>
      <c r="L47" s="670"/>
      <c r="M47" s="670"/>
      <c r="N47" s="670"/>
      <c r="O47" s="670"/>
      <c r="P47" s="670"/>
      <c r="Q47" s="670"/>
      <c r="R47" s="720"/>
    </row>
    <row r="48" spans="5:18" ht="17.25" customHeight="1">
      <c r="E48" s="669"/>
      <c r="F48" s="669"/>
      <c r="G48" s="669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720"/>
    </row>
    <row r="49" spans="5:18" ht="17.25" customHeight="1">
      <c r="E49" s="667"/>
      <c r="F49" s="667"/>
      <c r="G49" s="667"/>
      <c r="H49" s="670"/>
      <c r="I49" s="670"/>
      <c r="J49" s="670"/>
      <c r="K49" s="670"/>
      <c r="L49" s="670"/>
      <c r="M49" s="670"/>
      <c r="N49" s="670"/>
      <c r="O49" s="670"/>
      <c r="P49" s="670"/>
      <c r="Q49" s="670"/>
      <c r="R49" s="720"/>
    </row>
    <row r="50" spans="5:18" ht="17.25" customHeight="1">
      <c r="E50" s="720"/>
      <c r="F50" s="720"/>
      <c r="G50" s="720"/>
      <c r="H50" s="720"/>
      <c r="I50" s="720"/>
      <c r="J50" s="720"/>
      <c r="K50" s="720"/>
      <c r="L50" s="720"/>
      <c r="M50" s="720"/>
      <c r="N50" s="721"/>
      <c r="O50" s="720"/>
      <c r="P50" s="667"/>
      <c r="Q50" s="667"/>
      <c r="R50" s="720"/>
    </row>
    <row r="51" spans="5:18" ht="17.25" customHeight="1"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667"/>
      <c r="Q51" s="667"/>
      <c r="R51" s="233"/>
    </row>
    <row r="52" spans="5:18" ht="17.25" customHeight="1"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667"/>
      <c r="Q52" s="667"/>
      <c r="R52" s="233"/>
    </row>
    <row r="53" spans="5:18" ht="17.25" customHeight="1"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667"/>
      <c r="Q53" s="667"/>
      <c r="R53" s="233"/>
    </row>
    <row r="54" spans="5:18" ht="17.25" customHeight="1"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667"/>
      <c r="Q54" s="667"/>
      <c r="R54" s="233"/>
    </row>
    <row r="55" spans="5:18" ht="17.25" customHeight="1"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667"/>
      <c r="Q55" s="667"/>
      <c r="R55" s="233"/>
    </row>
    <row r="56" spans="5:18" ht="17.25" customHeight="1"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667"/>
      <c r="Q56" s="667"/>
      <c r="R56" s="233"/>
    </row>
    <row r="57" spans="5:18" ht="17.25" customHeight="1"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667"/>
      <c r="Q57" s="667"/>
      <c r="R57" s="233"/>
    </row>
    <row r="58" spans="5:18" ht="17.25" customHeight="1"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667"/>
      <c r="Q58" s="667"/>
      <c r="R58" s="233"/>
    </row>
    <row r="59" spans="5:18" ht="17.25" customHeight="1"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667"/>
      <c r="Q59" s="667"/>
      <c r="R59" s="233"/>
    </row>
    <row r="60" spans="5:18" ht="17.25" customHeight="1"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667"/>
      <c r="Q60" s="667"/>
      <c r="R60" s="233"/>
    </row>
    <row r="61" spans="5:18" ht="17.25" customHeight="1"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667"/>
      <c r="Q61" s="667"/>
      <c r="R61" s="233"/>
    </row>
    <row r="62" spans="5:18" ht="17.25" customHeight="1"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667"/>
      <c r="Q62" s="667"/>
      <c r="R62" s="233"/>
    </row>
    <row r="63" spans="5:18" ht="17.25" customHeight="1"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667"/>
      <c r="Q63" s="667"/>
      <c r="R63" s="233"/>
    </row>
    <row r="64" spans="5:18" ht="17.25" customHeight="1"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667"/>
      <c r="Q64" s="667"/>
      <c r="R64" s="233"/>
    </row>
    <row r="65" spans="5:18" ht="17.25" customHeight="1"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667"/>
      <c r="Q65" s="667"/>
      <c r="R65" s="233"/>
    </row>
    <row r="66" spans="5:18" ht="17.25" customHeight="1"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667"/>
      <c r="Q66" s="667"/>
      <c r="R66" s="233"/>
    </row>
    <row r="67" spans="5:18" ht="17.25" customHeight="1"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667"/>
      <c r="Q67" s="667"/>
      <c r="R67" s="233"/>
    </row>
    <row r="68" spans="5:18" ht="17.25" customHeight="1"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667"/>
      <c r="Q68" s="667"/>
      <c r="R68" s="233"/>
    </row>
    <row r="69" spans="5:18" ht="17.25" customHeight="1"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667"/>
      <c r="Q69" s="667"/>
      <c r="R69" s="233"/>
    </row>
    <row r="70" spans="5:18" ht="17.25" customHeight="1"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667"/>
      <c r="Q70" s="667"/>
      <c r="R70" s="233"/>
    </row>
    <row r="71" spans="5:18" ht="17.25" customHeight="1"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667"/>
      <c r="Q71" s="667"/>
      <c r="R71" s="233"/>
    </row>
    <row r="72" spans="5:18" ht="17.25" customHeight="1"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667"/>
      <c r="Q72" s="667"/>
      <c r="R72" s="233"/>
    </row>
    <row r="73" spans="5:18" ht="17.25" customHeight="1"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667"/>
      <c r="Q73" s="667"/>
      <c r="R73" s="233"/>
    </row>
    <row r="74" spans="5:18" ht="17.25" customHeight="1"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667"/>
      <c r="Q74" s="667"/>
      <c r="R74" s="233"/>
    </row>
    <row r="75" spans="5:18" ht="17.25" customHeight="1"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667"/>
      <c r="Q75" s="667"/>
      <c r="R75" s="233"/>
    </row>
    <row r="76" spans="5:18" ht="17.25" customHeight="1"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667"/>
      <c r="Q76" s="667"/>
      <c r="R76" s="233"/>
    </row>
    <row r="77" spans="5:18" ht="17.25" customHeight="1"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667"/>
      <c r="Q77" s="667"/>
      <c r="R77" s="233"/>
    </row>
    <row r="78" spans="5:18" ht="17.25" customHeight="1"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667"/>
      <c r="Q78" s="667"/>
      <c r="R78" s="233"/>
    </row>
    <row r="79" spans="5:18" ht="17.25" customHeight="1"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667"/>
      <c r="Q79" s="667"/>
      <c r="R79" s="233"/>
    </row>
    <row r="80" spans="5:18" ht="17.25" customHeight="1"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667"/>
      <c r="Q80" s="667"/>
      <c r="R80" s="233"/>
    </row>
    <row r="81" spans="5:18" ht="17.25" customHeight="1"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667"/>
      <c r="Q81" s="667"/>
      <c r="R81" s="233"/>
    </row>
    <row r="82" spans="5:18" ht="17.25" customHeight="1"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667"/>
      <c r="Q82" s="667"/>
      <c r="R82" s="233"/>
    </row>
  </sheetData>
  <mergeCells count="5">
    <mergeCell ref="B2:R2"/>
    <mergeCell ref="B3:R3"/>
    <mergeCell ref="B4:R4"/>
    <mergeCell ref="B5:R5"/>
    <mergeCell ref="B6:R6"/>
  </mergeCells>
  <pageMargins left="0.7" right="0.7" top="1.5" bottom="0.75" header="1.3" footer="0.3"/>
  <pageSetup orientation="landscape" scale="55" r:id="rId1"/>
  <headerFooter>
    <oddHeader>&amp;RSchedule II-I-1
Page  1 of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>
    <pageSetUpPr fitToPage="1"/>
  </sheetPr>
  <dimension ref="A1:Y483"/>
  <sheetViews>
    <sheetView view="pageBreakPreview" zoomScaleNormal="75" zoomScaleSheetLayoutView="100" workbookViewId="0" topLeftCell="A158">
      <selection pane="topLeft" activeCell="G380" sqref="G380"/>
    </sheetView>
  </sheetViews>
  <sheetFormatPr defaultRowHeight="14.25"/>
  <cols>
    <col min="1" max="1" width="1.5" customWidth="1"/>
    <col min="2" max="2" width="5.25" style="386" customWidth="1"/>
    <col min="3" max="3" width="8" style="386" customWidth="1"/>
    <col min="4" max="4" width="36" style="386" customWidth="1"/>
    <col min="5" max="5" width="13.875" style="386" customWidth="1"/>
    <col min="6" max="6" width="18.25" style="386" customWidth="1"/>
    <col min="7" max="7" width="16.25" style="386" customWidth="1"/>
    <col min="8" max="8" width="13.25" style="386" customWidth="1"/>
    <col min="9" max="9" width="13.5" style="386" customWidth="1"/>
    <col min="10" max="10" width="18.625" style="386" customWidth="1"/>
    <col min="11" max="11" width="7.5" customWidth="1"/>
    <col min="12" max="12" width="13.75" customWidth="1"/>
    <col min="13" max="13" width="16.25" bestFit="1" customWidth="1"/>
    <col min="15" max="15" width="9" customWidth="1"/>
    <col min="16" max="16" width="2.375" customWidth="1"/>
    <col min="17" max="17" width="9" customWidth="1"/>
    <col min="18" max="18" width="3" customWidth="1"/>
    <col min="19" max="19" width="14.375" customWidth="1"/>
  </cols>
  <sheetData>
    <row r="1" spans="1:1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s="1238" customFormat="1" ht="18.75">
      <c r="A2" s="1237"/>
      <c r="B2" s="1237"/>
      <c r="C2" s="1237"/>
      <c r="D2" s="1237"/>
      <c r="E2" s="1237"/>
      <c r="F2" s="1237"/>
      <c r="G2" s="1237"/>
      <c r="H2" s="1237"/>
      <c r="I2" s="1237"/>
      <c r="J2" s="1237"/>
      <c r="K2" s="1237"/>
    </row>
    <row r="3" spans="1:11" ht="15">
      <c r="A3" s="1"/>
      <c r="B3" s="3" t="str">
        <f>'II-I-1'!B2</f>
        <v>2022 RATE CASE</v>
      </c>
      <c r="C3" s="5"/>
      <c r="D3" s="5"/>
      <c r="E3" s="5"/>
      <c r="F3" s="6"/>
      <c r="G3" s="5"/>
      <c r="H3" s="5"/>
      <c r="I3" s="5"/>
      <c r="J3" s="5"/>
      <c r="K3" s="2"/>
    </row>
    <row r="4" spans="1:11" ht="15">
      <c r="A4" s="1"/>
      <c r="B4" s="3" t="str">
        <f>'II-I-1'!B3</f>
        <v>ONCOR ELECTRIC DELIVERY COMPANY LLC</v>
      </c>
      <c r="C4" s="5"/>
      <c r="D4" s="5"/>
      <c r="E4" s="5"/>
      <c r="F4" s="6"/>
      <c r="G4" s="5"/>
      <c r="H4" s="5"/>
      <c r="I4" s="5"/>
      <c r="J4" s="5"/>
      <c r="K4" s="2"/>
    </row>
    <row r="5" spans="1:11" ht="15">
      <c r="A5" s="1"/>
      <c r="B5" s="3" t="s">
        <v>984</v>
      </c>
      <c r="C5" s="3"/>
      <c r="D5" s="5"/>
      <c r="E5" s="5"/>
      <c r="F5" s="6"/>
      <c r="G5" s="5"/>
      <c r="H5" s="5"/>
      <c r="I5" s="130"/>
      <c r="J5" s="5"/>
      <c r="K5" s="2"/>
    </row>
    <row r="6" spans="1:11" ht="15">
      <c r="A6" s="1"/>
      <c r="B6" s="3" t="str">
        <f>'II-I-1'!B5</f>
        <v>TEST YEAR ENDING 12/31/2021</v>
      </c>
      <c r="C6" s="3"/>
      <c r="D6" s="5"/>
      <c r="E6" s="5"/>
      <c r="F6" s="6"/>
      <c r="G6" s="5"/>
      <c r="H6" s="5"/>
      <c r="I6" s="130"/>
      <c r="J6" s="5"/>
      <c r="K6" s="2"/>
    </row>
    <row r="7" spans="1:11" ht="15">
      <c r="A7" s="1"/>
      <c r="B7" s="3" t="str">
        <f>'II-I-1'!B6</f>
        <v>SPONSOR:  MATTHEW A. TROXLE</v>
      </c>
      <c r="C7" s="3"/>
      <c r="D7" s="5"/>
      <c r="E7" s="5"/>
      <c r="F7" s="6"/>
      <c r="G7" s="5"/>
      <c r="H7" s="5"/>
      <c r="I7" s="130"/>
      <c r="J7" s="5"/>
      <c r="K7" s="2"/>
    </row>
    <row r="8" spans="1:11" ht="20.25">
      <c r="A8" s="8"/>
      <c r="B8" s="3"/>
      <c r="C8" s="3"/>
      <c r="D8" s="1478"/>
      <c r="E8" s="5"/>
      <c r="F8" s="1477"/>
      <c r="G8" s="5"/>
      <c r="H8" s="5"/>
      <c r="I8" s="5"/>
      <c r="J8" s="5"/>
      <c r="K8" s="9"/>
    </row>
    <row r="9" spans="1:11" ht="15">
      <c r="A9" s="1"/>
      <c r="B9" s="5"/>
      <c r="C9" s="3"/>
      <c r="D9" s="5"/>
      <c r="E9" s="5"/>
      <c r="F9" s="1332"/>
      <c r="G9" s="5"/>
      <c r="H9" s="5"/>
      <c r="I9" s="5"/>
      <c r="J9" s="5"/>
      <c r="K9" s="2"/>
    </row>
    <row r="10" spans="1:11" ht="15">
      <c r="A10" s="8"/>
      <c r="B10" s="3" t="s">
        <v>1022</v>
      </c>
      <c r="C10" s="1142"/>
      <c r="D10" s="5"/>
      <c r="E10" s="5"/>
      <c r="F10" s="5"/>
      <c r="G10" s="5"/>
      <c r="H10" s="5"/>
      <c r="I10" s="5"/>
      <c r="J10" s="5"/>
      <c r="K10" s="9"/>
    </row>
    <row r="11" spans="1:11" ht="15.75" thickBot="1">
      <c r="A11" s="8"/>
      <c r="B11" s="17"/>
      <c r="C11" s="1"/>
      <c r="D11" s="1"/>
      <c r="E11" s="17"/>
      <c r="F11" s="387"/>
      <c r="G11" s="387"/>
      <c r="H11" s="387"/>
      <c r="J11" s="17"/>
      <c r="K11" s="9"/>
    </row>
    <row r="12" spans="1:11" ht="15">
      <c r="A12" s="8"/>
      <c r="B12" s="96"/>
      <c r="C12" s="95"/>
      <c r="D12" s="95"/>
      <c r="E12" s="95"/>
      <c r="F12" s="96"/>
      <c r="G12" s="96"/>
      <c r="H12" s="96"/>
      <c r="I12" s="96"/>
      <c r="J12" s="96"/>
      <c r="K12" s="9"/>
    </row>
    <row r="13" spans="1:11" ht="14.25">
      <c r="A13" s="1"/>
      <c r="B13" s="97" t="s">
        <v>2</v>
      </c>
      <c r="C13" s="97" t="s">
        <v>3</v>
      </c>
      <c r="D13" s="97" t="s">
        <v>4</v>
      </c>
      <c r="E13" s="97" t="s">
        <v>5</v>
      </c>
      <c r="F13" s="1143" t="s">
        <v>6</v>
      </c>
      <c r="G13" s="1143" t="s">
        <v>7</v>
      </c>
      <c r="H13" s="1143" t="s">
        <v>8</v>
      </c>
      <c r="I13" s="1143" t="s">
        <v>9</v>
      </c>
      <c r="J13" s="97" t="s">
        <v>10</v>
      </c>
      <c r="K13" s="2"/>
    </row>
    <row r="14" spans="1:11" ht="15">
      <c r="A14" s="8"/>
      <c r="B14" s="97"/>
      <c r="C14" s="97" t="s">
        <v>11</v>
      </c>
      <c r="D14" s="97"/>
      <c r="E14" s="97" t="s">
        <v>12</v>
      </c>
      <c r="F14" s="97"/>
      <c r="G14" s="98"/>
      <c r="H14" s="97"/>
      <c r="I14" s="97"/>
      <c r="J14" s="97"/>
      <c r="K14" s="9"/>
    </row>
    <row r="15" spans="1:11" ht="15.75" thickBot="1">
      <c r="A15" s="8"/>
      <c r="B15" s="99"/>
      <c r="C15" s="99" t="s">
        <v>13</v>
      </c>
      <c r="D15" s="99" t="s">
        <v>14</v>
      </c>
      <c r="E15" s="99" t="s">
        <v>15</v>
      </c>
      <c r="F15" s="99" t="s">
        <v>16</v>
      </c>
      <c r="G15" s="99" t="s">
        <v>17</v>
      </c>
      <c r="H15" s="99" t="s">
        <v>18</v>
      </c>
      <c r="I15" s="99" t="s">
        <v>21</v>
      </c>
      <c r="J15" s="99" t="s">
        <v>22</v>
      </c>
      <c r="K15" s="9"/>
    </row>
    <row r="16" spans="1:11" ht="15">
      <c r="A16" s="8"/>
      <c r="B16" s="17"/>
      <c r="C16" s="1"/>
      <c r="D16" s="1"/>
      <c r="E16" s="17"/>
      <c r="F16" s="18"/>
      <c r="G16" s="19"/>
      <c r="H16" s="19"/>
      <c r="I16" s="1"/>
      <c r="J16" s="1"/>
      <c r="K16" s="9"/>
    </row>
    <row r="17" spans="1:11" ht="15">
      <c r="A17" s="1"/>
      <c r="B17" s="17">
        <f t="shared" si="0" ref="B17:B46">B16+1</f>
        <v>1</v>
      </c>
      <c r="C17" s="8" t="s">
        <v>23</v>
      </c>
      <c r="D17" s="8"/>
      <c r="E17" s="1135" t="s">
        <v>24</v>
      </c>
      <c r="F17" s="895"/>
      <c r="G17" s="896"/>
      <c r="H17" s="896"/>
      <c r="I17" s="8"/>
      <c r="J17" s="8"/>
      <c r="K17" s="2"/>
    </row>
    <row r="18" spans="1:25" ht="15">
      <c r="A18" s="8"/>
      <c r="B18" s="17">
        <f t="shared" si="0"/>
        <v>2</v>
      </c>
      <c r="C18" s="1" t="s">
        <v>25</v>
      </c>
      <c r="D18" s="1" t="s">
        <v>26</v>
      </c>
      <c r="E18" s="17"/>
      <c r="F18" s="1416">
        <v>0</v>
      </c>
      <c r="G18" s="1416">
        <v>0</v>
      </c>
      <c r="H18" s="1416">
        <v>0</v>
      </c>
      <c r="I18" s="1416">
        <v>0</v>
      </c>
      <c r="J18" s="24">
        <f>SUM(F18:I18)</f>
        <v>0</v>
      </c>
      <c r="K18" s="821">
        <f t="shared" si="1" ref="K18:K49">J18-SUM(F18:I18)</f>
        <v>0</v>
      </c>
      <c r="V18">
        <v>0</v>
      </c>
      <c r="W18">
        <v>0</v>
      </c>
      <c r="X18">
        <v>0</v>
      </c>
      <c r="Y18">
        <v>0</v>
      </c>
    </row>
    <row r="19" spans="1:25" ht="14.25">
      <c r="A19" s="1"/>
      <c r="B19" s="17">
        <f t="shared" si="0"/>
        <v>3</v>
      </c>
      <c r="C19" s="1" t="s">
        <v>27</v>
      </c>
      <c r="D19" s="1" t="s">
        <v>28</v>
      </c>
      <c r="E19" s="17"/>
      <c r="F19" s="1417">
        <v>0</v>
      </c>
      <c r="G19" s="1417">
        <v>0</v>
      </c>
      <c r="H19" s="1417">
        <v>0</v>
      </c>
      <c r="I19" s="1417">
        <v>0</v>
      </c>
      <c r="J19" s="24">
        <f>SUM(F19:I19)</f>
        <v>0</v>
      </c>
      <c r="K19" s="821">
        <f t="shared" si="1"/>
        <v>0</v>
      </c>
      <c r="V19">
        <v>0</v>
      </c>
      <c r="W19">
        <v>0</v>
      </c>
      <c r="X19">
        <v>0</v>
      </c>
      <c r="Y19">
        <v>0</v>
      </c>
    </row>
    <row r="20" spans="1:25" ht="14.25">
      <c r="A20" s="1"/>
      <c r="B20" s="17">
        <f t="shared" si="0"/>
        <v>4</v>
      </c>
      <c r="C20" s="1" t="s">
        <v>29</v>
      </c>
      <c r="D20" s="1" t="s">
        <v>34</v>
      </c>
      <c r="E20" s="17"/>
      <c r="F20" s="1418">
        <v>247306020.55000001</v>
      </c>
      <c r="G20" s="1418">
        <v>323333372.81999999</v>
      </c>
      <c r="H20" s="1418">
        <v>185301712.96000001</v>
      </c>
      <c r="I20" s="1418">
        <v>310409174.74000001</v>
      </c>
      <c r="J20" s="24">
        <f>SUM(F20:I20)</f>
        <v>1066350281.0700001</v>
      </c>
      <c r="K20" s="821">
        <f t="shared" si="1"/>
        <v>0</v>
      </c>
      <c r="V20">
        <v>247306020.55000001</v>
      </c>
      <c r="W20">
        <v>323333372.81999999</v>
      </c>
      <c r="X20">
        <v>185301712.96000001</v>
      </c>
      <c r="Y20">
        <v>310409174.74000001</v>
      </c>
    </row>
    <row r="21" spans="1:11" ht="15">
      <c r="A21" s="1"/>
      <c r="B21" s="17">
        <f t="shared" si="0"/>
        <v>5</v>
      </c>
      <c r="C21" s="8" t="s">
        <v>35</v>
      </c>
      <c r="D21" s="26"/>
      <c r="E21" s="1135" t="s">
        <v>36</v>
      </c>
      <c r="F21" s="1409"/>
      <c r="G21" s="1409"/>
      <c r="H21" s="1409"/>
      <c r="I21" s="1409"/>
      <c r="J21" s="24"/>
      <c r="K21" s="821">
        <f t="shared" si="1"/>
        <v>0</v>
      </c>
    </row>
    <row r="22" spans="1:25" ht="15">
      <c r="A22" s="1"/>
      <c r="B22" s="17">
        <f t="shared" si="0"/>
        <v>6</v>
      </c>
      <c r="C22" s="1" t="s">
        <v>25</v>
      </c>
      <c r="D22" s="1" t="s">
        <v>26</v>
      </c>
      <c r="E22" s="1135"/>
      <c r="F22" s="1416">
        <v>0</v>
      </c>
      <c r="G22" s="1416">
        <v>0</v>
      </c>
      <c r="H22" s="1416">
        <v>0</v>
      </c>
      <c r="I22" s="1416">
        <v>0</v>
      </c>
      <c r="J22" s="24">
        <f>SUM(F22:I22)</f>
        <v>0</v>
      </c>
      <c r="K22" s="821">
        <f t="shared" si="1"/>
        <v>0</v>
      </c>
      <c r="V22">
        <v>0</v>
      </c>
      <c r="W22">
        <v>0</v>
      </c>
      <c r="X22">
        <v>0</v>
      </c>
      <c r="Y22">
        <v>0</v>
      </c>
    </row>
    <row r="23" spans="1:25" ht="15">
      <c r="A23" s="1"/>
      <c r="B23" s="17">
        <f t="shared" si="0"/>
        <v>7</v>
      </c>
      <c r="C23" s="1" t="s">
        <v>27</v>
      </c>
      <c r="D23" s="1" t="s">
        <v>37</v>
      </c>
      <c r="E23" s="1135"/>
      <c r="F23" s="1417">
        <v>0</v>
      </c>
      <c r="G23" s="1417">
        <v>0</v>
      </c>
      <c r="H23" s="1417">
        <v>0</v>
      </c>
      <c r="I23" s="1417">
        <v>0</v>
      </c>
      <c r="J23" s="24">
        <f>SUM(F23:I23)</f>
        <v>0</v>
      </c>
      <c r="K23" s="821">
        <f t="shared" si="1"/>
        <v>0</v>
      </c>
      <c r="V23">
        <v>0</v>
      </c>
      <c r="W23">
        <v>0</v>
      </c>
      <c r="X23">
        <v>0</v>
      </c>
      <c r="Y23">
        <v>0</v>
      </c>
    </row>
    <row r="24" spans="1:25" ht="14.25">
      <c r="A24" s="1"/>
      <c r="B24" s="17">
        <f t="shared" si="0"/>
        <v>8</v>
      </c>
      <c r="C24" s="1" t="s">
        <v>29</v>
      </c>
      <c r="D24" s="1" t="s">
        <v>34</v>
      </c>
      <c r="E24" s="17"/>
      <c r="F24" s="1418">
        <v>99337445.870000005</v>
      </c>
      <c r="G24" s="1418">
        <v>114122847.83</v>
      </c>
      <c r="H24" s="1418">
        <v>155161422.72999999</v>
      </c>
      <c r="I24" s="1418">
        <v>84146159.569999993</v>
      </c>
      <c r="J24" s="24">
        <f>SUM(F24:I24)</f>
        <v>452767875.99999994</v>
      </c>
      <c r="K24" s="821">
        <f t="shared" si="1"/>
        <v>0</v>
      </c>
      <c r="V24">
        <v>99337445.870000005</v>
      </c>
      <c r="W24">
        <v>114122847.83</v>
      </c>
      <c r="X24">
        <v>155161422.72999999</v>
      </c>
      <c r="Y24">
        <v>84146159.569999993</v>
      </c>
    </row>
    <row r="25" spans="1:11" ht="15">
      <c r="A25" s="1"/>
      <c r="B25" s="17">
        <f t="shared" si="0"/>
        <v>9</v>
      </c>
      <c r="C25" s="8" t="s">
        <v>38</v>
      </c>
      <c r="D25" s="8"/>
      <c r="E25" s="1135" t="s">
        <v>24</v>
      </c>
      <c r="F25" s="1408"/>
      <c r="G25" s="1408"/>
      <c r="H25" s="1408"/>
      <c r="I25" s="1407"/>
      <c r="J25" s="24"/>
      <c r="K25" s="821">
        <f t="shared" si="1"/>
        <v>0</v>
      </c>
    </row>
    <row r="26" spans="1:25" ht="15">
      <c r="A26" s="1"/>
      <c r="B26" s="17">
        <f t="shared" si="0"/>
        <v>10</v>
      </c>
      <c r="C26" s="1" t="s">
        <v>39</v>
      </c>
      <c r="D26" s="1" t="s">
        <v>40</v>
      </c>
      <c r="E26" s="1135"/>
      <c r="F26" s="1419">
        <v>115906329.26000001</v>
      </c>
      <c r="G26" s="1419">
        <v>0</v>
      </c>
      <c r="H26" s="1419">
        <v>0</v>
      </c>
      <c r="I26" s="1419">
        <v>0</v>
      </c>
      <c r="J26" s="24">
        <f t="shared" si="2" ref="J26:J35">SUM(F26:I26)</f>
        <v>115906329.26000001</v>
      </c>
      <c r="K26" s="821">
        <f t="shared" si="1"/>
        <v>0</v>
      </c>
      <c r="V26">
        <v>115906329.26000001</v>
      </c>
      <c r="W26">
        <v>0</v>
      </c>
      <c r="X26">
        <v>0</v>
      </c>
      <c r="Y26">
        <v>0</v>
      </c>
    </row>
    <row r="27" spans="1:25" ht="14.25">
      <c r="A27" s="1"/>
      <c r="B27" s="17">
        <f t="shared" si="0"/>
        <v>11</v>
      </c>
      <c r="C27" s="1" t="s">
        <v>41</v>
      </c>
      <c r="D27" s="1" t="s">
        <v>42</v>
      </c>
      <c r="E27" s="17"/>
      <c r="F27" s="1420">
        <v>615926404.49000001</v>
      </c>
      <c r="G27" s="1420">
        <v>0</v>
      </c>
      <c r="H27" s="1420">
        <v>0</v>
      </c>
      <c r="I27" s="1420">
        <v>0</v>
      </c>
      <c r="J27" s="24">
        <f t="shared" si="2"/>
        <v>615926404.49000001</v>
      </c>
      <c r="K27" s="821">
        <f t="shared" si="1"/>
        <v>0</v>
      </c>
      <c r="V27">
        <v>615926404.49000001</v>
      </c>
      <c r="W27">
        <v>0</v>
      </c>
      <c r="X27">
        <v>0</v>
      </c>
      <c r="Y27">
        <v>0</v>
      </c>
    </row>
    <row r="28" spans="1:25" ht="14.25">
      <c r="A28" s="1"/>
      <c r="B28" s="17">
        <f t="shared" si="0"/>
        <v>12</v>
      </c>
      <c r="C28" s="1" t="s">
        <v>43</v>
      </c>
      <c r="D28" s="1" t="s">
        <v>44</v>
      </c>
      <c r="E28" s="17"/>
      <c r="F28" s="1420">
        <v>420045890.62</v>
      </c>
      <c r="G28" s="1420">
        <v>0</v>
      </c>
      <c r="H28" s="1420">
        <v>0</v>
      </c>
      <c r="I28" s="1420">
        <v>0</v>
      </c>
      <c r="J28" s="24">
        <f t="shared" si="2"/>
        <v>420045890.62</v>
      </c>
      <c r="K28" s="821">
        <f t="shared" si="1"/>
        <v>0</v>
      </c>
      <c r="V28">
        <v>420045890.62</v>
      </c>
      <c r="W28">
        <v>0</v>
      </c>
      <c r="X28">
        <v>0</v>
      </c>
      <c r="Y28">
        <v>0</v>
      </c>
    </row>
    <row r="29" spans="1:25" ht="15">
      <c r="A29" s="8"/>
      <c r="B29" s="17">
        <f t="shared" si="0"/>
        <v>13</v>
      </c>
      <c r="C29" s="1" t="s">
        <v>45</v>
      </c>
      <c r="D29" s="1" t="s">
        <v>46</v>
      </c>
      <c r="E29" s="17"/>
      <c r="F29" s="1420">
        <v>3495298428.2399998</v>
      </c>
      <c r="G29" s="1420">
        <v>381860650.86000001</v>
      </c>
      <c r="H29" s="1420">
        <v>0</v>
      </c>
      <c r="I29" s="1420">
        <v>0</v>
      </c>
      <c r="J29" s="24">
        <f t="shared" si="2"/>
        <v>3877159079.0999999</v>
      </c>
      <c r="K29" s="821">
        <f t="shared" si="1"/>
        <v>0</v>
      </c>
      <c r="V29">
        <v>3495298428.2399998</v>
      </c>
      <c r="W29">
        <v>381860650.86000001</v>
      </c>
      <c r="X29">
        <v>0</v>
      </c>
      <c r="Y29">
        <v>0</v>
      </c>
    </row>
    <row r="30" spans="1:25" ht="14.25">
      <c r="A30" s="1"/>
      <c r="B30" s="17">
        <f t="shared" si="0"/>
        <v>14</v>
      </c>
      <c r="C30" s="1" t="s">
        <v>47</v>
      </c>
      <c r="D30" s="1" t="s">
        <v>48</v>
      </c>
      <c r="E30" s="17"/>
      <c r="F30" s="1420">
        <v>1929652755.3099999</v>
      </c>
      <c r="G30" s="1420">
        <v>0</v>
      </c>
      <c r="H30" s="1420">
        <v>0</v>
      </c>
      <c r="I30" s="1420">
        <v>0</v>
      </c>
      <c r="J30" s="24">
        <f t="shared" si="2"/>
        <v>1929652755.3099999</v>
      </c>
      <c r="K30" s="821">
        <f t="shared" si="1"/>
        <v>0</v>
      </c>
      <c r="V30">
        <v>1929652755.3099999</v>
      </c>
      <c r="W30">
        <v>0</v>
      </c>
      <c r="X30">
        <v>0</v>
      </c>
      <c r="Y30">
        <v>0</v>
      </c>
    </row>
    <row r="31" spans="1:25" ht="15">
      <c r="A31" s="8"/>
      <c r="B31" s="17">
        <f t="shared" si="0"/>
        <v>15</v>
      </c>
      <c r="C31" s="1" t="s">
        <v>49</v>
      </c>
      <c r="D31" s="1" t="s">
        <v>50</v>
      </c>
      <c r="E31" s="17"/>
      <c r="F31" s="1420">
        <v>2870770310.9200001</v>
      </c>
      <c r="G31" s="1420">
        <v>0</v>
      </c>
      <c r="H31" s="1420">
        <v>0</v>
      </c>
      <c r="I31" s="1420">
        <v>0</v>
      </c>
      <c r="J31" s="24">
        <f t="shared" si="2"/>
        <v>2870770310.9200001</v>
      </c>
      <c r="K31" s="821">
        <f t="shared" si="1"/>
        <v>0</v>
      </c>
      <c r="V31">
        <v>2870770310.9200001</v>
      </c>
      <c r="W31">
        <v>0</v>
      </c>
      <c r="X31">
        <v>0</v>
      </c>
      <c r="Y31">
        <v>0</v>
      </c>
    </row>
    <row r="32" spans="1:25" ht="14.25">
      <c r="A32" s="1"/>
      <c r="B32" s="17">
        <f t="shared" si="0"/>
        <v>16</v>
      </c>
      <c r="C32" s="1" t="s">
        <v>51</v>
      </c>
      <c r="D32" s="1" t="s">
        <v>52</v>
      </c>
      <c r="E32" s="17"/>
      <c r="F32" s="1420">
        <v>3044581319.5700002</v>
      </c>
      <c r="G32" s="1420">
        <v>0</v>
      </c>
      <c r="H32" s="1420">
        <v>0</v>
      </c>
      <c r="I32" s="1420">
        <v>0</v>
      </c>
      <c r="J32" s="24">
        <f t="shared" si="2"/>
        <v>3044581319.5700002</v>
      </c>
      <c r="K32" s="821">
        <f t="shared" si="1"/>
        <v>0</v>
      </c>
      <c r="V32">
        <v>3044581319.5700002</v>
      </c>
      <c r="W32">
        <v>0</v>
      </c>
      <c r="X32">
        <v>0</v>
      </c>
      <c r="Y32">
        <v>0</v>
      </c>
    </row>
    <row r="33" spans="1:25" ht="14.25">
      <c r="A33" s="1"/>
      <c r="B33" s="17">
        <f t="shared" si="0"/>
        <v>17</v>
      </c>
      <c r="C33" s="1" t="s">
        <v>53</v>
      </c>
      <c r="D33" s="1" t="s">
        <v>54</v>
      </c>
      <c r="E33" s="17"/>
      <c r="F33" s="1420">
        <v>60197134.759999998</v>
      </c>
      <c r="G33" s="1420">
        <v>0</v>
      </c>
      <c r="H33" s="1420">
        <v>0</v>
      </c>
      <c r="I33" s="1420">
        <v>0</v>
      </c>
      <c r="J33" s="24">
        <f t="shared" si="2"/>
        <v>60197134.759999998</v>
      </c>
      <c r="K33" s="821">
        <f t="shared" si="1"/>
        <v>0</v>
      </c>
      <c r="V33">
        <v>60197134.759999998</v>
      </c>
      <c r="W33">
        <v>0</v>
      </c>
      <c r="X33">
        <v>0</v>
      </c>
      <c r="Y33">
        <v>0</v>
      </c>
    </row>
    <row r="34" spans="1:25" ht="14.25">
      <c r="A34" s="1"/>
      <c r="B34" s="17">
        <f t="shared" si="0"/>
        <v>18</v>
      </c>
      <c r="C34" s="1" t="s">
        <v>55</v>
      </c>
      <c r="D34" s="28" t="s">
        <v>56</v>
      </c>
      <c r="E34" s="17"/>
      <c r="F34" s="1420">
        <v>84097342.579999998</v>
      </c>
      <c r="G34" s="1420">
        <v>0</v>
      </c>
      <c r="H34" s="1420">
        <v>0</v>
      </c>
      <c r="I34" s="1420">
        <v>0</v>
      </c>
      <c r="J34" s="24">
        <f t="shared" si="2"/>
        <v>84097342.579999998</v>
      </c>
      <c r="K34" s="821">
        <f t="shared" si="1"/>
        <v>0</v>
      </c>
      <c r="V34">
        <v>84097342.579999998</v>
      </c>
      <c r="W34">
        <v>0</v>
      </c>
      <c r="X34">
        <v>0</v>
      </c>
      <c r="Y34">
        <v>0</v>
      </c>
    </row>
    <row r="35" spans="1:25" ht="14.25">
      <c r="A35" s="1"/>
      <c r="B35" s="17">
        <f t="shared" si="0"/>
        <v>19</v>
      </c>
      <c r="C35" s="1" t="s">
        <v>57</v>
      </c>
      <c r="D35" s="1" t="s">
        <v>58</v>
      </c>
      <c r="E35" s="17"/>
      <c r="F35" s="1421">
        <v>0</v>
      </c>
      <c r="G35" s="1421">
        <v>0</v>
      </c>
      <c r="H35" s="1421">
        <v>0</v>
      </c>
      <c r="I35" s="1421">
        <v>0</v>
      </c>
      <c r="J35" s="24">
        <f t="shared" si="2"/>
        <v>0</v>
      </c>
      <c r="K35" s="821">
        <f t="shared" si="1"/>
        <v>0</v>
      </c>
      <c r="V35">
        <v>0</v>
      </c>
      <c r="W35">
        <v>0</v>
      </c>
      <c r="X35">
        <v>0</v>
      </c>
      <c r="Y35">
        <v>0</v>
      </c>
    </row>
    <row r="36" spans="1:11" ht="15">
      <c r="A36" s="1"/>
      <c r="B36" s="17">
        <f t="shared" si="0"/>
        <v>20</v>
      </c>
      <c r="C36" s="8" t="s">
        <v>59</v>
      </c>
      <c r="D36" s="8"/>
      <c r="E36" s="1135" t="s">
        <v>36</v>
      </c>
      <c r="F36" s="1408"/>
      <c r="G36" s="1408"/>
      <c r="H36" s="1408"/>
      <c r="I36" s="1407"/>
      <c r="J36" s="24"/>
      <c r="K36" s="821">
        <f t="shared" si="1"/>
        <v>0</v>
      </c>
    </row>
    <row r="37" spans="1:25" ht="14.25">
      <c r="A37" s="1"/>
      <c r="B37" s="17">
        <f t="shared" si="0"/>
        <v>21</v>
      </c>
      <c r="C37" s="1" t="s">
        <v>39</v>
      </c>
      <c r="D37" s="1" t="s">
        <v>40</v>
      </c>
      <c r="E37" s="17"/>
      <c r="F37" s="1419">
        <v>0</v>
      </c>
      <c r="G37" s="1419">
        <v>0</v>
      </c>
      <c r="H37" s="1419">
        <v>0</v>
      </c>
      <c r="I37" s="1419">
        <v>0</v>
      </c>
      <c r="J37" s="24">
        <f t="shared" si="3" ref="J37:J46">SUM(F37:I37)</f>
        <v>0</v>
      </c>
      <c r="K37" s="821">
        <f t="shared" si="1"/>
        <v>0</v>
      </c>
      <c r="V37">
        <v>0</v>
      </c>
      <c r="W37">
        <v>0</v>
      </c>
      <c r="X37">
        <v>0</v>
      </c>
      <c r="Y37">
        <v>0</v>
      </c>
    </row>
    <row r="38" spans="1:25" ht="14.25">
      <c r="A38" s="1"/>
      <c r="B38" s="17">
        <f t="shared" si="0"/>
        <v>22</v>
      </c>
      <c r="C38" s="1" t="s">
        <v>41</v>
      </c>
      <c r="D38" s="1" t="s">
        <v>42</v>
      </c>
      <c r="E38" s="17"/>
      <c r="F38" s="1420">
        <v>106785501.30000001</v>
      </c>
      <c r="G38" s="1420">
        <v>0</v>
      </c>
      <c r="H38" s="1420">
        <v>0</v>
      </c>
      <c r="I38" s="1420">
        <v>0</v>
      </c>
      <c r="J38" s="24">
        <f t="shared" si="3"/>
        <v>106785501.30000001</v>
      </c>
      <c r="K38" s="821">
        <f t="shared" si="1"/>
        <v>0</v>
      </c>
      <c r="V38">
        <v>106785501.30000001</v>
      </c>
      <c r="W38">
        <v>0</v>
      </c>
      <c r="X38">
        <v>0</v>
      </c>
      <c r="Y38">
        <v>0</v>
      </c>
    </row>
    <row r="39" spans="1:25" ht="14.25">
      <c r="A39" s="1"/>
      <c r="B39" s="17">
        <f t="shared" si="0"/>
        <v>23</v>
      </c>
      <c r="C39" s="1" t="s">
        <v>43</v>
      </c>
      <c r="D39" s="1" t="s">
        <v>44</v>
      </c>
      <c r="E39" s="17"/>
      <c r="F39" s="1420">
        <v>128057112.69000001</v>
      </c>
      <c r="G39" s="1420">
        <v>0</v>
      </c>
      <c r="H39" s="1420">
        <v>0</v>
      </c>
      <c r="I39" s="1420">
        <v>0</v>
      </c>
      <c r="J39" s="24">
        <f t="shared" si="3"/>
        <v>128057112.69000001</v>
      </c>
      <c r="K39" s="821">
        <f t="shared" si="1"/>
        <v>0</v>
      </c>
      <c r="V39">
        <v>128057112.69000001</v>
      </c>
      <c r="W39">
        <v>0</v>
      </c>
      <c r="X39">
        <v>0</v>
      </c>
      <c r="Y39">
        <v>0</v>
      </c>
    </row>
    <row r="40" spans="1:25" ht="14.25">
      <c r="A40" s="1"/>
      <c r="B40" s="17">
        <f t="shared" si="0"/>
        <v>24</v>
      </c>
      <c r="C40" s="1" t="s">
        <v>45</v>
      </c>
      <c r="D40" s="1" t="s">
        <v>46</v>
      </c>
      <c r="E40" s="17"/>
      <c r="F40" s="1420">
        <v>693046475.36999989</v>
      </c>
      <c r="G40" s="1420">
        <v>97170477.010000005</v>
      </c>
      <c r="H40" s="1420">
        <v>0</v>
      </c>
      <c r="I40" s="1420">
        <v>0</v>
      </c>
      <c r="J40" s="24">
        <f t="shared" si="3"/>
        <v>790216952.37999988</v>
      </c>
      <c r="K40" s="821">
        <f t="shared" si="1"/>
        <v>0</v>
      </c>
      <c r="V40">
        <v>693046475.36999989</v>
      </c>
      <c r="W40">
        <v>97170477.010000005</v>
      </c>
      <c r="X40">
        <v>0</v>
      </c>
      <c r="Y40">
        <v>0</v>
      </c>
    </row>
    <row r="41" spans="1:25" ht="15">
      <c r="A41" s="29"/>
      <c r="B41" s="17">
        <f t="shared" si="0"/>
        <v>25</v>
      </c>
      <c r="C41" s="1" t="s">
        <v>47</v>
      </c>
      <c r="D41" s="1" t="s">
        <v>48</v>
      </c>
      <c r="E41" s="17"/>
      <c r="F41" s="1420">
        <v>467580047.15000004</v>
      </c>
      <c r="G41" s="1420">
        <v>0</v>
      </c>
      <c r="H41" s="1420">
        <v>0</v>
      </c>
      <c r="I41" s="1420">
        <v>0</v>
      </c>
      <c r="J41" s="24">
        <f t="shared" si="3"/>
        <v>467580047.15000004</v>
      </c>
      <c r="K41" s="821">
        <f t="shared" si="1"/>
        <v>0</v>
      </c>
      <c r="V41">
        <v>467580047.15000004</v>
      </c>
      <c r="W41">
        <v>0</v>
      </c>
      <c r="X41">
        <v>0</v>
      </c>
      <c r="Y41">
        <v>0</v>
      </c>
    </row>
    <row r="42" spans="1:25" ht="14.25">
      <c r="A42" s="1"/>
      <c r="B42" s="17">
        <f t="shared" si="0"/>
        <v>26</v>
      </c>
      <c r="C42" s="1" t="s">
        <v>49</v>
      </c>
      <c r="D42" s="1" t="s">
        <v>50</v>
      </c>
      <c r="E42" s="17"/>
      <c r="F42" s="1420">
        <v>664853703.49000001</v>
      </c>
      <c r="G42" s="1420">
        <v>0</v>
      </c>
      <c r="H42" s="1420">
        <v>0</v>
      </c>
      <c r="I42" s="1420">
        <v>0</v>
      </c>
      <c r="J42" s="24">
        <f t="shared" si="3"/>
        <v>664853703.49000001</v>
      </c>
      <c r="K42" s="821">
        <f t="shared" si="1"/>
        <v>0</v>
      </c>
      <c r="V42">
        <v>664853703.49000001</v>
      </c>
      <c r="W42">
        <v>0</v>
      </c>
      <c r="X42">
        <v>0</v>
      </c>
      <c r="Y42">
        <v>0</v>
      </c>
    </row>
    <row r="43" spans="1:25" ht="15">
      <c r="A43" s="8"/>
      <c r="B43" s="17">
        <f t="shared" si="0"/>
        <v>27</v>
      </c>
      <c r="C43" s="1" t="s">
        <v>51</v>
      </c>
      <c r="D43" s="1" t="s">
        <v>52</v>
      </c>
      <c r="E43" s="30"/>
      <c r="F43" s="1420">
        <v>978999051.40999997</v>
      </c>
      <c r="G43" s="1420">
        <v>0</v>
      </c>
      <c r="H43" s="1420">
        <v>0</v>
      </c>
      <c r="I43" s="1420">
        <v>0</v>
      </c>
      <c r="J43" s="24">
        <f t="shared" si="3"/>
        <v>978999051.40999997</v>
      </c>
      <c r="K43" s="821">
        <f t="shared" si="1"/>
        <v>0</v>
      </c>
      <c r="V43">
        <v>978999051.40999997</v>
      </c>
      <c r="W43">
        <v>0</v>
      </c>
      <c r="X43">
        <v>0</v>
      </c>
      <c r="Y43">
        <v>0</v>
      </c>
    </row>
    <row r="44" spans="1:25" ht="14.25">
      <c r="A44" s="1"/>
      <c r="B44" s="17">
        <f t="shared" si="0"/>
        <v>28</v>
      </c>
      <c r="C44" s="1" t="s">
        <v>53</v>
      </c>
      <c r="D44" s="1" t="s">
        <v>54</v>
      </c>
      <c r="E44" s="17"/>
      <c r="F44" s="1420">
        <v>19336447.609999999</v>
      </c>
      <c r="G44" s="1420">
        <v>0</v>
      </c>
      <c r="H44" s="1420">
        <v>0</v>
      </c>
      <c r="I44" s="1420">
        <v>0</v>
      </c>
      <c r="J44" s="24">
        <f t="shared" si="3"/>
        <v>19336447.609999999</v>
      </c>
      <c r="K44" s="821">
        <f t="shared" si="1"/>
        <v>0</v>
      </c>
      <c r="V44">
        <v>19336447.609999999</v>
      </c>
      <c r="W44">
        <v>0</v>
      </c>
      <c r="X44">
        <v>0</v>
      </c>
      <c r="Y44">
        <v>0</v>
      </c>
    </row>
    <row r="45" spans="1:25" ht="14.25">
      <c r="A45" s="1"/>
      <c r="B45" s="17">
        <f t="shared" si="0"/>
        <v>29</v>
      </c>
      <c r="C45" s="1" t="s">
        <v>55</v>
      </c>
      <c r="D45" s="28" t="s">
        <v>56</v>
      </c>
      <c r="E45" s="17"/>
      <c r="F45" s="1420">
        <v>33548402.460000001</v>
      </c>
      <c r="G45" s="1420">
        <v>0</v>
      </c>
      <c r="H45" s="1420">
        <v>0</v>
      </c>
      <c r="I45" s="1420">
        <v>0</v>
      </c>
      <c r="J45" s="24">
        <f t="shared" si="3"/>
        <v>33548402.460000001</v>
      </c>
      <c r="K45" s="821">
        <f t="shared" si="1"/>
        <v>0</v>
      </c>
      <c r="V45">
        <v>33548402.460000001</v>
      </c>
      <c r="W45">
        <v>0</v>
      </c>
      <c r="X45">
        <v>0</v>
      </c>
      <c r="Y45">
        <v>0</v>
      </c>
    </row>
    <row r="46" spans="1:25" ht="15">
      <c r="A46" s="8"/>
      <c r="B46" s="17">
        <f t="shared" si="0"/>
        <v>30</v>
      </c>
      <c r="C46" s="1" t="s">
        <v>57</v>
      </c>
      <c r="D46" s="1" t="s">
        <v>58</v>
      </c>
      <c r="E46" s="17"/>
      <c r="F46" s="1421">
        <v>0</v>
      </c>
      <c r="G46" s="1421">
        <v>0</v>
      </c>
      <c r="H46" s="1421">
        <v>0</v>
      </c>
      <c r="I46" s="1421">
        <v>0</v>
      </c>
      <c r="J46" s="24">
        <f t="shared" si="3"/>
        <v>0</v>
      </c>
      <c r="K46" s="821">
        <f t="shared" si="1"/>
        <v>0</v>
      </c>
      <c r="V46">
        <v>0</v>
      </c>
      <c r="W46">
        <v>0</v>
      </c>
      <c r="X46">
        <v>0</v>
      </c>
      <c r="Y46">
        <v>0</v>
      </c>
    </row>
    <row r="47" spans="1:11" ht="15">
      <c r="A47" s="8"/>
      <c r="B47" s="17"/>
      <c r="C47" s="1"/>
      <c r="D47" s="1"/>
      <c r="E47" s="17"/>
      <c r="F47" s="1408"/>
      <c r="G47" s="1408"/>
      <c r="H47" s="1408"/>
      <c r="I47" s="1408"/>
      <c r="J47" s="24"/>
      <c r="K47" s="821">
        <f t="shared" si="1"/>
        <v>0</v>
      </c>
    </row>
    <row r="48" spans="1:11" ht="15">
      <c r="A48" s="8"/>
      <c r="B48" s="17"/>
      <c r="C48" s="1"/>
      <c r="D48" s="1"/>
      <c r="E48" s="17"/>
      <c r="F48" s="1408"/>
      <c r="G48" s="1408"/>
      <c r="H48" s="1408"/>
      <c r="I48" s="1408"/>
      <c r="J48" s="24"/>
      <c r="K48" s="821">
        <f t="shared" si="1"/>
        <v>0</v>
      </c>
    </row>
    <row r="49" spans="1:11" ht="15">
      <c r="A49" s="1"/>
      <c r="B49" s="17">
        <f t="shared" si="4" ref="B49:B79">B48+1</f>
        <v>1</v>
      </c>
      <c r="C49" s="8" t="s">
        <v>60</v>
      </c>
      <c r="D49" s="8"/>
      <c r="E49" s="1135" t="s">
        <v>24</v>
      </c>
      <c r="F49" s="1408"/>
      <c r="G49" s="1408"/>
      <c r="H49" s="1408"/>
      <c r="I49" s="1407"/>
      <c r="J49" s="24"/>
      <c r="K49" s="821">
        <f t="shared" si="1"/>
        <v>0</v>
      </c>
    </row>
    <row r="50" spans="1:25" ht="14.25">
      <c r="A50" s="1"/>
      <c r="B50" s="17">
        <f t="shared" si="4"/>
        <v>2</v>
      </c>
      <c r="C50" s="1" t="s">
        <v>61</v>
      </c>
      <c r="D50" s="1" t="s">
        <v>42</v>
      </c>
      <c r="E50" s="17"/>
      <c r="F50" s="1419">
        <v>1320894.71</v>
      </c>
      <c r="G50" s="1419">
        <v>23046028.010000002</v>
      </c>
      <c r="H50" s="1419">
        <v>0</v>
      </c>
      <c r="I50" s="1419">
        <v>0</v>
      </c>
      <c r="J50" s="24">
        <f t="shared" si="5" ref="J50:J64">SUM(F50:I50)</f>
        <v>24366922.720000003</v>
      </c>
      <c r="K50" s="821">
        <f t="shared" si="6" ref="K50:K81">J50-SUM(F50:I50)</f>
        <v>0</v>
      </c>
      <c r="V50">
        <v>1320894.71</v>
      </c>
      <c r="W50">
        <v>23046028.010000002</v>
      </c>
      <c r="X50">
        <v>0</v>
      </c>
      <c r="Y50">
        <v>0</v>
      </c>
    </row>
    <row r="51" spans="1:25" ht="14.25">
      <c r="A51" s="1"/>
      <c r="B51" s="17">
        <f t="shared" si="4"/>
        <v>3</v>
      </c>
      <c r="C51" s="1" t="s">
        <v>62</v>
      </c>
      <c r="D51" s="31" t="s">
        <v>44</v>
      </c>
      <c r="E51" s="32"/>
      <c r="F51" s="1420">
        <v>69201899.979999989</v>
      </c>
      <c r="G51" s="1420">
        <v>137062053.49000001</v>
      </c>
      <c r="H51" s="1420">
        <v>0</v>
      </c>
      <c r="I51" s="1420">
        <v>0</v>
      </c>
      <c r="J51" s="24">
        <f t="shared" si="5"/>
        <v>206263953.47</v>
      </c>
      <c r="K51" s="821">
        <f t="shared" si="6"/>
        <v>0</v>
      </c>
      <c r="V51">
        <v>69201899.979999989</v>
      </c>
      <c r="W51">
        <v>137062053.49000001</v>
      </c>
      <c r="X51">
        <v>0</v>
      </c>
      <c r="Y51">
        <v>0</v>
      </c>
    </row>
    <row r="52" spans="1:25" ht="14.25">
      <c r="A52" s="1"/>
      <c r="B52" s="17">
        <f t="shared" si="4"/>
        <v>4</v>
      </c>
      <c r="C52" s="1" t="s">
        <v>63</v>
      </c>
      <c r="D52" s="1" t="s">
        <v>46</v>
      </c>
      <c r="E52" s="32"/>
      <c r="F52" s="1420">
        <v>610270399.91999996</v>
      </c>
      <c r="G52" s="1420">
        <v>1760200029.54</v>
      </c>
      <c r="H52" s="1420">
        <v>0</v>
      </c>
      <c r="I52" s="1420">
        <v>0</v>
      </c>
      <c r="J52" s="24">
        <f t="shared" si="5"/>
        <v>2370470429.46</v>
      </c>
      <c r="K52" s="821">
        <f t="shared" si="6"/>
        <v>0</v>
      </c>
      <c r="V52">
        <v>610270399.91999996</v>
      </c>
      <c r="W52">
        <v>1760200029.54</v>
      </c>
      <c r="X52">
        <v>0</v>
      </c>
      <c r="Y52">
        <v>0</v>
      </c>
    </row>
    <row r="53" spans="1:25" ht="14.25">
      <c r="A53" s="1"/>
      <c r="B53" s="17">
        <f t="shared" si="4"/>
        <v>5</v>
      </c>
      <c r="C53" s="1" t="s">
        <v>64</v>
      </c>
      <c r="D53" s="1" t="s">
        <v>65</v>
      </c>
      <c r="E53" s="17"/>
      <c r="F53" s="1420">
        <v>0</v>
      </c>
      <c r="G53" s="1420">
        <v>0</v>
      </c>
      <c r="H53" s="1420">
        <v>0</v>
      </c>
      <c r="I53" s="1420">
        <v>0</v>
      </c>
      <c r="J53" s="24">
        <f t="shared" si="5"/>
        <v>0</v>
      </c>
      <c r="K53" s="821">
        <f t="shared" si="6"/>
        <v>0</v>
      </c>
      <c r="V53">
        <v>0</v>
      </c>
      <c r="W53">
        <v>0</v>
      </c>
      <c r="X53">
        <v>0</v>
      </c>
      <c r="Y53">
        <v>0</v>
      </c>
    </row>
    <row r="54" spans="1:25" ht="14.25">
      <c r="A54" s="1"/>
      <c r="B54" s="17">
        <f t="shared" si="4"/>
        <v>6</v>
      </c>
      <c r="C54" s="31" t="s">
        <v>66</v>
      </c>
      <c r="D54" s="31" t="s">
        <v>67</v>
      </c>
      <c r="E54" s="17"/>
      <c r="F54" s="1420">
        <v>0</v>
      </c>
      <c r="G54" s="1420">
        <v>2678358260.8099999</v>
      </c>
      <c r="H54" s="1420">
        <v>0</v>
      </c>
      <c r="I54" s="1420">
        <v>0</v>
      </c>
      <c r="J54" s="24">
        <f t="shared" si="5"/>
        <v>2678358260.8099999</v>
      </c>
      <c r="K54" s="821">
        <f t="shared" si="6"/>
        <v>0</v>
      </c>
      <c r="V54">
        <v>0</v>
      </c>
      <c r="W54">
        <v>2678358260.8099999</v>
      </c>
      <c r="X54">
        <v>0</v>
      </c>
      <c r="Y54">
        <v>0</v>
      </c>
    </row>
    <row r="55" spans="1:25" ht="14.25">
      <c r="A55" s="1"/>
      <c r="B55" s="17">
        <f t="shared" si="4"/>
        <v>7</v>
      </c>
      <c r="C55" s="31" t="s">
        <v>68</v>
      </c>
      <c r="D55" s="31" t="s">
        <v>69</v>
      </c>
      <c r="E55" s="17"/>
      <c r="F55" s="1420">
        <v>0</v>
      </c>
      <c r="G55" s="1420">
        <v>1675410858.1199999</v>
      </c>
      <c r="H55" s="1420">
        <v>0</v>
      </c>
      <c r="I55" s="1420">
        <v>0</v>
      </c>
      <c r="J55" s="24">
        <f t="shared" si="5"/>
        <v>1675410858.1199999</v>
      </c>
      <c r="K55" s="821">
        <f t="shared" si="6"/>
        <v>0</v>
      </c>
      <c r="V55">
        <v>0</v>
      </c>
      <c r="W55">
        <v>1675410858.1199999</v>
      </c>
      <c r="X55">
        <v>0</v>
      </c>
      <c r="Y55">
        <v>0</v>
      </c>
    </row>
    <row r="56" spans="1:25" ht="14.25">
      <c r="A56" s="1"/>
      <c r="B56" s="17">
        <f t="shared" si="4"/>
        <v>8</v>
      </c>
      <c r="C56" s="31" t="s">
        <v>70</v>
      </c>
      <c r="D56" s="31" t="s">
        <v>71</v>
      </c>
      <c r="E56" s="17"/>
      <c r="F56" s="1420">
        <v>0</v>
      </c>
      <c r="G56" s="1420">
        <v>1082118478.1099999</v>
      </c>
      <c r="H56" s="1420">
        <v>0</v>
      </c>
      <c r="I56" s="1420">
        <v>0</v>
      </c>
      <c r="J56" s="24">
        <f t="shared" si="5"/>
        <v>1082118478.1099999</v>
      </c>
      <c r="K56" s="821">
        <f t="shared" si="6"/>
        <v>0</v>
      </c>
      <c r="V56">
        <v>0</v>
      </c>
      <c r="W56">
        <v>1082118478.1099999</v>
      </c>
      <c r="X56">
        <v>0</v>
      </c>
      <c r="Y56">
        <v>0</v>
      </c>
    </row>
    <row r="57" spans="1:25" ht="14.25">
      <c r="A57" s="1"/>
      <c r="B57" s="17">
        <f t="shared" si="4"/>
        <v>9</v>
      </c>
      <c r="C57" s="31" t="s">
        <v>72</v>
      </c>
      <c r="D57" s="31" t="s">
        <v>73</v>
      </c>
      <c r="E57" s="30"/>
      <c r="F57" s="1420">
        <v>0</v>
      </c>
      <c r="G57" s="1420">
        <v>2553927527.9699998</v>
      </c>
      <c r="H57" s="1420">
        <v>0</v>
      </c>
      <c r="I57" s="1420">
        <v>0</v>
      </c>
      <c r="J57" s="24">
        <f t="shared" si="5"/>
        <v>2553927527.9699998</v>
      </c>
      <c r="K57" s="821">
        <f t="shared" si="6"/>
        <v>0</v>
      </c>
      <c r="V57">
        <v>0</v>
      </c>
      <c r="W57">
        <v>2553927527.9699998</v>
      </c>
      <c r="X57">
        <v>0</v>
      </c>
      <c r="Y57">
        <v>0</v>
      </c>
    </row>
    <row r="58" spans="1:25" ht="14.25">
      <c r="A58" s="1"/>
      <c r="B58" s="17">
        <f t="shared" si="4"/>
        <v>10</v>
      </c>
      <c r="C58" s="31" t="s">
        <v>74</v>
      </c>
      <c r="D58" s="31" t="s">
        <v>75</v>
      </c>
      <c r="E58" s="17"/>
      <c r="F58" s="1420">
        <v>0</v>
      </c>
      <c r="G58" s="1420">
        <v>2493077762.4000001</v>
      </c>
      <c r="H58" s="1420">
        <v>0</v>
      </c>
      <c r="I58" s="1420">
        <v>0</v>
      </c>
      <c r="J58" s="24">
        <f t="shared" si="5"/>
        <v>2493077762.4000001</v>
      </c>
      <c r="K58" s="821">
        <f t="shared" si="6"/>
        <v>0</v>
      </c>
      <c r="V58">
        <v>0</v>
      </c>
      <c r="W58">
        <v>2493077762.4000001</v>
      </c>
      <c r="X58">
        <v>0</v>
      </c>
      <c r="Y58">
        <v>0</v>
      </c>
    </row>
    <row r="59" spans="1:25" ht="14.25">
      <c r="A59" s="1"/>
      <c r="B59" s="17">
        <f t="shared" si="4"/>
        <v>11</v>
      </c>
      <c r="C59" s="1" t="s">
        <v>76</v>
      </c>
      <c r="D59" s="31" t="s">
        <v>77</v>
      </c>
      <c r="E59" s="30"/>
      <c r="F59" s="1420">
        <v>0</v>
      </c>
      <c r="G59" s="1420">
        <v>1652238990.3599999</v>
      </c>
      <c r="H59" s="1420">
        <v>0</v>
      </c>
      <c r="I59" s="1420">
        <v>0</v>
      </c>
      <c r="J59" s="24">
        <f t="shared" si="5"/>
        <v>1652238990.3599999</v>
      </c>
      <c r="K59" s="821">
        <f t="shared" si="6"/>
        <v>0</v>
      </c>
      <c r="V59">
        <v>0</v>
      </c>
      <c r="W59">
        <v>1652238990.3599999</v>
      </c>
      <c r="X59">
        <v>0</v>
      </c>
      <c r="Y59">
        <v>0</v>
      </c>
    </row>
    <row r="60" spans="1:25" ht="14.25">
      <c r="A60" s="1"/>
      <c r="B60" s="17">
        <f t="shared" si="4"/>
        <v>12</v>
      </c>
      <c r="C60" s="1" t="s">
        <v>78</v>
      </c>
      <c r="D60" s="1" t="s">
        <v>79</v>
      </c>
      <c r="E60" s="17"/>
      <c r="F60" s="1420">
        <v>0</v>
      </c>
      <c r="G60" s="1420">
        <v>0</v>
      </c>
      <c r="H60" s="1420">
        <v>574147483.07000005</v>
      </c>
      <c r="I60" s="1420">
        <v>0</v>
      </c>
      <c r="J60" s="24">
        <f t="shared" si="5"/>
        <v>574147483.07000005</v>
      </c>
      <c r="K60" s="821">
        <f t="shared" si="6"/>
        <v>0</v>
      </c>
      <c r="V60">
        <v>0</v>
      </c>
      <c r="W60">
        <v>0</v>
      </c>
      <c r="X60">
        <v>574147483.07000005</v>
      </c>
      <c r="Y60">
        <v>0</v>
      </c>
    </row>
    <row r="61" spans="1:25" ht="14.25">
      <c r="A61" s="1"/>
      <c r="B61" s="17">
        <f t="shared" si="4"/>
        <v>13</v>
      </c>
      <c r="C61" s="1" t="s">
        <v>80</v>
      </c>
      <c r="D61" s="1" t="s">
        <v>81</v>
      </c>
      <c r="E61" s="17"/>
      <c r="F61" s="1420">
        <v>0</v>
      </c>
      <c r="G61" s="1420">
        <v>54631096.93</v>
      </c>
      <c r="H61" s="1420">
        <v>0</v>
      </c>
      <c r="I61" s="1420">
        <v>0</v>
      </c>
      <c r="J61" s="24">
        <f t="shared" si="5"/>
        <v>54631096.93</v>
      </c>
      <c r="K61" s="821">
        <f t="shared" si="6"/>
        <v>0</v>
      </c>
      <c r="V61">
        <v>0</v>
      </c>
      <c r="W61">
        <v>54631096.93</v>
      </c>
      <c r="X61">
        <v>0</v>
      </c>
      <c r="Y61">
        <v>0</v>
      </c>
    </row>
    <row r="62" spans="1:25" ht="14.25">
      <c r="A62" s="1"/>
      <c r="B62" s="17">
        <f t="shared" si="4"/>
        <v>14</v>
      </c>
      <c r="C62" s="1" t="s">
        <v>82</v>
      </c>
      <c r="D62" s="1" t="s">
        <v>83</v>
      </c>
      <c r="E62" s="17"/>
      <c r="F62" s="1420">
        <v>0</v>
      </c>
      <c r="G62" s="1420">
        <v>0</v>
      </c>
      <c r="H62" s="1420">
        <v>0</v>
      </c>
      <c r="I62" s="1420">
        <v>0</v>
      </c>
      <c r="J62" s="24">
        <f t="shared" si="5"/>
        <v>0</v>
      </c>
      <c r="K62" s="821">
        <f t="shared" si="6"/>
        <v>0</v>
      </c>
      <c r="V62">
        <v>0</v>
      </c>
      <c r="W62">
        <v>0</v>
      </c>
      <c r="X62">
        <v>0</v>
      </c>
      <c r="Y62">
        <v>0</v>
      </c>
    </row>
    <row r="63" spans="1:25" ht="13.5" customHeight="1">
      <c r="A63" s="1"/>
      <c r="B63" s="17">
        <f t="shared" si="4"/>
        <v>15</v>
      </c>
      <c r="C63" s="1" t="s">
        <v>84</v>
      </c>
      <c r="D63" s="1" t="s">
        <v>85</v>
      </c>
      <c r="E63" s="17"/>
      <c r="F63" s="1420">
        <v>0</v>
      </c>
      <c r="G63" s="1420">
        <v>437403825.88999999</v>
      </c>
      <c r="H63" s="1420">
        <v>0</v>
      </c>
      <c r="I63" s="1420">
        <v>0</v>
      </c>
      <c r="J63" s="24">
        <f t="shared" si="5"/>
        <v>437403825.88999999</v>
      </c>
      <c r="K63" s="821">
        <f t="shared" si="6"/>
        <v>0</v>
      </c>
      <c r="V63">
        <v>0</v>
      </c>
      <c r="W63">
        <v>437403825.88999999</v>
      </c>
      <c r="X63">
        <v>0</v>
      </c>
      <c r="Y63">
        <v>0</v>
      </c>
    </row>
    <row r="64" spans="1:25" ht="14.25">
      <c r="A64" s="1"/>
      <c r="B64" s="17">
        <f t="shared" si="4"/>
        <v>16</v>
      </c>
      <c r="C64" s="1" t="s">
        <v>86</v>
      </c>
      <c r="D64" s="1" t="s">
        <v>40</v>
      </c>
      <c r="E64" s="17"/>
      <c r="F64" s="1421">
        <v>24640358.010000002</v>
      </c>
      <c r="G64" s="1421">
        <v>71344821.219999999</v>
      </c>
      <c r="H64" s="1421">
        <v>0</v>
      </c>
      <c r="I64" s="1421">
        <v>0</v>
      </c>
      <c r="J64" s="24">
        <f t="shared" si="5"/>
        <v>95985179.230000004</v>
      </c>
      <c r="K64" s="821">
        <f t="shared" si="6"/>
        <v>0</v>
      </c>
      <c r="V64">
        <v>24640358.010000002</v>
      </c>
      <c r="W64">
        <v>71344821.219999999</v>
      </c>
      <c r="X64">
        <v>0</v>
      </c>
      <c r="Y64">
        <v>0</v>
      </c>
    </row>
    <row r="65" spans="1:11" ht="15">
      <c r="A65" s="1"/>
      <c r="B65" s="17">
        <f t="shared" si="4"/>
        <v>17</v>
      </c>
      <c r="C65" s="8" t="s">
        <v>87</v>
      </c>
      <c r="D65" s="8"/>
      <c r="E65" s="1135" t="s">
        <v>36</v>
      </c>
      <c r="F65" s="1408"/>
      <c r="G65" s="1408"/>
      <c r="H65" s="1408"/>
      <c r="I65" s="1407"/>
      <c r="J65" s="24"/>
      <c r="K65" s="821">
        <f t="shared" si="6"/>
        <v>0</v>
      </c>
    </row>
    <row r="66" spans="1:25" ht="14.25">
      <c r="A66" s="1"/>
      <c r="B66" s="17">
        <f t="shared" si="4"/>
        <v>18</v>
      </c>
      <c r="C66" s="1" t="s">
        <v>61</v>
      </c>
      <c r="D66" s="1" t="s">
        <v>42</v>
      </c>
      <c r="E66" s="17"/>
      <c r="F66" s="1416">
        <v>238774.92999999999</v>
      </c>
      <c r="G66" s="1416">
        <v>9695344.3800000008</v>
      </c>
      <c r="H66" s="1416">
        <v>0</v>
      </c>
      <c r="I66" s="1416">
        <v>0</v>
      </c>
      <c r="J66" s="24">
        <f t="shared" si="7" ref="J66:J79">SUM(F66:I66)</f>
        <v>9934119.3100000005</v>
      </c>
      <c r="K66" s="821">
        <f t="shared" si="6"/>
        <v>0</v>
      </c>
      <c r="V66">
        <v>238774.92999999999</v>
      </c>
      <c r="W66">
        <v>9695344.3800000008</v>
      </c>
      <c r="X66">
        <v>0</v>
      </c>
      <c r="Y66">
        <v>0</v>
      </c>
    </row>
    <row r="67" spans="1:25" ht="14.25">
      <c r="A67" s="1"/>
      <c r="B67" s="17">
        <f t="shared" si="4"/>
        <v>19</v>
      </c>
      <c r="C67" s="1" t="s">
        <v>62</v>
      </c>
      <c r="D67" s="31" t="s">
        <v>44</v>
      </c>
      <c r="E67" s="32"/>
      <c r="F67" s="1417">
        <v>18051483.75</v>
      </c>
      <c r="G67" s="1417">
        <v>41745977.75</v>
      </c>
      <c r="H67" s="1417">
        <v>0</v>
      </c>
      <c r="I67" s="1417">
        <v>0</v>
      </c>
      <c r="J67" s="24">
        <f t="shared" si="7"/>
        <v>59797461.5</v>
      </c>
      <c r="K67" s="821">
        <f t="shared" si="6"/>
        <v>0</v>
      </c>
      <c r="V67">
        <v>18051483.75</v>
      </c>
      <c r="W67">
        <v>41745977.75</v>
      </c>
      <c r="X67">
        <v>0</v>
      </c>
      <c r="Y67">
        <v>0</v>
      </c>
    </row>
    <row r="68" spans="1:25" ht="14.25">
      <c r="A68" s="1"/>
      <c r="B68" s="17">
        <f t="shared" si="4"/>
        <v>20</v>
      </c>
      <c r="C68" s="1" t="s">
        <v>63</v>
      </c>
      <c r="D68" s="1" t="s">
        <v>46</v>
      </c>
      <c r="E68" s="32"/>
      <c r="F68" s="1417">
        <v>122722867.50999999</v>
      </c>
      <c r="G68" s="1417">
        <v>463683928.67000002</v>
      </c>
      <c r="H68" s="1417">
        <v>0</v>
      </c>
      <c r="I68" s="1417">
        <v>0</v>
      </c>
      <c r="J68" s="24">
        <f t="shared" si="7"/>
        <v>586406796.18000007</v>
      </c>
      <c r="K68" s="821">
        <f t="shared" si="6"/>
        <v>0</v>
      </c>
      <c r="V68">
        <v>122722867.50999999</v>
      </c>
      <c r="W68">
        <v>463683928.67000002</v>
      </c>
      <c r="X68">
        <v>0</v>
      </c>
      <c r="Y68">
        <v>0</v>
      </c>
    </row>
    <row r="69" spans="1:25" ht="14.25">
      <c r="A69" s="1"/>
      <c r="B69" s="17">
        <f t="shared" si="4"/>
        <v>21</v>
      </c>
      <c r="C69" s="1" t="s">
        <v>64</v>
      </c>
      <c r="D69" s="1" t="s">
        <v>65</v>
      </c>
      <c r="E69" s="17"/>
      <c r="F69" s="1417">
        <v>0</v>
      </c>
      <c r="G69" s="1417">
        <v>0</v>
      </c>
      <c r="H69" s="1417">
        <v>0</v>
      </c>
      <c r="I69" s="1417">
        <v>0</v>
      </c>
      <c r="J69" s="24">
        <f t="shared" si="7"/>
        <v>0</v>
      </c>
      <c r="K69" s="821">
        <f t="shared" si="6"/>
        <v>0</v>
      </c>
      <c r="V69">
        <v>0</v>
      </c>
      <c r="W69">
        <v>0</v>
      </c>
      <c r="X69">
        <v>0</v>
      </c>
      <c r="Y69">
        <v>0</v>
      </c>
    </row>
    <row r="70" spans="1:25" ht="14.25">
      <c r="A70" s="1"/>
      <c r="B70" s="17">
        <f t="shared" si="4"/>
        <v>22</v>
      </c>
      <c r="C70" s="31" t="s">
        <v>66</v>
      </c>
      <c r="D70" s="31" t="s">
        <v>67</v>
      </c>
      <c r="E70" s="17"/>
      <c r="F70" s="1417">
        <v>0</v>
      </c>
      <c r="G70" s="1417">
        <v>1107719583.73</v>
      </c>
      <c r="H70" s="1417">
        <v>0</v>
      </c>
      <c r="I70" s="1417">
        <v>0</v>
      </c>
      <c r="J70" s="24">
        <f t="shared" si="7"/>
        <v>1107719583.73</v>
      </c>
      <c r="K70" s="821">
        <f t="shared" si="6"/>
        <v>0</v>
      </c>
      <c r="V70">
        <v>0</v>
      </c>
      <c r="W70">
        <v>1107719583.73</v>
      </c>
      <c r="X70">
        <v>0</v>
      </c>
      <c r="Y70">
        <v>0</v>
      </c>
    </row>
    <row r="71" spans="1:25" ht="14.25">
      <c r="A71" s="1"/>
      <c r="B71" s="17">
        <f t="shared" si="4"/>
        <v>23</v>
      </c>
      <c r="C71" s="31" t="s">
        <v>68</v>
      </c>
      <c r="D71" s="31" t="s">
        <v>69</v>
      </c>
      <c r="E71" s="17"/>
      <c r="F71" s="1417">
        <v>0</v>
      </c>
      <c r="G71" s="1417">
        <v>635328009.49000001</v>
      </c>
      <c r="H71" s="1417">
        <v>0</v>
      </c>
      <c r="I71" s="1417">
        <v>0</v>
      </c>
      <c r="J71" s="24">
        <f t="shared" si="7"/>
        <v>635328009.49000001</v>
      </c>
      <c r="K71" s="821">
        <f t="shared" si="6"/>
        <v>0</v>
      </c>
      <c r="V71">
        <v>0</v>
      </c>
      <c r="W71">
        <v>635328009.49000001</v>
      </c>
      <c r="X71">
        <v>0</v>
      </c>
      <c r="Y71">
        <v>0</v>
      </c>
    </row>
    <row r="72" spans="1:25" ht="14.25">
      <c r="A72" s="1"/>
      <c r="B72" s="17">
        <f t="shared" si="4"/>
        <v>24</v>
      </c>
      <c r="C72" s="31" t="s">
        <v>70</v>
      </c>
      <c r="D72" s="31" t="s">
        <v>71</v>
      </c>
      <c r="E72" s="17"/>
      <c r="F72" s="1417">
        <v>0</v>
      </c>
      <c r="G72" s="1417">
        <v>452193524.26999998</v>
      </c>
      <c r="H72" s="1417">
        <v>0</v>
      </c>
      <c r="I72" s="1417">
        <v>0</v>
      </c>
      <c r="J72" s="24">
        <f t="shared" si="7"/>
        <v>452193524.26999998</v>
      </c>
      <c r="K72" s="821">
        <f t="shared" si="6"/>
        <v>0</v>
      </c>
      <c r="V72">
        <v>0</v>
      </c>
      <c r="W72">
        <v>452193524.26999998</v>
      </c>
      <c r="X72">
        <v>0</v>
      </c>
      <c r="Y72">
        <v>0</v>
      </c>
    </row>
    <row r="73" spans="1:25" ht="14.25">
      <c r="A73" s="1"/>
      <c r="B73" s="17">
        <f t="shared" si="4"/>
        <v>25</v>
      </c>
      <c r="C73" s="31" t="s">
        <v>72</v>
      </c>
      <c r="D73" s="31" t="s">
        <v>73</v>
      </c>
      <c r="E73" s="30"/>
      <c r="F73" s="1417">
        <v>0</v>
      </c>
      <c r="G73" s="1417">
        <v>578041305.75</v>
      </c>
      <c r="H73" s="1417">
        <v>0</v>
      </c>
      <c r="I73" s="1417">
        <v>0</v>
      </c>
      <c r="J73" s="24">
        <f t="shared" si="7"/>
        <v>578041305.75</v>
      </c>
      <c r="K73" s="821">
        <f t="shared" si="6"/>
        <v>0</v>
      </c>
      <c r="V73">
        <v>0</v>
      </c>
      <c r="W73">
        <v>578041305.75</v>
      </c>
      <c r="X73">
        <v>0</v>
      </c>
      <c r="Y73">
        <v>0</v>
      </c>
    </row>
    <row r="74" spans="1:25" ht="14.25">
      <c r="A74" s="1"/>
      <c r="B74" s="17">
        <f t="shared" si="4"/>
        <v>26</v>
      </c>
      <c r="C74" s="31" t="s">
        <v>74</v>
      </c>
      <c r="D74" s="31" t="s">
        <v>75</v>
      </c>
      <c r="E74" s="17"/>
      <c r="F74" s="1417">
        <v>0</v>
      </c>
      <c r="G74" s="1417">
        <v>743686994.10000002</v>
      </c>
      <c r="H74" s="1417">
        <v>0</v>
      </c>
      <c r="I74" s="1417">
        <v>0</v>
      </c>
      <c r="J74" s="24">
        <f t="shared" si="7"/>
        <v>743686994.10000002</v>
      </c>
      <c r="K74" s="821">
        <f t="shared" si="6"/>
        <v>0</v>
      </c>
      <c r="V74">
        <v>0</v>
      </c>
      <c r="W74">
        <v>743686994.10000002</v>
      </c>
      <c r="X74">
        <v>0</v>
      </c>
      <c r="Y74">
        <v>0</v>
      </c>
    </row>
    <row r="75" spans="1:25" ht="14.25">
      <c r="A75" s="33"/>
      <c r="B75" s="17">
        <f t="shared" si="4"/>
        <v>27</v>
      </c>
      <c r="C75" s="1" t="s">
        <v>76</v>
      </c>
      <c r="D75" s="31" t="s">
        <v>77</v>
      </c>
      <c r="E75" s="30"/>
      <c r="F75" s="1417">
        <v>0</v>
      </c>
      <c r="G75" s="1417">
        <v>1097314112.99</v>
      </c>
      <c r="H75" s="1417">
        <v>0</v>
      </c>
      <c r="I75" s="1417">
        <v>0</v>
      </c>
      <c r="J75" s="24">
        <f t="shared" si="7"/>
        <v>1097314112.99</v>
      </c>
      <c r="K75" s="821">
        <f t="shared" si="6"/>
        <v>0</v>
      </c>
      <c r="V75">
        <v>0</v>
      </c>
      <c r="W75">
        <v>1097314112.99</v>
      </c>
      <c r="X75">
        <v>0</v>
      </c>
      <c r="Y75">
        <v>0</v>
      </c>
    </row>
    <row r="76" spans="1:25" ht="15">
      <c r="A76" s="8"/>
      <c r="B76" s="17">
        <f t="shared" si="4"/>
        <v>28</v>
      </c>
      <c r="C76" s="1" t="s">
        <v>78</v>
      </c>
      <c r="D76" s="1" t="s">
        <v>79</v>
      </c>
      <c r="E76" s="17"/>
      <c r="F76" s="1417">
        <v>0</v>
      </c>
      <c r="G76" s="1417">
        <v>0</v>
      </c>
      <c r="H76" s="1417">
        <v>336239857.38</v>
      </c>
      <c r="I76" s="1417">
        <v>0</v>
      </c>
      <c r="J76" s="24">
        <f t="shared" si="7"/>
        <v>336239857.38</v>
      </c>
      <c r="K76" s="821">
        <f t="shared" si="6"/>
        <v>0</v>
      </c>
      <c r="V76">
        <v>0</v>
      </c>
      <c r="W76">
        <v>0</v>
      </c>
      <c r="X76">
        <v>336239857.38</v>
      </c>
      <c r="Y76">
        <v>0</v>
      </c>
    </row>
    <row r="77" spans="1:25" ht="14.25">
      <c r="A77" s="1"/>
      <c r="B77" s="17">
        <f t="shared" si="4"/>
        <v>29</v>
      </c>
      <c r="C77" s="1" t="s">
        <v>80</v>
      </c>
      <c r="D77" s="1" t="s">
        <v>81</v>
      </c>
      <c r="E77" s="17"/>
      <c r="F77" s="1417">
        <v>0</v>
      </c>
      <c r="G77" s="1417">
        <v>75069053.349999994</v>
      </c>
      <c r="H77" s="1417">
        <v>0</v>
      </c>
      <c r="I77" s="1417">
        <v>0</v>
      </c>
      <c r="J77" s="24">
        <f t="shared" si="7"/>
        <v>75069053.349999994</v>
      </c>
      <c r="K77" s="821">
        <f t="shared" si="6"/>
        <v>0</v>
      </c>
      <c r="V77">
        <v>0</v>
      </c>
      <c r="W77">
        <v>75069053.349999994</v>
      </c>
      <c r="X77">
        <v>0</v>
      </c>
      <c r="Y77">
        <v>0</v>
      </c>
    </row>
    <row r="78" spans="1:25" ht="15">
      <c r="A78" s="8"/>
      <c r="B78" s="17">
        <f t="shared" si="4"/>
        <v>30</v>
      </c>
      <c r="C78" s="1" t="s">
        <v>82</v>
      </c>
      <c r="D78" s="1" t="s">
        <v>83</v>
      </c>
      <c r="E78" s="17"/>
      <c r="F78" s="1417">
        <v>0</v>
      </c>
      <c r="G78" s="1417">
        <v>0</v>
      </c>
      <c r="H78" s="1417">
        <v>0</v>
      </c>
      <c r="I78" s="1417">
        <v>0</v>
      </c>
      <c r="J78" s="24">
        <f t="shared" si="7"/>
        <v>0</v>
      </c>
      <c r="K78" s="821">
        <f t="shared" si="6"/>
        <v>0</v>
      </c>
      <c r="V78">
        <v>0</v>
      </c>
      <c r="W78">
        <v>0</v>
      </c>
      <c r="X78">
        <v>0</v>
      </c>
      <c r="Y78">
        <v>0</v>
      </c>
    </row>
    <row r="79" spans="1:25" ht="14.25">
      <c r="A79" s="1"/>
      <c r="B79" s="17">
        <f t="shared" si="4"/>
        <v>31</v>
      </c>
      <c r="C79" s="1" t="s">
        <v>84</v>
      </c>
      <c r="D79" s="1" t="s">
        <v>88</v>
      </c>
      <c r="E79" s="17"/>
      <c r="F79" s="1418">
        <v>0</v>
      </c>
      <c r="G79" s="1418">
        <v>372032656.80000001</v>
      </c>
      <c r="H79" s="1418">
        <v>0</v>
      </c>
      <c r="I79" s="1418">
        <v>0</v>
      </c>
      <c r="J79" s="24">
        <f t="shared" si="7"/>
        <v>372032656.80000001</v>
      </c>
      <c r="K79" s="821">
        <f t="shared" si="6"/>
        <v>0</v>
      </c>
      <c r="V79">
        <v>0</v>
      </c>
      <c r="W79">
        <v>372032656.80000001</v>
      </c>
      <c r="X79">
        <v>0</v>
      </c>
      <c r="Y79">
        <v>0</v>
      </c>
    </row>
    <row r="80" spans="1:11" ht="14.25">
      <c r="A80" s="1"/>
      <c r="B80" s="17"/>
      <c r="C80" s="1"/>
      <c r="D80" s="1"/>
      <c r="E80" s="17"/>
      <c r="F80" s="778"/>
      <c r="G80" s="778"/>
      <c r="H80" s="778"/>
      <c r="I80" s="778"/>
      <c r="J80" s="24"/>
      <c r="K80" s="821">
        <f t="shared" si="6"/>
        <v>0</v>
      </c>
    </row>
    <row r="81" spans="1:11" ht="14.25">
      <c r="A81" s="1"/>
      <c r="B81" s="17"/>
      <c r="C81" s="1"/>
      <c r="D81" s="1"/>
      <c r="E81" s="17"/>
      <c r="F81" s="778"/>
      <c r="G81" s="778"/>
      <c r="H81" s="778"/>
      <c r="I81" s="778"/>
      <c r="J81" s="24"/>
      <c r="K81" s="821">
        <f t="shared" si="6"/>
        <v>0</v>
      </c>
    </row>
    <row r="82" spans="1:11" ht="15">
      <c r="A82" s="1"/>
      <c r="B82" s="17">
        <f t="shared" si="8" ref="B82:B107">B81+1</f>
        <v>1</v>
      </c>
      <c r="C82" s="34" t="s">
        <v>89</v>
      </c>
      <c r="D82" s="8"/>
      <c r="E82" s="1135" t="s">
        <v>90</v>
      </c>
      <c r="F82" s="1408"/>
      <c r="G82" s="1408"/>
      <c r="H82" s="1408"/>
      <c r="I82" s="1407"/>
      <c r="J82" s="24"/>
      <c r="K82" s="821">
        <f t="shared" si="9" ref="K82:K113">J82-SUM(F82:I82)</f>
        <v>0</v>
      </c>
    </row>
    <row r="83" spans="1:25" ht="14.25">
      <c r="A83" s="1"/>
      <c r="B83" s="17">
        <f t="shared" si="8"/>
        <v>2</v>
      </c>
      <c r="C83" s="1" t="s">
        <v>91</v>
      </c>
      <c r="D83" s="1" t="s">
        <v>40</v>
      </c>
      <c r="E83" s="17"/>
      <c r="F83" s="1419">
        <v>7795889.0599999996</v>
      </c>
      <c r="G83" s="1419">
        <v>19410065.620000001</v>
      </c>
      <c r="H83" s="1419">
        <v>3908190.4500000002</v>
      </c>
      <c r="I83" s="1419">
        <v>2557941.0099999998</v>
      </c>
      <c r="J83" s="24">
        <f t="shared" si="10" ref="J83:J119">SUM(F83:I83)</f>
        <v>33672086.140000001</v>
      </c>
      <c r="K83" s="821">
        <f t="shared" si="9"/>
        <v>0</v>
      </c>
      <c r="V83">
        <v>7795889.0599999996</v>
      </c>
      <c r="W83">
        <v>19410065.620000001</v>
      </c>
      <c r="X83">
        <v>3908190.4500000002</v>
      </c>
      <c r="Y83">
        <v>2557941.0099999998</v>
      </c>
    </row>
    <row r="84" spans="1:25" ht="14.25">
      <c r="A84" s="1"/>
      <c r="B84" s="17">
        <f t="shared" si="8"/>
        <v>3</v>
      </c>
      <c r="C84" s="1" t="s">
        <v>92</v>
      </c>
      <c r="D84" s="1" t="s">
        <v>42</v>
      </c>
      <c r="E84" s="17"/>
      <c r="F84" s="1420">
        <v>60493.900000000001</v>
      </c>
      <c r="G84" s="1420">
        <v>78748.830000000002</v>
      </c>
      <c r="H84" s="1420">
        <v>3342.98</v>
      </c>
      <c r="I84" s="1420">
        <v>12.49</v>
      </c>
      <c r="J84" s="24">
        <f t="shared" si="10"/>
        <v>142598.20000000001</v>
      </c>
      <c r="K84" s="821">
        <f t="shared" si="9"/>
        <v>0</v>
      </c>
      <c r="V84">
        <v>60493.900000000001</v>
      </c>
      <c r="W84">
        <v>78748.830000000002</v>
      </c>
      <c r="X84">
        <v>3342.98</v>
      </c>
      <c r="Y84">
        <v>12.49</v>
      </c>
    </row>
    <row r="85" spans="1:25" ht="14.25">
      <c r="A85" s="1"/>
      <c r="B85" s="17">
        <f t="shared" si="8"/>
        <v>4</v>
      </c>
      <c r="C85" s="1" t="s">
        <v>93</v>
      </c>
      <c r="D85" s="1" t="s">
        <v>44</v>
      </c>
      <c r="E85" s="17"/>
      <c r="F85" s="1420">
        <v>80530915.359999999</v>
      </c>
      <c r="G85" s="1420">
        <v>141498136</v>
      </c>
      <c r="H85" s="1420">
        <v>24868885.27</v>
      </c>
      <c r="I85" s="1420">
        <v>13542694.41</v>
      </c>
      <c r="J85" s="24">
        <f t="shared" si="10"/>
        <v>260440631.04000002</v>
      </c>
      <c r="K85" s="821">
        <f t="shared" si="9"/>
        <v>0</v>
      </c>
      <c r="V85">
        <v>80530915.359999999</v>
      </c>
      <c r="W85">
        <v>141498136</v>
      </c>
      <c r="X85">
        <v>24868885.27</v>
      </c>
      <c r="Y85">
        <v>13542694.41</v>
      </c>
    </row>
    <row r="86" spans="1:25" ht="14.25">
      <c r="A86" s="1"/>
      <c r="B86" s="17">
        <f t="shared" si="8"/>
        <v>5</v>
      </c>
      <c r="C86" s="1" t="s">
        <v>94</v>
      </c>
      <c r="D86" s="1" t="s">
        <v>95</v>
      </c>
      <c r="E86" s="17"/>
      <c r="F86" s="1420">
        <v>77149137.980000004</v>
      </c>
      <c r="G86" s="1420">
        <v>96093234.140000001</v>
      </c>
      <c r="H86" s="1420">
        <v>66950477.740000002</v>
      </c>
      <c r="I86" s="1420">
        <v>84000108.049999997</v>
      </c>
      <c r="J86" s="24">
        <f t="shared" si="10"/>
        <v>324192957.91000003</v>
      </c>
      <c r="K86" s="821">
        <f t="shared" si="9"/>
        <v>0</v>
      </c>
      <c r="V86">
        <v>77149137.980000004</v>
      </c>
      <c r="W86">
        <v>96093234.140000001</v>
      </c>
      <c r="X86">
        <v>66950477.740000002</v>
      </c>
      <c r="Y86">
        <v>84000108.049999997</v>
      </c>
    </row>
    <row r="87" spans="1:25" ht="14.25">
      <c r="A87" s="1"/>
      <c r="B87" s="17">
        <f t="shared" si="8"/>
        <v>6</v>
      </c>
      <c r="C87" s="1" t="s">
        <v>96</v>
      </c>
      <c r="D87" s="1" t="s">
        <v>98</v>
      </c>
      <c r="E87" s="17"/>
      <c r="F87" s="1420">
        <v>10146632.609999999</v>
      </c>
      <c r="G87" s="1420">
        <v>12716429.41</v>
      </c>
      <c r="H87" s="1420">
        <v>0</v>
      </c>
      <c r="I87" s="1420">
        <v>0</v>
      </c>
      <c r="J87" s="24">
        <f t="shared" si="10"/>
        <v>22863062.02</v>
      </c>
      <c r="K87" s="821">
        <f t="shared" si="9"/>
        <v>0</v>
      </c>
      <c r="V87">
        <v>10146632.609999999</v>
      </c>
      <c r="W87">
        <v>12716429.41</v>
      </c>
      <c r="X87">
        <v>0</v>
      </c>
      <c r="Y87">
        <v>0</v>
      </c>
    </row>
    <row r="88" spans="1:25" ht="14.25">
      <c r="A88" s="1"/>
      <c r="B88" s="17">
        <f t="shared" si="8"/>
        <v>7</v>
      </c>
      <c r="C88" s="1" t="s">
        <v>99</v>
      </c>
      <c r="D88" s="1" t="s">
        <v>100</v>
      </c>
      <c r="E88" s="17"/>
      <c r="F88" s="1420">
        <v>1193181.8300000001</v>
      </c>
      <c r="G88" s="1420">
        <v>3228206.2200000002</v>
      </c>
      <c r="H88" s="1420">
        <v>575148.54000000004</v>
      </c>
      <c r="I88" s="1420">
        <v>0</v>
      </c>
      <c r="J88" s="24">
        <f t="shared" si="10"/>
        <v>4996536.5900000008</v>
      </c>
      <c r="K88" s="821">
        <f t="shared" si="9"/>
        <v>0</v>
      </c>
      <c r="V88">
        <v>1193181.8300000001</v>
      </c>
      <c r="W88">
        <v>3228206.2200000002</v>
      </c>
      <c r="X88">
        <v>575148.54000000004</v>
      </c>
      <c r="Y88">
        <v>0</v>
      </c>
    </row>
    <row r="89" spans="1:25" ht="14.25">
      <c r="A89" s="1"/>
      <c r="B89" s="17">
        <f t="shared" si="8"/>
        <v>8</v>
      </c>
      <c r="C89" s="1" t="s">
        <v>101</v>
      </c>
      <c r="D89" s="1" t="s">
        <v>102</v>
      </c>
      <c r="E89" s="17"/>
      <c r="F89" s="1420">
        <v>14877076.029999999</v>
      </c>
      <c r="G89" s="1420">
        <v>25982536.489999998</v>
      </c>
      <c r="H89" s="1420">
        <v>2568972.02</v>
      </c>
      <c r="I89" s="1420">
        <v>0</v>
      </c>
      <c r="J89" s="24">
        <f t="shared" si="10"/>
        <v>43428584.539999999</v>
      </c>
      <c r="K89" s="821">
        <f t="shared" si="9"/>
        <v>0</v>
      </c>
      <c r="V89">
        <v>14877076.029999999</v>
      </c>
      <c r="W89">
        <v>25982536.489999998</v>
      </c>
      <c r="X89">
        <v>2568972.02</v>
      </c>
      <c r="Y89">
        <v>0</v>
      </c>
    </row>
    <row r="90" spans="1:25" ht="14.25">
      <c r="A90" s="1"/>
      <c r="B90" s="17">
        <f t="shared" si="8"/>
        <v>9</v>
      </c>
      <c r="C90" s="1" t="s">
        <v>103</v>
      </c>
      <c r="D90" s="1" t="s">
        <v>104</v>
      </c>
      <c r="E90" s="17"/>
      <c r="F90" s="1420">
        <v>30439015.969999999</v>
      </c>
      <c r="G90" s="1420">
        <v>17734119.199999999</v>
      </c>
      <c r="H90" s="1420">
        <v>3737188.5699999998</v>
      </c>
      <c r="I90" s="1420">
        <v>0</v>
      </c>
      <c r="J90" s="24">
        <f t="shared" si="10"/>
        <v>51910323.740000002</v>
      </c>
      <c r="K90" s="821">
        <f t="shared" si="9"/>
        <v>0</v>
      </c>
      <c r="V90">
        <v>30439015.969999999</v>
      </c>
      <c r="W90">
        <v>17734119.199999999</v>
      </c>
      <c r="X90">
        <v>3737188.5699999998</v>
      </c>
      <c r="Y90">
        <v>0</v>
      </c>
    </row>
    <row r="91" spans="1:25" ht="14.25">
      <c r="A91" s="1"/>
      <c r="B91" s="17">
        <f t="shared" si="8"/>
        <v>10</v>
      </c>
      <c r="C91" s="1" t="s">
        <v>105</v>
      </c>
      <c r="D91" s="1" t="s">
        <v>106</v>
      </c>
      <c r="E91" s="17"/>
      <c r="F91" s="1420">
        <v>4340670.75</v>
      </c>
      <c r="G91" s="1420">
        <v>7626625.3200000003</v>
      </c>
      <c r="H91" s="1420">
        <v>930590.34999999998</v>
      </c>
      <c r="I91" s="1420">
        <v>0</v>
      </c>
      <c r="J91" s="24">
        <f t="shared" si="10"/>
        <v>12897886.42</v>
      </c>
      <c r="K91" s="821">
        <f t="shared" si="9"/>
        <v>0</v>
      </c>
      <c r="V91">
        <v>4340670.75</v>
      </c>
      <c r="W91">
        <v>7626625.3200000003</v>
      </c>
      <c r="X91">
        <v>930590.34999999998</v>
      </c>
      <c r="Y91">
        <v>0</v>
      </c>
    </row>
    <row r="92" spans="1:25" ht="15">
      <c r="A92" s="1"/>
      <c r="B92" s="17">
        <f t="shared" si="8"/>
        <v>11</v>
      </c>
      <c r="C92" s="1" t="s">
        <v>107</v>
      </c>
      <c r="D92" s="1" t="s">
        <v>108</v>
      </c>
      <c r="E92" s="1135" t="s">
        <v>109</v>
      </c>
      <c r="F92" s="1420">
        <v>81760693.299999997</v>
      </c>
      <c r="G92" s="1420">
        <v>61337953.159999996</v>
      </c>
      <c r="H92" s="1420">
        <v>45688861.039999999</v>
      </c>
      <c r="I92" s="1420">
        <v>1554894.4199999999</v>
      </c>
      <c r="J92" s="24">
        <f t="shared" si="10"/>
        <v>190342401.91999996</v>
      </c>
      <c r="K92" s="821">
        <f t="shared" si="9"/>
        <v>0</v>
      </c>
      <c r="V92">
        <v>81760693.299999997</v>
      </c>
      <c r="W92">
        <v>61337953.159999996</v>
      </c>
      <c r="X92">
        <v>45688861.039999999</v>
      </c>
      <c r="Y92">
        <v>1554894.4199999999</v>
      </c>
    </row>
    <row r="93" spans="1:25" ht="14.25">
      <c r="A93" s="1"/>
      <c r="B93" s="17">
        <f t="shared" si="8"/>
        <v>12</v>
      </c>
      <c r="C93" s="1" t="s">
        <v>110</v>
      </c>
      <c r="D93" s="1" t="s">
        <v>111</v>
      </c>
      <c r="E93" s="17"/>
      <c r="F93" s="1420">
        <v>5820094.3200000003</v>
      </c>
      <c r="G93" s="1420">
        <v>5763893.6799999997</v>
      </c>
      <c r="H93" s="1420">
        <v>1183825.6899999999</v>
      </c>
      <c r="I93" s="1420">
        <v>0</v>
      </c>
      <c r="J93" s="24">
        <f t="shared" si="10"/>
        <v>12767813.69</v>
      </c>
      <c r="K93" s="821">
        <f t="shared" si="9"/>
        <v>0</v>
      </c>
      <c r="V93">
        <v>5820094.3200000003</v>
      </c>
      <c r="W93">
        <v>5763893.6799999997</v>
      </c>
      <c r="X93">
        <v>1183825.6899999999</v>
      </c>
      <c r="Y93">
        <v>0</v>
      </c>
    </row>
    <row r="94" spans="1:25" ht="14.25">
      <c r="A94" s="1"/>
      <c r="B94" s="17">
        <f t="shared" si="8"/>
        <v>13</v>
      </c>
      <c r="C94" s="1" t="s">
        <v>112</v>
      </c>
      <c r="D94" s="1" t="s">
        <v>113</v>
      </c>
      <c r="E94" s="17"/>
      <c r="F94" s="1421">
        <v>0</v>
      </c>
      <c r="G94" s="1421">
        <v>0</v>
      </c>
      <c r="H94" s="1421">
        <v>0</v>
      </c>
      <c r="I94" s="1421">
        <v>0</v>
      </c>
      <c r="J94" s="24">
        <f t="shared" si="10"/>
        <v>0</v>
      </c>
      <c r="K94" s="821">
        <f t="shared" si="9"/>
        <v>0</v>
      </c>
      <c r="V94">
        <v>0</v>
      </c>
      <c r="W94">
        <v>0</v>
      </c>
      <c r="X94">
        <v>0</v>
      </c>
      <c r="Y94">
        <v>0</v>
      </c>
    </row>
    <row r="95" spans="1:11" ht="15">
      <c r="A95" s="1"/>
      <c r="B95" s="17">
        <f t="shared" si="8"/>
        <v>14</v>
      </c>
      <c r="C95" s="8" t="s">
        <v>114</v>
      </c>
      <c r="D95" s="8"/>
      <c r="E95" s="1135"/>
      <c r="F95" s="1408"/>
      <c r="G95" s="1408"/>
      <c r="H95" s="1408"/>
      <c r="I95" s="1407"/>
      <c r="J95" s="24">
        <f t="shared" si="10"/>
        <v>0</v>
      </c>
      <c r="K95" s="821">
        <f t="shared" si="9"/>
        <v>0</v>
      </c>
    </row>
    <row r="96" spans="1:25" ht="15">
      <c r="A96" s="1"/>
      <c r="B96" s="17">
        <f t="shared" si="8"/>
        <v>15</v>
      </c>
      <c r="C96" s="1" t="s">
        <v>91</v>
      </c>
      <c r="D96" s="1" t="s">
        <v>40</v>
      </c>
      <c r="E96" s="1135"/>
      <c r="F96" s="1419">
        <v>0</v>
      </c>
      <c r="G96" s="1419">
        <v>0</v>
      </c>
      <c r="H96" s="1419">
        <v>0</v>
      </c>
      <c r="I96" s="1419">
        <v>0</v>
      </c>
      <c r="J96" s="24">
        <f t="shared" si="10"/>
        <v>0</v>
      </c>
      <c r="K96" s="821">
        <f t="shared" si="9"/>
        <v>0</v>
      </c>
      <c r="V96">
        <v>0</v>
      </c>
      <c r="W96">
        <v>0</v>
      </c>
      <c r="X96">
        <v>0</v>
      </c>
      <c r="Y96">
        <v>0</v>
      </c>
    </row>
    <row r="97" spans="1:25" ht="15">
      <c r="A97" s="1"/>
      <c r="B97" s="17">
        <f t="shared" si="8"/>
        <v>16</v>
      </c>
      <c r="C97" s="1" t="s">
        <v>92</v>
      </c>
      <c r="D97" s="1" t="s">
        <v>42</v>
      </c>
      <c r="E97" s="1135"/>
      <c r="F97" s="1420">
        <v>10107.889999999999</v>
      </c>
      <c r="G97" s="1420">
        <v>13158.09</v>
      </c>
      <c r="H97" s="1420">
        <v>558.58000000000004</v>
      </c>
      <c r="I97" s="1420">
        <v>2.0899999999999999</v>
      </c>
      <c r="J97" s="24">
        <f t="shared" si="10"/>
        <v>23826.650000000001</v>
      </c>
      <c r="K97" s="821">
        <f t="shared" si="9"/>
        <v>0</v>
      </c>
      <c r="V97">
        <v>10107.889999999999</v>
      </c>
      <c r="W97">
        <v>13158.09</v>
      </c>
      <c r="X97">
        <v>558.58000000000004</v>
      </c>
      <c r="Y97">
        <v>2.0899999999999999</v>
      </c>
    </row>
    <row r="98" spans="1:25" ht="15">
      <c r="A98" s="1"/>
      <c r="B98" s="17">
        <f t="shared" si="8"/>
        <v>17</v>
      </c>
      <c r="C98" s="1" t="s">
        <v>93</v>
      </c>
      <c r="D98" s="1" t="s">
        <v>44</v>
      </c>
      <c r="E98" s="1135"/>
      <c r="F98" s="1420">
        <v>6701895.4199999999</v>
      </c>
      <c r="G98" s="1420">
        <v>11904359.49</v>
      </c>
      <c r="H98" s="1420">
        <v>2097789.6299999999</v>
      </c>
      <c r="I98" s="1420">
        <v>1141161.6499999999</v>
      </c>
      <c r="J98" s="24">
        <f t="shared" si="10"/>
        <v>21845206.189999998</v>
      </c>
      <c r="K98" s="821">
        <f t="shared" si="9"/>
        <v>0</v>
      </c>
      <c r="V98">
        <v>6701895.4199999999</v>
      </c>
      <c r="W98">
        <v>11904359.49</v>
      </c>
      <c r="X98">
        <v>2097789.6299999999</v>
      </c>
      <c r="Y98">
        <v>1141161.6499999999</v>
      </c>
    </row>
    <row r="99" spans="1:25" ht="15">
      <c r="A99" s="1"/>
      <c r="B99" s="17">
        <f t="shared" si="8"/>
        <v>18</v>
      </c>
      <c r="C99" s="1" t="s">
        <v>94</v>
      </c>
      <c r="D99" s="1" t="s">
        <v>95</v>
      </c>
      <c r="E99" s="1135"/>
      <c r="F99" s="1420">
        <v>33976470.280000001</v>
      </c>
      <c r="G99" s="1420">
        <v>43244355.240000002</v>
      </c>
      <c r="H99" s="1420">
        <v>37302658.030000001</v>
      </c>
      <c r="I99" s="1420">
        <v>40970025.210000001</v>
      </c>
      <c r="J99" s="24">
        <f t="shared" si="10"/>
        <v>155493508.76000002</v>
      </c>
      <c r="K99" s="821">
        <f t="shared" si="9"/>
        <v>0</v>
      </c>
      <c r="V99">
        <v>33976470.280000001</v>
      </c>
      <c r="W99">
        <v>43244355.240000002</v>
      </c>
      <c r="X99">
        <v>37302658.030000001</v>
      </c>
      <c r="Y99">
        <v>40970025.210000001</v>
      </c>
    </row>
    <row r="100" spans="1:25" ht="15">
      <c r="A100" s="1"/>
      <c r="B100" s="17">
        <f t="shared" si="8"/>
        <v>19</v>
      </c>
      <c r="C100" s="1" t="s">
        <v>96</v>
      </c>
      <c r="D100" s="1" t="s">
        <v>98</v>
      </c>
      <c r="E100" s="1135"/>
      <c r="F100" s="1420">
        <v>1936739.25</v>
      </c>
      <c r="G100" s="1420">
        <v>2889835.1699999999</v>
      </c>
      <c r="H100" s="1420">
        <v>0</v>
      </c>
      <c r="I100" s="1420">
        <v>0</v>
      </c>
      <c r="J100" s="24">
        <f t="shared" si="10"/>
        <v>4826574.4199999999</v>
      </c>
      <c r="K100" s="821">
        <f t="shared" si="9"/>
        <v>0</v>
      </c>
      <c r="V100">
        <v>1936739.25</v>
      </c>
      <c r="W100">
        <v>2889835.1699999999</v>
      </c>
      <c r="X100">
        <v>0</v>
      </c>
      <c r="Y100">
        <v>0</v>
      </c>
    </row>
    <row r="101" spans="1:25" ht="15">
      <c r="A101" s="1"/>
      <c r="B101" s="17">
        <f t="shared" si="8"/>
        <v>20</v>
      </c>
      <c r="C101" s="1" t="s">
        <v>99</v>
      </c>
      <c r="D101" s="1" t="s">
        <v>100</v>
      </c>
      <c r="E101" s="1135"/>
      <c r="F101" s="1420">
        <v>237481.10000000001</v>
      </c>
      <c r="G101" s="1420">
        <v>642515.64000000001</v>
      </c>
      <c r="H101" s="1420">
        <v>114472.84</v>
      </c>
      <c r="I101" s="1420">
        <v>0</v>
      </c>
      <c r="J101" s="24">
        <f t="shared" si="10"/>
        <v>994469.57999999996</v>
      </c>
      <c r="K101" s="821">
        <f t="shared" si="9"/>
        <v>0</v>
      </c>
      <c r="V101">
        <v>237481.10000000001</v>
      </c>
      <c r="W101">
        <v>642515.64000000001</v>
      </c>
      <c r="X101">
        <v>114472.84</v>
      </c>
      <c r="Y101">
        <v>0</v>
      </c>
    </row>
    <row r="102" spans="1:25" ht="15">
      <c r="A102" s="1"/>
      <c r="B102" s="17">
        <f t="shared" si="8"/>
        <v>21</v>
      </c>
      <c r="C102" s="1" t="s">
        <v>101</v>
      </c>
      <c r="D102" s="1" t="s">
        <v>102</v>
      </c>
      <c r="E102" s="1135"/>
      <c r="F102" s="1420">
        <v>5850179.9900000002</v>
      </c>
      <c r="G102" s="1420">
        <v>10062139.470000001</v>
      </c>
      <c r="H102" s="1420">
        <v>959169.15000000002</v>
      </c>
      <c r="I102" s="1420">
        <v>0</v>
      </c>
      <c r="J102" s="24">
        <f t="shared" si="10"/>
        <v>16871488.609999999</v>
      </c>
      <c r="K102" s="821">
        <f t="shared" si="9"/>
        <v>0</v>
      </c>
      <c r="V102">
        <v>5850179.9900000002</v>
      </c>
      <c r="W102">
        <v>10062139.470000001</v>
      </c>
      <c r="X102">
        <v>959169.15000000002</v>
      </c>
      <c r="Y102">
        <v>0</v>
      </c>
    </row>
    <row r="103" spans="1:25" ht="15">
      <c r="A103" s="1"/>
      <c r="B103" s="17">
        <f t="shared" si="8"/>
        <v>22</v>
      </c>
      <c r="C103" s="1" t="s">
        <v>103</v>
      </c>
      <c r="D103" s="1" t="s">
        <v>104</v>
      </c>
      <c r="E103" s="1135"/>
      <c r="F103" s="1420">
        <v>4825932.71</v>
      </c>
      <c r="G103" s="1420">
        <v>2811643.6499999999</v>
      </c>
      <c r="H103" s="1420">
        <v>592509.96999999997</v>
      </c>
      <c r="I103" s="1420">
        <v>0</v>
      </c>
      <c r="J103" s="24">
        <f t="shared" si="10"/>
        <v>8230086.3299999991</v>
      </c>
      <c r="K103" s="821">
        <f t="shared" si="9"/>
        <v>0</v>
      </c>
      <c r="V103">
        <v>4825932.71</v>
      </c>
      <c r="W103">
        <v>2811643.6499999999</v>
      </c>
      <c r="X103">
        <v>592509.96999999997</v>
      </c>
      <c r="Y103">
        <v>0</v>
      </c>
    </row>
    <row r="104" spans="1:25" ht="15">
      <c r="A104" s="1"/>
      <c r="B104" s="17">
        <f t="shared" si="8"/>
        <v>23</v>
      </c>
      <c r="C104" s="1" t="s">
        <v>105</v>
      </c>
      <c r="D104" s="1" t="s">
        <v>106</v>
      </c>
      <c r="E104" s="1135"/>
      <c r="F104" s="1420">
        <v>1344996.8899999999</v>
      </c>
      <c r="G104" s="1420">
        <v>2373053.8799999999</v>
      </c>
      <c r="H104" s="1420">
        <v>289556.78000000003</v>
      </c>
      <c r="I104" s="1420">
        <v>0</v>
      </c>
      <c r="J104" s="24">
        <f t="shared" si="10"/>
        <v>4007607.5499999998</v>
      </c>
      <c r="K104" s="821">
        <f t="shared" si="9"/>
        <v>0</v>
      </c>
      <c r="V104">
        <v>1344996.8899999999</v>
      </c>
      <c r="W104">
        <v>2373053.8799999999</v>
      </c>
      <c r="X104">
        <v>289556.78000000003</v>
      </c>
      <c r="Y104">
        <v>0</v>
      </c>
    </row>
    <row r="105" spans="1:25" ht="15">
      <c r="A105" s="1"/>
      <c r="B105" s="17">
        <f t="shared" si="8"/>
        <v>24</v>
      </c>
      <c r="C105" s="1" t="s">
        <v>107</v>
      </c>
      <c r="D105" s="1" t="s">
        <v>108</v>
      </c>
      <c r="E105" s="1135"/>
      <c r="F105" s="1420">
        <v>11568805.460000001</v>
      </c>
      <c r="G105" s="1420">
        <v>7510868.3600000003</v>
      </c>
      <c r="H105" s="1420">
        <v>42151878.130000003</v>
      </c>
      <c r="I105" s="1420">
        <v>274004.38</v>
      </c>
      <c r="J105" s="24">
        <f t="shared" si="10"/>
        <v>61505556.330000006</v>
      </c>
      <c r="K105" s="821">
        <f t="shared" si="9"/>
        <v>0</v>
      </c>
      <c r="V105">
        <v>11568805.460000001</v>
      </c>
      <c r="W105">
        <v>7510868.3600000003</v>
      </c>
      <c r="X105">
        <v>42151878.130000003</v>
      </c>
      <c r="Y105">
        <v>274004.38</v>
      </c>
    </row>
    <row r="106" spans="1:25" ht="15">
      <c r="A106" s="1"/>
      <c r="B106" s="17">
        <f t="shared" si="8"/>
        <v>25</v>
      </c>
      <c r="C106" s="1" t="s">
        <v>110</v>
      </c>
      <c r="D106" s="1" t="s">
        <v>111</v>
      </c>
      <c r="E106" s="1135"/>
      <c r="F106" s="1420">
        <v>574284.68999999994</v>
      </c>
      <c r="G106" s="1420">
        <v>565246.04000000004</v>
      </c>
      <c r="H106" s="1420">
        <v>116093.88000000001</v>
      </c>
      <c r="I106" s="1420">
        <v>0</v>
      </c>
      <c r="J106" s="24">
        <f t="shared" si="10"/>
        <v>1255624.6099999999</v>
      </c>
      <c r="K106" s="821">
        <f t="shared" si="9"/>
        <v>0</v>
      </c>
      <c r="V106">
        <v>574284.68999999994</v>
      </c>
      <c r="W106">
        <v>565246.04000000004</v>
      </c>
      <c r="X106">
        <v>116093.88000000001</v>
      </c>
      <c r="Y106">
        <v>0</v>
      </c>
    </row>
    <row r="107" spans="1:25" ht="15">
      <c r="A107" s="8"/>
      <c r="B107" s="17">
        <f t="shared" si="8"/>
        <v>26</v>
      </c>
      <c r="C107" s="1" t="s">
        <v>112</v>
      </c>
      <c r="D107" s="1" t="s">
        <v>113</v>
      </c>
      <c r="E107" s="1135"/>
      <c r="F107" s="1421">
        <v>0</v>
      </c>
      <c r="G107" s="1421">
        <v>0</v>
      </c>
      <c r="H107" s="1421">
        <v>0</v>
      </c>
      <c r="I107" s="1421">
        <v>0</v>
      </c>
      <c r="J107" s="24">
        <f t="shared" si="10"/>
        <v>0</v>
      </c>
      <c r="K107" s="821">
        <f t="shared" si="9"/>
        <v>0</v>
      </c>
      <c r="V107">
        <v>0</v>
      </c>
      <c r="W107">
        <v>0</v>
      </c>
      <c r="X107">
        <v>0</v>
      </c>
      <c r="Y107">
        <v>0</v>
      </c>
    </row>
    <row r="108" spans="1:11" ht="15">
      <c r="A108" s="8"/>
      <c r="B108" s="17"/>
      <c r="C108" s="1"/>
      <c r="D108" s="1"/>
      <c r="E108" s="1135"/>
      <c r="F108" s="1408"/>
      <c r="G108" s="1408"/>
      <c r="H108" s="1408"/>
      <c r="I108" s="1408"/>
      <c r="J108" s="24"/>
      <c r="K108" s="821">
        <f t="shared" si="9"/>
        <v>0</v>
      </c>
    </row>
    <row r="109" spans="1:11" ht="15">
      <c r="A109" s="8"/>
      <c r="B109" s="17"/>
      <c r="C109" s="1"/>
      <c r="D109" s="1"/>
      <c r="E109" s="1135"/>
      <c r="F109" s="1408"/>
      <c r="G109" s="1408"/>
      <c r="H109" s="1408"/>
      <c r="I109" s="1408"/>
      <c r="J109" s="24"/>
      <c r="K109" s="821">
        <f t="shared" si="9"/>
        <v>0</v>
      </c>
    </row>
    <row r="110" spans="1:11" ht="15">
      <c r="A110" s="1"/>
      <c r="B110" s="17">
        <f t="shared" si="11" ref="B110:B118">B109+1</f>
        <v>1</v>
      </c>
      <c r="C110" s="35" t="s">
        <v>115</v>
      </c>
      <c r="D110" s="36"/>
      <c r="E110" s="897"/>
      <c r="F110" s="1411"/>
      <c r="G110" s="1412"/>
      <c r="H110" s="1412"/>
      <c r="I110" s="1412"/>
      <c r="J110" s="24"/>
      <c r="K110" s="821">
        <f t="shared" si="9"/>
        <v>0</v>
      </c>
    </row>
    <row r="111" spans="1:25" ht="15">
      <c r="A111" s="8"/>
      <c r="B111" s="17">
        <f t="shared" si="11"/>
        <v>2</v>
      </c>
      <c r="C111" s="40">
        <v>107</v>
      </c>
      <c r="D111" s="42" t="s">
        <v>116</v>
      </c>
      <c r="E111" s="38" t="s">
        <v>117</v>
      </c>
      <c r="F111" s="1422">
        <v>0</v>
      </c>
      <c r="G111" s="1422">
        <v>0</v>
      </c>
      <c r="H111" s="1422">
        <v>0</v>
      </c>
      <c r="I111" s="1422">
        <v>0</v>
      </c>
      <c r="J111" s="24">
        <f t="shared" si="10"/>
        <v>0</v>
      </c>
      <c r="K111" s="821">
        <f t="shared" si="9"/>
        <v>0</v>
      </c>
      <c r="V111">
        <v>0</v>
      </c>
      <c r="W111">
        <v>0</v>
      </c>
      <c r="X111">
        <v>0</v>
      </c>
      <c r="Y111">
        <v>0</v>
      </c>
    </row>
    <row r="112" spans="1:25" ht="15">
      <c r="A112" s="1"/>
      <c r="B112" s="17">
        <f t="shared" si="11"/>
        <v>3</v>
      </c>
      <c r="C112" s="40">
        <v>105</v>
      </c>
      <c r="D112" s="42" t="s">
        <v>118</v>
      </c>
      <c r="E112" s="38" t="s">
        <v>119</v>
      </c>
      <c r="F112" s="1423">
        <v>21469068.16</v>
      </c>
      <c r="G112" s="1423">
        <v>1745979.3400000001</v>
      </c>
      <c r="H112" s="1423">
        <v>0</v>
      </c>
      <c r="I112" s="1423">
        <v>0</v>
      </c>
      <c r="J112" s="24">
        <f t="shared" si="10"/>
        <v>23215047.5</v>
      </c>
      <c r="K112" s="821">
        <f t="shared" si="9"/>
        <v>0</v>
      </c>
      <c r="V112">
        <v>21469068.16</v>
      </c>
      <c r="W112">
        <v>1745979.3400000001</v>
      </c>
      <c r="X112">
        <v>0</v>
      </c>
      <c r="Y112">
        <v>0</v>
      </c>
    </row>
    <row r="113" spans="1:25" ht="15">
      <c r="A113" s="8"/>
      <c r="B113" s="17">
        <f t="shared" si="11"/>
        <v>4</v>
      </c>
      <c r="C113" s="40">
        <v>154</v>
      </c>
      <c r="D113" s="42" t="s">
        <v>120</v>
      </c>
      <c r="E113" s="38" t="s">
        <v>121</v>
      </c>
      <c r="F113" s="1423">
        <v>70696776.709999993</v>
      </c>
      <c r="G113" s="1423">
        <v>64325002.539999999</v>
      </c>
      <c r="H113" s="1423">
        <v>91069.330000000002</v>
      </c>
      <c r="I113" s="1423">
        <v>0</v>
      </c>
      <c r="J113" s="24">
        <f t="shared" si="10"/>
        <v>135112848.58000001</v>
      </c>
      <c r="K113" s="821">
        <f t="shared" si="9"/>
        <v>0</v>
      </c>
      <c r="V113">
        <v>70696776.709999993</v>
      </c>
      <c r="W113">
        <v>64325002.539999999</v>
      </c>
      <c r="X113">
        <v>91069.330000000002</v>
      </c>
      <c r="Y113">
        <v>0</v>
      </c>
    </row>
    <row r="114" spans="1:25" ht="15">
      <c r="A114" s="8"/>
      <c r="B114" s="17">
        <f t="shared" si="11"/>
        <v>5</v>
      </c>
      <c r="C114" s="40">
        <v>163</v>
      </c>
      <c r="D114" s="42" t="s">
        <v>122</v>
      </c>
      <c r="E114" s="38" t="s">
        <v>121</v>
      </c>
      <c r="F114" s="1423">
        <v>6545776.4100000001</v>
      </c>
      <c r="G114" s="1423">
        <v>10365401.869999999</v>
      </c>
      <c r="H114" s="1423">
        <v>14714</v>
      </c>
      <c r="I114" s="1423">
        <v>0</v>
      </c>
      <c r="J114" s="24">
        <f t="shared" si="10"/>
        <v>16925892.280000001</v>
      </c>
      <c r="K114" s="821">
        <f t="shared" si="12" ref="K114:K118">J114-SUM(F114:I114)</f>
        <v>0</v>
      </c>
      <c r="V114">
        <v>6545776.4100000001</v>
      </c>
      <c r="W114">
        <v>10365401.869999999</v>
      </c>
      <c r="X114">
        <v>14714</v>
      </c>
      <c r="Y114">
        <v>0</v>
      </c>
    </row>
    <row r="115" spans="1:25" ht="15">
      <c r="A115" s="8"/>
      <c r="B115" s="17">
        <f t="shared" si="11"/>
        <v>6</v>
      </c>
      <c r="C115" s="40"/>
      <c r="D115" s="42" t="s">
        <v>123</v>
      </c>
      <c r="E115" s="38" t="s">
        <v>124</v>
      </c>
      <c r="F115" s="1423">
        <v>-56535861.520000003</v>
      </c>
      <c r="G115" s="1423">
        <v>-16695371.95999999</v>
      </c>
      <c r="H115" s="1423">
        <v>273938.61000000028</v>
      </c>
      <c r="I115" s="1423">
        <v>141339.77999998356</v>
      </c>
      <c r="J115" s="24">
        <f t="shared" si="10"/>
        <v>-72815955.090000004</v>
      </c>
      <c r="K115" s="821">
        <f t="shared" si="12"/>
        <v>0</v>
      </c>
      <c r="V115">
        <v>-56535861.520000003</v>
      </c>
      <c r="W115">
        <v>-16695371.95999999</v>
      </c>
      <c r="X115">
        <v>273938.61000000028</v>
      </c>
      <c r="Y115">
        <v>141339.77999998356</v>
      </c>
    </row>
    <row r="116" spans="1:25" ht="15">
      <c r="A116" s="8"/>
      <c r="B116" s="17">
        <f t="shared" si="11"/>
        <v>7</v>
      </c>
      <c r="C116" s="40">
        <v>165</v>
      </c>
      <c r="D116" s="42" t="s">
        <v>125</v>
      </c>
      <c r="E116" s="38" t="s">
        <v>126</v>
      </c>
      <c r="F116" s="1423">
        <v>10576723.424615383</v>
      </c>
      <c r="G116" s="1423">
        <v>100121671.99538463</v>
      </c>
      <c r="H116" s="1423">
        <v>3524809.17076923</v>
      </c>
      <c r="I116" s="1423">
        <v>930191.56999999855</v>
      </c>
      <c r="J116" s="24">
        <f t="shared" si="10"/>
        <v>115153396.16076924</v>
      </c>
      <c r="K116" s="821">
        <f t="shared" si="12"/>
        <v>0</v>
      </c>
      <c r="V116">
        <v>10576723.424615383</v>
      </c>
      <c r="W116">
        <v>100121671.99538463</v>
      </c>
      <c r="X116">
        <v>3524809.17076923</v>
      </c>
      <c r="Y116">
        <v>930191.56999999855</v>
      </c>
    </row>
    <row r="117" spans="1:25" ht="15">
      <c r="A117" s="8"/>
      <c r="B117" s="17">
        <f t="shared" si="11"/>
        <v>8</v>
      </c>
      <c r="C117" s="690">
        <v>114</v>
      </c>
      <c r="D117" s="730" t="s">
        <v>986</v>
      </c>
      <c r="E117" s="38" t="s">
        <v>128</v>
      </c>
      <c r="F117" s="1423">
        <v>24173334.859999999</v>
      </c>
      <c r="G117" s="1423">
        <v>-2266260.54</v>
      </c>
      <c r="H117" s="1423">
        <v>0</v>
      </c>
      <c r="I117" s="1423">
        <v>0</v>
      </c>
      <c r="J117" s="24">
        <f t="shared" si="10"/>
        <v>21907074.32</v>
      </c>
      <c r="K117" s="821">
        <f t="shared" si="12"/>
        <v>0</v>
      </c>
      <c r="V117">
        <v>24173334.859999999</v>
      </c>
      <c r="W117">
        <v>-2266260.54</v>
      </c>
      <c r="X117">
        <v>0</v>
      </c>
      <c r="Y117">
        <v>0</v>
      </c>
    </row>
    <row r="118" spans="1:25" s="386" customFormat="1" ht="15">
      <c r="A118" s="1"/>
      <c r="B118" s="17">
        <f t="shared" si="11"/>
        <v>9</v>
      </c>
      <c r="C118" s="690">
        <v>235</v>
      </c>
      <c r="D118" s="730" t="s">
        <v>985</v>
      </c>
      <c r="E118" s="38" t="s">
        <v>128</v>
      </c>
      <c r="F118" s="1423">
        <v>0</v>
      </c>
      <c r="G118" s="1423">
        <v>-162100</v>
      </c>
      <c r="H118" s="1423">
        <v>0</v>
      </c>
      <c r="I118" s="1423">
        <v>0</v>
      </c>
      <c r="J118" s="24">
        <f t="shared" si="10"/>
        <v>-162100</v>
      </c>
      <c r="K118" s="821">
        <f t="shared" si="12"/>
        <v>0</v>
      </c>
      <c r="L118"/>
      <c r="M118"/>
      <c r="N118"/>
      <c r="O118"/>
      <c r="V118" s="386">
        <v>0</v>
      </c>
      <c r="W118" s="386">
        <v>-162100</v>
      </c>
      <c r="X118" s="386">
        <v>0</v>
      </c>
      <c r="Y118" s="386">
        <v>0</v>
      </c>
    </row>
    <row r="119" spans="1:25" s="386" customFormat="1" ht="15">
      <c r="A119" s="1"/>
      <c r="B119" s="17">
        <v>10</v>
      </c>
      <c r="C119" s="690">
        <v>283</v>
      </c>
      <c r="D119" s="730" t="s">
        <v>1209</v>
      </c>
      <c r="E119" s="38" t="s">
        <v>128</v>
      </c>
      <c r="F119" s="1423">
        <v>0</v>
      </c>
      <c r="G119" s="1423">
        <v>0</v>
      </c>
      <c r="H119" s="1423">
        <v>-668323.90000000002</v>
      </c>
      <c r="I119" s="1423">
        <v>0</v>
      </c>
      <c r="J119" s="24">
        <f t="shared" si="10"/>
        <v>-668323.90000000002</v>
      </c>
      <c r="K119" s="821"/>
      <c r="V119" s="386">
        <v>0</v>
      </c>
      <c r="W119" s="386">
        <v>0</v>
      </c>
      <c r="X119" s="386">
        <v>-668323.90000000002</v>
      </c>
      <c r="Y119" s="386">
        <v>0</v>
      </c>
    </row>
    <row r="120" spans="1:25" s="386" customFormat="1" ht="15">
      <c r="A120" s="1"/>
      <c r="B120" s="17">
        <v>11</v>
      </c>
      <c r="C120" s="40"/>
      <c r="D120" s="42" t="s">
        <v>129</v>
      </c>
      <c r="E120" s="38" t="s">
        <v>1334</v>
      </c>
      <c r="F120" s="1424">
        <v>1082782264.5000002</v>
      </c>
      <c r="G120" s="1424">
        <v>1132059195.6699996</v>
      </c>
      <c r="H120" s="1424">
        <v>36656474.20000001</v>
      </c>
      <c r="I120" s="1424">
        <v>85810289.089999706</v>
      </c>
      <c r="J120" s="24">
        <f t="shared" si="13" ref="J120:J154">SUM(F120:I120)</f>
        <v>2337308223.4599996</v>
      </c>
      <c r="K120" s="821">
        <f t="shared" si="14" ref="K120:K141">J120-SUM(F120:I120)</f>
        <v>0</v>
      </c>
      <c r="L120"/>
      <c r="M120"/>
      <c r="N120"/>
      <c r="O120"/>
      <c r="V120" s="386">
        <v>1082782264.5000002</v>
      </c>
      <c r="W120" s="386">
        <v>1132059195.6699996</v>
      </c>
      <c r="X120" s="386">
        <v>36656474.20000001</v>
      </c>
      <c r="Y120" s="386">
        <v>85810289.089999706</v>
      </c>
    </row>
    <row r="121" spans="1:11" ht="15">
      <c r="A121" s="33"/>
      <c r="B121" s="17"/>
      <c r="C121" s="43"/>
      <c r="D121" s="42"/>
      <c r="E121" s="38"/>
      <c r="F121" s="1425"/>
      <c r="G121" s="1425"/>
      <c r="H121" s="1425"/>
      <c r="I121" s="1425"/>
      <c r="J121" s="24">
        <f t="shared" si="13"/>
        <v>0</v>
      </c>
      <c r="K121" s="821">
        <f t="shared" si="14"/>
        <v>0</v>
      </c>
    </row>
    <row r="122" spans="1:11" ht="15">
      <c r="A122" s="33"/>
      <c r="B122" s="17">
        <f t="shared" si="15" ref="B122:B187">B121+1</f>
        <v>1</v>
      </c>
      <c r="C122" s="36" t="s">
        <v>131</v>
      </c>
      <c r="D122" s="44"/>
      <c r="E122" s="897" t="s">
        <v>132</v>
      </c>
      <c r="F122" s="1425"/>
      <c r="G122" s="1425"/>
      <c r="H122" s="1425"/>
      <c r="I122" s="1425"/>
      <c r="J122" s="24">
        <f t="shared" si="13"/>
        <v>0</v>
      </c>
      <c r="K122" s="821">
        <f t="shared" si="14"/>
        <v>0</v>
      </c>
    </row>
    <row r="123" spans="1:25" ht="14.25">
      <c r="A123" s="33"/>
      <c r="B123" s="17">
        <f t="shared" si="15"/>
        <v>2</v>
      </c>
      <c r="C123" s="1138">
        <v>189</v>
      </c>
      <c r="D123" s="386" t="s">
        <v>1210</v>
      </c>
      <c r="F123" s="1422">
        <v>0</v>
      </c>
      <c r="G123" s="1422">
        <v>0</v>
      </c>
      <c r="H123" s="1422">
        <v>0</v>
      </c>
      <c r="I123" s="1422">
        <v>0</v>
      </c>
      <c r="J123" s="24">
        <f t="shared" si="13"/>
        <v>0</v>
      </c>
      <c r="K123" s="821">
        <f t="shared" si="14"/>
        <v>0</v>
      </c>
      <c r="V123">
        <v>0</v>
      </c>
      <c r="W123">
        <v>0</v>
      </c>
      <c r="X123">
        <v>0</v>
      </c>
      <c r="Y123">
        <v>0</v>
      </c>
    </row>
    <row r="124" spans="1:25" ht="14.25">
      <c r="A124" s="33"/>
      <c r="B124" s="17">
        <f t="shared" si="15"/>
        <v>3</v>
      </c>
      <c r="C124" s="1138">
        <v>182</v>
      </c>
      <c r="D124" s="386" t="s">
        <v>1211</v>
      </c>
      <c r="F124" s="1423">
        <v>1518897.72</v>
      </c>
      <c r="G124" s="1423">
        <v>0</v>
      </c>
      <c r="H124" s="1423">
        <v>0</v>
      </c>
      <c r="I124" s="1423">
        <v>0</v>
      </c>
      <c r="J124" s="24">
        <f t="shared" si="13"/>
        <v>1518897.72</v>
      </c>
      <c r="K124" s="821">
        <f t="shared" si="14"/>
        <v>0</v>
      </c>
      <c r="V124">
        <v>1518897.72</v>
      </c>
      <c r="W124">
        <v>0</v>
      </c>
      <c r="X124">
        <v>0</v>
      </c>
      <c r="Y124">
        <v>0</v>
      </c>
    </row>
    <row r="125" spans="1:25" ht="14.25">
      <c r="A125" s="33"/>
      <c r="B125" s="17">
        <f t="shared" si="15"/>
        <v>4</v>
      </c>
      <c r="C125" s="1138">
        <v>182</v>
      </c>
      <c r="D125" s="386" t="s">
        <v>1359</v>
      </c>
      <c r="F125" s="1423">
        <v>0</v>
      </c>
      <c r="G125" s="1423">
        <v>26088</v>
      </c>
      <c r="H125" s="1423">
        <v>0</v>
      </c>
      <c r="I125" s="1423">
        <v>0</v>
      </c>
      <c r="J125" s="24">
        <f t="shared" si="13"/>
        <v>26088</v>
      </c>
      <c r="K125" s="821">
        <f t="shared" si="14"/>
        <v>0</v>
      </c>
      <c r="V125">
        <v>0</v>
      </c>
      <c r="W125">
        <v>26088</v>
      </c>
      <c r="X125">
        <v>0</v>
      </c>
      <c r="Y125">
        <v>0</v>
      </c>
    </row>
    <row r="126" spans="1:25" ht="15">
      <c r="A126" s="33"/>
      <c r="B126" s="17">
        <f t="shared" si="15"/>
        <v>5</v>
      </c>
      <c r="C126" s="1138">
        <v>182</v>
      </c>
      <c r="D126" s="386" t="s">
        <v>1213</v>
      </c>
      <c r="E126" s="38"/>
      <c r="F126" s="1423">
        <v>3006612.8700000001</v>
      </c>
      <c r="G126" s="1423">
        <v>28752061.66</v>
      </c>
      <c r="H126" s="1423">
        <v>1579203.8999999999</v>
      </c>
      <c r="I126" s="1423">
        <v>1280747.8899999992</v>
      </c>
      <c r="J126" s="24">
        <f t="shared" si="13"/>
        <v>34618626.32</v>
      </c>
      <c r="K126" s="821">
        <f t="shared" si="14"/>
        <v>0</v>
      </c>
      <c r="V126">
        <v>3006612.8700000001</v>
      </c>
      <c r="W126">
        <v>28752061.66</v>
      </c>
      <c r="X126">
        <v>1579203.8999999999</v>
      </c>
      <c r="Y126">
        <v>1280747.8899999992</v>
      </c>
    </row>
    <row r="127" spans="1:25" ht="15">
      <c r="A127" s="33"/>
      <c r="B127" s="17">
        <f t="shared" si="15"/>
        <v>6</v>
      </c>
      <c r="C127" s="40">
        <v>182</v>
      </c>
      <c r="D127" s="43" t="s">
        <v>135</v>
      </c>
      <c r="E127" s="38"/>
      <c r="F127" s="1423">
        <v>36117771</v>
      </c>
      <c r="G127" s="1423">
        <v>105257009.84</v>
      </c>
      <c r="H127" s="1423">
        <v>25202869.899999999</v>
      </c>
      <c r="I127" s="1423">
        <v>6400179.7299999967</v>
      </c>
      <c r="J127" s="24">
        <f t="shared" si="13"/>
        <v>172977830.47</v>
      </c>
      <c r="K127" s="821">
        <f t="shared" si="14"/>
        <v>0</v>
      </c>
      <c r="V127">
        <v>36117771</v>
      </c>
      <c r="W127">
        <v>105257009.84</v>
      </c>
      <c r="X127">
        <v>25202869.899999999</v>
      </c>
      <c r="Y127">
        <v>6400179.7299999967</v>
      </c>
    </row>
    <row r="128" spans="1:25" ht="15">
      <c r="A128" s="33"/>
      <c r="B128" s="17">
        <f t="shared" si="15"/>
        <v>7</v>
      </c>
      <c r="C128" s="40">
        <v>182</v>
      </c>
      <c r="D128" s="43" t="s">
        <v>136</v>
      </c>
      <c r="E128" s="38"/>
      <c r="F128" s="1423">
        <v>-3840349.6800000002</v>
      </c>
      <c r="G128" s="1423">
        <v>-10594886.380000001</v>
      </c>
      <c r="H128" s="1423">
        <v>-2888676.04</v>
      </c>
      <c r="I128" s="1423">
        <v>-116244.11999999825</v>
      </c>
      <c r="J128" s="24">
        <f t="shared" si="13"/>
        <v>-17440156.219999999</v>
      </c>
      <c r="K128" s="821">
        <f t="shared" si="14"/>
        <v>0</v>
      </c>
      <c r="V128">
        <v>-3840349.6800000002</v>
      </c>
      <c r="W128">
        <v>-10594886.380000001</v>
      </c>
      <c r="X128">
        <v>-2888676.04</v>
      </c>
      <c r="Y128">
        <v>-116244.11999999825</v>
      </c>
    </row>
    <row r="129" spans="1:25" ht="15">
      <c r="A129" s="33"/>
      <c r="B129" s="17">
        <f t="shared" si="15"/>
        <v>8</v>
      </c>
      <c r="C129" s="40">
        <v>182</v>
      </c>
      <c r="D129" s="43" t="s">
        <v>137</v>
      </c>
      <c r="E129" s="38"/>
      <c r="F129" s="1423">
        <v>3928761.9500000002</v>
      </c>
      <c r="G129" s="1423">
        <v>11449481.08</v>
      </c>
      <c r="H129" s="1423">
        <v>2741478.0499999998</v>
      </c>
      <c r="I129" s="1423">
        <v>696188.65999999922</v>
      </c>
      <c r="J129" s="24">
        <f t="shared" si="13"/>
        <v>18815909.740000002</v>
      </c>
      <c r="K129" s="821">
        <f t="shared" si="14"/>
        <v>0</v>
      </c>
      <c r="V129">
        <v>3928761.9500000002</v>
      </c>
      <c r="W129">
        <v>11449481.08</v>
      </c>
      <c r="X129">
        <v>2741478.0499999998</v>
      </c>
      <c r="Y129">
        <v>696188.65999999922</v>
      </c>
    </row>
    <row r="130" spans="1:25" ht="15">
      <c r="A130" s="33"/>
      <c r="B130" s="17">
        <f t="shared" si="15"/>
        <v>9</v>
      </c>
      <c r="C130" s="40">
        <v>182</v>
      </c>
      <c r="D130" s="43" t="s">
        <v>1360</v>
      </c>
      <c r="E130" s="38"/>
      <c r="F130" s="1423">
        <v>0</v>
      </c>
      <c r="G130" s="1423">
        <v>0</v>
      </c>
      <c r="H130" s="1423">
        <v>0</v>
      </c>
      <c r="I130" s="1423">
        <v>0</v>
      </c>
      <c r="J130" s="24">
        <f t="shared" si="13"/>
        <v>0</v>
      </c>
      <c r="K130" s="821">
        <f t="shared" si="14"/>
        <v>0</v>
      </c>
      <c r="V130">
        <v>0</v>
      </c>
      <c r="W130">
        <v>0</v>
      </c>
      <c r="X130">
        <v>0</v>
      </c>
      <c r="Y130">
        <v>0</v>
      </c>
    </row>
    <row r="131" spans="1:25" ht="15">
      <c r="A131" s="33"/>
      <c r="B131" s="17">
        <f t="shared" si="15"/>
        <v>10</v>
      </c>
      <c r="C131" s="40">
        <v>182</v>
      </c>
      <c r="D131" s="43" t="s">
        <v>1361</v>
      </c>
      <c r="E131" s="38"/>
      <c r="F131" s="1423">
        <v>0</v>
      </c>
      <c r="G131" s="1423">
        <v>0</v>
      </c>
      <c r="H131" s="1423">
        <v>0</v>
      </c>
      <c r="I131" s="1423">
        <v>0</v>
      </c>
      <c r="J131" s="24">
        <f t="shared" si="13"/>
        <v>0</v>
      </c>
      <c r="K131" s="821">
        <f t="shared" si="14"/>
        <v>0</v>
      </c>
      <c r="V131">
        <v>0</v>
      </c>
      <c r="W131">
        <v>0</v>
      </c>
      <c r="X131">
        <v>0</v>
      </c>
      <c r="Y131">
        <v>0</v>
      </c>
    </row>
    <row r="132" spans="1:25" ht="15">
      <c r="A132" s="33"/>
      <c r="B132" s="17">
        <f t="shared" si="15"/>
        <v>11</v>
      </c>
      <c r="C132" s="1138">
        <v>182</v>
      </c>
      <c r="D132" s="386" t="s">
        <v>1362</v>
      </c>
      <c r="E132" s="38"/>
      <c r="F132" s="1423">
        <v>0</v>
      </c>
      <c r="G132" s="1423">
        <v>0</v>
      </c>
      <c r="H132" s="1423">
        <v>0</v>
      </c>
      <c r="I132" s="1423">
        <v>0</v>
      </c>
      <c r="J132" s="24">
        <f t="shared" si="13"/>
        <v>0</v>
      </c>
      <c r="K132" s="821">
        <f t="shared" si="14"/>
        <v>0</v>
      </c>
      <c r="V132">
        <v>0</v>
      </c>
      <c r="W132">
        <v>0</v>
      </c>
      <c r="X132">
        <v>0</v>
      </c>
      <c r="Y132">
        <v>0</v>
      </c>
    </row>
    <row r="133" spans="1:25" ht="15">
      <c r="A133" s="33"/>
      <c r="B133" s="17">
        <f t="shared" si="15"/>
        <v>12</v>
      </c>
      <c r="C133" s="1138">
        <v>186</v>
      </c>
      <c r="D133" s="386" t="s">
        <v>1335</v>
      </c>
      <c r="E133" s="38"/>
      <c r="F133" s="1423">
        <v>0</v>
      </c>
      <c r="G133" s="1423">
        <v>0</v>
      </c>
      <c r="H133" s="1423">
        <v>80079.689999999973</v>
      </c>
      <c r="I133" s="1423">
        <v>0</v>
      </c>
      <c r="J133" s="24">
        <f t="shared" si="13"/>
        <v>80079.689999999973</v>
      </c>
      <c r="K133" s="821">
        <f t="shared" si="14"/>
        <v>0</v>
      </c>
      <c r="V133">
        <v>0</v>
      </c>
      <c r="W133">
        <v>0</v>
      </c>
      <c r="X133">
        <v>80079.689999999973</v>
      </c>
      <c r="Y133">
        <v>0</v>
      </c>
    </row>
    <row r="134" spans="1:25" s="1270" customFormat="1" ht="15">
      <c r="A134" s="1272"/>
      <c r="B134" s="17">
        <f t="shared" si="15"/>
        <v>13</v>
      </c>
      <c r="C134" s="40">
        <v>186</v>
      </c>
      <c r="D134" s="43" t="s">
        <v>1216</v>
      </c>
      <c r="E134" s="38"/>
      <c r="F134" s="1423">
        <v>0</v>
      </c>
      <c r="G134" s="1423">
        <v>0</v>
      </c>
      <c r="H134" s="1423">
        <v>0</v>
      </c>
      <c r="I134" s="1423">
        <v>0</v>
      </c>
      <c r="J134" s="24">
        <f t="shared" si="13"/>
        <v>0</v>
      </c>
      <c r="K134" s="1273">
        <f t="shared" si="14"/>
        <v>0</v>
      </c>
      <c r="L134"/>
      <c r="M134"/>
      <c r="N134"/>
      <c r="O134"/>
      <c r="V134" s="1270">
        <v>0</v>
      </c>
      <c r="W134" s="1270">
        <v>0</v>
      </c>
      <c r="X134" s="1270">
        <v>0</v>
      </c>
      <c r="Y134" s="1270">
        <v>0</v>
      </c>
    </row>
    <row r="135" spans="1:25" ht="15">
      <c r="A135" s="33"/>
      <c r="B135" s="17">
        <f t="shared" si="15"/>
        <v>14</v>
      </c>
      <c r="C135" s="1118">
        <v>186</v>
      </c>
      <c r="D135" s="386" t="s">
        <v>1217</v>
      </c>
      <c r="E135" s="38"/>
      <c r="F135" s="1423">
        <v>0</v>
      </c>
      <c r="G135" s="1423">
        <v>178482.85000000001</v>
      </c>
      <c r="H135" s="1423">
        <v>0</v>
      </c>
      <c r="I135" s="1423">
        <v>0</v>
      </c>
      <c r="J135" s="24">
        <f t="shared" si="13"/>
        <v>178482.85000000001</v>
      </c>
      <c r="K135" s="821">
        <f t="shared" si="14"/>
        <v>0</v>
      </c>
      <c r="V135">
        <v>0</v>
      </c>
      <c r="W135">
        <v>178482.85000000001</v>
      </c>
      <c r="X135">
        <v>0</v>
      </c>
      <c r="Y135">
        <v>0</v>
      </c>
    </row>
    <row r="136" spans="1:25" ht="15">
      <c r="A136" s="33"/>
      <c r="B136" s="17">
        <f t="shared" si="15"/>
        <v>15</v>
      </c>
      <c r="C136" s="1118">
        <v>186</v>
      </c>
      <c r="D136" s="386" t="s">
        <v>1218</v>
      </c>
      <c r="E136" s="38"/>
      <c r="F136" s="1423">
        <v>0</v>
      </c>
      <c r="G136" s="1423">
        <v>304615.98999999999</v>
      </c>
      <c r="H136" s="1423">
        <v>0</v>
      </c>
      <c r="I136" s="1423">
        <v>0</v>
      </c>
      <c r="J136" s="24">
        <f t="shared" si="13"/>
        <v>304615.98999999999</v>
      </c>
      <c r="K136" s="821">
        <f t="shared" si="14"/>
        <v>0</v>
      </c>
      <c r="V136">
        <v>0</v>
      </c>
      <c r="W136">
        <v>304615.98999999999</v>
      </c>
      <c r="X136">
        <v>0</v>
      </c>
      <c r="Y136">
        <v>0</v>
      </c>
    </row>
    <row r="137" spans="1:25" ht="15">
      <c r="A137" s="33"/>
      <c r="B137" s="17">
        <f t="shared" si="15"/>
        <v>16</v>
      </c>
      <c r="C137" s="1118">
        <v>186</v>
      </c>
      <c r="D137" s="386" t="s">
        <v>1219</v>
      </c>
      <c r="E137" s="38"/>
      <c r="F137" s="1423">
        <v>0</v>
      </c>
      <c r="G137" s="1423">
        <v>167728.14000000001</v>
      </c>
      <c r="H137" s="1423">
        <v>0</v>
      </c>
      <c r="I137" s="1423">
        <v>0</v>
      </c>
      <c r="J137" s="24">
        <f t="shared" si="13"/>
        <v>167728.14000000001</v>
      </c>
      <c r="K137" s="821">
        <f t="shared" si="14"/>
        <v>0</v>
      </c>
      <c r="V137">
        <v>0</v>
      </c>
      <c r="W137">
        <v>167728.14000000001</v>
      </c>
      <c r="X137">
        <v>0</v>
      </c>
      <c r="Y137">
        <v>0</v>
      </c>
    </row>
    <row r="138" spans="1:25" ht="15">
      <c r="A138" s="33"/>
      <c r="B138" s="17">
        <v>17</v>
      </c>
      <c r="C138" s="1118">
        <v>186</v>
      </c>
      <c r="D138" s="386" t="s">
        <v>1363</v>
      </c>
      <c r="E138" s="38"/>
      <c r="F138" s="1423">
        <v>0</v>
      </c>
      <c r="G138" s="1423">
        <v>215521.45999999999</v>
      </c>
      <c r="H138" s="1423">
        <v>0</v>
      </c>
      <c r="I138" s="1423">
        <v>0</v>
      </c>
      <c r="J138" s="24">
        <f t="shared" si="13"/>
        <v>215521.45999999999</v>
      </c>
      <c r="K138" s="821">
        <f t="shared" si="14"/>
        <v>0</v>
      </c>
      <c r="V138">
        <v>0</v>
      </c>
      <c r="W138">
        <v>215521.45999999999</v>
      </c>
      <c r="X138">
        <v>0</v>
      </c>
      <c r="Y138">
        <v>0</v>
      </c>
    </row>
    <row r="139" spans="1:25" s="386" customFormat="1" ht="15">
      <c r="A139" s="33"/>
      <c r="B139" s="17">
        <v>18</v>
      </c>
      <c r="C139" s="1118">
        <v>186</v>
      </c>
      <c r="D139" s="386" t="s">
        <v>1364</v>
      </c>
      <c r="E139" s="38"/>
      <c r="F139" s="1423">
        <v>0</v>
      </c>
      <c r="G139" s="1423">
        <v>586172.70000000007</v>
      </c>
      <c r="H139" s="1423">
        <v>0</v>
      </c>
      <c r="I139" s="1423">
        <v>0</v>
      </c>
      <c r="J139" s="24">
        <f t="shared" si="13"/>
        <v>586172.70000000007</v>
      </c>
      <c r="K139" s="821">
        <f t="shared" si="14"/>
        <v>0</v>
      </c>
      <c r="L139"/>
      <c r="M139"/>
      <c r="N139"/>
      <c r="O139"/>
      <c r="V139" s="386">
        <v>0</v>
      </c>
      <c r="W139" s="386">
        <v>586172.70000000007</v>
      </c>
      <c r="X139" s="386">
        <v>0</v>
      </c>
      <c r="Y139" s="386">
        <v>0</v>
      </c>
    </row>
    <row r="140" spans="1:25" s="386" customFormat="1" ht="15">
      <c r="A140" s="33"/>
      <c r="B140" s="17">
        <v>19</v>
      </c>
      <c r="C140" s="1118">
        <v>186</v>
      </c>
      <c r="D140" s="386" t="s">
        <v>1221</v>
      </c>
      <c r="E140" s="38"/>
      <c r="F140" s="1423">
        <v>0</v>
      </c>
      <c r="G140" s="1423">
        <v>334785.03000000003</v>
      </c>
      <c r="H140" s="1423">
        <v>0</v>
      </c>
      <c r="I140" s="1423">
        <v>0</v>
      </c>
      <c r="J140" s="24">
        <f t="shared" si="13"/>
        <v>334785.03000000003</v>
      </c>
      <c r="K140" s="821">
        <f t="shared" si="14"/>
        <v>0</v>
      </c>
      <c r="L140"/>
      <c r="M140"/>
      <c r="N140"/>
      <c r="O140"/>
      <c r="V140" s="386">
        <v>0</v>
      </c>
      <c r="W140" s="386">
        <v>334785.03000000003</v>
      </c>
      <c r="X140" s="386">
        <v>0</v>
      </c>
      <c r="Y140" s="386">
        <v>0</v>
      </c>
    </row>
    <row r="141" spans="1:25" s="1321" customFormat="1" ht="15">
      <c r="A141" s="1322"/>
      <c r="B141" s="17">
        <f>B140+1</f>
        <v>20</v>
      </c>
      <c r="C141" s="1118">
        <v>186</v>
      </c>
      <c r="D141" s="386" t="s">
        <v>1365</v>
      </c>
      <c r="E141" s="38"/>
      <c r="F141" s="1423">
        <v>0</v>
      </c>
      <c r="G141" s="1423">
        <v>6700000</v>
      </c>
      <c r="H141" s="1423">
        <v>0</v>
      </c>
      <c r="I141" s="1423">
        <v>0</v>
      </c>
      <c r="J141" s="24">
        <f t="shared" si="13"/>
        <v>6700000</v>
      </c>
      <c r="K141" s="1323">
        <f t="shared" si="14"/>
        <v>0</v>
      </c>
      <c r="L141"/>
      <c r="M141"/>
      <c r="N141"/>
      <c r="O141"/>
      <c r="V141" s="1321">
        <v>0</v>
      </c>
      <c r="W141" s="1321">
        <v>6700000</v>
      </c>
      <c r="X141" s="1321">
        <v>0</v>
      </c>
      <c r="Y141" s="1321">
        <v>0</v>
      </c>
    </row>
    <row r="142" spans="1:25" ht="15">
      <c r="A142" s="33"/>
      <c r="B142" s="17">
        <f t="shared" si="16" ref="B142:B166">B141+1</f>
        <v>21</v>
      </c>
      <c r="C142" s="1118">
        <v>182</v>
      </c>
      <c r="D142" s="386" t="s">
        <v>1223</v>
      </c>
      <c r="E142" s="38"/>
      <c r="F142" s="1423">
        <v>0</v>
      </c>
      <c r="G142" s="1423">
        <v>75267069.370000005</v>
      </c>
      <c r="H142" s="1423">
        <v>0</v>
      </c>
      <c r="I142" s="1423">
        <v>0</v>
      </c>
      <c r="J142" s="24">
        <f t="shared" si="13"/>
        <v>75267069.370000005</v>
      </c>
      <c r="K142" s="821"/>
      <c r="V142">
        <v>0</v>
      </c>
      <c r="W142">
        <v>75267069.370000005</v>
      </c>
      <c r="X142">
        <v>0</v>
      </c>
      <c r="Y142">
        <v>0</v>
      </c>
    </row>
    <row r="143" spans="1:25" ht="15">
      <c r="A143" s="33"/>
      <c r="B143" s="17">
        <f t="shared" si="16"/>
        <v>22</v>
      </c>
      <c r="C143" s="1118">
        <v>182</v>
      </c>
      <c r="D143" s="386" t="s">
        <v>1224</v>
      </c>
      <c r="E143" s="38"/>
      <c r="F143" s="1423">
        <v>0</v>
      </c>
      <c r="G143" s="1423">
        <v>627362.98999999999</v>
      </c>
      <c r="H143" s="1423">
        <v>0</v>
      </c>
      <c r="I143" s="1423">
        <v>0</v>
      </c>
      <c r="J143" s="24">
        <f t="shared" si="13"/>
        <v>627362.98999999999</v>
      </c>
      <c r="K143" s="821"/>
      <c r="V143">
        <v>0</v>
      </c>
      <c r="W143">
        <v>627362.98999999999</v>
      </c>
      <c r="X143">
        <v>0</v>
      </c>
      <c r="Y143">
        <v>0</v>
      </c>
    </row>
    <row r="144" spans="1:25" ht="15">
      <c r="A144" s="33"/>
      <c r="B144" s="17">
        <f t="shared" si="16"/>
        <v>23</v>
      </c>
      <c r="C144" s="1118">
        <v>182</v>
      </c>
      <c r="D144" s="386" t="s">
        <v>1225</v>
      </c>
      <c r="E144" s="38"/>
      <c r="F144" s="1423">
        <v>1716330.0800000001</v>
      </c>
      <c r="G144" s="1423">
        <v>0</v>
      </c>
      <c r="H144" s="1423">
        <v>0</v>
      </c>
      <c r="I144" s="1423">
        <v>0</v>
      </c>
      <c r="J144" s="24">
        <f t="shared" si="13"/>
        <v>1716330.0800000001</v>
      </c>
      <c r="K144" s="821"/>
      <c r="V144">
        <v>1716330.0800000001</v>
      </c>
      <c r="W144">
        <v>0</v>
      </c>
      <c r="X144">
        <v>0</v>
      </c>
      <c r="Y144">
        <v>0</v>
      </c>
    </row>
    <row r="145" spans="1:25" ht="15">
      <c r="A145" s="33"/>
      <c r="B145" s="17">
        <f t="shared" si="16"/>
        <v>24</v>
      </c>
      <c r="C145" s="1119">
        <v>182</v>
      </c>
      <c r="D145" s="43" t="s">
        <v>1226</v>
      </c>
      <c r="E145" s="38"/>
      <c r="F145" s="1423">
        <v>6900192.4100000001</v>
      </c>
      <c r="G145" s="1423">
        <v>613207.77999999933</v>
      </c>
      <c r="H145" s="1423">
        <v>0</v>
      </c>
      <c r="I145" s="1423">
        <v>0</v>
      </c>
      <c r="J145" s="24">
        <f t="shared" si="13"/>
        <v>7513400.1899999995</v>
      </c>
      <c r="K145" s="821"/>
      <c r="V145">
        <v>6900192.4100000001</v>
      </c>
      <c r="W145">
        <v>613207.77999999933</v>
      </c>
      <c r="X145">
        <v>0</v>
      </c>
      <c r="Y145">
        <v>0</v>
      </c>
    </row>
    <row r="146" spans="1:25" ht="15">
      <c r="A146" s="33"/>
      <c r="B146" s="17">
        <f t="shared" si="16"/>
        <v>25</v>
      </c>
      <c r="C146" s="40">
        <v>182</v>
      </c>
      <c r="D146" s="43" t="s">
        <v>992</v>
      </c>
      <c r="E146" s="38"/>
      <c r="F146" s="1423">
        <v>0</v>
      </c>
      <c r="G146" s="1423">
        <v>0</v>
      </c>
      <c r="H146" s="1423">
        <v>0</v>
      </c>
      <c r="I146" s="1423">
        <v>8358753.9900000002</v>
      </c>
      <c r="J146" s="24">
        <f t="shared" si="13"/>
        <v>8358753.9900000002</v>
      </c>
      <c r="K146" s="821"/>
      <c r="V146">
        <v>0</v>
      </c>
      <c r="W146">
        <v>0</v>
      </c>
      <c r="X146">
        <v>0</v>
      </c>
      <c r="Y146">
        <v>8358753.9900000002</v>
      </c>
    </row>
    <row r="147" spans="1:25" s="404" customFormat="1" ht="15">
      <c r="A147" s="33"/>
      <c r="B147" s="17">
        <f t="shared" si="16"/>
        <v>26</v>
      </c>
      <c r="C147" s="40">
        <v>182</v>
      </c>
      <c r="D147" s="43" t="s">
        <v>1336</v>
      </c>
      <c r="E147" s="38"/>
      <c r="F147" s="1423">
        <v>0</v>
      </c>
      <c r="G147" s="1423">
        <v>0</v>
      </c>
      <c r="H147" s="1423">
        <v>59200.770000000004</v>
      </c>
      <c r="I147" s="1423">
        <v>0</v>
      </c>
      <c r="J147" s="24">
        <f t="shared" si="13"/>
        <v>59200.770000000004</v>
      </c>
      <c r="K147" s="821"/>
      <c r="L147"/>
      <c r="M147"/>
      <c r="N147"/>
      <c r="O147"/>
      <c r="V147" s="404">
        <v>0</v>
      </c>
      <c r="W147" s="404">
        <v>0</v>
      </c>
      <c r="X147" s="404">
        <v>59200.770000000004</v>
      </c>
      <c r="Y147" s="404">
        <v>0</v>
      </c>
    </row>
    <row r="148" spans="1:25" s="404" customFormat="1" ht="15">
      <c r="A148" s="33"/>
      <c r="B148" s="17">
        <f t="shared" si="16"/>
        <v>27</v>
      </c>
      <c r="C148" s="40">
        <v>182</v>
      </c>
      <c r="D148" s="43" t="s">
        <v>1337</v>
      </c>
      <c r="E148" s="38"/>
      <c r="F148" s="1423">
        <v>0</v>
      </c>
      <c r="G148" s="1423">
        <v>0</v>
      </c>
      <c r="H148" s="1423">
        <v>524869.04000000004</v>
      </c>
      <c r="I148" s="1423">
        <v>0</v>
      </c>
      <c r="J148" s="24">
        <f t="shared" si="13"/>
        <v>524869.04000000004</v>
      </c>
      <c r="K148" s="821"/>
      <c r="L148"/>
      <c r="M148"/>
      <c r="N148"/>
      <c r="O148"/>
      <c r="V148" s="404">
        <v>0</v>
      </c>
      <c r="W148" s="404">
        <v>0</v>
      </c>
      <c r="X148" s="404">
        <v>524869.04000000004</v>
      </c>
      <c r="Y148" s="404">
        <v>0</v>
      </c>
    </row>
    <row r="149" spans="1:25" s="1330" customFormat="1" ht="15">
      <c r="A149" s="1325"/>
      <c r="B149" s="142">
        <f t="shared" si="16"/>
        <v>28</v>
      </c>
      <c r="C149" s="1326">
        <v>182</v>
      </c>
      <c r="D149" s="1327" t="s">
        <v>1366</v>
      </c>
      <c r="E149" s="1328"/>
      <c r="F149" s="1423">
        <v>0</v>
      </c>
      <c r="G149" s="1423">
        <v>0</v>
      </c>
      <c r="H149" s="1423">
        <v>127299791.38</v>
      </c>
      <c r="I149" s="1423">
        <v>0</v>
      </c>
      <c r="J149" s="1320">
        <f t="shared" si="13"/>
        <v>127299791.38</v>
      </c>
      <c r="K149" s="1329"/>
      <c r="L149"/>
      <c r="M149"/>
      <c r="N149"/>
      <c r="O149"/>
      <c r="V149" s="1330">
        <v>0</v>
      </c>
      <c r="W149" s="1330">
        <v>0</v>
      </c>
      <c r="X149" s="1330">
        <v>127299791.38</v>
      </c>
      <c r="Y149" s="1330">
        <v>0</v>
      </c>
    </row>
    <row r="150" spans="1:25" s="386" customFormat="1" ht="15">
      <c r="A150" s="33"/>
      <c r="B150" s="17">
        <f t="shared" si="16"/>
        <v>29</v>
      </c>
      <c r="C150" s="40">
        <v>182</v>
      </c>
      <c r="D150" s="43" t="s">
        <v>139</v>
      </c>
      <c r="E150" s="38"/>
      <c r="F150" s="1423">
        <v>0</v>
      </c>
      <c r="G150" s="1423">
        <v>0</v>
      </c>
      <c r="H150" s="1423">
        <v>0</v>
      </c>
      <c r="I150" s="1423">
        <v>0</v>
      </c>
      <c r="J150" s="24">
        <f t="shared" si="13"/>
        <v>0</v>
      </c>
      <c r="K150" s="821"/>
      <c r="L150"/>
      <c r="M150"/>
      <c r="N150"/>
      <c r="O150"/>
      <c r="V150" s="386">
        <v>0</v>
      </c>
      <c r="W150" s="386">
        <v>0</v>
      </c>
      <c r="X150" s="386">
        <v>0</v>
      </c>
      <c r="Y150" s="386">
        <v>0</v>
      </c>
    </row>
    <row r="151" spans="1:25" s="386" customFormat="1" ht="15">
      <c r="A151" s="33"/>
      <c r="B151" s="17">
        <f t="shared" si="16"/>
        <v>30</v>
      </c>
      <c r="C151" s="690">
        <v>182</v>
      </c>
      <c r="D151" s="691" t="s">
        <v>1227</v>
      </c>
      <c r="E151" s="38"/>
      <c r="F151" s="1423">
        <v>0</v>
      </c>
      <c r="G151" s="1423">
        <v>0</v>
      </c>
      <c r="H151" s="1423">
        <v>0</v>
      </c>
      <c r="I151" s="1423">
        <v>0</v>
      </c>
      <c r="J151" s="24">
        <f t="shared" si="13"/>
        <v>0</v>
      </c>
      <c r="K151" s="821"/>
      <c r="L151"/>
      <c r="M151"/>
      <c r="N151"/>
      <c r="O151"/>
      <c r="V151" s="386">
        <v>0</v>
      </c>
      <c r="W151" s="386">
        <v>0</v>
      </c>
      <c r="X151" s="386">
        <v>0</v>
      </c>
      <c r="Y151" s="386">
        <v>0</v>
      </c>
    </row>
    <row r="152" spans="1:25" s="386" customFormat="1" ht="15">
      <c r="A152" s="33"/>
      <c r="B152" s="17">
        <f t="shared" si="16"/>
        <v>31</v>
      </c>
      <c r="C152" s="690">
        <v>186</v>
      </c>
      <c r="D152" s="691" t="s">
        <v>1228</v>
      </c>
      <c r="E152" s="38"/>
      <c r="F152" s="1423">
        <v>0</v>
      </c>
      <c r="G152" s="1423">
        <v>0</v>
      </c>
      <c r="H152" s="1423">
        <v>0</v>
      </c>
      <c r="I152" s="1423">
        <v>0</v>
      </c>
      <c r="J152" s="24">
        <f t="shared" si="13"/>
        <v>0</v>
      </c>
      <c r="K152" s="821"/>
      <c r="L152"/>
      <c r="M152"/>
      <c r="N152"/>
      <c r="O152"/>
      <c r="V152" s="386">
        <v>0</v>
      </c>
      <c r="W152" s="386">
        <v>0</v>
      </c>
      <c r="X152" s="386">
        <v>0</v>
      </c>
      <c r="Y152" s="386">
        <v>0</v>
      </c>
    </row>
    <row r="153" spans="1:25" s="386" customFormat="1" ht="15">
      <c r="A153" s="33"/>
      <c r="B153" s="17">
        <f t="shared" si="16"/>
        <v>32</v>
      </c>
      <c r="C153" s="40">
        <v>186</v>
      </c>
      <c r="D153" s="43" t="s">
        <v>995</v>
      </c>
      <c r="E153" s="38"/>
      <c r="F153" s="1423">
        <v>1332943.5700000001</v>
      </c>
      <c r="G153" s="1423">
        <v>221954256.47</v>
      </c>
      <c r="H153" s="1423">
        <v>0</v>
      </c>
      <c r="I153" s="1423">
        <v>0</v>
      </c>
      <c r="J153" s="24">
        <f t="shared" si="13"/>
        <v>223287200.03999999</v>
      </c>
      <c r="K153" s="821"/>
      <c r="L153"/>
      <c r="M153"/>
      <c r="N153"/>
      <c r="O153"/>
      <c r="V153" s="386">
        <v>1332943.5700000001</v>
      </c>
      <c r="W153" s="386">
        <v>221954256.47</v>
      </c>
      <c r="X153" s="386">
        <v>0</v>
      </c>
      <c r="Y153" s="386">
        <v>0</v>
      </c>
    </row>
    <row r="154" spans="1:25" s="386" customFormat="1" ht="15">
      <c r="A154" s="33"/>
      <c r="B154" s="17">
        <f t="shared" si="16"/>
        <v>33</v>
      </c>
      <c r="C154" s="40">
        <v>186</v>
      </c>
      <c r="D154" s="43" t="s">
        <v>996</v>
      </c>
      <c r="E154" s="38"/>
      <c r="F154" s="1424">
        <v>24454561.810000002</v>
      </c>
      <c r="G154" s="1424">
        <v>340803895.18000001</v>
      </c>
      <c r="H154" s="1424">
        <v>0</v>
      </c>
      <c r="I154" s="1424">
        <v>0</v>
      </c>
      <c r="J154" s="24">
        <f t="shared" si="13"/>
        <v>365258456.99000001</v>
      </c>
      <c r="K154" s="821"/>
      <c r="L154"/>
      <c r="M154"/>
      <c r="N154"/>
      <c r="O154"/>
      <c r="V154" s="386">
        <v>24454561.810000002</v>
      </c>
      <c r="W154" s="386">
        <v>340803895.18000001</v>
      </c>
      <c r="X154" s="386">
        <v>0</v>
      </c>
      <c r="Y154" s="386">
        <v>0</v>
      </c>
    </row>
    <row r="155" spans="1:15" s="386" customFormat="1" ht="15">
      <c r="A155" s="33"/>
      <c r="B155" s="17">
        <f t="shared" si="16"/>
        <v>34</v>
      </c>
      <c r="C155" s="36" t="s">
        <v>141</v>
      </c>
      <c r="D155" s="46"/>
      <c r="E155" s="897" t="s">
        <v>132</v>
      </c>
      <c r="F155" s="1425"/>
      <c r="G155" s="1425"/>
      <c r="H155" s="1425"/>
      <c r="I155" s="1425"/>
      <c r="J155" s="24"/>
      <c r="K155" s="821">
        <f>J155-SUM(F155:I155)</f>
        <v>0</v>
      </c>
      <c r="L155"/>
      <c r="M155"/>
      <c r="N155"/>
      <c r="O155"/>
    </row>
    <row r="156" spans="1:25" s="386" customFormat="1" ht="15">
      <c r="A156" s="33"/>
      <c r="B156" s="17">
        <f t="shared" si="16"/>
        <v>35</v>
      </c>
      <c r="C156" s="1138">
        <v>254</v>
      </c>
      <c r="D156" s="1147" t="s">
        <v>1367</v>
      </c>
      <c r="E156" s="38"/>
      <c r="F156" s="1422">
        <v>0</v>
      </c>
      <c r="G156" s="1422">
        <v>0</v>
      </c>
      <c r="H156" s="1422">
        <v>0</v>
      </c>
      <c r="I156" s="1422">
        <v>0</v>
      </c>
      <c r="J156" s="24">
        <f>SUM(F156:I156)</f>
        <v>0</v>
      </c>
      <c r="K156" s="821">
        <f>J156-SUM(F156:I156)</f>
        <v>0</v>
      </c>
      <c r="L156"/>
      <c r="M156"/>
      <c r="N156"/>
      <c r="O156"/>
      <c r="V156" s="386">
        <v>0</v>
      </c>
      <c r="W156" s="386">
        <v>0</v>
      </c>
      <c r="X156" s="386">
        <v>0</v>
      </c>
      <c r="Y156" s="386">
        <v>0</v>
      </c>
    </row>
    <row r="157" spans="1:25" s="386" customFormat="1" ht="15">
      <c r="A157" s="33"/>
      <c r="B157" s="17">
        <f t="shared" si="16"/>
        <v>36</v>
      </c>
      <c r="C157" s="1138" t="s">
        <v>1229</v>
      </c>
      <c r="D157" s="386" t="s">
        <v>997</v>
      </c>
      <c r="E157" s="38"/>
      <c r="F157" s="1423">
        <v>0</v>
      </c>
      <c r="G157" s="1423">
        <v>0</v>
      </c>
      <c r="H157" s="1423">
        <v>0</v>
      </c>
      <c r="I157" s="1423">
        <v>0</v>
      </c>
      <c r="J157" s="24">
        <f>SUM(F157:I157)</f>
        <v>0</v>
      </c>
      <c r="K157" s="821">
        <f>J157-SUM(F157:I157)</f>
        <v>0</v>
      </c>
      <c r="L157"/>
      <c r="M157"/>
      <c r="N157"/>
      <c r="O157"/>
      <c r="V157" s="386">
        <v>0</v>
      </c>
      <c r="W157" s="386">
        <v>0</v>
      </c>
      <c r="X157" s="386">
        <v>0</v>
      </c>
      <c r="Y157" s="386">
        <v>0</v>
      </c>
    </row>
    <row r="158" spans="1:25" s="386" customFormat="1" ht="18">
      <c r="A158" s="33"/>
      <c r="B158" s="17">
        <f t="shared" si="16"/>
        <v>37</v>
      </c>
      <c r="C158" s="1138">
        <v>254</v>
      </c>
      <c r="D158" s="386" t="s">
        <v>1368</v>
      </c>
      <c r="E158" s="1335"/>
      <c r="F158" s="1423">
        <v>-163118.13000000001</v>
      </c>
      <c r="G158" s="1423">
        <v>-13373824.789999999</v>
      </c>
      <c r="H158" s="1423">
        <v>0</v>
      </c>
      <c r="I158" s="1423">
        <v>0</v>
      </c>
      <c r="J158" s="24">
        <v>-13536942.92</v>
      </c>
      <c r="K158" s="821"/>
      <c r="L158"/>
      <c r="M158"/>
      <c r="N158"/>
      <c r="O158"/>
      <c r="V158" s="386">
        <v>-163118.13000000001</v>
      </c>
      <c r="W158" s="386">
        <v>-13373824.789999999</v>
      </c>
      <c r="X158" s="386">
        <v>0</v>
      </c>
      <c r="Y158" s="386">
        <v>0</v>
      </c>
    </row>
    <row r="159" spans="1:25" s="386" customFormat="1" ht="15">
      <c r="A159" s="33"/>
      <c r="B159" s="17">
        <f t="shared" si="16"/>
        <v>38</v>
      </c>
      <c r="C159" s="1138">
        <v>254</v>
      </c>
      <c r="D159" s="703" t="s">
        <v>1369</v>
      </c>
      <c r="E159" s="38"/>
      <c r="F159" s="1423">
        <v>0</v>
      </c>
      <c r="G159" s="1423">
        <v>0</v>
      </c>
      <c r="H159" s="1423">
        <v>0</v>
      </c>
      <c r="I159" s="1423">
        <v>0</v>
      </c>
      <c r="J159" s="24">
        <f>SUM(F159:I159)</f>
        <v>0</v>
      </c>
      <c r="K159" s="821">
        <f>J159-SUM(F159:I159)</f>
        <v>0</v>
      </c>
      <c r="L159"/>
      <c r="M159"/>
      <c r="N159"/>
      <c r="O159"/>
      <c r="V159" s="386">
        <v>0</v>
      </c>
      <c r="W159" s="386">
        <v>0</v>
      </c>
      <c r="X159" s="386">
        <v>0</v>
      </c>
      <c r="Y159" s="386">
        <v>0</v>
      </c>
    </row>
    <row r="160" spans="1:25" s="386" customFormat="1" ht="15">
      <c r="A160" s="33"/>
      <c r="B160" s="17">
        <f t="shared" si="16"/>
        <v>39</v>
      </c>
      <c r="C160" s="1119">
        <v>254</v>
      </c>
      <c r="D160" s="691" t="s">
        <v>1370</v>
      </c>
      <c r="E160" s="38"/>
      <c r="F160" s="1423">
        <v>0</v>
      </c>
      <c r="G160" s="1423">
        <v>0</v>
      </c>
      <c r="H160" s="1423">
        <v>0</v>
      </c>
      <c r="I160" s="1423">
        <v>0</v>
      </c>
      <c r="J160" s="24">
        <f>SUM(F160:I160)</f>
        <v>0</v>
      </c>
      <c r="K160" s="821">
        <f>J160-SUM(F160:I160)</f>
        <v>0</v>
      </c>
      <c r="L160"/>
      <c r="M160"/>
      <c r="N160"/>
      <c r="O160"/>
      <c r="V160" s="386">
        <v>0</v>
      </c>
      <c r="W160" s="386">
        <v>0</v>
      </c>
      <c r="X160" s="386">
        <v>0</v>
      </c>
      <c r="Y160" s="386">
        <v>0</v>
      </c>
    </row>
    <row r="161" spans="1:25" s="386" customFormat="1" ht="15">
      <c r="A161" s="33"/>
      <c r="B161" s="17">
        <f t="shared" si="16"/>
        <v>40</v>
      </c>
      <c r="C161" s="1119">
        <v>254</v>
      </c>
      <c r="D161" s="691" t="s">
        <v>1232</v>
      </c>
      <c r="E161" s="38"/>
      <c r="F161" s="1423">
        <v>0</v>
      </c>
      <c r="G161" s="1423">
        <v>81644.489999999743</v>
      </c>
      <c r="H161" s="1423">
        <v>0</v>
      </c>
      <c r="I161" s="1423">
        <v>0</v>
      </c>
      <c r="J161" s="24">
        <f t="shared" si="17" ref="J161:J163">SUM(F161:I161)</f>
        <v>81644.489999999743</v>
      </c>
      <c r="K161" s="821"/>
      <c r="L161"/>
      <c r="M161"/>
      <c r="N161"/>
      <c r="O161"/>
      <c r="V161" s="386">
        <v>0</v>
      </c>
      <c r="W161" s="386">
        <v>81644.489999999743</v>
      </c>
      <c r="X161" s="386">
        <v>0</v>
      </c>
      <c r="Y161" s="386">
        <v>0</v>
      </c>
    </row>
    <row r="162" spans="1:25" s="386" customFormat="1" ht="15">
      <c r="A162" s="33"/>
      <c r="B162" s="17">
        <f t="shared" si="16"/>
        <v>41</v>
      </c>
      <c r="C162" s="1119">
        <v>254</v>
      </c>
      <c r="D162" s="691" t="s">
        <v>1233</v>
      </c>
      <c r="E162" s="38"/>
      <c r="F162" s="1423">
        <v>0</v>
      </c>
      <c r="G162" s="1423">
        <v>2368303.2899999991</v>
      </c>
      <c r="H162" s="1423">
        <v>0</v>
      </c>
      <c r="I162" s="1423">
        <v>0</v>
      </c>
      <c r="J162" s="24">
        <f t="shared" si="17"/>
        <v>2368303.2899999991</v>
      </c>
      <c r="K162" s="821"/>
      <c r="L162"/>
      <c r="M162"/>
      <c r="N162"/>
      <c r="O162"/>
      <c r="V162" s="386">
        <v>0</v>
      </c>
      <c r="W162" s="386">
        <v>2368303.2899999991</v>
      </c>
      <c r="X162" s="386">
        <v>0</v>
      </c>
      <c r="Y162" s="386">
        <v>0</v>
      </c>
    </row>
    <row r="163" spans="1:25" s="386" customFormat="1" ht="15">
      <c r="A163" s="33"/>
      <c r="B163" s="17">
        <f t="shared" si="16"/>
        <v>42</v>
      </c>
      <c r="C163" s="1119">
        <v>254</v>
      </c>
      <c r="D163" s="691" t="s">
        <v>1371</v>
      </c>
      <c r="E163" s="38"/>
      <c r="F163" s="1423">
        <v>0</v>
      </c>
      <c r="G163" s="1423">
        <v>0</v>
      </c>
      <c r="H163" s="1423">
        <v>0</v>
      </c>
      <c r="I163" s="1423">
        <v>0</v>
      </c>
      <c r="J163" s="24">
        <f t="shared" si="17"/>
        <v>0</v>
      </c>
      <c r="K163" s="821"/>
      <c r="L163"/>
      <c r="M163"/>
      <c r="N163"/>
      <c r="O163"/>
      <c r="V163" s="386">
        <v>0</v>
      </c>
      <c r="W163" s="386">
        <v>0</v>
      </c>
      <c r="X163" s="386">
        <v>0</v>
      </c>
      <c r="Y163" s="386">
        <v>0</v>
      </c>
    </row>
    <row r="164" spans="1:25" s="386" customFormat="1" ht="15">
      <c r="A164" s="33"/>
      <c r="B164" s="17">
        <f t="shared" si="16"/>
        <v>43</v>
      </c>
      <c r="C164" s="1118">
        <v>254</v>
      </c>
      <c r="D164" s="703" t="s">
        <v>1375</v>
      </c>
      <c r="E164" s="38"/>
      <c r="F164" s="1423">
        <v>0</v>
      </c>
      <c r="G164" s="1423">
        <v>-254178.24000000002</v>
      </c>
      <c r="H164" s="1423">
        <v>0</v>
      </c>
      <c r="I164" s="1423">
        <v>0</v>
      </c>
      <c r="J164" s="24">
        <f>SUM(F164:I164)</f>
        <v>-254178.24000000002</v>
      </c>
      <c r="K164" s="821">
        <f t="shared" si="18" ref="K164:K175">J164-SUM(F164:I164)</f>
        <v>0</v>
      </c>
      <c r="L164"/>
      <c r="M164"/>
      <c r="N164"/>
      <c r="O164"/>
      <c r="V164" s="386">
        <v>0</v>
      </c>
      <c r="W164" s="386">
        <v>-254178.24000000002</v>
      </c>
      <c r="X164" s="386">
        <v>0</v>
      </c>
      <c r="Y164" s="386">
        <v>0</v>
      </c>
    </row>
    <row r="165" spans="1:25" s="386" customFormat="1" ht="14.25">
      <c r="A165" s="33"/>
      <c r="B165" s="17">
        <f t="shared" si="16"/>
        <v>44</v>
      </c>
      <c r="C165" s="1401">
        <v>254</v>
      </c>
      <c r="D165" s="1147" t="s">
        <v>1372</v>
      </c>
      <c r="E165" s="1402"/>
      <c r="F165" s="1423">
        <v>-8651530.9000000004</v>
      </c>
      <c r="G165" s="1423">
        <v>-23868135.579999998</v>
      </c>
      <c r="H165" s="1423">
        <v>-6507602.71</v>
      </c>
      <c r="I165" s="1423">
        <v>-261874.48999999999</v>
      </c>
      <c r="J165" s="24"/>
      <c r="K165" s="821"/>
      <c r="V165" s="386">
        <v>-8651530.9000000004</v>
      </c>
      <c r="W165" s="386">
        <v>-23868135.579999998</v>
      </c>
      <c r="X165" s="386">
        <v>-6507602.71</v>
      </c>
      <c r="Y165" s="386">
        <v>-261874.48999999999</v>
      </c>
    </row>
    <row r="166" spans="1:25" s="386" customFormat="1" ht="15">
      <c r="A166" s="33"/>
      <c r="B166" s="17">
        <f t="shared" si="16"/>
        <v>45</v>
      </c>
      <c r="C166" s="1119">
        <v>257</v>
      </c>
      <c r="D166" s="43" t="s">
        <v>1236</v>
      </c>
      <c r="E166" s="38"/>
      <c r="F166" s="1424">
        <v>0</v>
      </c>
      <c r="G166" s="1424">
        <v>0</v>
      </c>
      <c r="H166" s="1424">
        <v>0</v>
      </c>
      <c r="I166" s="1424">
        <v>0</v>
      </c>
      <c r="J166" s="24">
        <f>SUM(F166:I166)</f>
        <v>0</v>
      </c>
      <c r="K166" s="821">
        <f t="shared" si="18"/>
        <v>0</v>
      </c>
      <c r="L166"/>
      <c r="M166"/>
      <c r="N166"/>
      <c r="O166"/>
      <c r="V166" s="386">
        <v>0</v>
      </c>
      <c r="W166" s="386">
        <v>0</v>
      </c>
      <c r="X166" s="386">
        <v>0</v>
      </c>
      <c r="Y166" s="386">
        <v>0</v>
      </c>
    </row>
    <row r="167" spans="1:15" s="386" customFormat="1" ht="15">
      <c r="A167" s="33"/>
      <c r="B167" s="17"/>
      <c r="C167" s="40"/>
      <c r="D167" s="43"/>
      <c r="E167" s="38"/>
      <c r="F167" s="1426"/>
      <c r="G167" s="1426"/>
      <c r="H167" s="1426"/>
      <c r="I167" s="1426"/>
      <c r="J167" s="24"/>
      <c r="K167" s="821">
        <f t="shared" si="18"/>
        <v>0</v>
      </c>
      <c r="L167"/>
      <c r="M167"/>
      <c r="N167"/>
      <c r="O167"/>
    </row>
    <row r="168" spans="1:11" ht="15">
      <c r="A168" s="33"/>
      <c r="B168" s="17"/>
      <c r="C168" s="40"/>
      <c r="D168" s="43"/>
      <c r="E168" s="38"/>
      <c r="F168" s="1426"/>
      <c r="G168" s="1426"/>
      <c r="H168" s="1426"/>
      <c r="I168" s="1426"/>
      <c r="J168" s="24"/>
      <c r="K168" s="821">
        <f t="shared" si="18"/>
        <v>0</v>
      </c>
    </row>
    <row r="169" spans="1:11" ht="15">
      <c r="A169" s="33"/>
      <c r="B169" s="17">
        <v>1</v>
      </c>
      <c r="C169" s="36" t="s">
        <v>146</v>
      </c>
      <c r="D169" s="43"/>
      <c r="E169" s="897" t="s">
        <v>132</v>
      </c>
      <c r="F169" s="1425"/>
      <c r="G169" s="1425"/>
      <c r="H169" s="1425"/>
      <c r="I169" s="1425"/>
      <c r="J169" s="24"/>
      <c r="K169" s="821">
        <f t="shared" si="18"/>
        <v>0</v>
      </c>
    </row>
    <row r="170" spans="1:25" ht="15">
      <c r="A170" s="33"/>
      <c r="B170" s="17">
        <f t="shared" si="15"/>
        <v>2</v>
      </c>
      <c r="C170" s="45">
        <v>182</v>
      </c>
      <c r="D170" s="47" t="s">
        <v>147</v>
      </c>
      <c r="E170" s="38"/>
      <c r="F170" s="1422">
        <v>0</v>
      </c>
      <c r="G170" s="1422">
        <v>0</v>
      </c>
      <c r="H170" s="1422">
        <v>0</v>
      </c>
      <c r="I170" s="1422">
        <v>0</v>
      </c>
      <c r="J170" s="24">
        <f>SUM(F170:I170)</f>
        <v>0</v>
      </c>
      <c r="K170" s="821">
        <f t="shared" si="18"/>
        <v>0</v>
      </c>
      <c r="V170">
        <v>0</v>
      </c>
      <c r="W170">
        <v>0</v>
      </c>
      <c r="X170">
        <v>0</v>
      </c>
      <c r="Y170">
        <v>0</v>
      </c>
    </row>
    <row r="171" spans="1:25" ht="15">
      <c r="A171" s="33"/>
      <c r="B171" s="17">
        <f t="shared" si="15"/>
        <v>3</v>
      </c>
      <c r="C171" s="45">
        <v>182</v>
      </c>
      <c r="D171" s="47" t="s">
        <v>148</v>
      </c>
      <c r="E171" s="38"/>
      <c r="F171" s="1423">
        <v>0</v>
      </c>
      <c r="G171" s="1423">
        <v>0</v>
      </c>
      <c r="H171" s="1423">
        <v>0</v>
      </c>
      <c r="I171" s="1423">
        <v>0</v>
      </c>
      <c r="J171" s="24">
        <f>SUM(F171:I171)</f>
        <v>0</v>
      </c>
      <c r="K171" s="821">
        <f t="shared" si="18"/>
        <v>0</v>
      </c>
      <c r="V171">
        <v>0</v>
      </c>
      <c r="W171">
        <v>0</v>
      </c>
      <c r="X171">
        <v>0</v>
      </c>
      <c r="Y171">
        <v>0</v>
      </c>
    </row>
    <row r="172" spans="1:25" ht="15">
      <c r="A172" s="33"/>
      <c r="B172" s="17">
        <f t="shared" si="15"/>
        <v>4</v>
      </c>
      <c r="C172" s="45">
        <v>182</v>
      </c>
      <c r="D172" s="47" t="s">
        <v>149</v>
      </c>
      <c r="E172" s="38"/>
      <c r="F172" s="1423">
        <v>0</v>
      </c>
      <c r="G172" s="1423">
        <v>0</v>
      </c>
      <c r="H172" s="1423">
        <v>0</v>
      </c>
      <c r="I172" s="1423">
        <v>0</v>
      </c>
      <c r="J172" s="24">
        <f>SUM(F172:I172)</f>
        <v>0</v>
      </c>
      <c r="K172" s="821">
        <f t="shared" si="18"/>
        <v>0</v>
      </c>
      <c r="V172">
        <v>0</v>
      </c>
      <c r="W172">
        <v>0</v>
      </c>
      <c r="X172">
        <v>0</v>
      </c>
      <c r="Y172">
        <v>0</v>
      </c>
    </row>
    <row r="173" spans="1:25" ht="15">
      <c r="A173" s="33"/>
      <c r="B173" s="17">
        <f t="shared" si="15"/>
        <v>5</v>
      </c>
      <c r="C173" s="45">
        <v>182</v>
      </c>
      <c r="D173" s="47" t="s">
        <v>150</v>
      </c>
      <c r="E173" s="38"/>
      <c r="F173" s="1423">
        <v>0</v>
      </c>
      <c r="G173" s="1423">
        <v>0</v>
      </c>
      <c r="H173" s="1423">
        <v>0</v>
      </c>
      <c r="I173" s="1423">
        <v>0</v>
      </c>
      <c r="J173" s="24">
        <f>SUM(F173:I173)</f>
        <v>0</v>
      </c>
      <c r="K173" s="821">
        <f t="shared" si="18"/>
        <v>0</v>
      </c>
      <c r="V173">
        <v>0</v>
      </c>
      <c r="W173">
        <v>0</v>
      </c>
      <c r="X173">
        <v>0</v>
      </c>
      <c r="Y173">
        <v>0</v>
      </c>
    </row>
    <row r="174" spans="1:25" ht="15">
      <c r="A174" s="33"/>
      <c r="B174" s="17">
        <f t="shared" si="15"/>
        <v>6</v>
      </c>
      <c r="C174" s="45">
        <v>182</v>
      </c>
      <c r="D174" s="47" t="s">
        <v>1237</v>
      </c>
      <c r="E174" s="38"/>
      <c r="F174" s="1423">
        <v>29836853.179999996</v>
      </c>
      <c r="G174" s="1423">
        <v>56462358.469999991</v>
      </c>
      <c r="H174" s="1423">
        <v>16213241.1</v>
      </c>
      <c r="I174" s="1423">
        <v>5700190.7600000147</v>
      </c>
      <c r="J174" s="24">
        <f t="shared" si="19" ref="J174:J175">SUM(F174:I174)</f>
        <v>108212643.51000001</v>
      </c>
      <c r="K174" s="821">
        <f t="shared" si="18"/>
        <v>0</v>
      </c>
      <c r="V174">
        <v>29836853.179999996</v>
      </c>
      <c r="W174">
        <v>56462358.469999991</v>
      </c>
      <c r="X174">
        <v>16213241.1</v>
      </c>
      <c r="Y174">
        <v>5700190.7600000147</v>
      </c>
    </row>
    <row r="175" spans="1:25" ht="15">
      <c r="A175" s="33"/>
      <c r="B175" s="17">
        <f t="shared" si="15"/>
        <v>7</v>
      </c>
      <c r="C175" s="40">
        <v>182</v>
      </c>
      <c r="D175" s="47" t="s">
        <v>1238</v>
      </c>
      <c r="E175" s="38"/>
      <c r="F175" s="1424">
        <v>0</v>
      </c>
      <c r="G175" s="1424">
        <v>0</v>
      </c>
      <c r="H175" s="1424">
        <v>0</v>
      </c>
      <c r="I175" s="1424">
        <v>0</v>
      </c>
      <c r="J175" s="24">
        <f t="shared" si="19"/>
        <v>0</v>
      </c>
      <c r="K175" s="821">
        <f t="shared" si="18"/>
        <v>0</v>
      </c>
      <c r="V175">
        <v>0</v>
      </c>
      <c r="W175">
        <v>0</v>
      </c>
      <c r="X175">
        <v>0</v>
      </c>
      <c r="Y175">
        <v>0</v>
      </c>
    </row>
    <row r="176" spans="1:11" ht="15">
      <c r="A176" s="33"/>
      <c r="B176" s="17">
        <f t="shared" si="15"/>
        <v>8</v>
      </c>
      <c r="C176" s="40"/>
      <c r="D176" s="47"/>
      <c r="E176" s="38"/>
      <c r="F176" s="1426"/>
      <c r="G176" s="1426"/>
      <c r="H176" s="1426"/>
      <c r="I176" s="1426"/>
      <c r="J176" s="24"/>
      <c r="K176" s="821"/>
    </row>
    <row r="177" spans="1:11" ht="15">
      <c r="A177" s="33"/>
      <c r="B177" s="17">
        <f t="shared" si="15"/>
        <v>9</v>
      </c>
      <c r="C177" s="40"/>
      <c r="D177" s="47"/>
      <c r="E177" s="38"/>
      <c r="F177" s="1426"/>
      <c r="G177" s="1426"/>
      <c r="H177" s="1426"/>
      <c r="I177" s="1426"/>
      <c r="J177" s="24"/>
      <c r="K177" s="821"/>
    </row>
    <row r="178" spans="1:11" ht="15">
      <c r="A178" s="33"/>
      <c r="B178" s="17">
        <f t="shared" si="15"/>
        <v>10</v>
      </c>
      <c r="C178" s="36" t="s">
        <v>153</v>
      </c>
      <c r="D178" s="43"/>
      <c r="E178" s="897" t="s">
        <v>132</v>
      </c>
      <c r="F178" s="1425"/>
      <c r="G178" s="1425"/>
      <c r="H178" s="1425"/>
      <c r="I178" s="1425"/>
      <c r="J178" s="24"/>
      <c r="K178" s="821">
        <f>J178-SUM(F178:I178)</f>
        <v>0</v>
      </c>
    </row>
    <row r="179" spans="1:25" ht="15">
      <c r="A179" s="33"/>
      <c r="B179" s="17">
        <f t="shared" si="15"/>
        <v>11</v>
      </c>
      <c r="C179" s="40">
        <v>254</v>
      </c>
      <c r="D179" s="47" t="s">
        <v>1243</v>
      </c>
      <c r="E179" s="38"/>
      <c r="F179" s="1427">
        <v>0</v>
      </c>
      <c r="G179" s="1427">
        <v>0</v>
      </c>
      <c r="H179" s="1427">
        <v>0</v>
      </c>
      <c r="I179" s="1427">
        <v>0</v>
      </c>
      <c r="J179" s="24">
        <f>SUM(F179:I179)</f>
        <v>0</v>
      </c>
      <c r="K179" s="821">
        <f>J179-SUM(F179:I179)</f>
        <v>0</v>
      </c>
      <c r="V179">
        <v>0</v>
      </c>
      <c r="W179">
        <v>0</v>
      </c>
      <c r="X179">
        <v>0</v>
      </c>
      <c r="Y179">
        <v>0</v>
      </c>
    </row>
    <row r="180" spans="1:25" ht="15">
      <c r="A180" s="33"/>
      <c r="B180" s="17">
        <f t="shared" si="15"/>
        <v>12</v>
      </c>
      <c r="C180" s="40">
        <v>254</v>
      </c>
      <c r="D180" s="47" t="s">
        <v>1239</v>
      </c>
      <c r="E180" s="38"/>
      <c r="F180" s="1428">
        <v>-10576090.020000001</v>
      </c>
      <c r="G180" s="1428">
        <v>-67515629.090000004</v>
      </c>
      <c r="H180" s="1428">
        <v>-25833188.59</v>
      </c>
      <c r="I180" s="1428">
        <v>-1945062.2999999982</v>
      </c>
      <c r="J180" s="24">
        <f>SUM(F180:I180)</f>
        <v>-105869970</v>
      </c>
      <c r="K180" s="821"/>
      <c r="V180">
        <v>-10576090.020000001</v>
      </c>
      <c r="W180">
        <v>-67515629.090000004</v>
      </c>
      <c r="X180">
        <v>-25833188.59</v>
      </c>
      <c r="Y180">
        <v>-1945062.2999999982</v>
      </c>
    </row>
    <row r="181" spans="1:25" ht="15">
      <c r="A181" s="33"/>
      <c r="B181" s="17">
        <f t="shared" si="15"/>
        <v>13</v>
      </c>
      <c r="C181" s="40">
        <v>254</v>
      </c>
      <c r="D181" s="47" t="s">
        <v>1240</v>
      </c>
      <c r="E181" s="38"/>
      <c r="F181" s="1428">
        <v>0</v>
      </c>
      <c r="G181" s="1428">
        <v>0</v>
      </c>
      <c r="H181" s="1428">
        <v>0</v>
      </c>
      <c r="I181" s="1428">
        <v>0</v>
      </c>
      <c r="J181" s="24">
        <f>SUM(F181:I181)</f>
        <v>0</v>
      </c>
      <c r="K181" s="821">
        <f>J181-SUM(F181:I181)</f>
        <v>0</v>
      </c>
      <c r="V181">
        <v>0</v>
      </c>
      <c r="W181">
        <v>0</v>
      </c>
      <c r="X181">
        <v>0</v>
      </c>
      <c r="Y181">
        <v>0</v>
      </c>
    </row>
    <row r="182" spans="1:25" ht="15">
      <c r="A182" s="33"/>
      <c r="B182" s="17">
        <f t="shared" si="15"/>
        <v>14</v>
      </c>
      <c r="C182" s="690">
        <v>254</v>
      </c>
      <c r="D182" s="703" t="s">
        <v>1241</v>
      </c>
      <c r="E182" s="38"/>
      <c r="F182" s="1428">
        <v>-471200313.38</v>
      </c>
      <c r="G182" s="1428">
        <v>-462439966.73000002</v>
      </c>
      <c r="H182" s="1428">
        <v>-15727006.609999999</v>
      </c>
      <c r="I182" s="1428">
        <v>-13411193.226812735</v>
      </c>
      <c r="J182" s="24">
        <f>SUM(F182:I182)</f>
        <v>-962778479.94681275</v>
      </c>
      <c r="K182" s="821">
        <f>J182-SUM(F182:I182)</f>
        <v>0</v>
      </c>
      <c r="V182">
        <v>-471200313.38</v>
      </c>
      <c r="W182">
        <v>-462439966.73000002</v>
      </c>
      <c r="X182">
        <v>-15727006.609999999</v>
      </c>
      <c r="Y182">
        <v>-13411193.226812735</v>
      </c>
    </row>
    <row r="183" spans="1:25" ht="15">
      <c r="A183" s="33"/>
      <c r="B183" s="17">
        <f t="shared" si="15"/>
        <v>15</v>
      </c>
      <c r="C183" s="690">
        <v>254</v>
      </c>
      <c r="D183" s="703" t="s">
        <v>1242</v>
      </c>
      <c r="E183" s="38"/>
      <c r="F183" s="1428">
        <v>0</v>
      </c>
      <c r="G183" s="1428">
        <v>0</v>
      </c>
      <c r="H183" s="1428">
        <v>0</v>
      </c>
      <c r="I183" s="1428">
        <v>0</v>
      </c>
      <c r="J183" s="24">
        <f t="shared" si="20" ref="J183:J185">SUM(F183:I183)</f>
        <v>0</v>
      </c>
      <c r="K183" s="821"/>
      <c r="V183">
        <v>0</v>
      </c>
      <c r="W183">
        <v>0</v>
      </c>
      <c r="X183">
        <v>0</v>
      </c>
      <c r="Y183">
        <v>0</v>
      </c>
    </row>
    <row r="184" spans="1:25" ht="15">
      <c r="A184" s="33"/>
      <c r="B184" s="17">
        <f t="shared" si="15"/>
        <v>16</v>
      </c>
      <c r="C184" s="690">
        <v>254</v>
      </c>
      <c r="D184" s="1120" t="s">
        <v>1373</v>
      </c>
      <c r="E184" s="38"/>
      <c r="F184" s="1428">
        <v>-85081001.849999979</v>
      </c>
      <c r="G184" s="1428">
        <v>-91968029.510000005</v>
      </c>
      <c r="H184" s="1428">
        <v>-3127718</v>
      </c>
      <c r="I184" s="1428">
        <v>-2667159.3099999968</v>
      </c>
      <c r="J184" s="24">
        <f t="shared" si="20"/>
        <v>-182843908.66999999</v>
      </c>
      <c r="K184" s="821"/>
      <c r="V184">
        <v>-85081001.849999979</v>
      </c>
      <c r="W184">
        <v>-91968029.510000005</v>
      </c>
      <c r="X184">
        <v>-3127718</v>
      </c>
      <c r="Y184">
        <v>-2667159.3099999968</v>
      </c>
    </row>
    <row r="185" spans="1:25" ht="15">
      <c r="A185" s="33"/>
      <c r="B185" s="17">
        <f t="shared" si="15"/>
        <v>17</v>
      </c>
      <c r="C185" s="690">
        <v>254</v>
      </c>
      <c r="D185" s="703" t="s">
        <v>1245</v>
      </c>
      <c r="E185" s="38"/>
      <c r="F185" s="1429">
        <v>-217543.25000000023</v>
      </c>
      <c r="G185" s="1429">
        <v>8384714.2699999996</v>
      </c>
      <c r="H185" s="1429">
        <v>285153.67999999999</v>
      </c>
      <c r="I185" s="1429">
        <v>243164.58999999956</v>
      </c>
      <c r="J185" s="24">
        <f t="shared" si="20"/>
        <v>8695489.2899999991</v>
      </c>
      <c r="K185" s="821"/>
      <c r="V185">
        <v>-217543.25000000023</v>
      </c>
      <c r="W185">
        <v>8384714.2699999996</v>
      </c>
      <c r="X185">
        <v>285153.67999999999</v>
      </c>
      <c r="Y185">
        <v>243164.58999999956</v>
      </c>
    </row>
    <row r="186" spans="1:25" ht="15">
      <c r="A186" s="33"/>
      <c r="B186" s="17">
        <f t="shared" si="15"/>
        <v>18</v>
      </c>
      <c r="C186" s="40">
        <v>254</v>
      </c>
      <c r="D186" s="47" t="s">
        <v>1246</v>
      </c>
      <c r="E186" s="38"/>
      <c r="F186" s="1429">
        <v>0</v>
      </c>
      <c r="G186" s="1429">
        <v>0</v>
      </c>
      <c r="H186" s="1429">
        <v>0</v>
      </c>
      <c r="I186" s="1429">
        <v>0</v>
      </c>
      <c r="J186" s="24">
        <f>SUM(F186:I186)</f>
        <v>0</v>
      </c>
      <c r="K186" s="821">
        <f>J186-SUM(F186:I186)</f>
        <v>0</v>
      </c>
      <c r="V186">
        <v>0</v>
      </c>
      <c r="W186">
        <v>0</v>
      </c>
      <c r="X186">
        <v>0</v>
      </c>
      <c r="Y186">
        <v>0</v>
      </c>
    </row>
    <row r="187" spans="1:25" s="386" customFormat="1" ht="15">
      <c r="A187" s="33"/>
      <c r="B187" s="17">
        <f t="shared" si="15"/>
        <v>19</v>
      </c>
      <c r="C187" s="40">
        <v>254</v>
      </c>
      <c r="D187" s="47" t="s">
        <v>155</v>
      </c>
      <c r="E187" s="38"/>
      <c r="F187" s="1429">
        <v>0</v>
      </c>
      <c r="G187" s="1429">
        <v>0</v>
      </c>
      <c r="H187" s="1429">
        <v>0</v>
      </c>
      <c r="I187" s="1429">
        <v>0</v>
      </c>
      <c r="J187" s="24">
        <f>SUM(F187:I187)</f>
        <v>0</v>
      </c>
      <c r="K187" s="821">
        <f>J187-SUM(F187:I187)</f>
        <v>0</v>
      </c>
      <c r="L187"/>
      <c r="M187"/>
      <c r="N187"/>
      <c r="O187"/>
      <c r="V187" s="386">
        <v>0</v>
      </c>
      <c r="W187" s="386">
        <v>0</v>
      </c>
      <c r="X187" s="386">
        <v>0</v>
      </c>
      <c r="Y187" s="386">
        <v>0</v>
      </c>
    </row>
    <row r="188" spans="1:25" s="386" customFormat="1" ht="15">
      <c r="A188" s="33"/>
      <c r="B188" s="17">
        <f t="shared" si="21" ref="B188:B190">B187+1</f>
        <v>20</v>
      </c>
      <c r="C188" s="40">
        <v>254</v>
      </c>
      <c r="D188" s="47" t="s">
        <v>156</v>
      </c>
      <c r="E188" s="38"/>
      <c r="F188" s="1430">
        <v>0</v>
      </c>
      <c r="G188" s="1430">
        <v>0</v>
      </c>
      <c r="H188" s="1430">
        <v>0</v>
      </c>
      <c r="I188" s="1430">
        <v>0</v>
      </c>
      <c r="J188" s="24">
        <f>SUM(F188:I188)</f>
        <v>0</v>
      </c>
      <c r="K188" s="821">
        <f>J188-SUM(F188:I188)</f>
        <v>0</v>
      </c>
      <c r="V188" s="386">
        <v>0</v>
      </c>
      <c r="W188" s="386">
        <v>0</v>
      </c>
      <c r="X188" s="386">
        <v>0</v>
      </c>
      <c r="Y188" s="386">
        <v>0</v>
      </c>
    </row>
    <row r="189" spans="1:15" s="386" customFormat="1" ht="15">
      <c r="A189" s="1"/>
      <c r="B189" s="17">
        <f t="shared" si="21"/>
        <v>21</v>
      </c>
      <c r="C189" s="1"/>
      <c r="D189" s="43"/>
      <c r="E189" s="897"/>
      <c r="F189" s="1425"/>
      <c r="G189" s="1425"/>
      <c r="H189" s="1425"/>
      <c r="I189" s="1431"/>
      <c r="J189" s="24">
        <f>SUM(F189:I189)</f>
        <v>0</v>
      </c>
      <c r="K189" s="821">
        <f>J189-SUM(F189:I189)</f>
        <v>0</v>
      </c>
      <c r="L189"/>
      <c r="M189"/>
      <c r="N189"/>
      <c r="O189"/>
    </row>
    <row r="190" spans="1:25" s="386" customFormat="1" ht="15">
      <c r="A190" s="1"/>
      <c r="B190" s="17">
        <f t="shared" si="21"/>
        <v>22</v>
      </c>
      <c r="C190" s="48" t="s">
        <v>157</v>
      </c>
      <c r="D190" s="1"/>
      <c r="E190" s="1333" t="s">
        <v>158</v>
      </c>
      <c r="F190" s="1432">
        <v>0.070499999999999993</v>
      </c>
      <c r="G190" s="1432">
        <v>0.070499999999999993</v>
      </c>
      <c r="H190" s="1432">
        <v>0.070499999999999993</v>
      </c>
      <c r="I190" s="1432">
        <v>0.070499999999999993</v>
      </c>
      <c r="J190" s="24"/>
      <c r="K190" s="821"/>
      <c r="L190"/>
      <c r="M190"/>
      <c r="N190"/>
      <c r="O190"/>
      <c r="V190" s="386">
        <v>0.070499999999999993</v>
      </c>
      <c r="W190" s="386">
        <v>0.070499999999999993</v>
      </c>
      <c r="X190" s="386">
        <v>0.070499999999999993</v>
      </c>
      <c r="Y190" s="386">
        <v>0.070499999999999993</v>
      </c>
    </row>
    <row r="191" spans="1:11" ht="15">
      <c r="A191" s="1"/>
      <c r="B191" s="17"/>
      <c r="C191" s="48"/>
      <c r="D191" s="1"/>
      <c r="E191" s="1135"/>
      <c r="F191" s="1433"/>
      <c r="G191" s="1433"/>
      <c r="H191" s="1433"/>
      <c r="I191" s="1433"/>
      <c r="J191" s="24"/>
      <c r="K191" s="821">
        <f t="shared" si="22" ref="K191:K254">J191-SUM(F191:I191)</f>
        <v>0</v>
      </c>
    </row>
    <row r="192" spans="1:15" s="386" customFormat="1" ht="15">
      <c r="A192" s="1"/>
      <c r="B192" s="17"/>
      <c r="C192" s="48"/>
      <c r="D192" s="730"/>
      <c r="E192" s="1135"/>
      <c r="F192" s="1433"/>
      <c r="G192" s="1433"/>
      <c r="H192" s="1433"/>
      <c r="I192" s="1433"/>
      <c r="J192" s="24"/>
      <c r="K192" s="821">
        <f t="shared" si="22"/>
        <v>0</v>
      </c>
      <c r="L192"/>
      <c r="M192"/>
      <c r="N192"/>
      <c r="O192"/>
    </row>
    <row r="193" spans="1:11" ht="15">
      <c r="A193" s="1"/>
      <c r="B193" s="17">
        <f t="shared" si="23" ref="B193:B229">B192+1</f>
        <v>1</v>
      </c>
      <c r="C193" s="8" t="s">
        <v>159</v>
      </c>
      <c r="D193" s="1"/>
      <c r="E193" s="1135" t="s">
        <v>160</v>
      </c>
      <c r="F193" s="1413"/>
      <c r="G193" s="1413"/>
      <c r="H193" s="1413"/>
      <c r="I193" s="1413"/>
      <c r="J193" s="24"/>
      <c r="K193" s="821">
        <f t="shared" si="22"/>
        <v>0</v>
      </c>
    </row>
    <row r="194" spans="1:25" ht="14.25">
      <c r="A194" s="1"/>
      <c r="B194" s="17">
        <f t="shared" si="23"/>
        <v>2</v>
      </c>
      <c r="C194" s="19" t="s">
        <v>161</v>
      </c>
      <c r="D194" s="1" t="s">
        <v>162</v>
      </c>
      <c r="E194" s="32"/>
      <c r="F194" s="1422">
        <v>4337269.9799999995</v>
      </c>
      <c r="G194" s="1422">
        <v>46904.709999999999</v>
      </c>
      <c r="H194" s="1422">
        <v>1929.49</v>
      </c>
      <c r="I194" s="1422">
        <v>0</v>
      </c>
      <c r="J194" s="24">
        <f t="shared" si="24" ref="J194:J201">SUM(F194:I194)</f>
        <v>4386104.1799999997</v>
      </c>
      <c r="K194" s="821">
        <f t="shared" si="22"/>
        <v>0</v>
      </c>
      <c r="V194">
        <v>4337269.9799999995</v>
      </c>
      <c r="W194">
        <v>46904.709999999999</v>
      </c>
      <c r="X194">
        <v>1929.49</v>
      </c>
      <c r="Y194">
        <v>0</v>
      </c>
    </row>
    <row r="195" spans="1:25" ht="14.25">
      <c r="A195" s="1"/>
      <c r="B195" s="17">
        <f t="shared" si="23"/>
        <v>3</v>
      </c>
      <c r="C195" s="19" t="s">
        <v>163</v>
      </c>
      <c r="D195" s="1" t="s">
        <v>164</v>
      </c>
      <c r="E195" s="32"/>
      <c r="F195" s="1423">
        <v>20654844.43</v>
      </c>
      <c r="G195" s="1423">
        <v>0</v>
      </c>
      <c r="H195" s="1423">
        <v>0</v>
      </c>
      <c r="I195" s="1423">
        <v>0</v>
      </c>
      <c r="J195" s="24">
        <f t="shared" si="24"/>
        <v>20654844.43</v>
      </c>
      <c r="K195" s="821">
        <f t="shared" si="22"/>
        <v>0</v>
      </c>
      <c r="V195">
        <v>20654844.43</v>
      </c>
      <c r="W195">
        <v>0</v>
      </c>
      <c r="X195">
        <v>0</v>
      </c>
      <c r="Y195">
        <v>0</v>
      </c>
    </row>
    <row r="196" spans="1:25" ht="14.25">
      <c r="A196" s="1"/>
      <c r="B196" s="17">
        <f t="shared" si="23"/>
        <v>4</v>
      </c>
      <c r="C196" s="19" t="s">
        <v>165</v>
      </c>
      <c r="D196" s="1" t="s">
        <v>166</v>
      </c>
      <c r="E196" s="32"/>
      <c r="F196" s="1423">
        <v>2343139.5499999998</v>
      </c>
      <c r="G196" s="1423">
        <v>522283.20000000001</v>
      </c>
      <c r="H196" s="1423">
        <v>0</v>
      </c>
      <c r="I196" s="1423">
        <v>0</v>
      </c>
      <c r="J196" s="24">
        <f t="shared" si="24"/>
        <v>2865422.75</v>
      </c>
      <c r="K196" s="821">
        <f t="shared" si="22"/>
        <v>0</v>
      </c>
      <c r="V196">
        <v>2343139.5499999998</v>
      </c>
      <c r="W196">
        <v>522283.20000000001</v>
      </c>
      <c r="X196">
        <v>0</v>
      </c>
      <c r="Y196">
        <v>0</v>
      </c>
    </row>
    <row r="197" spans="1:25" ht="14.25">
      <c r="A197" s="1"/>
      <c r="B197" s="17">
        <f t="shared" si="23"/>
        <v>5</v>
      </c>
      <c r="C197" s="19" t="s">
        <v>167</v>
      </c>
      <c r="D197" s="1" t="s">
        <v>168</v>
      </c>
      <c r="E197" s="32"/>
      <c r="F197" s="1423">
        <v>6797120.5800000001</v>
      </c>
      <c r="G197" s="1423">
        <v>0</v>
      </c>
      <c r="H197" s="1423">
        <v>0</v>
      </c>
      <c r="I197" s="1423">
        <v>0</v>
      </c>
      <c r="J197" s="24">
        <f t="shared" si="24"/>
        <v>6797120.5800000001</v>
      </c>
      <c r="K197" s="821">
        <f t="shared" si="22"/>
        <v>0</v>
      </c>
      <c r="V197">
        <v>6797120.5800000001</v>
      </c>
      <c r="W197">
        <v>0</v>
      </c>
      <c r="X197">
        <v>0</v>
      </c>
      <c r="Y197">
        <v>0</v>
      </c>
    </row>
    <row r="198" spans="1:25" ht="15">
      <c r="A198" s="8"/>
      <c r="B198" s="17">
        <f t="shared" si="23"/>
        <v>6</v>
      </c>
      <c r="C198" s="19" t="s">
        <v>169</v>
      </c>
      <c r="D198" s="1" t="s">
        <v>170</v>
      </c>
      <c r="E198" s="32"/>
      <c r="F198" s="1423">
        <v>2674.8600000000001</v>
      </c>
      <c r="G198" s="1423">
        <v>0</v>
      </c>
      <c r="H198" s="1423">
        <v>0</v>
      </c>
      <c r="I198" s="1423">
        <v>0</v>
      </c>
      <c r="J198" s="24">
        <f t="shared" si="24"/>
        <v>2674.8600000000001</v>
      </c>
      <c r="K198" s="821">
        <f t="shared" si="22"/>
        <v>0</v>
      </c>
      <c r="V198">
        <v>2674.8600000000001</v>
      </c>
      <c r="W198">
        <v>0</v>
      </c>
      <c r="X198">
        <v>0</v>
      </c>
      <c r="Y198">
        <v>0</v>
      </c>
    </row>
    <row r="199" spans="1:25" s="386" customFormat="1" ht="15">
      <c r="A199" s="8"/>
      <c r="B199" s="17">
        <f t="shared" si="23"/>
        <v>7</v>
      </c>
      <c r="C199" s="19" t="s">
        <v>171</v>
      </c>
      <c r="D199" s="28" t="s">
        <v>172</v>
      </c>
      <c r="E199" s="32"/>
      <c r="F199" s="1423">
        <v>0</v>
      </c>
      <c r="G199" s="1423">
        <v>1652522021.4399998</v>
      </c>
      <c r="H199" s="1423">
        <v>0</v>
      </c>
      <c r="I199" s="1423">
        <v>0</v>
      </c>
      <c r="J199" s="24">
        <f t="shared" si="24"/>
        <v>1652522021.4399998</v>
      </c>
      <c r="K199" s="821">
        <f t="shared" si="22"/>
        <v>0</v>
      </c>
      <c r="L199"/>
      <c r="M199"/>
      <c r="N199"/>
      <c r="O199"/>
      <c r="V199" s="386">
        <v>0</v>
      </c>
      <c r="W199" s="386">
        <v>1652522021.4399998</v>
      </c>
      <c r="X199" s="386">
        <v>0</v>
      </c>
      <c r="Y199" s="386">
        <v>0</v>
      </c>
    </row>
    <row r="200" spans="1:25" ht="15">
      <c r="A200" s="8"/>
      <c r="B200" s="17">
        <f t="shared" si="23"/>
        <v>8</v>
      </c>
      <c r="C200" s="19" t="s">
        <v>173</v>
      </c>
      <c r="D200" s="1" t="s">
        <v>174</v>
      </c>
      <c r="E200" s="32"/>
      <c r="F200" s="1423">
        <v>59368005.240000002</v>
      </c>
      <c r="G200" s="1423">
        <v>271783.87</v>
      </c>
      <c r="H200" s="1423">
        <v>0</v>
      </c>
      <c r="I200" s="1423">
        <v>0</v>
      </c>
      <c r="J200" s="24">
        <f t="shared" si="24"/>
        <v>59639789.109999999</v>
      </c>
      <c r="K200" s="821">
        <f t="shared" si="22"/>
        <v>0</v>
      </c>
      <c r="V200">
        <v>59368005.240000002</v>
      </c>
      <c r="W200">
        <v>271783.87</v>
      </c>
      <c r="X200">
        <v>0</v>
      </c>
      <c r="Y200">
        <v>0</v>
      </c>
    </row>
    <row r="201" spans="1:25" ht="15">
      <c r="A201" s="8"/>
      <c r="B201" s="17">
        <f t="shared" si="23"/>
        <v>9</v>
      </c>
      <c r="C201" s="19" t="s">
        <v>175</v>
      </c>
      <c r="D201" s="1" t="s">
        <v>176</v>
      </c>
      <c r="E201" s="32"/>
      <c r="F201" s="1424">
        <v>193255.28</v>
      </c>
      <c r="G201" s="1424">
        <v>0</v>
      </c>
      <c r="H201" s="1424">
        <v>0</v>
      </c>
      <c r="I201" s="1424">
        <v>0</v>
      </c>
      <c r="J201" s="24">
        <f t="shared" si="24"/>
        <v>193255.28</v>
      </c>
      <c r="K201" s="821">
        <f t="shared" si="22"/>
        <v>0</v>
      </c>
      <c r="V201">
        <v>193255.28</v>
      </c>
      <c r="W201">
        <v>0</v>
      </c>
      <c r="X201">
        <v>0</v>
      </c>
      <c r="Y201">
        <v>0</v>
      </c>
    </row>
    <row r="202" spans="1:11" ht="15">
      <c r="A202" s="8"/>
      <c r="B202" s="17">
        <f t="shared" si="23"/>
        <v>10</v>
      </c>
      <c r="C202" s="8" t="s">
        <v>177</v>
      </c>
      <c r="D202" s="1"/>
      <c r="E202" s="1135" t="s">
        <v>160</v>
      </c>
      <c r="F202" s="1413"/>
      <c r="G202" s="1413"/>
      <c r="H202" s="1413"/>
      <c r="I202" s="1413"/>
      <c r="J202" s="24"/>
      <c r="K202" s="821">
        <f t="shared" si="22"/>
        <v>0</v>
      </c>
    </row>
    <row r="203" spans="1:25" ht="15">
      <c r="A203" s="8"/>
      <c r="B203" s="17">
        <f t="shared" si="23"/>
        <v>11</v>
      </c>
      <c r="C203" s="19" t="s">
        <v>178</v>
      </c>
      <c r="D203" s="1" t="s">
        <v>179</v>
      </c>
      <c r="E203" s="32"/>
      <c r="F203" s="1422">
        <v>524192.23999999999</v>
      </c>
      <c r="G203" s="1422">
        <v>85793.720000000001</v>
      </c>
      <c r="H203" s="1422">
        <v>291.72000000000003</v>
      </c>
      <c r="I203" s="1422">
        <v>0</v>
      </c>
      <c r="J203" s="24">
        <f t="shared" si="25" ref="J203:J208">SUM(F203:I203)</f>
        <v>610277.67999999993</v>
      </c>
      <c r="K203" s="821">
        <f t="shared" si="22"/>
        <v>0</v>
      </c>
      <c r="V203">
        <v>524192.23999999999</v>
      </c>
      <c r="W203">
        <v>85793.720000000001</v>
      </c>
      <c r="X203">
        <v>291.72000000000003</v>
      </c>
      <c r="Y203">
        <v>0</v>
      </c>
    </row>
    <row r="204" spans="1:25" ht="15">
      <c r="A204" s="8"/>
      <c r="B204" s="17">
        <f t="shared" si="23"/>
        <v>12</v>
      </c>
      <c r="C204" s="19" t="s">
        <v>180</v>
      </c>
      <c r="D204" s="28" t="s">
        <v>181</v>
      </c>
      <c r="E204" s="32"/>
      <c r="F204" s="1423">
        <v>51813.760000000002</v>
      </c>
      <c r="G204" s="1423">
        <v>24.050000000000001</v>
      </c>
      <c r="H204" s="1423">
        <v>0</v>
      </c>
      <c r="I204" s="1423">
        <v>0</v>
      </c>
      <c r="J204" s="24">
        <f t="shared" si="25"/>
        <v>51837.810000000005</v>
      </c>
      <c r="K204" s="821">
        <f t="shared" si="22"/>
        <v>0</v>
      </c>
      <c r="V204">
        <v>51813.760000000002</v>
      </c>
      <c r="W204">
        <v>24.050000000000001</v>
      </c>
      <c r="X204">
        <v>0</v>
      </c>
      <c r="Y204">
        <v>0</v>
      </c>
    </row>
    <row r="205" spans="1:25" ht="15">
      <c r="A205" s="8"/>
      <c r="B205" s="17">
        <f t="shared" si="23"/>
        <v>13</v>
      </c>
      <c r="C205" s="19" t="s">
        <v>182</v>
      </c>
      <c r="D205" s="1" t="s">
        <v>183</v>
      </c>
      <c r="E205" s="32"/>
      <c r="F205" s="1423">
        <v>8408898.6799999997</v>
      </c>
      <c r="G205" s="1423">
        <v>179023.23999999999</v>
      </c>
      <c r="H205" s="1423">
        <v>0</v>
      </c>
      <c r="I205" s="1423">
        <v>0</v>
      </c>
      <c r="J205" s="24">
        <f t="shared" si="25"/>
        <v>8587921.9199999999</v>
      </c>
      <c r="K205" s="821">
        <f t="shared" si="22"/>
        <v>0</v>
      </c>
      <c r="V205">
        <v>8408898.6799999997</v>
      </c>
      <c r="W205">
        <v>179023.23999999999</v>
      </c>
      <c r="X205">
        <v>0</v>
      </c>
      <c r="Y205">
        <v>0</v>
      </c>
    </row>
    <row r="206" spans="1:25" ht="15">
      <c r="A206" s="8"/>
      <c r="B206" s="17">
        <f t="shared" si="23"/>
        <v>14</v>
      </c>
      <c r="C206" s="19" t="s">
        <v>184</v>
      </c>
      <c r="D206" s="1" t="s">
        <v>185</v>
      </c>
      <c r="E206" s="32"/>
      <c r="F206" s="1423">
        <v>22536330</v>
      </c>
      <c r="G206" s="1423">
        <v>4628.7399999999998</v>
      </c>
      <c r="H206" s="1423">
        <v>0</v>
      </c>
      <c r="I206" s="1423">
        <v>0</v>
      </c>
      <c r="J206" s="24">
        <f t="shared" si="25"/>
        <v>22540958.739999998</v>
      </c>
      <c r="K206" s="821">
        <f t="shared" si="22"/>
        <v>0</v>
      </c>
      <c r="V206">
        <v>22536330</v>
      </c>
      <c r="W206">
        <v>4628.7399999999998</v>
      </c>
      <c r="X206">
        <v>0</v>
      </c>
      <c r="Y206">
        <v>0</v>
      </c>
    </row>
    <row r="207" spans="1:25" ht="15">
      <c r="A207" s="8"/>
      <c r="B207" s="17">
        <f t="shared" si="23"/>
        <v>15</v>
      </c>
      <c r="C207" s="19" t="s">
        <v>186</v>
      </c>
      <c r="D207" s="28" t="s">
        <v>187</v>
      </c>
      <c r="E207" s="32"/>
      <c r="F207" s="1423">
        <v>80.010000000000005</v>
      </c>
      <c r="G207" s="1423">
        <v>79.019999999999996</v>
      </c>
      <c r="H207" s="1423">
        <v>0</v>
      </c>
      <c r="I207" s="1423">
        <v>0</v>
      </c>
      <c r="J207" s="24">
        <f t="shared" si="25"/>
        <v>159.03</v>
      </c>
      <c r="K207" s="821">
        <f t="shared" si="22"/>
        <v>0</v>
      </c>
      <c r="V207">
        <v>80.010000000000005</v>
      </c>
      <c r="W207">
        <v>79.019999999999996</v>
      </c>
      <c r="X207">
        <v>0</v>
      </c>
      <c r="Y207">
        <v>0</v>
      </c>
    </row>
    <row r="208" spans="1:25" ht="15">
      <c r="A208" s="8"/>
      <c r="B208" s="17">
        <f t="shared" si="23"/>
        <v>16</v>
      </c>
      <c r="C208" s="19" t="s">
        <v>188</v>
      </c>
      <c r="D208" s="28" t="s">
        <v>189</v>
      </c>
      <c r="E208" s="32"/>
      <c r="F208" s="1424">
        <v>1701271.3499999999</v>
      </c>
      <c r="G208" s="1424">
        <v>35239.690000000002</v>
      </c>
      <c r="H208" s="1424">
        <v>0</v>
      </c>
      <c r="I208" s="1424">
        <v>0</v>
      </c>
      <c r="J208" s="24">
        <f t="shared" si="25"/>
        <v>1736511.0399999998</v>
      </c>
      <c r="K208" s="821">
        <f t="shared" si="22"/>
        <v>0</v>
      </c>
      <c r="V208">
        <v>1701271.3499999999</v>
      </c>
      <c r="W208">
        <v>35239.690000000002</v>
      </c>
      <c r="X208">
        <v>0</v>
      </c>
      <c r="Y208">
        <v>0</v>
      </c>
    </row>
    <row r="209" spans="1:11" ht="15">
      <c r="A209" s="8"/>
      <c r="B209" s="17">
        <f t="shared" si="23"/>
        <v>17</v>
      </c>
      <c r="C209" s="8" t="s">
        <v>190</v>
      </c>
      <c r="D209" s="1"/>
      <c r="E209" s="1135" t="s">
        <v>160</v>
      </c>
      <c r="F209" s="1413"/>
      <c r="G209" s="1413"/>
      <c r="H209" s="1413"/>
      <c r="I209" s="1413"/>
      <c r="J209" s="24"/>
      <c r="K209" s="821">
        <f t="shared" si="22"/>
        <v>0</v>
      </c>
    </row>
    <row r="210" spans="1:25" ht="15">
      <c r="A210" s="8"/>
      <c r="B210" s="17">
        <f t="shared" si="23"/>
        <v>18</v>
      </c>
      <c r="C210" s="19" t="s">
        <v>191</v>
      </c>
      <c r="D210" s="31" t="s">
        <v>162</v>
      </c>
      <c r="E210" s="17"/>
      <c r="F210" s="1422">
        <v>-2246.0900000000001</v>
      </c>
      <c r="G210" s="1422">
        <v>7329102.46</v>
      </c>
      <c r="H210" s="1422">
        <v>580269.81000000006</v>
      </c>
      <c r="I210" s="1422">
        <v>18446.310000000001</v>
      </c>
      <c r="J210" s="24">
        <f t="shared" si="26" ref="J210:J219">SUM(F210:I210)</f>
        <v>7925572.4899999993</v>
      </c>
      <c r="K210" s="821">
        <f t="shared" si="22"/>
        <v>0</v>
      </c>
      <c r="V210">
        <v>-2246.0900000000001</v>
      </c>
      <c r="W210">
        <v>7329102.46</v>
      </c>
      <c r="X210">
        <v>580269.81000000006</v>
      </c>
      <c r="Y210">
        <v>18446.310000000001</v>
      </c>
    </row>
    <row r="211" spans="1:25" ht="15">
      <c r="A211" s="8"/>
      <c r="B211" s="17">
        <f t="shared" si="23"/>
        <v>19</v>
      </c>
      <c r="C211" s="19" t="s">
        <v>192</v>
      </c>
      <c r="D211" s="31" t="s">
        <v>193</v>
      </c>
      <c r="E211" s="32"/>
      <c r="F211" s="1423">
        <v>0</v>
      </c>
      <c r="G211" s="1423">
        <v>9635578.4299999997</v>
      </c>
      <c r="H211" s="1423">
        <v>0</v>
      </c>
      <c r="I211" s="1423">
        <v>0</v>
      </c>
      <c r="J211" s="24">
        <f t="shared" si="26"/>
        <v>9635578.4299999997</v>
      </c>
      <c r="K211" s="821">
        <f t="shared" si="22"/>
        <v>0</v>
      </c>
      <c r="V211">
        <v>0</v>
      </c>
      <c r="W211">
        <v>9635578.4299999997</v>
      </c>
      <c r="X211">
        <v>0</v>
      </c>
      <c r="Y211">
        <v>0</v>
      </c>
    </row>
    <row r="212" spans="1:25" ht="15">
      <c r="A212" s="8"/>
      <c r="B212" s="17">
        <f t="shared" si="23"/>
        <v>20</v>
      </c>
      <c r="C212" s="19" t="s">
        <v>194</v>
      </c>
      <c r="D212" s="1" t="s">
        <v>166</v>
      </c>
      <c r="E212" s="32"/>
      <c r="F212" s="1423">
        <v>199381.69</v>
      </c>
      <c r="G212" s="1423">
        <v>3847591.3799999999</v>
      </c>
      <c r="H212" s="1423">
        <v>0</v>
      </c>
      <c r="I212" s="1423">
        <v>0</v>
      </c>
      <c r="J212" s="24">
        <f t="shared" si="26"/>
        <v>4046973.0699999998</v>
      </c>
      <c r="K212" s="821">
        <f t="shared" si="22"/>
        <v>0</v>
      </c>
      <c r="V212">
        <v>199381.69</v>
      </c>
      <c r="W212">
        <v>3847591.3799999999</v>
      </c>
      <c r="X212">
        <v>0</v>
      </c>
      <c r="Y212">
        <v>0</v>
      </c>
    </row>
    <row r="213" spans="1:25" ht="15">
      <c r="A213" s="8"/>
      <c r="B213" s="17">
        <f t="shared" si="23"/>
        <v>21</v>
      </c>
      <c r="C213" s="19" t="s">
        <v>195</v>
      </c>
      <c r="D213" s="1" t="s">
        <v>168</v>
      </c>
      <c r="E213" s="32"/>
      <c r="F213" s="1423">
        <v>202.09999999999999</v>
      </c>
      <c r="G213" s="1423">
        <v>13740291.68</v>
      </c>
      <c r="H213" s="1423">
        <v>92030.289999999994</v>
      </c>
      <c r="I213" s="1423">
        <v>0</v>
      </c>
      <c r="J213" s="24">
        <f t="shared" si="26"/>
        <v>13832524.069999998</v>
      </c>
      <c r="K213" s="821">
        <f t="shared" si="22"/>
        <v>0</v>
      </c>
      <c r="V213">
        <v>202.09999999999999</v>
      </c>
      <c r="W213">
        <v>13740291.68</v>
      </c>
      <c r="X213">
        <v>92030.289999999994</v>
      </c>
      <c r="Y213">
        <v>0</v>
      </c>
    </row>
    <row r="214" spans="1:25" ht="14.25">
      <c r="A214" s="1"/>
      <c r="B214" s="17">
        <f t="shared" si="23"/>
        <v>22</v>
      </c>
      <c r="C214" s="19" t="s">
        <v>196</v>
      </c>
      <c r="D214" s="1" t="s">
        <v>170</v>
      </c>
      <c r="E214" s="54"/>
      <c r="F214" s="1423">
        <v>0</v>
      </c>
      <c r="G214" s="1423">
        <v>10071135.370000001</v>
      </c>
      <c r="H214" s="1423">
        <v>7711.7299999999996</v>
      </c>
      <c r="I214" s="1423">
        <v>0</v>
      </c>
      <c r="J214" s="24">
        <f t="shared" si="26"/>
        <v>10078847.100000002</v>
      </c>
      <c r="K214" s="821">
        <f t="shared" si="22"/>
        <v>0</v>
      </c>
      <c r="V214">
        <v>0</v>
      </c>
      <c r="W214">
        <v>10071135.370000001</v>
      </c>
      <c r="X214">
        <v>7711.7299999999996</v>
      </c>
      <c r="Y214">
        <v>0</v>
      </c>
    </row>
    <row r="215" spans="1:25" ht="15">
      <c r="A215" s="8"/>
      <c r="B215" s="17">
        <f t="shared" si="23"/>
        <v>23</v>
      </c>
      <c r="C215" s="19" t="s">
        <v>197</v>
      </c>
      <c r="D215" s="1" t="s">
        <v>198</v>
      </c>
      <c r="E215" s="54"/>
      <c r="F215" s="1423">
        <v>0</v>
      </c>
      <c r="G215" s="1423">
        <v>826.62</v>
      </c>
      <c r="H215" s="1423">
        <v>0</v>
      </c>
      <c r="I215" s="1423">
        <v>0</v>
      </c>
      <c r="J215" s="24">
        <f t="shared" si="26"/>
        <v>826.62</v>
      </c>
      <c r="K215" s="821">
        <f t="shared" si="22"/>
        <v>0</v>
      </c>
      <c r="V215">
        <v>0</v>
      </c>
      <c r="W215">
        <v>826.62</v>
      </c>
      <c r="X215">
        <v>0</v>
      </c>
      <c r="Y215">
        <v>0</v>
      </c>
    </row>
    <row r="216" spans="1:25" ht="15">
      <c r="A216" s="8"/>
      <c r="B216" s="17">
        <f t="shared" si="23"/>
        <v>24</v>
      </c>
      <c r="C216" s="19" t="s">
        <v>199</v>
      </c>
      <c r="D216" s="1" t="s">
        <v>200</v>
      </c>
      <c r="E216" s="54"/>
      <c r="F216" s="1423">
        <v>0</v>
      </c>
      <c r="G216" s="1423">
        <v>0</v>
      </c>
      <c r="H216" s="1423">
        <v>28413340.77</v>
      </c>
      <c r="I216" s="1423">
        <v>0</v>
      </c>
      <c r="J216" s="24">
        <f t="shared" si="26"/>
        <v>28413340.77</v>
      </c>
      <c r="K216" s="821">
        <f t="shared" si="22"/>
        <v>0</v>
      </c>
      <c r="V216">
        <v>0</v>
      </c>
      <c r="W216">
        <v>0</v>
      </c>
      <c r="X216">
        <v>28413340.77</v>
      </c>
      <c r="Y216">
        <v>0</v>
      </c>
    </row>
    <row r="217" spans="1:25" ht="15">
      <c r="A217" s="8"/>
      <c r="B217" s="17">
        <f t="shared" si="23"/>
        <v>25</v>
      </c>
      <c r="C217" s="19" t="s">
        <v>201</v>
      </c>
      <c r="D217" s="1" t="s">
        <v>202</v>
      </c>
      <c r="E217" s="54"/>
      <c r="F217" s="1423">
        <v>0</v>
      </c>
      <c r="G217" s="1423">
        <v>1638488.73</v>
      </c>
      <c r="H217" s="1423">
        <v>1344.8599999999999</v>
      </c>
      <c r="I217" s="1423">
        <v>0</v>
      </c>
      <c r="J217" s="24">
        <f t="shared" si="26"/>
        <v>1639833.5900000001</v>
      </c>
      <c r="K217" s="821">
        <f t="shared" si="22"/>
        <v>0</v>
      </c>
      <c r="V217">
        <v>0</v>
      </c>
      <c r="W217">
        <v>1638488.73</v>
      </c>
      <c r="X217">
        <v>1344.8599999999999</v>
      </c>
      <c r="Y217">
        <v>0</v>
      </c>
    </row>
    <row r="218" spans="1:25" ht="15">
      <c r="A218" s="8"/>
      <c r="B218" s="17">
        <f t="shared" si="23"/>
        <v>26</v>
      </c>
      <c r="C218" s="19" t="s">
        <v>203</v>
      </c>
      <c r="D218" s="1" t="s">
        <v>204</v>
      </c>
      <c r="E218" s="32"/>
      <c r="F218" s="1423">
        <v>210598.25</v>
      </c>
      <c r="G218" s="1423">
        <v>100499344.2</v>
      </c>
      <c r="H218" s="1423">
        <v>3498684.9199999999</v>
      </c>
      <c r="I218" s="1423">
        <v>324704.41999999998</v>
      </c>
      <c r="J218" s="24">
        <f t="shared" si="26"/>
        <v>104533331.79000001</v>
      </c>
      <c r="K218" s="821">
        <f t="shared" si="22"/>
        <v>0</v>
      </c>
      <c r="V218">
        <v>210598.25</v>
      </c>
      <c r="W218">
        <v>100499344.2</v>
      </c>
      <c r="X218">
        <v>3498684.9199999999</v>
      </c>
      <c r="Y218">
        <v>324704.41999999998</v>
      </c>
    </row>
    <row r="219" spans="1:25" ht="15">
      <c r="A219" s="8"/>
      <c r="B219" s="17">
        <f t="shared" si="23"/>
        <v>27</v>
      </c>
      <c r="C219" s="19" t="s">
        <v>205</v>
      </c>
      <c r="D219" s="1" t="s">
        <v>206</v>
      </c>
      <c r="E219" s="32"/>
      <c r="F219" s="1424">
        <v>0</v>
      </c>
      <c r="G219" s="1424">
        <v>731384.02000000002</v>
      </c>
      <c r="H219" s="1424">
        <v>0</v>
      </c>
      <c r="I219" s="1424">
        <v>0</v>
      </c>
      <c r="J219" s="24">
        <f t="shared" si="26"/>
        <v>731384.02000000002</v>
      </c>
      <c r="K219" s="821">
        <f t="shared" si="22"/>
        <v>0</v>
      </c>
      <c r="V219">
        <v>0</v>
      </c>
      <c r="W219">
        <v>731384.02000000002</v>
      </c>
      <c r="X219">
        <v>0</v>
      </c>
      <c r="Y219">
        <v>0</v>
      </c>
    </row>
    <row r="220" spans="1:11" ht="15">
      <c r="A220" s="8"/>
      <c r="B220" s="17">
        <f t="shared" si="23"/>
        <v>28</v>
      </c>
      <c r="C220" s="8" t="s">
        <v>207</v>
      </c>
      <c r="D220" s="1"/>
      <c r="E220" s="1135" t="s">
        <v>160</v>
      </c>
      <c r="F220" s="1413"/>
      <c r="G220" s="1413"/>
      <c r="H220" s="1413"/>
      <c r="I220" s="1413"/>
      <c r="J220" s="24"/>
      <c r="K220" s="821">
        <f t="shared" si="22"/>
        <v>0</v>
      </c>
    </row>
    <row r="221" spans="1:25" ht="15">
      <c r="A221" s="8"/>
      <c r="B221" s="17">
        <f t="shared" si="23"/>
        <v>29</v>
      </c>
      <c r="C221" s="19" t="s">
        <v>208</v>
      </c>
      <c r="D221" s="1" t="s">
        <v>179</v>
      </c>
      <c r="E221" s="17"/>
      <c r="F221" s="1422">
        <v>18143.079999999998</v>
      </c>
      <c r="G221" s="1422">
        <v>2100731.52</v>
      </c>
      <c r="H221" s="1422">
        <v>732702.13</v>
      </c>
      <c r="I221" s="1422">
        <v>0</v>
      </c>
      <c r="J221" s="24">
        <f t="shared" si="27" ref="J221:J229">SUM(F221:I221)</f>
        <v>2851576.73</v>
      </c>
      <c r="K221" s="821">
        <f t="shared" si="22"/>
        <v>0</v>
      </c>
      <c r="V221">
        <v>18143.079999999998</v>
      </c>
      <c r="W221">
        <v>2100731.52</v>
      </c>
      <c r="X221">
        <v>732702.13</v>
      </c>
      <c r="Y221">
        <v>0</v>
      </c>
    </row>
    <row r="222" spans="1:25" ht="15">
      <c r="A222" s="8"/>
      <c r="B222" s="17">
        <f t="shared" si="23"/>
        <v>30</v>
      </c>
      <c r="C222" s="19" t="s">
        <v>209</v>
      </c>
      <c r="D222" s="28" t="s">
        <v>181</v>
      </c>
      <c r="E222" s="32"/>
      <c r="F222" s="1423">
        <v>287.17000000000002</v>
      </c>
      <c r="G222" s="1423">
        <v>5772.4399999999996</v>
      </c>
      <c r="H222" s="1423">
        <v>0</v>
      </c>
      <c r="I222" s="1423">
        <v>0</v>
      </c>
      <c r="J222" s="24">
        <f t="shared" si="27"/>
        <v>6059.6099999999997</v>
      </c>
      <c r="K222" s="821">
        <f t="shared" si="22"/>
        <v>0</v>
      </c>
      <c r="V222">
        <v>287.17000000000002</v>
      </c>
      <c r="W222">
        <v>5772.4399999999996</v>
      </c>
      <c r="X222">
        <v>0</v>
      </c>
      <c r="Y222">
        <v>0</v>
      </c>
    </row>
    <row r="223" spans="1:25" ht="15">
      <c r="A223" s="8"/>
      <c r="B223" s="17">
        <f t="shared" si="23"/>
        <v>31</v>
      </c>
      <c r="C223" s="19" t="s">
        <v>210</v>
      </c>
      <c r="D223" s="1" t="s">
        <v>183</v>
      </c>
      <c r="E223" s="32"/>
      <c r="F223" s="1423">
        <v>406239.72000000003</v>
      </c>
      <c r="G223" s="1423">
        <v>9278485.1099999994</v>
      </c>
      <c r="H223" s="1423">
        <v>0</v>
      </c>
      <c r="I223" s="1423">
        <v>0</v>
      </c>
      <c r="J223" s="24">
        <f t="shared" si="27"/>
        <v>9684724.8300000001</v>
      </c>
      <c r="K223" s="821">
        <f t="shared" si="22"/>
        <v>0</v>
      </c>
      <c r="V223">
        <v>406239.72000000003</v>
      </c>
      <c r="W223">
        <v>9278485.1099999994</v>
      </c>
      <c r="X223">
        <v>0</v>
      </c>
      <c r="Y223">
        <v>0</v>
      </c>
    </row>
    <row r="224" spans="1:25" ht="15">
      <c r="A224" s="8"/>
      <c r="B224" s="17">
        <f t="shared" si="23"/>
        <v>32</v>
      </c>
      <c r="C224" s="19" t="s">
        <v>211</v>
      </c>
      <c r="D224" s="28" t="s">
        <v>185</v>
      </c>
      <c r="E224" s="32"/>
      <c r="F224" s="1423">
        <v>1417.54</v>
      </c>
      <c r="G224" s="1423">
        <v>111767839.16000001</v>
      </c>
      <c r="H224" s="1423">
        <v>174493.46000000002</v>
      </c>
      <c r="I224" s="1423">
        <v>0</v>
      </c>
      <c r="J224" s="24">
        <f t="shared" si="27"/>
        <v>111943750.16000001</v>
      </c>
      <c r="K224" s="821">
        <f t="shared" si="22"/>
        <v>0</v>
      </c>
      <c r="V224">
        <v>1417.54</v>
      </c>
      <c r="W224">
        <v>111767839.16000001</v>
      </c>
      <c r="X224">
        <v>174493.46000000002</v>
      </c>
      <c r="Y224">
        <v>0</v>
      </c>
    </row>
    <row r="225" spans="1:25" ht="14.25">
      <c r="A225" s="1"/>
      <c r="B225" s="17">
        <f t="shared" si="23"/>
        <v>33</v>
      </c>
      <c r="C225" s="19" t="s">
        <v>212</v>
      </c>
      <c r="D225" s="1" t="s">
        <v>187</v>
      </c>
      <c r="E225" s="54"/>
      <c r="F225" s="1423">
        <v>0</v>
      </c>
      <c r="G225" s="1423">
        <v>26516321.099999998</v>
      </c>
      <c r="H225" s="1423">
        <v>38016.459999999999</v>
      </c>
      <c r="I225" s="1423">
        <v>0</v>
      </c>
      <c r="J225" s="24">
        <f t="shared" si="27"/>
        <v>26554337.559999999</v>
      </c>
      <c r="K225" s="821">
        <f t="shared" si="22"/>
        <v>0</v>
      </c>
      <c r="V225">
        <v>0</v>
      </c>
      <c r="W225">
        <v>26516321.099999998</v>
      </c>
      <c r="X225">
        <v>38016.459999999999</v>
      </c>
      <c r="Y225">
        <v>0</v>
      </c>
    </row>
    <row r="226" spans="1:25" ht="14.25">
      <c r="A226" s="1"/>
      <c r="B226" s="17">
        <f t="shared" si="23"/>
        <v>34</v>
      </c>
      <c r="C226" s="19" t="s">
        <v>213</v>
      </c>
      <c r="D226" s="1" t="s">
        <v>214</v>
      </c>
      <c r="E226" s="54"/>
      <c r="F226" s="1423">
        <v>0</v>
      </c>
      <c r="G226" s="1423">
        <v>5010366.2699999996</v>
      </c>
      <c r="H226" s="1423">
        <v>229.10999999999999</v>
      </c>
      <c r="I226" s="1423">
        <v>0</v>
      </c>
      <c r="J226" s="24">
        <f t="shared" si="27"/>
        <v>5010595.3799999999</v>
      </c>
      <c r="K226" s="821">
        <f t="shared" si="22"/>
        <v>0</v>
      </c>
      <c r="V226">
        <v>0</v>
      </c>
      <c r="W226">
        <v>5010366.2699999996</v>
      </c>
      <c r="X226">
        <v>229.10999999999999</v>
      </c>
      <c r="Y226">
        <v>0</v>
      </c>
    </row>
    <row r="227" spans="1:25" ht="14.25">
      <c r="A227" s="1"/>
      <c r="B227" s="17">
        <f t="shared" si="23"/>
        <v>35</v>
      </c>
      <c r="C227" s="19" t="s">
        <v>215</v>
      </c>
      <c r="D227" s="1" t="s">
        <v>216</v>
      </c>
      <c r="E227" s="32"/>
      <c r="F227" s="1423">
        <v>0</v>
      </c>
      <c r="G227" s="1423">
        <v>9632071.0899999999</v>
      </c>
      <c r="H227" s="1423">
        <v>16033.25</v>
      </c>
      <c r="I227" s="1423">
        <v>0</v>
      </c>
      <c r="J227" s="24">
        <f t="shared" si="27"/>
        <v>9648104.3399999999</v>
      </c>
      <c r="K227" s="821">
        <f t="shared" si="22"/>
        <v>0</v>
      </c>
      <c r="V227">
        <v>0</v>
      </c>
      <c r="W227">
        <v>9632071.0899999999</v>
      </c>
      <c r="X227">
        <v>16033.25</v>
      </c>
      <c r="Y227">
        <v>0</v>
      </c>
    </row>
    <row r="228" spans="1:25" ht="14.25">
      <c r="A228" s="1"/>
      <c r="B228" s="17">
        <f t="shared" si="23"/>
        <v>36</v>
      </c>
      <c r="C228" s="19" t="s">
        <v>217</v>
      </c>
      <c r="D228" s="1" t="s">
        <v>218</v>
      </c>
      <c r="E228" s="32"/>
      <c r="F228" s="1423">
        <v>0</v>
      </c>
      <c r="G228" s="1423">
        <v>-13076.33</v>
      </c>
      <c r="H228" s="1423">
        <v>16640054.180000002</v>
      </c>
      <c r="I228" s="1423">
        <v>0</v>
      </c>
      <c r="J228" s="24">
        <f t="shared" si="27"/>
        <v>16626977.850000002</v>
      </c>
      <c r="K228" s="821">
        <f t="shared" si="22"/>
        <v>0</v>
      </c>
      <c r="V228">
        <v>0</v>
      </c>
      <c r="W228">
        <v>-13076.33</v>
      </c>
      <c r="X228">
        <v>16640054.180000002</v>
      </c>
      <c r="Y228">
        <v>0</v>
      </c>
    </row>
    <row r="229" spans="1:25" ht="14.25">
      <c r="A229" s="1"/>
      <c r="B229" s="17">
        <f t="shared" si="23"/>
        <v>37</v>
      </c>
      <c r="C229" s="19" t="s">
        <v>219</v>
      </c>
      <c r="D229" s="1" t="s">
        <v>220</v>
      </c>
      <c r="E229" s="32"/>
      <c r="F229" s="1424">
        <v>0</v>
      </c>
      <c r="G229" s="1424">
        <v>2165091.9399999999</v>
      </c>
      <c r="H229" s="1424">
        <v>38103.449999999997</v>
      </c>
      <c r="I229" s="1424">
        <v>0</v>
      </c>
      <c r="J229" s="24">
        <f t="shared" si="27"/>
        <v>2203195.3900000001</v>
      </c>
      <c r="K229" s="821">
        <f t="shared" si="22"/>
        <v>0</v>
      </c>
      <c r="V229">
        <v>0</v>
      </c>
      <c r="W229">
        <v>2165091.9399999999</v>
      </c>
      <c r="X229">
        <v>38103.449999999997</v>
      </c>
      <c r="Y229">
        <v>0</v>
      </c>
    </row>
    <row r="230" spans="1:11" ht="14.25">
      <c r="A230" s="1"/>
      <c r="B230" s="17"/>
      <c r="C230" s="19"/>
      <c r="D230" s="1"/>
      <c r="E230" s="32"/>
      <c r="F230" s="1426"/>
      <c r="G230" s="1426"/>
      <c r="H230" s="1426"/>
      <c r="I230" s="1426"/>
      <c r="J230" s="24"/>
      <c r="K230" s="821">
        <f t="shared" si="22"/>
        <v>0</v>
      </c>
    </row>
    <row r="231" spans="1:11" ht="14.25">
      <c r="A231" s="1"/>
      <c r="B231" s="17"/>
      <c r="C231" s="19"/>
      <c r="D231" s="1"/>
      <c r="E231" s="32"/>
      <c r="F231" s="1426"/>
      <c r="G231" s="1426"/>
      <c r="H231" s="1426"/>
      <c r="I231" s="1426"/>
      <c r="J231" s="24"/>
      <c r="K231" s="821">
        <f t="shared" si="22"/>
        <v>0</v>
      </c>
    </row>
    <row r="232" spans="1:11" ht="15">
      <c r="A232" s="1"/>
      <c r="B232" s="17">
        <f t="shared" si="28" ref="B232:B263">B231+1</f>
        <v>1</v>
      </c>
      <c r="C232" s="8" t="s">
        <v>221</v>
      </c>
      <c r="D232" s="1"/>
      <c r="E232" s="1135" t="s">
        <v>160</v>
      </c>
      <c r="F232" s="1413"/>
      <c r="G232" s="1413"/>
      <c r="H232" s="1413"/>
      <c r="I232" s="1413"/>
      <c r="J232" s="24"/>
      <c r="K232" s="821">
        <f t="shared" si="22"/>
        <v>0</v>
      </c>
    </row>
    <row r="233" spans="1:25" ht="14.25">
      <c r="A233" s="1"/>
      <c r="B233" s="17">
        <f t="shared" si="28"/>
        <v>2</v>
      </c>
      <c r="C233" s="19" t="s">
        <v>222</v>
      </c>
      <c r="D233" s="1" t="s">
        <v>223</v>
      </c>
      <c r="E233" s="17"/>
      <c r="F233" s="1422">
        <v>0</v>
      </c>
      <c r="G233" s="1422">
        <v>114.29000000000001</v>
      </c>
      <c r="H233" s="1422">
        <v>13613.24</v>
      </c>
      <c r="I233" s="1422">
        <v>2051.2399999999998</v>
      </c>
      <c r="J233" s="24">
        <f>SUM(F233:I233)</f>
        <v>15778.77</v>
      </c>
      <c r="K233" s="821">
        <f t="shared" si="22"/>
        <v>0</v>
      </c>
      <c r="V233">
        <v>0</v>
      </c>
      <c r="W233">
        <v>114.29000000000001</v>
      </c>
      <c r="X233">
        <v>13613.24</v>
      </c>
      <c r="Y233">
        <v>2051.2399999999998</v>
      </c>
    </row>
    <row r="234" spans="1:25" ht="14.25">
      <c r="A234" s="1"/>
      <c r="B234" s="17">
        <f t="shared" si="28"/>
        <v>3</v>
      </c>
      <c r="C234" s="19" t="s">
        <v>224</v>
      </c>
      <c r="D234" s="1" t="s">
        <v>225</v>
      </c>
      <c r="E234" s="32"/>
      <c r="F234" s="1423">
        <v>0</v>
      </c>
      <c r="G234" s="1423">
        <v>0</v>
      </c>
      <c r="H234" s="1423">
        <v>71275.660000000003</v>
      </c>
      <c r="I234" s="1423">
        <v>0</v>
      </c>
      <c r="J234" s="24">
        <f>SUM(F234:I234)</f>
        <v>71275.660000000003</v>
      </c>
      <c r="K234" s="821">
        <f t="shared" si="22"/>
        <v>0</v>
      </c>
      <c r="V234">
        <v>0</v>
      </c>
      <c r="W234">
        <v>0</v>
      </c>
      <c r="X234">
        <v>71275.660000000003</v>
      </c>
      <c r="Y234">
        <v>0</v>
      </c>
    </row>
    <row r="235" spans="1:25" ht="14.25">
      <c r="A235" s="1"/>
      <c r="B235" s="17">
        <f t="shared" si="28"/>
        <v>4</v>
      </c>
      <c r="C235" s="19" t="s">
        <v>226</v>
      </c>
      <c r="D235" s="1" t="s">
        <v>227</v>
      </c>
      <c r="E235" s="32"/>
      <c r="F235" s="1423">
        <v>0</v>
      </c>
      <c r="G235" s="1423">
        <v>10743.190000000001</v>
      </c>
      <c r="H235" s="1423">
        <v>8608120.5200000014</v>
      </c>
      <c r="I235" s="1423">
        <v>11172066.84</v>
      </c>
      <c r="J235" s="24">
        <f>SUM(F235:I235)</f>
        <v>19790930.550000001</v>
      </c>
      <c r="K235" s="821">
        <f t="shared" si="22"/>
        <v>0</v>
      </c>
      <c r="V235">
        <v>0</v>
      </c>
      <c r="W235">
        <v>10743.190000000001</v>
      </c>
      <c r="X235">
        <v>8608120.5200000014</v>
      </c>
      <c r="Y235">
        <v>11172066.84</v>
      </c>
    </row>
    <row r="236" spans="1:25" ht="14.25">
      <c r="A236" s="1"/>
      <c r="B236" s="17">
        <f t="shared" si="28"/>
        <v>5</v>
      </c>
      <c r="C236" s="19" t="s">
        <v>228</v>
      </c>
      <c r="D236" s="1" t="s">
        <v>229</v>
      </c>
      <c r="E236" s="32"/>
      <c r="F236" s="1423">
        <v>87420.859999999986</v>
      </c>
      <c r="G236" s="1423">
        <v>-16239.889999999999</v>
      </c>
      <c r="H236" s="1423">
        <v>0</v>
      </c>
      <c r="I236" s="1423">
        <v>1699838.3599999999</v>
      </c>
      <c r="J236" s="24">
        <f>SUM(F236:I236)</f>
        <v>1771019.3299999998</v>
      </c>
      <c r="K236" s="821">
        <f t="shared" si="22"/>
        <v>0</v>
      </c>
      <c r="V236">
        <v>87420.859999999986</v>
      </c>
      <c r="W236">
        <v>-16239.889999999999</v>
      </c>
      <c r="X236">
        <v>0</v>
      </c>
      <c r="Y236">
        <v>1699838.3599999999</v>
      </c>
    </row>
    <row r="237" spans="1:25" ht="14.25">
      <c r="A237" s="1"/>
      <c r="B237" s="17">
        <f t="shared" si="28"/>
        <v>6</v>
      </c>
      <c r="C237" s="19" t="s">
        <v>230</v>
      </c>
      <c r="D237" s="28" t="s">
        <v>231</v>
      </c>
      <c r="E237" s="32"/>
      <c r="F237" s="1424">
        <v>0</v>
      </c>
      <c r="G237" s="1424">
        <v>0</v>
      </c>
      <c r="H237" s="1424">
        <v>0</v>
      </c>
      <c r="I237" s="1424">
        <v>0</v>
      </c>
      <c r="J237" s="24">
        <f>SUM(F237:I237)</f>
        <v>0</v>
      </c>
      <c r="K237" s="821">
        <f t="shared" si="22"/>
        <v>0</v>
      </c>
      <c r="V237">
        <v>0</v>
      </c>
      <c r="W237">
        <v>0</v>
      </c>
      <c r="X237">
        <v>0</v>
      </c>
      <c r="Y237">
        <v>0</v>
      </c>
    </row>
    <row r="238" spans="1:11" ht="15">
      <c r="A238" s="1"/>
      <c r="B238" s="17">
        <f t="shared" si="28"/>
        <v>7</v>
      </c>
      <c r="C238" s="896" t="s">
        <v>232</v>
      </c>
      <c r="D238" s="28"/>
      <c r="E238" s="32"/>
      <c r="F238" s="1426"/>
      <c r="G238" s="1426"/>
      <c r="H238" s="1426"/>
      <c r="I238" s="1426"/>
      <c r="J238" s="24"/>
      <c r="K238" s="821">
        <f t="shared" si="22"/>
        <v>0</v>
      </c>
    </row>
    <row r="239" spans="1:25" ht="14.25">
      <c r="A239" s="1"/>
      <c r="B239" s="17">
        <f t="shared" si="28"/>
        <v>8</v>
      </c>
      <c r="C239" s="19" t="s">
        <v>233</v>
      </c>
      <c r="D239" s="1" t="s">
        <v>234</v>
      </c>
      <c r="E239" s="54"/>
      <c r="F239" s="1434">
        <v>0</v>
      </c>
      <c r="G239" s="1434">
        <v>0</v>
      </c>
      <c r="H239" s="1434">
        <v>0</v>
      </c>
      <c r="I239" s="1434">
        <v>0</v>
      </c>
      <c r="J239" s="24">
        <f>SUM(F239:I239)</f>
        <v>0</v>
      </c>
      <c r="K239" s="821">
        <f t="shared" si="22"/>
        <v>0</v>
      </c>
      <c r="V239">
        <v>0</v>
      </c>
      <c r="W239">
        <v>0</v>
      </c>
      <c r="X239">
        <v>0</v>
      </c>
      <c r="Y239">
        <v>0</v>
      </c>
    </row>
    <row r="240" spans="1:25" ht="14.25">
      <c r="A240" s="1"/>
      <c r="B240" s="17">
        <f t="shared" si="28"/>
        <v>9</v>
      </c>
      <c r="C240" s="19" t="s">
        <v>235</v>
      </c>
      <c r="D240" s="1" t="s">
        <v>223</v>
      </c>
      <c r="E240" s="54"/>
      <c r="F240" s="1414">
        <v>0</v>
      </c>
      <c r="G240" s="1414">
        <v>0</v>
      </c>
      <c r="H240" s="1414">
        <v>0</v>
      </c>
      <c r="I240" s="1414">
        <v>0</v>
      </c>
      <c r="J240" s="24">
        <f>SUM(F240:I240)</f>
        <v>0</v>
      </c>
      <c r="K240" s="821">
        <f t="shared" si="22"/>
        <v>0</v>
      </c>
      <c r="V240">
        <v>0</v>
      </c>
      <c r="W240">
        <v>0</v>
      </c>
      <c r="X240">
        <v>0</v>
      </c>
      <c r="Y240">
        <v>0</v>
      </c>
    </row>
    <row r="241" spans="1:25" s="386" customFormat="1" ht="14.25">
      <c r="A241" s="1"/>
      <c r="B241" s="17">
        <f t="shared" si="28"/>
        <v>10</v>
      </c>
      <c r="C241" s="19" t="s">
        <v>236</v>
      </c>
      <c r="D241" s="28" t="s">
        <v>237</v>
      </c>
      <c r="E241" s="54"/>
      <c r="F241" s="1414">
        <v>0</v>
      </c>
      <c r="G241" s="1414">
        <v>250687.94</v>
      </c>
      <c r="H241" s="1414">
        <v>106713.10999999999</v>
      </c>
      <c r="I241" s="1414">
        <v>235372.03999999911</v>
      </c>
      <c r="J241" s="24">
        <f>SUM(F241:I241)</f>
        <v>592773.08999999915</v>
      </c>
      <c r="K241" s="821">
        <f t="shared" si="22"/>
        <v>0</v>
      </c>
      <c r="L241"/>
      <c r="M241"/>
      <c r="N241"/>
      <c r="O241"/>
      <c r="V241" s="386">
        <v>0</v>
      </c>
      <c r="W241" s="386">
        <v>250687.94</v>
      </c>
      <c r="X241" s="386">
        <v>106713.10999999999</v>
      </c>
      <c r="Y241" s="386">
        <v>235372.03999999911</v>
      </c>
    </row>
    <row r="242" spans="1:25" ht="14.25">
      <c r="A242" s="1"/>
      <c r="B242" s="17">
        <f t="shared" si="28"/>
        <v>11</v>
      </c>
      <c r="C242" s="19" t="s">
        <v>238</v>
      </c>
      <c r="D242" s="1" t="s">
        <v>239</v>
      </c>
      <c r="E242" s="54"/>
      <c r="F242" s="1414">
        <v>0</v>
      </c>
      <c r="G242" s="1414">
        <v>0</v>
      </c>
      <c r="H242" s="1414">
        <v>0</v>
      </c>
      <c r="I242" s="1414">
        <v>0</v>
      </c>
      <c r="J242" s="24">
        <f>SUM(F242:I242)</f>
        <v>0</v>
      </c>
      <c r="K242" s="821">
        <f t="shared" si="22"/>
        <v>0</v>
      </c>
      <c r="V242">
        <v>0</v>
      </c>
      <c r="W242">
        <v>0</v>
      </c>
      <c r="X242">
        <v>0</v>
      </c>
      <c r="Y242">
        <v>0</v>
      </c>
    </row>
    <row r="243" spans="1:25" ht="14.25">
      <c r="A243" s="1"/>
      <c r="B243" s="17">
        <f t="shared" si="28"/>
        <v>12</v>
      </c>
      <c r="C243" s="19" t="s">
        <v>240</v>
      </c>
      <c r="D243" s="1" t="s">
        <v>241</v>
      </c>
      <c r="E243" s="54"/>
      <c r="F243" s="1415">
        <v>0</v>
      </c>
      <c r="G243" s="1415">
        <v>0</v>
      </c>
      <c r="H243" s="1415">
        <v>0</v>
      </c>
      <c r="I243" s="1415">
        <v>0</v>
      </c>
      <c r="J243" s="24">
        <f>SUM(F243:I243)</f>
        <v>0</v>
      </c>
      <c r="K243" s="821">
        <f t="shared" si="22"/>
        <v>0</v>
      </c>
      <c r="V243">
        <v>0</v>
      </c>
      <c r="W243">
        <v>0</v>
      </c>
      <c r="X243">
        <v>0</v>
      </c>
      <c r="Y243">
        <v>0</v>
      </c>
    </row>
    <row r="244" spans="1:11" ht="15">
      <c r="A244" s="1"/>
      <c r="B244" s="17">
        <f t="shared" si="28"/>
        <v>13</v>
      </c>
      <c r="C244" s="896" t="s">
        <v>242</v>
      </c>
      <c r="D244" s="1"/>
      <c r="E244" s="54"/>
      <c r="F244" s="1435"/>
      <c r="G244" s="1435"/>
      <c r="H244" s="1435"/>
      <c r="I244" s="1435"/>
      <c r="J244" s="24"/>
      <c r="K244" s="821">
        <f t="shared" si="22"/>
        <v>0</v>
      </c>
    </row>
    <row r="245" spans="1:25" ht="14.25">
      <c r="A245" s="1"/>
      <c r="B245" s="17">
        <f t="shared" si="28"/>
        <v>14</v>
      </c>
      <c r="C245" s="19" t="s">
        <v>243</v>
      </c>
      <c r="D245" s="51" t="s">
        <v>223</v>
      </c>
      <c r="E245" s="17"/>
      <c r="F245" s="1434">
        <v>0</v>
      </c>
      <c r="G245" s="1434">
        <v>0</v>
      </c>
      <c r="H245" s="1434">
        <v>0</v>
      </c>
      <c r="I245" s="1434">
        <v>0</v>
      </c>
      <c r="J245" s="24">
        <f>SUM(F245:I245)</f>
        <v>0</v>
      </c>
      <c r="K245" s="821">
        <f t="shared" si="22"/>
        <v>0</v>
      </c>
      <c r="V245">
        <v>0</v>
      </c>
      <c r="W245">
        <v>0</v>
      </c>
      <c r="X245">
        <v>0</v>
      </c>
      <c r="Y245">
        <v>0</v>
      </c>
    </row>
    <row r="246" spans="1:25" ht="14.25">
      <c r="A246" s="1"/>
      <c r="B246" s="17">
        <f t="shared" si="28"/>
        <v>15</v>
      </c>
      <c r="C246" s="19" t="s">
        <v>244</v>
      </c>
      <c r="D246" s="51" t="s">
        <v>245</v>
      </c>
      <c r="E246" s="54"/>
      <c r="F246" s="1414">
        <v>0</v>
      </c>
      <c r="G246" s="1414">
        <v>0</v>
      </c>
      <c r="H246" s="1414">
        <v>0</v>
      </c>
      <c r="I246" s="1414">
        <v>0</v>
      </c>
      <c r="J246" s="24">
        <f>SUM(F246:I246)</f>
        <v>0</v>
      </c>
      <c r="K246" s="821">
        <f t="shared" si="22"/>
        <v>0</v>
      </c>
      <c r="V246">
        <v>0</v>
      </c>
      <c r="W246">
        <v>0</v>
      </c>
      <c r="X246">
        <v>0</v>
      </c>
      <c r="Y246">
        <v>0</v>
      </c>
    </row>
    <row r="247" spans="1:25" ht="14.25">
      <c r="A247" s="1"/>
      <c r="B247" s="17">
        <f t="shared" si="28"/>
        <v>16</v>
      </c>
      <c r="C247" s="19" t="s">
        <v>246</v>
      </c>
      <c r="D247" s="51" t="s">
        <v>247</v>
      </c>
      <c r="E247" s="54"/>
      <c r="F247" s="1414">
        <v>0</v>
      </c>
      <c r="G247" s="1414">
        <v>0</v>
      </c>
      <c r="H247" s="1414">
        <v>0</v>
      </c>
      <c r="I247" s="1414">
        <v>0</v>
      </c>
      <c r="J247" s="24">
        <f>SUM(F247:I247)</f>
        <v>0</v>
      </c>
      <c r="K247" s="821">
        <f t="shared" si="22"/>
        <v>0</v>
      </c>
      <c r="V247">
        <v>0</v>
      </c>
      <c r="W247">
        <v>0</v>
      </c>
      <c r="X247">
        <v>0</v>
      </c>
      <c r="Y247">
        <v>0</v>
      </c>
    </row>
    <row r="248" spans="1:25" ht="14.25">
      <c r="A248" s="1"/>
      <c r="B248" s="17">
        <f t="shared" si="28"/>
        <v>17</v>
      </c>
      <c r="C248" s="19" t="s">
        <v>248</v>
      </c>
      <c r="D248" s="51" t="s">
        <v>249</v>
      </c>
      <c r="E248" s="54"/>
      <c r="F248" s="1414">
        <v>0</v>
      </c>
      <c r="G248" s="1414">
        <v>0</v>
      </c>
      <c r="H248" s="1414">
        <v>0</v>
      </c>
      <c r="I248" s="1414">
        <v>0</v>
      </c>
      <c r="J248" s="24">
        <f>SUM(F248:I248)</f>
        <v>0</v>
      </c>
      <c r="K248" s="821">
        <f t="shared" si="22"/>
        <v>0</v>
      </c>
      <c r="V248">
        <v>0</v>
      </c>
      <c r="W248">
        <v>0</v>
      </c>
      <c r="X248">
        <v>0</v>
      </c>
      <c r="Y248">
        <v>0</v>
      </c>
    </row>
    <row r="249" spans="1:25" ht="14.25">
      <c r="A249" s="1"/>
      <c r="B249" s="17">
        <f t="shared" si="28"/>
        <v>18</v>
      </c>
      <c r="C249" s="19" t="s">
        <v>250</v>
      </c>
      <c r="D249" s="51" t="s">
        <v>251</v>
      </c>
      <c r="E249" s="54"/>
      <c r="F249" s="1415">
        <v>0</v>
      </c>
      <c r="G249" s="1415">
        <v>0</v>
      </c>
      <c r="H249" s="1415">
        <v>0</v>
      </c>
      <c r="I249" s="1415">
        <v>0</v>
      </c>
      <c r="J249" s="24">
        <f>SUM(F249:I249)</f>
        <v>0</v>
      </c>
      <c r="K249" s="821">
        <f t="shared" si="22"/>
        <v>0</v>
      </c>
      <c r="V249">
        <v>0</v>
      </c>
      <c r="W249">
        <v>0</v>
      </c>
      <c r="X249">
        <v>0</v>
      </c>
      <c r="Y249">
        <v>0</v>
      </c>
    </row>
    <row r="250" spans="1:11" ht="15">
      <c r="A250" s="1"/>
      <c r="B250" s="17">
        <f t="shared" si="28"/>
        <v>19</v>
      </c>
      <c r="C250" s="8" t="s">
        <v>252</v>
      </c>
      <c r="D250" s="1"/>
      <c r="E250" s="1135" t="s">
        <v>253</v>
      </c>
      <c r="F250" s="1413"/>
      <c r="G250" s="1413"/>
      <c r="H250" s="1413"/>
      <c r="I250" s="1413"/>
      <c r="J250" s="24"/>
      <c r="K250" s="821">
        <f t="shared" si="22"/>
        <v>0</v>
      </c>
    </row>
    <row r="251" spans="1:25" ht="14.25">
      <c r="A251" s="1"/>
      <c r="B251" s="17">
        <f t="shared" si="28"/>
        <v>20</v>
      </c>
      <c r="C251" s="19" t="s">
        <v>254</v>
      </c>
      <c r="D251" s="1" t="s">
        <v>255</v>
      </c>
      <c r="E251" s="32"/>
      <c r="F251" s="1422">
        <v>19675722.82</v>
      </c>
      <c r="G251" s="1422">
        <v>48296108.630000003</v>
      </c>
      <c r="H251" s="1422">
        <v>13067186.82</v>
      </c>
      <c r="I251" s="1422">
        <v>17818910.440000001</v>
      </c>
      <c r="J251" s="24">
        <f t="shared" si="29" ref="J251:J263">SUM(F251:I251)</f>
        <v>98857928.710000008</v>
      </c>
      <c r="K251" s="821">
        <f t="shared" si="22"/>
        <v>0</v>
      </c>
      <c r="V251">
        <v>19675722.82</v>
      </c>
      <c r="W251">
        <v>48296108.630000003</v>
      </c>
      <c r="X251">
        <v>13067186.82</v>
      </c>
      <c r="Y251">
        <v>17818910.440000001</v>
      </c>
    </row>
    <row r="252" spans="1:25" ht="14.25">
      <c r="A252" s="1"/>
      <c r="B252" s="17">
        <f t="shared" si="28"/>
        <v>21</v>
      </c>
      <c r="C252" s="19" t="s">
        <v>256</v>
      </c>
      <c r="D252" s="1" t="s">
        <v>257</v>
      </c>
      <c r="E252" s="32"/>
      <c r="F252" s="1423">
        <v>3217583.23</v>
      </c>
      <c r="G252" s="1423">
        <v>4839529.96</v>
      </c>
      <c r="H252" s="1423">
        <v>1153337.02</v>
      </c>
      <c r="I252" s="1423">
        <v>1777495.3899999999</v>
      </c>
      <c r="J252" s="24">
        <f t="shared" si="29"/>
        <v>10987945.6</v>
      </c>
      <c r="K252" s="821">
        <f t="shared" si="22"/>
        <v>0</v>
      </c>
      <c r="V252">
        <v>3217583.23</v>
      </c>
      <c r="W252">
        <v>4839529.96</v>
      </c>
      <c r="X252">
        <v>1153337.02</v>
      </c>
      <c r="Y252">
        <v>1777495.3899999999</v>
      </c>
    </row>
    <row r="253" spans="1:25" ht="14.25">
      <c r="A253" s="1"/>
      <c r="B253" s="17">
        <f t="shared" si="28"/>
        <v>22</v>
      </c>
      <c r="C253" s="19" t="s">
        <v>258</v>
      </c>
      <c r="D253" s="1" t="s">
        <v>259</v>
      </c>
      <c r="E253" s="32"/>
      <c r="F253" s="1423">
        <v>0</v>
      </c>
      <c r="G253" s="1423">
        <v>0</v>
      </c>
      <c r="H253" s="1423">
        <v>0</v>
      </c>
      <c r="I253" s="1423">
        <v>0</v>
      </c>
      <c r="J253" s="24">
        <f t="shared" si="29"/>
        <v>0</v>
      </c>
      <c r="K253" s="821">
        <f t="shared" si="22"/>
        <v>0</v>
      </c>
      <c r="V253">
        <v>0</v>
      </c>
      <c r="W253">
        <v>0</v>
      </c>
      <c r="X253">
        <v>0</v>
      </c>
      <c r="Y253">
        <v>0</v>
      </c>
    </row>
    <row r="254" spans="1:25" ht="14.25">
      <c r="A254" s="1"/>
      <c r="B254" s="17">
        <f t="shared" si="28"/>
        <v>23</v>
      </c>
      <c r="C254" s="19" t="s">
        <v>260</v>
      </c>
      <c r="D254" s="31" t="s">
        <v>261</v>
      </c>
      <c r="E254" s="32"/>
      <c r="F254" s="1423">
        <v>35409868.789999999</v>
      </c>
      <c r="G254" s="1423">
        <v>67560500.079999998</v>
      </c>
      <c r="H254" s="1423">
        <v>16915520.880000003</v>
      </c>
      <c r="I254" s="1423">
        <v>3961483.9900000002</v>
      </c>
      <c r="J254" s="24">
        <f t="shared" si="29"/>
        <v>123847373.74</v>
      </c>
      <c r="K254" s="821">
        <f t="shared" si="22"/>
        <v>0</v>
      </c>
      <c r="V254">
        <v>35409868.789999999</v>
      </c>
      <c r="W254">
        <v>67560500.079999998</v>
      </c>
      <c r="X254">
        <v>16915520.880000003</v>
      </c>
      <c r="Y254">
        <v>3961483.9900000002</v>
      </c>
    </row>
    <row r="255" spans="1:25" ht="14.25">
      <c r="A255" s="1"/>
      <c r="B255" s="17">
        <f t="shared" si="28"/>
        <v>24</v>
      </c>
      <c r="C255" s="19" t="s">
        <v>262</v>
      </c>
      <c r="D255" s="1" t="s">
        <v>263</v>
      </c>
      <c r="E255" s="32"/>
      <c r="F255" s="1423">
        <v>15104001.92</v>
      </c>
      <c r="G255" s="1423">
        <v>226756416.41</v>
      </c>
      <c r="H255" s="1423">
        <v>0</v>
      </c>
      <c r="I255" s="1423">
        <v>0</v>
      </c>
      <c r="J255" s="24">
        <f t="shared" si="29"/>
        <v>241860418.32999998</v>
      </c>
      <c r="K255" s="821">
        <f t="shared" si="30" ref="K255:K318">J255-SUM(F255:I255)</f>
        <v>0</v>
      </c>
      <c r="V255">
        <v>15104001.92</v>
      </c>
      <c r="W255">
        <v>226756416.41</v>
      </c>
      <c r="X255">
        <v>0</v>
      </c>
      <c r="Y255">
        <v>0</v>
      </c>
    </row>
    <row r="256" spans="1:25" ht="14.25">
      <c r="A256" s="1"/>
      <c r="B256" s="17">
        <f t="shared" si="28"/>
        <v>25</v>
      </c>
      <c r="C256" s="19" t="s">
        <v>264</v>
      </c>
      <c r="D256" s="1" t="s">
        <v>265</v>
      </c>
      <c r="E256" s="32"/>
      <c r="F256" s="1423">
        <v>5231223.8799999999</v>
      </c>
      <c r="G256" s="1423">
        <v>16115667.280000001</v>
      </c>
      <c r="H256" s="1423">
        <v>0</v>
      </c>
      <c r="I256" s="1423">
        <v>0</v>
      </c>
      <c r="J256" s="24">
        <f t="shared" si="29"/>
        <v>21346891.16</v>
      </c>
      <c r="K256" s="821">
        <f t="shared" si="30"/>
        <v>0</v>
      </c>
      <c r="V256">
        <v>5231223.8799999999</v>
      </c>
      <c r="W256">
        <v>16115667.280000001</v>
      </c>
      <c r="X256">
        <v>0</v>
      </c>
      <c r="Y256">
        <v>0</v>
      </c>
    </row>
    <row r="257" spans="1:25" ht="14.25">
      <c r="A257" s="1"/>
      <c r="B257" s="17">
        <f t="shared" si="28"/>
        <v>26</v>
      </c>
      <c r="C257" s="19" t="s">
        <v>266</v>
      </c>
      <c r="D257" s="1" t="s">
        <v>267</v>
      </c>
      <c r="E257" s="32"/>
      <c r="F257" s="1423">
        <v>32862761.619999997</v>
      </c>
      <c r="G257" s="1423">
        <v>45802180.63000001</v>
      </c>
      <c r="H257" s="1423">
        <v>16815082.920000002</v>
      </c>
      <c r="I257" s="1423">
        <v>7945424.7299999995</v>
      </c>
      <c r="J257" s="24">
        <f t="shared" si="29"/>
        <v>103425449.90000001</v>
      </c>
      <c r="K257" s="821">
        <f t="shared" si="30"/>
        <v>0</v>
      </c>
      <c r="V257">
        <v>32862761.619999997</v>
      </c>
      <c r="W257">
        <v>45802180.63000001</v>
      </c>
      <c r="X257">
        <v>16815082.920000002</v>
      </c>
      <c r="Y257">
        <v>7945424.7299999995</v>
      </c>
    </row>
    <row r="258" spans="1:25" s="386" customFormat="1" ht="14.25">
      <c r="A258" s="1"/>
      <c r="B258" s="17">
        <f t="shared" si="28"/>
        <v>27</v>
      </c>
      <c r="C258" s="19" t="s">
        <v>268</v>
      </c>
      <c r="D258" s="730" t="s">
        <v>269</v>
      </c>
      <c r="E258" s="32"/>
      <c r="F258" s="1423">
        <v>376621.12</v>
      </c>
      <c r="G258" s="1423">
        <v>2262087.8500000001</v>
      </c>
      <c r="H258" s="1423">
        <v>16015.940000000002</v>
      </c>
      <c r="I258" s="1423">
        <v>0</v>
      </c>
      <c r="J258" s="24">
        <f t="shared" si="29"/>
        <v>2654724.9100000001</v>
      </c>
      <c r="K258" s="821">
        <f t="shared" si="30"/>
        <v>0</v>
      </c>
      <c r="V258" s="386">
        <v>376621.12</v>
      </c>
      <c r="W258" s="386">
        <v>2262087.8500000001</v>
      </c>
      <c r="X258" s="386">
        <v>16015.940000000002</v>
      </c>
      <c r="Y258" s="386">
        <v>0</v>
      </c>
    </row>
    <row r="259" spans="1:25" ht="14.25">
      <c r="A259" s="1"/>
      <c r="B259" s="17">
        <f t="shared" si="28"/>
        <v>28</v>
      </c>
      <c r="C259" s="19" t="s">
        <v>270</v>
      </c>
      <c r="D259" s="1" t="s">
        <v>271</v>
      </c>
      <c r="E259" s="32"/>
      <c r="F259" s="1423">
        <v>0</v>
      </c>
      <c r="G259" s="1423">
        <v>0</v>
      </c>
      <c r="H259" s="1423">
        <v>0</v>
      </c>
      <c r="I259" s="1423">
        <v>151079.01000000001</v>
      </c>
      <c r="J259" s="24">
        <f t="shared" si="29"/>
        <v>151079.01000000001</v>
      </c>
      <c r="K259" s="821">
        <f t="shared" si="30"/>
        <v>0</v>
      </c>
      <c r="V259">
        <v>0</v>
      </c>
      <c r="W259">
        <v>0</v>
      </c>
      <c r="X259">
        <v>0</v>
      </c>
      <c r="Y259">
        <v>151079.01000000001</v>
      </c>
    </row>
    <row r="260" spans="1:25" ht="14.25">
      <c r="A260" s="1"/>
      <c r="B260" s="17">
        <f t="shared" si="28"/>
        <v>29</v>
      </c>
      <c r="C260" s="19" t="s">
        <v>272</v>
      </c>
      <c r="D260" s="1" t="s">
        <v>273</v>
      </c>
      <c r="E260" s="32"/>
      <c r="F260" s="1423">
        <v>2027705.6300000004</v>
      </c>
      <c r="G260" s="1423">
        <v>8232754.9400000004</v>
      </c>
      <c r="H260" s="1423">
        <v>1946608.24</v>
      </c>
      <c r="I260" s="1423">
        <v>4918017.4900000002</v>
      </c>
      <c r="J260" s="24">
        <f t="shared" si="29"/>
        <v>17125086.300000001</v>
      </c>
      <c r="K260" s="821">
        <f t="shared" si="30"/>
        <v>0</v>
      </c>
      <c r="V260">
        <v>2027705.6300000004</v>
      </c>
      <c r="W260">
        <v>8232754.9400000004</v>
      </c>
      <c r="X260">
        <v>1946608.24</v>
      </c>
      <c r="Y260">
        <v>4918017.4900000002</v>
      </c>
    </row>
    <row r="261" spans="1:25" ht="14.25">
      <c r="A261" s="19"/>
      <c r="B261" s="17">
        <f t="shared" si="28"/>
        <v>30</v>
      </c>
      <c r="C261" s="19" t="s">
        <v>274</v>
      </c>
      <c r="D261" s="1" t="s">
        <v>206</v>
      </c>
      <c r="E261" s="32"/>
      <c r="F261" s="1423">
        <v>287631.20999999996</v>
      </c>
      <c r="G261" s="1423">
        <v>1026551.72</v>
      </c>
      <c r="H261" s="1423">
        <v>211823.87</v>
      </c>
      <c r="I261" s="1423">
        <v>128898.60000000001</v>
      </c>
      <c r="J261" s="24">
        <f t="shared" si="29"/>
        <v>1654905.3999999999</v>
      </c>
      <c r="K261" s="821">
        <f t="shared" si="30"/>
        <v>0</v>
      </c>
      <c r="V261">
        <v>287631.20999999996</v>
      </c>
      <c r="W261">
        <v>1026551.72</v>
      </c>
      <c r="X261">
        <v>211823.87</v>
      </c>
      <c r="Y261">
        <v>128898.60000000001</v>
      </c>
    </row>
    <row r="262" spans="1:25" ht="14.25">
      <c r="A262" s="19"/>
      <c r="B262" s="17">
        <f t="shared" si="28"/>
        <v>31</v>
      </c>
      <c r="C262" s="19" t="s">
        <v>275</v>
      </c>
      <c r="D262" s="1" t="s">
        <v>276</v>
      </c>
      <c r="E262" s="32"/>
      <c r="F262" s="1423">
        <v>1359446.1699999999</v>
      </c>
      <c r="G262" s="1423">
        <v>2244966.6100000003</v>
      </c>
      <c r="H262" s="1423">
        <v>9773.869999999999</v>
      </c>
      <c r="I262" s="1423">
        <v>4.3799999999999999</v>
      </c>
      <c r="J262" s="24">
        <f t="shared" si="29"/>
        <v>3614191.0300000003</v>
      </c>
      <c r="K262" s="821">
        <f t="shared" si="30"/>
        <v>0</v>
      </c>
      <c r="V262">
        <v>1359446.1699999999</v>
      </c>
      <c r="W262">
        <v>2244966.6100000003</v>
      </c>
      <c r="X262">
        <v>9773.869999999999</v>
      </c>
      <c r="Y262">
        <v>4.3799999999999999</v>
      </c>
    </row>
    <row r="263" spans="1:25" ht="14.25">
      <c r="A263" s="19"/>
      <c r="B263" s="17">
        <f t="shared" si="28"/>
        <v>32</v>
      </c>
      <c r="C263" s="19" t="s">
        <v>277</v>
      </c>
      <c r="D263" s="1" t="s">
        <v>276</v>
      </c>
      <c r="E263" s="32"/>
      <c r="F263" s="1424">
        <v>513.30999999999995</v>
      </c>
      <c r="G263" s="1424">
        <v>-10312.530000000001</v>
      </c>
      <c r="H263" s="1424">
        <v>409.06</v>
      </c>
      <c r="I263" s="1424">
        <v>14.720000000000001</v>
      </c>
      <c r="J263" s="24">
        <f t="shared" si="29"/>
        <v>-9375.4400000000023</v>
      </c>
      <c r="K263" s="821">
        <f t="shared" si="30"/>
        <v>0</v>
      </c>
      <c r="V263">
        <v>513.30999999999995</v>
      </c>
      <c r="W263">
        <v>-10312.530000000001</v>
      </c>
      <c r="X263">
        <v>409.06</v>
      </c>
      <c r="Y263">
        <v>14.720000000000001</v>
      </c>
    </row>
    <row r="264" spans="1:11" ht="14.25">
      <c r="A264" s="19"/>
      <c r="B264" s="17"/>
      <c r="C264" s="19"/>
      <c r="D264" s="1"/>
      <c r="E264" s="32"/>
      <c r="F264" s="1426"/>
      <c r="G264" s="1426"/>
      <c r="H264" s="1426"/>
      <c r="I264" s="1426"/>
      <c r="J264" s="24"/>
      <c r="K264" s="821">
        <f t="shared" si="30"/>
        <v>0</v>
      </c>
    </row>
    <row r="265" spans="1:11" ht="14.25">
      <c r="A265" s="19"/>
      <c r="B265" s="17"/>
      <c r="C265" s="19"/>
      <c r="D265" s="1"/>
      <c r="E265" s="32"/>
      <c r="F265" s="1426"/>
      <c r="G265" s="1426"/>
      <c r="H265" s="1426"/>
      <c r="I265" s="1426"/>
      <c r="J265" s="24"/>
      <c r="K265" s="821">
        <f t="shared" si="30"/>
        <v>0</v>
      </c>
    </row>
    <row r="266" spans="1:11" ht="15">
      <c r="A266" s="12"/>
      <c r="B266" s="17">
        <f t="shared" si="31" ref="B266:B302">B265+1</f>
        <v>1</v>
      </c>
      <c r="C266" s="8" t="s">
        <v>278</v>
      </c>
      <c r="D266" s="1"/>
      <c r="E266" s="1135" t="s">
        <v>279</v>
      </c>
      <c r="F266" s="1413"/>
      <c r="G266" s="1413"/>
      <c r="H266" s="1413"/>
      <c r="I266" s="1413"/>
      <c r="J266" s="24"/>
      <c r="K266" s="821">
        <f t="shared" si="30"/>
        <v>0</v>
      </c>
    </row>
    <row r="267" spans="1:25" ht="14.25">
      <c r="A267" s="12"/>
      <c r="B267" s="17">
        <f t="shared" si="31"/>
        <v>2</v>
      </c>
      <c r="C267" s="19" t="s">
        <v>161</v>
      </c>
      <c r="D267" s="1" t="s">
        <v>162</v>
      </c>
      <c r="E267" s="32"/>
      <c r="F267" s="1436">
        <v>3890104.77</v>
      </c>
      <c r="G267" s="1436">
        <v>48772.730000000003</v>
      </c>
      <c r="H267" s="1436">
        <v>0</v>
      </c>
      <c r="I267" s="1436">
        <v>0</v>
      </c>
      <c r="J267" s="24">
        <f t="shared" si="32" ref="J267:J274">SUM(F267:I267)</f>
        <v>3938877.5</v>
      </c>
      <c r="K267" s="821">
        <f t="shared" si="30"/>
        <v>0</v>
      </c>
      <c r="V267">
        <v>3890104.77</v>
      </c>
      <c r="W267">
        <v>48772.730000000003</v>
      </c>
      <c r="X267">
        <v>0</v>
      </c>
      <c r="Y267">
        <v>0</v>
      </c>
    </row>
    <row r="268" spans="1:25" ht="14.25">
      <c r="A268" s="12"/>
      <c r="B268" s="17">
        <f t="shared" si="31"/>
        <v>3</v>
      </c>
      <c r="C268" s="19" t="s">
        <v>163</v>
      </c>
      <c r="D268" s="1" t="s">
        <v>164</v>
      </c>
      <c r="E268" s="32"/>
      <c r="F268" s="1437">
        <v>11421317.99</v>
      </c>
      <c r="G268" s="1437">
        <v>0</v>
      </c>
      <c r="H268" s="1437">
        <v>0</v>
      </c>
      <c r="I268" s="1437">
        <v>0</v>
      </c>
      <c r="J268" s="24">
        <f t="shared" si="32"/>
        <v>11421317.99</v>
      </c>
      <c r="K268" s="821">
        <f t="shared" si="30"/>
        <v>0</v>
      </c>
      <c r="V268">
        <v>11421317.99</v>
      </c>
      <c r="W268">
        <v>0</v>
      </c>
      <c r="X268">
        <v>0</v>
      </c>
      <c r="Y268">
        <v>0</v>
      </c>
    </row>
    <row r="269" spans="1:25" ht="14.25">
      <c r="A269" s="50"/>
      <c r="B269" s="17">
        <f t="shared" si="31"/>
        <v>4</v>
      </c>
      <c r="C269" s="19" t="s">
        <v>165</v>
      </c>
      <c r="D269" s="1" t="s">
        <v>166</v>
      </c>
      <c r="E269" s="32"/>
      <c r="F269" s="1437">
        <v>1371647.5800000001</v>
      </c>
      <c r="G269" s="1437">
        <v>428931.78000000003</v>
      </c>
      <c r="H269" s="1437">
        <v>0</v>
      </c>
      <c r="I269" s="1437">
        <v>0</v>
      </c>
      <c r="J269" s="24">
        <f t="shared" si="32"/>
        <v>1800579.3600000001</v>
      </c>
      <c r="K269" s="821">
        <f t="shared" si="30"/>
        <v>0</v>
      </c>
      <c r="V269">
        <v>1371647.5800000001</v>
      </c>
      <c r="W269">
        <v>428931.78000000003</v>
      </c>
      <c r="X269">
        <v>0</v>
      </c>
      <c r="Y269">
        <v>0</v>
      </c>
    </row>
    <row r="270" spans="1:25" ht="14.25">
      <c r="A270" s="50"/>
      <c r="B270" s="17">
        <f t="shared" si="31"/>
        <v>5</v>
      </c>
      <c r="C270" s="19" t="s">
        <v>167</v>
      </c>
      <c r="D270" s="1" t="s">
        <v>168</v>
      </c>
      <c r="E270" s="32"/>
      <c r="F270" s="1437">
        <v>772667.79000000004</v>
      </c>
      <c r="G270" s="1437">
        <v>0</v>
      </c>
      <c r="H270" s="1437">
        <v>0</v>
      </c>
      <c r="I270" s="1437">
        <v>0</v>
      </c>
      <c r="J270" s="24">
        <f t="shared" si="32"/>
        <v>772667.79000000004</v>
      </c>
      <c r="K270" s="821">
        <f t="shared" si="30"/>
        <v>0</v>
      </c>
      <c r="V270">
        <v>772667.79000000004</v>
      </c>
      <c r="W270">
        <v>0</v>
      </c>
      <c r="X270">
        <v>0</v>
      </c>
      <c r="Y270">
        <v>0</v>
      </c>
    </row>
    <row r="271" spans="1:25" ht="14.25">
      <c r="A271" s="50"/>
      <c r="B271" s="17">
        <f t="shared" si="31"/>
        <v>6</v>
      </c>
      <c r="C271" s="19" t="s">
        <v>169</v>
      </c>
      <c r="D271" s="1" t="s">
        <v>170</v>
      </c>
      <c r="E271" s="32"/>
      <c r="F271" s="1437">
        <v>0</v>
      </c>
      <c r="G271" s="1437">
        <v>0</v>
      </c>
      <c r="H271" s="1437">
        <v>0</v>
      </c>
      <c r="I271" s="1437">
        <v>0</v>
      </c>
      <c r="J271" s="24">
        <f t="shared" si="32"/>
        <v>0</v>
      </c>
      <c r="K271" s="821">
        <f t="shared" si="30"/>
        <v>0</v>
      </c>
      <c r="V271">
        <v>0</v>
      </c>
      <c r="W271">
        <v>0</v>
      </c>
      <c r="X271">
        <v>0</v>
      </c>
      <c r="Y271">
        <v>0</v>
      </c>
    </row>
    <row r="272" spans="1:25" ht="14.25">
      <c r="A272" s="50"/>
      <c r="B272" s="17">
        <f t="shared" si="31"/>
        <v>7</v>
      </c>
      <c r="C272" s="19" t="s">
        <v>171</v>
      </c>
      <c r="D272" s="28" t="s">
        <v>172</v>
      </c>
      <c r="E272" s="32"/>
      <c r="F272" s="1437">
        <v>0</v>
      </c>
      <c r="G272" s="1437">
        <v>0</v>
      </c>
      <c r="H272" s="1437">
        <v>0</v>
      </c>
      <c r="I272" s="1437">
        <v>0</v>
      </c>
      <c r="J272" s="24">
        <f t="shared" si="32"/>
        <v>0</v>
      </c>
      <c r="K272" s="821">
        <f t="shared" si="30"/>
        <v>0</v>
      </c>
      <c r="V272">
        <v>0</v>
      </c>
      <c r="W272">
        <v>0</v>
      </c>
      <c r="X272">
        <v>0</v>
      </c>
      <c r="Y272">
        <v>0</v>
      </c>
    </row>
    <row r="273" spans="1:25" ht="14.25">
      <c r="A273" s="50"/>
      <c r="B273" s="17">
        <f t="shared" si="31"/>
        <v>8</v>
      </c>
      <c r="C273" s="19" t="s">
        <v>173</v>
      </c>
      <c r="D273" s="1" t="s">
        <v>174</v>
      </c>
      <c r="E273" s="32"/>
      <c r="F273" s="1437">
        <v>20589564.760000002</v>
      </c>
      <c r="G273" s="1437">
        <v>152607.32000000001</v>
      </c>
      <c r="H273" s="1437">
        <v>0</v>
      </c>
      <c r="I273" s="1437">
        <v>0</v>
      </c>
      <c r="J273" s="24">
        <f t="shared" si="32"/>
        <v>20742172.080000002</v>
      </c>
      <c r="K273" s="821">
        <f t="shared" si="30"/>
        <v>0</v>
      </c>
      <c r="V273">
        <v>20589564.760000002</v>
      </c>
      <c r="W273">
        <v>152607.32000000001</v>
      </c>
      <c r="X273">
        <v>0</v>
      </c>
      <c r="Y273">
        <v>0</v>
      </c>
    </row>
    <row r="274" spans="1:25" ht="14.25">
      <c r="A274" s="50"/>
      <c r="B274" s="17">
        <f t="shared" si="31"/>
        <v>9</v>
      </c>
      <c r="C274" s="19" t="s">
        <v>175</v>
      </c>
      <c r="D274" s="1" t="s">
        <v>176</v>
      </c>
      <c r="E274" s="32"/>
      <c r="F274" s="1438">
        <v>0</v>
      </c>
      <c r="G274" s="1438">
        <v>0</v>
      </c>
      <c r="H274" s="1438">
        <v>0</v>
      </c>
      <c r="I274" s="1438">
        <v>0</v>
      </c>
      <c r="J274" s="24">
        <f t="shared" si="32"/>
        <v>0</v>
      </c>
      <c r="K274" s="821">
        <f t="shared" si="30"/>
        <v>0</v>
      </c>
      <c r="V274">
        <v>0</v>
      </c>
      <c r="W274">
        <v>0</v>
      </c>
      <c r="X274">
        <v>0</v>
      </c>
      <c r="Y274">
        <v>0</v>
      </c>
    </row>
    <row r="275" spans="1:11" ht="15">
      <c r="A275" s="50"/>
      <c r="B275" s="17">
        <f t="shared" si="31"/>
        <v>10</v>
      </c>
      <c r="C275" s="8" t="s">
        <v>280</v>
      </c>
      <c r="D275" s="1"/>
      <c r="E275" s="1135" t="s">
        <v>279</v>
      </c>
      <c r="F275" s="1413"/>
      <c r="G275" s="1413"/>
      <c r="H275" s="1413"/>
      <c r="I275" s="1413"/>
      <c r="J275" s="24"/>
      <c r="K275" s="821">
        <f t="shared" si="30"/>
        <v>0</v>
      </c>
    </row>
    <row r="276" spans="1:25" ht="14.25">
      <c r="A276" s="50"/>
      <c r="B276" s="17">
        <f t="shared" si="31"/>
        <v>11</v>
      </c>
      <c r="C276" s="19" t="s">
        <v>178</v>
      </c>
      <c r="D276" s="1" t="s">
        <v>179</v>
      </c>
      <c r="E276" s="32"/>
      <c r="F276" s="1439">
        <v>468645.34000000003</v>
      </c>
      <c r="G276" s="1439">
        <v>85793.720000000001</v>
      </c>
      <c r="H276" s="1439">
        <v>0</v>
      </c>
      <c r="I276" s="1439">
        <v>0</v>
      </c>
      <c r="J276" s="24">
        <f t="shared" si="33" ref="J276:J281">SUM(F276:I276)</f>
        <v>554439.06000000006</v>
      </c>
      <c r="K276" s="821">
        <f t="shared" si="30"/>
        <v>0</v>
      </c>
      <c r="V276">
        <v>468645.34000000003</v>
      </c>
      <c r="W276">
        <v>85793.720000000001</v>
      </c>
      <c r="X276">
        <v>0</v>
      </c>
      <c r="Y276">
        <v>0</v>
      </c>
    </row>
    <row r="277" spans="1:25" ht="15">
      <c r="A277" s="53"/>
      <c r="B277" s="17">
        <f t="shared" si="31"/>
        <v>12</v>
      </c>
      <c r="C277" s="19" t="s">
        <v>180</v>
      </c>
      <c r="D277" s="28" t="s">
        <v>181</v>
      </c>
      <c r="E277" s="32"/>
      <c r="F277" s="1414">
        <v>0</v>
      </c>
      <c r="G277" s="1414">
        <v>0</v>
      </c>
      <c r="H277" s="1414">
        <v>0</v>
      </c>
      <c r="I277" s="1414">
        <v>0</v>
      </c>
      <c r="J277" s="24">
        <f t="shared" si="33"/>
        <v>0</v>
      </c>
      <c r="K277" s="821">
        <f t="shared" si="30"/>
        <v>0</v>
      </c>
      <c r="V277">
        <v>0</v>
      </c>
      <c r="W277">
        <v>0</v>
      </c>
      <c r="X277">
        <v>0</v>
      </c>
      <c r="Y277">
        <v>0</v>
      </c>
    </row>
    <row r="278" spans="1:25" ht="14.25">
      <c r="A278" s="12"/>
      <c r="B278" s="17">
        <f t="shared" si="31"/>
        <v>13</v>
      </c>
      <c r="C278" s="19" t="s">
        <v>182</v>
      </c>
      <c r="D278" s="1" t="s">
        <v>183</v>
      </c>
      <c r="E278" s="32"/>
      <c r="F278" s="1414">
        <v>3079542.52</v>
      </c>
      <c r="G278" s="1414">
        <v>70648.929999999993</v>
      </c>
      <c r="H278" s="1414">
        <v>0</v>
      </c>
      <c r="I278" s="1414">
        <v>0</v>
      </c>
      <c r="J278" s="24">
        <f t="shared" si="33"/>
        <v>3150191.4500000002</v>
      </c>
      <c r="K278" s="821">
        <f t="shared" si="30"/>
        <v>0</v>
      </c>
      <c r="V278">
        <v>3079542.52</v>
      </c>
      <c r="W278">
        <v>70648.929999999993</v>
      </c>
      <c r="X278">
        <v>0</v>
      </c>
      <c r="Y278">
        <v>0</v>
      </c>
    </row>
    <row r="279" spans="1:25" ht="14.25">
      <c r="A279" s="12"/>
      <c r="B279" s="17">
        <f t="shared" si="31"/>
        <v>14</v>
      </c>
      <c r="C279" s="19" t="s">
        <v>184</v>
      </c>
      <c r="D279" s="1" t="s">
        <v>185</v>
      </c>
      <c r="E279" s="32"/>
      <c r="F279" s="1414">
        <v>2762976.1299999999</v>
      </c>
      <c r="G279" s="1414">
        <v>4236.9099999999999</v>
      </c>
      <c r="H279" s="1414">
        <v>0</v>
      </c>
      <c r="I279" s="1414">
        <v>0</v>
      </c>
      <c r="J279" s="24">
        <f t="shared" si="33"/>
        <v>2767213.04</v>
      </c>
      <c r="K279" s="821">
        <f t="shared" si="30"/>
        <v>0</v>
      </c>
      <c r="V279">
        <v>2762976.1299999999</v>
      </c>
      <c r="W279">
        <v>4236.9099999999999</v>
      </c>
      <c r="X279">
        <v>0</v>
      </c>
      <c r="Y279">
        <v>0</v>
      </c>
    </row>
    <row r="280" spans="1:25" ht="14.25">
      <c r="A280" s="50"/>
      <c r="B280" s="17">
        <f t="shared" si="31"/>
        <v>15</v>
      </c>
      <c r="C280" s="19" t="s">
        <v>186</v>
      </c>
      <c r="D280" s="28" t="s">
        <v>187</v>
      </c>
      <c r="E280" s="32"/>
      <c r="F280" s="1414">
        <v>0</v>
      </c>
      <c r="G280" s="1414">
        <v>0</v>
      </c>
      <c r="H280" s="1414">
        <v>0</v>
      </c>
      <c r="I280" s="1414">
        <v>0</v>
      </c>
      <c r="J280" s="24">
        <f t="shared" si="33"/>
        <v>0</v>
      </c>
      <c r="K280" s="821">
        <f t="shared" si="30"/>
        <v>0</v>
      </c>
      <c r="V280">
        <v>0</v>
      </c>
      <c r="W280">
        <v>0</v>
      </c>
      <c r="X280">
        <v>0</v>
      </c>
      <c r="Y280">
        <v>0</v>
      </c>
    </row>
    <row r="281" spans="1:25" ht="14.25">
      <c r="A281" s="50"/>
      <c r="B281" s="17">
        <f t="shared" si="31"/>
        <v>16</v>
      </c>
      <c r="C281" s="19" t="s">
        <v>188</v>
      </c>
      <c r="D281" s="28" t="s">
        <v>189</v>
      </c>
      <c r="E281" s="32"/>
      <c r="F281" s="1415">
        <v>17473.259999999998</v>
      </c>
      <c r="G281" s="1415">
        <v>1299.9400000000001</v>
      </c>
      <c r="H281" s="1415">
        <v>0</v>
      </c>
      <c r="I281" s="1415">
        <v>0</v>
      </c>
      <c r="J281" s="24">
        <f t="shared" si="33"/>
        <v>18773.199999999997</v>
      </c>
      <c r="K281" s="821">
        <f t="shared" si="30"/>
        <v>0</v>
      </c>
      <c r="V281">
        <v>17473.259999999998</v>
      </c>
      <c r="W281">
        <v>1299.9400000000001</v>
      </c>
      <c r="X281">
        <v>0</v>
      </c>
      <c r="Y281">
        <v>0</v>
      </c>
    </row>
    <row r="282" spans="1:11" ht="15">
      <c r="A282" s="50"/>
      <c r="B282" s="17">
        <f t="shared" si="31"/>
        <v>17</v>
      </c>
      <c r="C282" s="8" t="s">
        <v>281</v>
      </c>
      <c r="D282" s="1"/>
      <c r="E282" s="1135" t="s">
        <v>279</v>
      </c>
      <c r="F282" s="1413"/>
      <c r="G282" s="1413"/>
      <c r="H282" s="1413"/>
      <c r="I282" s="1413"/>
      <c r="J282" s="24"/>
      <c r="K282" s="821">
        <f t="shared" si="30"/>
        <v>0</v>
      </c>
    </row>
    <row r="283" spans="1:25" ht="14.25">
      <c r="A283" s="50"/>
      <c r="B283" s="17">
        <f t="shared" si="31"/>
        <v>18</v>
      </c>
      <c r="C283" s="19" t="s">
        <v>191</v>
      </c>
      <c r="D283" s="31" t="s">
        <v>162</v>
      </c>
      <c r="E283" s="17"/>
      <c r="F283" s="1416">
        <v>-2756</v>
      </c>
      <c r="G283" s="1416">
        <v>5493450.9500000002</v>
      </c>
      <c r="H283" s="1416">
        <v>544302.93000000005</v>
      </c>
      <c r="I283" s="1416">
        <v>0</v>
      </c>
      <c r="J283" s="24">
        <f t="shared" si="34" ref="J283:J292">SUM(F283:I283)</f>
        <v>6034997.8799999999</v>
      </c>
      <c r="K283" s="821">
        <f t="shared" si="30"/>
        <v>0</v>
      </c>
      <c r="V283">
        <v>-2756</v>
      </c>
      <c r="W283">
        <v>5493450.9500000002</v>
      </c>
      <c r="X283">
        <v>544302.93000000005</v>
      </c>
      <c r="Y283">
        <v>0</v>
      </c>
    </row>
    <row r="284" spans="1:25" ht="14.25">
      <c r="A284" s="50"/>
      <c r="B284" s="17">
        <f t="shared" si="31"/>
        <v>19</v>
      </c>
      <c r="C284" s="19" t="s">
        <v>192</v>
      </c>
      <c r="D284" s="31" t="s">
        <v>193</v>
      </c>
      <c r="E284" s="32"/>
      <c r="F284" s="1417">
        <v>0</v>
      </c>
      <c r="G284" s="1417">
        <v>9544431.3300000001</v>
      </c>
      <c r="H284" s="1417">
        <v>0</v>
      </c>
      <c r="I284" s="1417">
        <v>0</v>
      </c>
      <c r="J284" s="24">
        <f t="shared" si="34"/>
        <v>9544431.3300000001</v>
      </c>
      <c r="K284" s="821">
        <f t="shared" si="30"/>
        <v>0</v>
      </c>
      <c r="V284">
        <v>0</v>
      </c>
      <c r="W284">
        <v>9544431.3300000001</v>
      </c>
      <c r="X284">
        <v>0</v>
      </c>
      <c r="Y284">
        <v>0</v>
      </c>
    </row>
    <row r="285" spans="1:25" ht="14.25">
      <c r="A285" s="50"/>
      <c r="B285" s="17">
        <f t="shared" si="31"/>
        <v>20</v>
      </c>
      <c r="C285" s="19" t="s">
        <v>194</v>
      </c>
      <c r="D285" s="1" t="s">
        <v>166</v>
      </c>
      <c r="E285" s="32"/>
      <c r="F285" s="1417">
        <v>61035.139999999999</v>
      </c>
      <c r="G285" s="1417">
        <v>2814413.9500000002</v>
      </c>
      <c r="H285" s="1417">
        <v>0</v>
      </c>
      <c r="I285" s="1417">
        <v>0</v>
      </c>
      <c r="J285" s="24">
        <f t="shared" si="34"/>
        <v>2875449.0900000003</v>
      </c>
      <c r="K285" s="821">
        <f t="shared" si="30"/>
        <v>0</v>
      </c>
      <c r="V285">
        <v>61035.139999999999</v>
      </c>
      <c r="W285">
        <v>2814413.9500000002</v>
      </c>
      <c r="X285">
        <v>0</v>
      </c>
      <c r="Y285">
        <v>0</v>
      </c>
    </row>
    <row r="286" spans="1:25" ht="15">
      <c r="A286" s="53"/>
      <c r="B286" s="17">
        <f t="shared" si="31"/>
        <v>21</v>
      </c>
      <c r="C286" s="19" t="s">
        <v>195</v>
      </c>
      <c r="D286" s="1" t="s">
        <v>168</v>
      </c>
      <c r="E286" s="32"/>
      <c r="F286" s="1417">
        <v>0</v>
      </c>
      <c r="G286" s="1417">
        <v>1767468.3000000001</v>
      </c>
      <c r="H286" s="1417">
        <v>91312.369999999995</v>
      </c>
      <c r="I286" s="1417">
        <v>0</v>
      </c>
      <c r="J286" s="24">
        <f t="shared" si="34"/>
        <v>1858780.6699999999</v>
      </c>
      <c r="K286" s="821">
        <f t="shared" si="30"/>
        <v>0</v>
      </c>
      <c r="V286">
        <v>0</v>
      </c>
      <c r="W286">
        <v>1767468.3000000001</v>
      </c>
      <c r="X286">
        <v>91312.369999999995</v>
      </c>
      <c r="Y286">
        <v>0</v>
      </c>
    </row>
    <row r="287" spans="1:25" ht="14.25">
      <c r="A287" s="12"/>
      <c r="B287" s="17">
        <f t="shared" si="31"/>
        <v>22</v>
      </c>
      <c r="C287" s="19" t="s">
        <v>196</v>
      </c>
      <c r="D287" s="1" t="s">
        <v>170</v>
      </c>
      <c r="E287" s="54"/>
      <c r="F287" s="1417">
        <v>0</v>
      </c>
      <c r="G287" s="1417">
        <v>2316833.3399999999</v>
      </c>
      <c r="H287" s="1417">
        <v>7234.2600000000002</v>
      </c>
      <c r="I287" s="1417">
        <v>0</v>
      </c>
      <c r="J287" s="24">
        <f t="shared" si="34"/>
        <v>2324067.5999999996</v>
      </c>
      <c r="K287" s="821">
        <f t="shared" si="30"/>
        <v>0</v>
      </c>
      <c r="V287">
        <v>0</v>
      </c>
      <c r="W287">
        <v>2316833.3399999999</v>
      </c>
      <c r="X287">
        <v>7234.2600000000002</v>
      </c>
      <c r="Y287">
        <v>0</v>
      </c>
    </row>
    <row r="288" spans="1:25" ht="15">
      <c r="A288" s="49"/>
      <c r="B288" s="17">
        <f t="shared" si="31"/>
        <v>23</v>
      </c>
      <c r="C288" s="19" t="s">
        <v>197</v>
      </c>
      <c r="D288" s="1" t="s">
        <v>198</v>
      </c>
      <c r="E288" s="54"/>
      <c r="F288" s="1417">
        <v>0</v>
      </c>
      <c r="G288" s="1417">
        <v>0</v>
      </c>
      <c r="H288" s="1417">
        <v>0</v>
      </c>
      <c r="I288" s="1417">
        <v>0</v>
      </c>
      <c r="J288" s="24">
        <f t="shared" si="34"/>
        <v>0</v>
      </c>
      <c r="K288" s="821">
        <f t="shared" si="30"/>
        <v>0</v>
      </c>
      <c r="V288">
        <v>0</v>
      </c>
      <c r="W288">
        <v>0</v>
      </c>
      <c r="X288">
        <v>0</v>
      </c>
      <c r="Y288">
        <v>0</v>
      </c>
    </row>
    <row r="289" spans="1:25" ht="15">
      <c r="A289" s="49"/>
      <c r="B289" s="17">
        <f t="shared" si="31"/>
        <v>24</v>
      </c>
      <c r="C289" s="19" t="s">
        <v>199</v>
      </c>
      <c r="D289" s="730" t="s">
        <v>200</v>
      </c>
      <c r="E289" s="54"/>
      <c r="F289" s="1417">
        <v>0</v>
      </c>
      <c r="G289" s="1417">
        <v>0</v>
      </c>
      <c r="H289" s="1417">
        <v>7470971.8799999999</v>
      </c>
      <c r="I289" s="1417">
        <v>0</v>
      </c>
      <c r="J289" s="24">
        <f t="shared" si="34"/>
        <v>7470971.8799999999</v>
      </c>
      <c r="K289" s="821">
        <f t="shared" si="30"/>
        <v>0</v>
      </c>
      <c r="V289">
        <v>0</v>
      </c>
      <c r="W289">
        <v>0</v>
      </c>
      <c r="X289">
        <v>7470971.8799999999</v>
      </c>
      <c r="Y289">
        <v>0</v>
      </c>
    </row>
    <row r="290" spans="1:25" ht="14.25">
      <c r="A290" s="12"/>
      <c r="B290" s="17">
        <f t="shared" si="31"/>
        <v>25</v>
      </c>
      <c r="C290" s="19" t="s">
        <v>201</v>
      </c>
      <c r="D290" s="1" t="s">
        <v>202</v>
      </c>
      <c r="E290" s="54"/>
      <c r="F290" s="1417">
        <v>0</v>
      </c>
      <c r="G290" s="1417">
        <v>1272046.1499999999</v>
      </c>
      <c r="H290" s="1417">
        <v>1210.3900000000001</v>
      </c>
      <c r="I290" s="1417">
        <v>0</v>
      </c>
      <c r="J290" s="24">
        <f t="shared" si="34"/>
        <v>1273256.5399999998</v>
      </c>
      <c r="K290" s="821">
        <f t="shared" si="30"/>
        <v>0</v>
      </c>
      <c r="V290">
        <v>0</v>
      </c>
      <c r="W290">
        <v>1272046.1499999999</v>
      </c>
      <c r="X290">
        <v>1210.3900000000001</v>
      </c>
      <c r="Y290">
        <v>0</v>
      </c>
    </row>
    <row r="291" spans="1:25" ht="14.25">
      <c r="A291" s="12"/>
      <c r="B291" s="17">
        <f t="shared" si="31"/>
        <v>26</v>
      </c>
      <c r="C291" s="19" t="s">
        <v>203</v>
      </c>
      <c r="D291" s="1" t="s">
        <v>204</v>
      </c>
      <c r="E291" s="32"/>
      <c r="F291" s="1417">
        <v>0</v>
      </c>
      <c r="G291" s="1417">
        <v>42023721.539999999</v>
      </c>
      <c r="H291" s="1417">
        <v>1499427.6499999999</v>
      </c>
      <c r="I291" s="1417">
        <v>763.54999999999995</v>
      </c>
      <c r="J291" s="24">
        <f t="shared" si="34"/>
        <v>43523912.739999995</v>
      </c>
      <c r="K291" s="821">
        <f t="shared" si="30"/>
        <v>0</v>
      </c>
      <c r="V291">
        <v>0</v>
      </c>
      <c r="W291">
        <v>42023721.539999999</v>
      </c>
      <c r="X291">
        <v>1499427.6499999999</v>
      </c>
      <c r="Y291">
        <v>763.54999999999995</v>
      </c>
    </row>
    <row r="292" spans="1:25" ht="14.25">
      <c r="A292" s="12"/>
      <c r="B292" s="17">
        <f t="shared" si="31"/>
        <v>27</v>
      </c>
      <c r="C292" s="19" t="s">
        <v>205</v>
      </c>
      <c r="D292" s="1" t="s">
        <v>206</v>
      </c>
      <c r="E292" s="32"/>
      <c r="F292" s="1418">
        <v>0</v>
      </c>
      <c r="G292" s="1418">
        <v>0</v>
      </c>
      <c r="H292" s="1418">
        <v>0</v>
      </c>
      <c r="I292" s="1418">
        <v>0</v>
      </c>
      <c r="J292" s="24">
        <f t="shared" si="34"/>
        <v>0</v>
      </c>
      <c r="K292" s="821">
        <f t="shared" si="30"/>
        <v>0</v>
      </c>
      <c r="V292">
        <v>0</v>
      </c>
      <c r="W292">
        <v>0</v>
      </c>
      <c r="X292">
        <v>0</v>
      </c>
      <c r="Y292">
        <v>0</v>
      </c>
    </row>
    <row r="293" spans="1:11" ht="15">
      <c r="A293" s="50"/>
      <c r="B293" s="17">
        <f t="shared" si="31"/>
        <v>28</v>
      </c>
      <c r="C293" s="8" t="s">
        <v>282</v>
      </c>
      <c r="D293" s="1"/>
      <c r="E293" s="1135" t="s">
        <v>279</v>
      </c>
      <c r="F293" s="1413"/>
      <c r="G293" s="1413"/>
      <c r="H293" s="1413"/>
      <c r="I293" s="1413"/>
      <c r="J293" s="24"/>
      <c r="K293" s="821">
        <f t="shared" si="30"/>
        <v>0</v>
      </c>
    </row>
    <row r="294" spans="1:25" ht="14.25">
      <c r="A294" s="50"/>
      <c r="B294" s="17">
        <f t="shared" si="31"/>
        <v>29</v>
      </c>
      <c r="C294" s="19" t="s">
        <v>208</v>
      </c>
      <c r="D294" s="1" t="s">
        <v>179</v>
      </c>
      <c r="E294" s="17"/>
      <c r="F294" s="1416">
        <v>4375</v>
      </c>
      <c r="G294" s="1416">
        <v>1921339.4399999999</v>
      </c>
      <c r="H294" s="1416">
        <v>704407.51000000001</v>
      </c>
      <c r="I294" s="1416">
        <v>0</v>
      </c>
      <c r="J294" s="24">
        <f t="shared" si="35" ref="J294:J302">SUM(F294:I294)</f>
        <v>2630121.9500000002</v>
      </c>
      <c r="K294" s="821">
        <f t="shared" si="30"/>
        <v>0</v>
      </c>
      <c r="V294">
        <v>4375</v>
      </c>
      <c r="W294">
        <v>1921339.4399999999</v>
      </c>
      <c r="X294">
        <v>704407.51000000001</v>
      </c>
      <c r="Y294">
        <v>0</v>
      </c>
    </row>
    <row r="295" spans="1:25" ht="14.25">
      <c r="A295" s="50"/>
      <c r="B295" s="17">
        <f t="shared" si="31"/>
        <v>30</v>
      </c>
      <c r="C295" s="19" t="s">
        <v>209</v>
      </c>
      <c r="D295" s="28" t="s">
        <v>181</v>
      </c>
      <c r="E295" s="32"/>
      <c r="F295" s="1417">
        <v>0</v>
      </c>
      <c r="G295" s="1417">
        <v>0</v>
      </c>
      <c r="H295" s="1417">
        <v>0</v>
      </c>
      <c r="I295" s="1417">
        <v>0</v>
      </c>
      <c r="J295" s="24">
        <f t="shared" si="35"/>
        <v>0</v>
      </c>
      <c r="K295" s="821">
        <f t="shared" si="30"/>
        <v>0</v>
      </c>
      <c r="V295">
        <v>0</v>
      </c>
      <c r="W295">
        <v>0</v>
      </c>
      <c r="X295">
        <v>0</v>
      </c>
      <c r="Y295">
        <v>0</v>
      </c>
    </row>
    <row r="296" spans="1:25" ht="14.25">
      <c r="A296" s="50"/>
      <c r="B296" s="17">
        <f t="shared" si="31"/>
        <v>31</v>
      </c>
      <c r="C296" s="19" t="s">
        <v>210</v>
      </c>
      <c r="D296" s="1" t="s">
        <v>183</v>
      </c>
      <c r="E296" s="32"/>
      <c r="F296" s="1417">
        <v>134899.70999999999</v>
      </c>
      <c r="G296" s="1417">
        <v>6147661.1799999997</v>
      </c>
      <c r="H296" s="1417">
        <v>0</v>
      </c>
      <c r="I296" s="1417">
        <v>0</v>
      </c>
      <c r="J296" s="24">
        <f t="shared" si="35"/>
        <v>6282560.8899999997</v>
      </c>
      <c r="K296" s="821">
        <f t="shared" si="30"/>
        <v>0</v>
      </c>
      <c r="V296">
        <v>134899.70999999999</v>
      </c>
      <c r="W296">
        <v>6147661.1799999997</v>
      </c>
      <c r="X296">
        <v>0</v>
      </c>
      <c r="Y296">
        <v>0</v>
      </c>
    </row>
    <row r="297" spans="1:25" ht="14.25">
      <c r="A297" s="50"/>
      <c r="B297" s="17">
        <f t="shared" si="31"/>
        <v>32</v>
      </c>
      <c r="C297" s="19" t="s">
        <v>211</v>
      </c>
      <c r="D297" s="28" t="s">
        <v>185</v>
      </c>
      <c r="E297" s="32"/>
      <c r="F297" s="1417">
        <v>349.74000000000001</v>
      </c>
      <c r="G297" s="1417">
        <v>36169907.530000001</v>
      </c>
      <c r="H297" s="1417">
        <v>58540.660000000003</v>
      </c>
      <c r="I297" s="1417">
        <v>0</v>
      </c>
      <c r="J297" s="24">
        <f t="shared" si="35"/>
        <v>36228797.93</v>
      </c>
      <c r="K297" s="821">
        <f t="shared" si="30"/>
        <v>0</v>
      </c>
      <c r="V297">
        <v>349.74000000000001</v>
      </c>
      <c r="W297">
        <v>36169907.530000001</v>
      </c>
      <c r="X297">
        <v>58540.660000000003</v>
      </c>
      <c r="Y297">
        <v>0</v>
      </c>
    </row>
    <row r="298" spans="1:25" ht="14.25">
      <c r="A298" s="50"/>
      <c r="B298" s="17">
        <f t="shared" si="31"/>
        <v>33</v>
      </c>
      <c r="C298" s="19" t="s">
        <v>212</v>
      </c>
      <c r="D298" s="1" t="s">
        <v>187</v>
      </c>
      <c r="E298" s="54"/>
      <c r="F298" s="1417">
        <v>0</v>
      </c>
      <c r="G298" s="1417">
        <v>9233426.6799999997</v>
      </c>
      <c r="H298" s="1417">
        <v>9608.5100000000002</v>
      </c>
      <c r="I298" s="1417">
        <v>0</v>
      </c>
      <c r="J298" s="24">
        <f t="shared" si="35"/>
        <v>9243035.1899999995</v>
      </c>
      <c r="K298" s="821">
        <f t="shared" si="30"/>
        <v>0</v>
      </c>
      <c r="V298">
        <v>0</v>
      </c>
      <c r="W298">
        <v>9233426.6799999997</v>
      </c>
      <c r="X298">
        <v>9608.5100000000002</v>
      </c>
      <c r="Y298">
        <v>0</v>
      </c>
    </row>
    <row r="299" spans="1:25" ht="14.25">
      <c r="A299" s="50"/>
      <c r="B299" s="17">
        <f t="shared" si="31"/>
        <v>34</v>
      </c>
      <c r="C299" s="19" t="s">
        <v>213</v>
      </c>
      <c r="D299" s="1" t="s">
        <v>214</v>
      </c>
      <c r="E299" s="54"/>
      <c r="F299" s="1417">
        <v>0</v>
      </c>
      <c r="G299" s="1417">
        <v>2162694.46</v>
      </c>
      <c r="H299" s="1417">
        <v>207.96000000000001</v>
      </c>
      <c r="I299" s="1417">
        <v>0</v>
      </c>
      <c r="J299" s="24">
        <f t="shared" si="35"/>
        <v>2162902.4199999999</v>
      </c>
      <c r="K299" s="821">
        <f t="shared" si="30"/>
        <v>0</v>
      </c>
      <c r="V299">
        <v>0</v>
      </c>
      <c r="W299">
        <v>2162694.46</v>
      </c>
      <c r="X299">
        <v>207.96000000000001</v>
      </c>
      <c r="Y299">
        <v>0</v>
      </c>
    </row>
    <row r="300" spans="1:25" ht="14.25">
      <c r="A300" s="50"/>
      <c r="B300" s="17">
        <f t="shared" si="31"/>
        <v>35</v>
      </c>
      <c r="C300" s="19" t="s">
        <v>215</v>
      </c>
      <c r="D300" s="1" t="s">
        <v>216</v>
      </c>
      <c r="E300" s="32"/>
      <c r="F300" s="1417">
        <v>0</v>
      </c>
      <c r="G300" s="1417">
        <v>260031.48000000001</v>
      </c>
      <c r="H300" s="1417">
        <v>4.0099999999999998</v>
      </c>
      <c r="I300" s="1417">
        <v>0</v>
      </c>
      <c r="J300" s="24">
        <f t="shared" si="35"/>
        <v>260035.49000000002</v>
      </c>
      <c r="K300" s="821">
        <f t="shared" si="30"/>
        <v>0</v>
      </c>
      <c r="V300">
        <v>0</v>
      </c>
      <c r="W300">
        <v>260031.48000000001</v>
      </c>
      <c r="X300">
        <v>4.0099999999999998</v>
      </c>
      <c r="Y300">
        <v>0</v>
      </c>
    </row>
    <row r="301" spans="1:25" ht="14.25">
      <c r="A301" s="50"/>
      <c r="B301" s="17">
        <f t="shared" si="31"/>
        <v>36</v>
      </c>
      <c r="C301" s="19" t="s">
        <v>217</v>
      </c>
      <c r="D301" s="1" t="s">
        <v>218</v>
      </c>
      <c r="E301" s="32"/>
      <c r="F301" s="1417">
        <v>0</v>
      </c>
      <c r="G301" s="1417">
        <v>0</v>
      </c>
      <c r="H301" s="1417">
        <v>12685192.529999999</v>
      </c>
      <c r="I301" s="1417">
        <v>0</v>
      </c>
      <c r="J301" s="24">
        <f t="shared" si="35"/>
        <v>12685192.529999999</v>
      </c>
      <c r="K301" s="821">
        <f t="shared" si="30"/>
        <v>0</v>
      </c>
      <c r="V301">
        <v>0</v>
      </c>
      <c r="W301">
        <v>0</v>
      </c>
      <c r="X301">
        <v>12685192.529999999</v>
      </c>
      <c r="Y301">
        <v>0</v>
      </c>
    </row>
    <row r="302" spans="1:25" ht="15">
      <c r="A302" s="49"/>
      <c r="B302" s="17">
        <f t="shared" si="31"/>
        <v>37</v>
      </c>
      <c r="C302" s="19" t="s">
        <v>219</v>
      </c>
      <c r="D302" s="1" t="s">
        <v>220</v>
      </c>
      <c r="E302" s="32"/>
      <c r="F302" s="1418">
        <v>0</v>
      </c>
      <c r="G302" s="1418">
        <v>87974.259999999995</v>
      </c>
      <c r="H302" s="1418">
        <v>0.56999999999999995</v>
      </c>
      <c r="I302" s="1418">
        <v>0</v>
      </c>
      <c r="J302" s="24">
        <f t="shared" si="35"/>
        <v>87974.830000000002</v>
      </c>
      <c r="K302" s="821">
        <f t="shared" si="30"/>
        <v>0</v>
      </c>
      <c r="V302">
        <v>0</v>
      </c>
      <c r="W302">
        <v>87974.259999999995</v>
      </c>
      <c r="X302">
        <v>0.56999999999999995</v>
      </c>
      <c r="Y302">
        <v>0</v>
      </c>
    </row>
    <row r="303" spans="1:11" ht="15">
      <c r="A303" s="49"/>
      <c r="B303" s="17"/>
      <c r="C303" s="19"/>
      <c r="D303" s="1"/>
      <c r="E303" s="32"/>
      <c r="F303" s="778"/>
      <c r="G303" s="778"/>
      <c r="H303" s="778"/>
      <c r="I303" s="778"/>
      <c r="J303" s="24"/>
      <c r="K303" s="821">
        <f t="shared" si="30"/>
        <v>0</v>
      </c>
    </row>
    <row r="304" spans="1:11" ht="15">
      <c r="A304" s="49"/>
      <c r="B304" s="17"/>
      <c r="C304" s="19"/>
      <c r="D304" s="1"/>
      <c r="E304" s="32"/>
      <c r="F304" s="778"/>
      <c r="G304" s="778"/>
      <c r="H304" s="778"/>
      <c r="I304" s="778"/>
      <c r="J304" s="24"/>
      <c r="K304" s="821">
        <f t="shared" si="30"/>
        <v>0</v>
      </c>
    </row>
    <row r="305" spans="1:11" ht="15">
      <c r="A305" s="12"/>
      <c r="B305" s="17">
        <v>1</v>
      </c>
      <c r="C305" s="8" t="s">
        <v>283</v>
      </c>
      <c r="D305" s="1"/>
      <c r="E305" s="1135" t="s">
        <v>279</v>
      </c>
      <c r="F305" s="1413"/>
      <c r="G305" s="1413"/>
      <c r="H305" s="1413"/>
      <c r="I305" s="1413"/>
      <c r="J305" s="24"/>
      <c r="K305" s="821">
        <f t="shared" si="30"/>
        <v>0</v>
      </c>
    </row>
    <row r="306" spans="1:25" ht="14.25">
      <c r="A306" s="12"/>
      <c r="B306" s="17">
        <f t="shared" si="36" ref="B306:B344">B305+1</f>
        <v>2</v>
      </c>
      <c r="C306" s="19" t="s">
        <v>222</v>
      </c>
      <c r="D306" s="1" t="s">
        <v>223</v>
      </c>
      <c r="E306" s="17"/>
      <c r="F306" s="1416">
        <v>0</v>
      </c>
      <c r="G306" s="1416">
        <v>114.29000000000001</v>
      </c>
      <c r="H306" s="1416">
        <v>9828.9400000000005</v>
      </c>
      <c r="I306" s="1416">
        <v>1485.77</v>
      </c>
      <c r="J306" s="24">
        <f>SUM(F306:I306)</f>
        <v>11429.000000000002</v>
      </c>
      <c r="K306" s="821">
        <f t="shared" si="30"/>
        <v>0</v>
      </c>
      <c r="V306">
        <v>0</v>
      </c>
      <c r="W306">
        <v>114.29000000000001</v>
      </c>
      <c r="X306">
        <v>9828.9400000000005</v>
      </c>
      <c r="Y306">
        <v>1485.77</v>
      </c>
    </row>
    <row r="307" spans="1:25" ht="14.25">
      <c r="A307" s="12"/>
      <c r="B307" s="17">
        <f t="shared" si="36"/>
        <v>3</v>
      </c>
      <c r="C307" s="19" t="s">
        <v>224</v>
      </c>
      <c r="D307" s="1" t="s">
        <v>225</v>
      </c>
      <c r="E307" s="32"/>
      <c r="F307" s="1417">
        <v>0</v>
      </c>
      <c r="G307" s="1417">
        <v>0</v>
      </c>
      <c r="H307" s="1417">
        <v>0</v>
      </c>
      <c r="I307" s="1417">
        <v>0</v>
      </c>
      <c r="J307" s="24">
        <f>SUM(F307:I307)</f>
        <v>0</v>
      </c>
      <c r="K307" s="821">
        <f t="shared" si="30"/>
        <v>0</v>
      </c>
      <c r="V307">
        <v>0</v>
      </c>
      <c r="W307">
        <v>0</v>
      </c>
      <c r="X307">
        <v>0</v>
      </c>
      <c r="Y307">
        <v>0</v>
      </c>
    </row>
    <row r="308" spans="1:25" ht="14.25">
      <c r="A308" s="12"/>
      <c r="B308" s="17">
        <f t="shared" si="36"/>
        <v>4</v>
      </c>
      <c r="C308" s="19" t="s">
        <v>226</v>
      </c>
      <c r="D308" s="1" t="s">
        <v>227</v>
      </c>
      <c r="E308" s="32"/>
      <c r="F308" s="1417">
        <v>0</v>
      </c>
      <c r="G308" s="1417">
        <v>10733.690000000001</v>
      </c>
      <c r="H308" s="1417">
        <v>8003098.5999999996</v>
      </c>
      <c r="I308" s="1417">
        <v>1248666.01</v>
      </c>
      <c r="J308" s="24">
        <f>SUM(F308:I308)</f>
        <v>9262498.3000000007</v>
      </c>
      <c r="K308" s="821">
        <f t="shared" si="30"/>
        <v>0</v>
      </c>
      <c r="V308">
        <v>0</v>
      </c>
      <c r="W308">
        <v>10733.690000000001</v>
      </c>
      <c r="X308">
        <v>8003098.5999999996</v>
      </c>
      <c r="Y308">
        <v>1248666.01</v>
      </c>
    </row>
    <row r="309" spans="1:25" ht="14.25">
      <c r="A309" s="12"/>
      <c r="B309" s="17">
        <f t="shared" si="36"/>
        <v>5</v>
      </c>
      <c r="C309" s="19" t="s">
        <v>228</v>
      </c>
      <c r="D309" s="1" t="s">
        <v>229</v>
      </c>
      <c r="E309" s="32"/>
      <c r="F309" s="1417">
        <v>0</v>
      </c>
      <c r="G309" s="1417">
        <v>0</v>
      </c>
      <c r="H309" s="1417">
        <v>0</v>
      </c>
      <c r="I309" s="1417">
        <v>0</v>
      </c>
      <c r="J309" s="24">
        <f>SUM(F309:I309)</f>
        <v>0</v>
      </c>
      <c r="K309" s="821">
        <f t="shared" si="30"/>
        <v>0</v>
      </c>
      <c r="V309">
        <v>0</v>
      </c>
      <c r="W309">
        <v>0</v>
      </c>
      <c r="X309">
        <v>0</v>
      </c>
      <c r="Y309">
        <v>0</v>
      </c>
    </row>
    <row r="310" spans="1:25" ht="14.25">
      <c r="A310" s="50"/>
      <c r="B310" s="17">
        <f t="shared" si="36"/>
        <v>6</v>
      </c>
      <c r="C310" s="19" t="s">
        <v>230</v>
      </c>
      <c r="D310" s="28" t="s">
        <v>231</v>
      </c>
      <c r="E310" s="32"/>
      <c r="F310" s="1418">
        <v>0</v>
      </c>
      <c r="G310" s="1418">
        <v>0</v>
      </c>
      <c r="H310" s="1418">
        <v>0</v>
      </c>
      <c r="I310" s="1418">
        <v>0</v>
      </c>
      <c r="J310" s="24">
        <f>SUM(F310:I310)</f>
        <v>0</v>
      </c>
      <c r="K310" s="821">
        <f t="shared" si="30"/>
        <v>0</v>
      </c>
      <c r="V310">
        <v>0</v>
      </c>
      <c r="W310">
        <v>0</v>
      </c>
      <c r="X310">
        <v>0</v>
      </c>
      <c r="Y310">
        <v>0</v>
      </c>
    </row>
    <row r="311" spans="1:11" ht="15">
      <c r="A311" s="50"/>
      <c r="B311" s="17">
        <f t="shared" si="36"/>
        <v>7</v>
      </c>
      <c r="C311" s="8" t="s">
        <v>284</v>
      </c>
      <c r="D311" s="28"/>
      <c r="E311" s="1135" t="s">
        <v>279</v>
      </c>
      <c r="F311" s="778"/>
      <c r="G311" s="778"/>
      <c r="H311" s="778"/>
      <c r="I311" s="778"/>
      <c r="J311" s="24"/>
      <c r="K311" s="821">
        <f t="shared" si="30"/>
        <v>0</v>
      </c>
    </row>
    <row r="312" spans="1:25" ht="14.25">
      <c r="A312" s="50"/>
      <c r="B312" s="17">
        <f t="shared" si="36"/>
        <v>8</v>
      </c>
      <c r="C312" s="19" t="s">
        <v>233</v>
      </c>
      <c r="D312" s="1" t="s">
        <v>234</v>
      </c>
      <c r="E312" s="54"/>
      <c r="F312" s="1440">
        <v>0</v>
      </c>
      <c r="G312" s="1440">
        <v>0</v>
      </c>
      <c r="H312" s="1440">
        <v>0</v>
      </c>
      <c r="I312" s="1440">
        <v>0</v>
      </c>
      <c r="J312" s="24">
        <f>SUM(F312:I312)</f>
        <v>0</v>
      </c>
      <c r="K312" s="821">
        <f t="shared" si="30"/>
        <v>0</v>
      </c>
      <c r="V312">
        <v>0</v>
      </c>
      <c r="W312">
        <v>0</v>
      </c>
      <c r="X312">
        <v>0</v>
      </c>
      <c r="Y312">
        <v>0</v>
      </c>
    </row>
    <row r="313" spans="1:25" ht="14.25">
      <c r="A313" s="50"/>
      <c r="B313" s="17">
        <f t="shared" si="36"/>
        <v>9</v>
      </c>
      <c r="C313" s="19" t="s">
        <v>235</v>
      </c>
      <c r="D313" s="1" t="s">
        <v>223</v>
      </c>
      <c r="E313" s="54"/>
      <c r="F313" s="1441">
        <v>0</v>
      </c>
      <c r="G313" s="1441">
        <v>0</v>
      </c>
      <c r="H313" s="1441">
        <v>0</v>
      </c>
      <c r="I313" s="1441">
        <v>0</v>
      </c>
      <c r="J313" s="24">
        <f>SUM(F313:I313)</f>
        <v>0</v>
      </c>
      <c r="K313" s="821">
        <f t="shared" si="30"/>
        <v>0</v>
      </c>
      <c r="V313">
        <v>0</v>
      </c>
      <c r="W313">
        <v>0</v>
      </c>
      <c r="X313">
        <v>0</v>
      </c>
      <c r="Y313">
        <v>0</v>
      </c>
    </row>
    <row r="314" spans="1:25" s="386" customFormat="1" ht="14.25">
      <c r="A314" s="19"/>
      <c r="B314" s="17">
        <f t="shared" si="36"/>
        <v>10</v>
      </c>
      <c r="C314" s="19" t="s">
        <v>236</v>
      </c>
      <c r="D314" s="28" t="s">
        <v>237</v>
      </c>
      <c r="E314" s="54"/>
      <c r="F314" s="1441">
        <v>0</v>
      </c>
      <c r="G314" s="1441">
        <v>0</v>
      </c>
      <c r="H314" s="1441">
        <v>0</v>
      </c>
      <c r="I314" s="1441">
        <v>0</v>
      </c>
      <c r="J314" s="24">
        <f>SUM(F314:I314)</f>
        <v>0</v>
      </c>
      <c r="K314" s="821">
        <f t="shared" si="30"/>
        <v>0</v>
      </c>
      <c r="L314"/>
      <c r="M314"/>
      <c r="N314"/>
      <c r="O314"/>
      <c r="V314" s="386">
        <v>0</v>
      </c>
      <c r="W314" s="386">
        <v>0</v>
      </c>
      <c r="X314" s="386">
        <v>0</v>
      </c>
      <c r="Y314" s="386">
        <v>0</v>
      </c>
    </row>
    <row r="315" spans="1:25" ht="14.25">
      <c r="A315" s="50"/>
      <c r="B315" s="17">
        <f t="shared" si="36"/>
        <v>11</v>
      </c>
      <c r="C315" s="19" t="s">
        <v>238</v>
      </c>
      <c r="D315" s="1" t="s">
        <v>239</v>
      </c>
      <c r="E315" s="54"/>
      <c r="F315" s="1441">
        <v>0</v>
      </c>
      <c r="G315" s="1441">
        <v>0</v>
      </c>
      <c r="H315" s="1441">
        <v>0</v>
      </c>
      <c r="I315" s="1441">
        <v>0</v>
      </c>
      <c r="J315" s="24">
        <f>SUM(F315:I315)</f>
        <v>0</v>
      </c>
      <c r="K315" s="821">
        <f t="shared" si="30"/>
        <v>0</v>
      </c>
      <c r="V315">
        <v>0</v>
      </c>
      <c r="W315">
        <v>0</v>
      </c>
      <c r="X315">
        <v>0</v>
      </c>
      <c r="Y315">
        <v>0</v>
      </c>
    </row>
    <row r="316" spans="1:25" ht="14.25">
      <c r="A316" s="50"/>
      <c r="B316" s="17">
        <f t="shared" si="36"/>
        <v>12</v>
      </c>
      <c r="C316" s="19" t="s">
        <v>240</v>
      </c>
      <c r="D316" s="1" t="s">
        <v>241</v>
      </c>
      <c r="E316" s="54"/>
      <c r="F316" s="1442">
        <v>0</v>
      </c>
      <c r="G316" s="1442">
        <v>0</v>
      </c>
      <c r="H316" s="1442">
        <v>0</v>
      </c>
      <c r="I316" s="1442">
        <v>0</v>
      </c>
      <c r="J316" s="24">
        <f>SUM(F316:I316)</f>
        <v>0</v>
      </c>
      <c r="K316" s="821">
        <f t="shared" si="30"/>
        <v>0</v>
      </c>
      <c r="V316">
        <v>0</v>
      </c>
      <c r="W316">
        <v>0</v>
      </c>
      <c r="X316">
        <v>0</v>
      </c>
      <c r="Y316">
        <v>0</v>
      </c>
    </row>
    <row r="317" spans="1:11" ht="15">
      <c r="A317" s="50"/>
      <c r="B317" s="17">
        <f t="shared" si="36"/>
        <v>13</v>
      </c>
      <c r="C317" s="8" t="s">
        <v>285</v>
      </c>
      <c r="D317" s="1"/>
      <c r="E317" s="1135" t="s">
        <v>279</v>
      </c>
      <c r="F317" s="778"/>
      <c r="G317" s="778"/>
      <c r="H317" s="778"/>
      <c r="I317" s="778"/>
      <c r="J317" s="24"/>
      <c r="K317" s="821">
        <f t="shared" si="30"/>
        <v>0</v>
      </c>
    </row>
    <row r="318" spans="1:25" ht="14.25">
      <c r="A318" s="50"/>
      <c r="B318" s="17">
        <f t="shared" si="36"/>
        <v>14</v>
      </c>
      <c r="C318" s="1" t="s">
        <v>286</v>
      </c>
      <c r="D318" s="51" t="s">
        <v>223</v>
      </c>
      <c r="E318" s="17"/>
      <c r="F318" s="1440">
        <v>0</v>
      </c>
      <c r="G318" s="1440">
        <v>0</v>
      </c>
      <c r="H318" s="1440">
        <v>0</v>
      </c>
      <c r="I318" s="1440">
        <v>0</v>
      </c>
      <c r="J318" s="24">
        <f>SUM(F318:I318)</f>
        <v>0</v>
      </c>
      <c r="K318" s="821">
        <f t="shared" si="30"/>
        <v>0</v>
      </c>
      <c r="V318">
        <v>0</v>
      </c>
      <c r="W318">
        <v>0</v>
      </c>
      <c r="X318">
        <v>0</v>
      </c>
      <c r="Y318">
        <v>0</v>
      </c>
    </row>
    <row r="319" spans="1:25" ht="14.25">
      <c r="A319" s="50"/>
      <c r="B319" s="17">
        <f t="shared" si="36"/>
        <v>15</v>
      </c>
      <c r="C319" s="19" t="s">
        <v>244</v>
      </c>
      <c r="D319" s="51" t="s">
        <v>245</v>
      </c>
      <c r="E319" s="54"/>
      <c r="F319" s="1441">
        <v>0</v>
      </c>
      <c r="G319" s="1441">
        <v>0</v>
      </c>
      <c r="H319" s="1441">
        <v>0</v>
      </c>
      <c r="I319" s="1441">
        <v>0</v>
      </c>
      <c r="J319" s="24">
        <f>SUM(F319:I319)</f>
        <v>0</v>
      </c>
      <c r="K319" s="821">
        <f t="shared" si="37" ref="K319:K382">J319-SUM(F319:I319)</f>
        <v>0</v>
      </c>
      <c r="V319">
        <v>0</v>
      </c>
      <c r="W319">
        <v>0</v>
      </c>
      <c r="X319">
        <v>0</v>
      </c>
      <c r="Y319">
        <v>0</v>
      </c>
    </row>
    <row r="320" spans="1:25" ht="15">
      <c r="A320" s="53"/>
      <c r="B320" s="17">
        <f t="shared" si="36"/>
        <v>16</v>
      </c>
      <c r="C320" s="19" t="s">
        <v>246</v>
      </c>
      <c r="D320" s="51" t="s">
        <v>247</v>
      </c>
      <c r="E320" s="54"/>
      <c r="F320" s="1441">
        <v>0</v>
      </c>
      <c r="G320" s="1441">
        <v>0</v>
      </c>
      <c r="H320" s="1441">
        <v>0</v>
      </c>
      <c r="I320" s="1441">
        <v>0</v>
      </c>
      <c r="J320" s="24">
        <f>SUM(F320:I320)</f>
        <v>0</v>
      </c>
      <c r="K320" s="821">
        <f t="shared" si="37"/>
        <v>0</v>
      </c>
      <c r="V320">
        <v>0</v>
      </c>
      <c r="W320">
        <v>0</v>
      </c>
      <c r="X320">
        <v>0</v>
      </c>
      <c r="Y320">
        <v>0</v>
      </c>
    </row>
    <row r="321" spans="1:25" ht="14.25">
      <c r="A321" s="1"/>
      <c r="B321" s="17">
        <f t="shared" si="36"/>
        <v>17</v>
      </c>
      <c r="C321" s="19" t="s">
        <v>248</v>
      </c>
      <c r="D321" s="51" t="s">
        <v>249</v>
      </c>
      <c r="E321" s="54"/>
      <c r="F321" s="1441">
        <v>0</v>
      </c>
      <c r="G321" s="1441">
        <v>0</v>
      </c>
      <c r="H321" s="1441">
        <v>0</v>
      </c>
      <c r="I321" s="1441">
        <v>0</v>
      </c>
      <c r="J321" s="24">
        <f>SUM(F321:I321)</f>
        <v>0</v>
      </c>
      <c r="K321" s="821">
        <f t="shared" si="37"/>
        <v>0</v>
      </c>
      <c r="V321">
        <v>0</v>
      </c>
      <c r="W321">
        <v>0</v>
      </c>
      <c r="X321">
        <v>0</v>
      </c>
      <c r="Y321">
        <v>0</v>
      </c>
    </row>
    <row r="322" spans="1:25" ht="15">
      <c r="A322" s="49"/>
      <c r="B322" s="17">
        <f t="shared" si="36"/>
        <v>18</v>
      </c>
      <c r="C322" s="19" t="s">
        <v>250</v>
      </c>
      <c r="D322" s="51" t="s">
        <v>251</v>
      </c>
      <c r="E322" s="54"/>
      <c r="F322" s="1442">
        <v>0</v>
      </c>
      <c r="G322" s="1442">
        <v>0</v>
      </c>
      <c r="H322" s="1442">
        <v>0</v>
      </c>
      <c r="I322" s="1442">
        <v>0</v>
      </c>
      <c r="J322" s="24">
        <f>SUM(F322:I322)</f>
        <v>0</v>
      </c>
      <c r="K322" s="821">
        <f t="shared" si="37"/>
        <v>0</v>
      </c>
      <c r="V322">
        <v>0</v>
      </c>
      <c r="W322">
        <v>0</v>
      </c>
      <c r="X322">
        <v>0</v>
      </c>
      <c r="Y322">
        <v>0</v>
      </c>
    </row>
    <row r="323" spans="1:11" ht="15">
      <c r="A323" s="49"/>
      <c r="B323" s="17">
        <f t="shared" si="36"/>
        <v>19</v>
      </c>
      <c r="C323" s="19"/>
      <c r="D323" s="51"/>
      <c r="E323" s="54"/>
      <c r="F323" s="778"/>
      <c r="G323" s="778"/>
      <c r="H323" s="778"/>
      <c r="I323" s="778"/>
      <c r="J323" s="24"/>
      <c r="K323" s="821">
        <f t="shared" si="37"/>
        <v>0</v>
      </c>
    </row>
    <row r="324" spans="1:11" ht="15">
      <c r="A324" s="12"/>
      <c r="B324" s="17">
        <f t="shared" si="36"/>
        <v>20</v>
      </c>
      <c r="C324" s="8" t="s">
        <v>287</v>
      </c>
      <c r="D324" s="1"/>
      <c r="E324" s="1135" t="s">
        <v>279</v>
      </c>
      <c r="F324" s="1413"/>
      <c r="G324" s="1413"/>
      <c r="H324" s="1413"/>
      <c r="I324" s="1413"/>
      <c r="J324" s="24"/>
      <c r="K324" s="821">
        <f t="shared" si="37"/>
        <v>0</v>
      </c>
    </row>
    <row r="325" spans="1:25" ht="15">
      <c r="A325" s="49"/>
      <c r="B325" s="17">
        <f t="shared" si="36"/>
        <v>21</v>
      </c>
      <c r="C325" s="19" t="s">
        <v>254</v>
      </c>
      <c r="D325" s="1" t="s">
        <v>255</v>
      </c>
      <c r="E325" s="32"/>
      <c r="F325" s="1416">
        <v>19675692</v>
      </c>
      <c r="G325" s="1416">
        <v>48295262.43</v>
      </c>
      <c r="H325" s="1416">
        <v>13067163.640000001</v>
      </c>
      <c r="I325" s="1416">
        <v>17818909.5</v>
      </c>
      <c r="J325" s="24">
        <f t="shared" si="38" ref="J325:J337">SUM(F325:I325)</f>
        <v>98857027.570000008</v>
      </c>
      <c r="K325" s="821">
        <f t="shared" si="37"/>
        <v>0</v>
      </c>
      <c r="V325">
        <v>19675692</v>
      </c>
      <c r="W325">
        <v>48295262.43</v>
      </c>
      <c r="X325">
        <v>13067163.640000001</v>
      </c>
      <c r="Y325">
        <v>17818909.5</v>
      </c>
    </row>
    <row r="326" spans="1:25" ht="15">
      <c r="A326" s="49"/>
      <c r="B326" s="17">
        <f t="shared" si="36"/>
        <v>22</v>
      </c>
      <c r="C326" s="19" t="s">
        <v>256</v>
      </c>
      <c r="D326" s="1" t="s">
        <v>257</v>
      </c>
      <c r="E326" s="32"/>
      <c r="F326" s="1417">
        <v>0</v>
      </c>
      <c r="G326" s="1417">
        <v>0</v>
      </c>
      <c r="H326" s="1417">
        <v>0</v>
      </c>
      <c r="I326" s="1417">
        <v>0</v>
      </c>
      <c r="J326" s="24">
        <f t="shared" si="38"/>
        <v>0</v>
      </c>
      <c r="K326" s="821">
        <f t="shared" si="37"/>
        <v>0</v>
      </c>
      <c r="V326">
        <v>0</v>
      </c>
      <c r="W326">
        <v>0</v>
      </c>
      <c r="X326">
        <v>0</v>
      </c>
      <c r="Y326">
        <v>0</v>
      </c>
    </row>
    <row r="327" spans="1:25" ht="14.25">
      <c r="A327" s="12"/>
      <c r="B327" s="17">
        <f t="shared" si="36"/>
        <v>23</v>
      </c>
      <c r="C327" s="19" t="s">
        <v>258</v>
      </c>
      <c r="D327" s="1" t="s">
        <v>259</v>
      </c>
      <c r="E327" s="32"/>
      <c r="F327" s="1417">
        <v>0</v>
      </c>
      <c r="G327" s="1417">
        <v>0</v>
      </c>
      <c r="H327" s="1417">
        <v>0</v>
      </c>
      <c r="I327" s="1417">
        <v>0</v>
      </c>
      <c r="J327" s="24">
        <f t="shared" si="38"/>
        <v>0</v>
      </c>
      <c r="K327" s="821">
        <f t="shared" si="37"/>
        <v>0</v>
      </c>
      <c r="V327">
        <v>0</v>
      </c>
      <c r="W327">
        <v>0</v>
      </c>
      <c r="X327">
        <v>0</v>
      </c>
      <c r="Y327">
        <v>0</v>
      </c>
    </row>
    <row r="328" spans="1:25" ht="14.25">
      <c r="A328" s="12"/>
      <c r="B328" s="17">
        <f t="shared" si="36"/>
        <v>24</v>
      </c>
      <c r="C328" s="19" t="s">
        <v>260</v>
      </c>
      <c r="D328" s="31" t="s">
        <v>261</v>
      </c>
      <c r="E328" s="32"/>
      <c r="F328" s="1417">
        <v>0</v>
      </c>
      <c r="G328" s="1417">
        <v>0</v>
      </c>
      <c r="H328" s="1417">
        <v>0</v>
      </c>
      <c r="I328" s="1417">
        <v>0</v>
      </c>
      <c r="J328" s="24">
        <f t="shared" si="38"/>
        <v>0</v>
      </c>
      <c r="K328" s="821">
        <f t="shared" si="37"/>
        <v>0</v>
      </c>
      <c r="V328">
        <v>0</v>
      </c>
      <c r="W328">
        <v>0</v>
      </c>
      <c r="X328">
        <v>0</v>
      </c>
      <c r="Y328">
        <v>0</v>
      </c>
    </row>
    <row r="329" spans="1:25" ht="14.25">
      <c r="A329" s="12"/>
      <c r="B329" s="17">
        <f t="shared" si="36"/>
        <v>25</v>
      </c>
      <c r="C329" s="19" t="s">
        <v>262</v>
      </c>
      <c r="D329" s="1" t="s">
        <v>263</v>
      </c>
      <c r="E329" s="32"/>
      <c r="F329" s="1417">
        <v>0</v>
      </c>
      <c r="G329" s="1417">
        <v>0</v>
      </c>
      <c r="H329" s="1417">
        <v>0</v>
      </c>
      <c r="I329" s="1417">
        <v>0</v>
      </c>
      <c r="J329" s="24">
        <f t="shared" si="38"/>
        <v>0</v>
      </c>
      <c r="K329" s="821">
        <f t="shared" si="37"/>
        <v>0</v>
      </c>
      <c r="V329">
        <v>0</v>
      </c>
      <c r="W329">
        <v>0</v>
      </c>
      <c r="X329">
        <v>0</v>
      </c>
      <c r="Y329">
        <v>0</v>
      </c>
    </row>
    <row r="330" spans="1:25" ht="14.25">
      <c r="A330" s="50"/>
      <c r="B330" s="17">
        <f t="shared" si="36"/>
        <v>26</v>
      </c>
      <c r="C330" s="19" t="s">
        <v>264</v>
      </c>
      <c r="D330" s="1" t="s">
        <v>265</v>
      </c>
      <c r="E330" s="32"/>
      <c r="F330" s="1417">
        <v>0</v>
      </c>
      <c r="G330" s="1417">
        <v>0</v>
      </c>
      <c r="H330" s="1417">
        <v>0</v>
      </c>
      <c r="I330" s="1417">
        <v>0</v>
      </c>
      <c r="J330" s="24">
        <f t="shared" si="38"/>
        <v>0</v>
      </c>
      <c r="K330" s="821">
        <f t="shared" si="37"/>
        <v>0</v>
      </c>
      <c r="V330">
        <v>0</v>
      </c>
      <c r="W330">
        <v>0</v>
      </c>
      <c r="X330">
        <v>0</v>
      </c>
      <c r="Y330">
        <v>0</v>
      </c>
    </row>
    <row r="331" spans="1:25" ht="14.25">
      <c r="A331" s="50"/>
      <c r="B331" s="17">
        <f t="shared" si="36"/>
        <v>27</v>
      </c>
      <c r="C331" s="19" t="s">
        <v>266</v>
      </c>
      <c r="D331" s="1" t="s">
        <v>267</v>
      </c>
      <c r="E331" s="32"/>
      <c r="F331" s="1417">
        <v>0</v>
      </c>
      <c r="G331" s="1417">
        <v>0</v>
      </c>
      <c r="H331" s="1417">
        <v>0</v>
      </c>
      <c r="I331" s="1417">
        <v>0</v>
      </c>
      <c r="J331" s="24">
        <f t="shared" si="38"/>
        <v>0</v>
      </c>
      <c r="K331" s="821">
        <f t="shared" si="37"/>
        <v>0</v>
      </c>
      <c r="V331">
        <v>0</v>
      </c>
      <c r="W331">
        <v>0</v>
      </c>
      <c r="X331">
        <v>0</v>
      </c>
      <c r="Y331">
        <v>0</v>
      </c>
    </row>
    <row r="332" spans="1:25" ht="14.25">
      <c r="A332" s="50"/>
      <c r="B332" s="17">
        <f t="shared" si="36"/>
        <v>28</v>
      </c>
      <c r="C332" s="19" t="s">
        <v>268</v>
      </c>
      <c r="D332" s="1" t="s">
        <v>269</v>
      </c>
      <c r="E332" s="32"/>
      <c r="F332" s="1417">
        <v>0</v>
      </c>
      <c r="G332" s="1417">
        <v>0</v>
      </c>
      <c r="H332" s="1417">
        <v>0</v>
      </c>
      <c r="I332" s="1417">
        <v>0</v>
      </c>
      <c r="J332" s="24">
        <f t="shared" si="38"/>
        <v>0</v>
      </c>
      <c r="K332" s="821">
        <f t="shared" si="37"/>
        <v>0</v>
      </c>
      <c r="V332">
        <v>0</v>
      </c>
      <c r="W332">
        <v>0</v>
      </c>
      <c r="X332">
        <v>0</v>
      </c>
      <c r="Y332">
        <v>0</v>
      </c>
    </row>
    <row r="333" spans="1:25" ht="14.25">
      <c r="A333" s="50"/>
      <c r="B333" s="17">
        <f t="shared" si="36"/>
        <v>29</v>
      </c>
      <c r="C333" s="19" t="s">
        <v>270</v>
      </c>
      <c r="D333" s="1" t="s">
        <v>271</v>
      </c>
      <c r="E333" s="32"/>
      <c r="F333" s="1417">
        <v>0</v>
      </c>
      <c r="G333" s="1417">
        <v>0</v>
      </c>
      <c r="H333" s="1417">
        <v>0</v>
      </c>
      <c r="I333" s="1417">
        <v>0</v>
      </c>
      <c r="J333" s="24">
        <f t="shared" si="38"/>
        <v>0</v>
      </c>
      <c r="K333" s="821">
        <f t="shared" si="37"/>
        <v>0</v>
      </c>
      <c r="V333">
        <v>0</v>
      </c>
      <c r="W333">
        <v>0</v>
      </c>
      <c r="X333">
        <v>0</v>
      </c>
      <c r="Y333">
        <v>0</v>
      </c>
    </row>
    <row r="334" spans="1:25" ht="15">
      <c r="A334" s="53"/>
      <c r="B334" s="17">
        <f t="shared" si="36"/>
        <v>30</v>
      </c>
      <c r="C334" s="19" t="s">
        <v>272</v>
      </c>
      <c r="D334" s="1" t="s">
        <v>273</v>
      </c>
      <c r="E334" s="32"/>
      <c r="F334" s="1417">
        <v>0</v>
      </c>
      <c r="G334" s="1417">
        <v>0</v>
      </c>
      <c r="H334" s="1417">
        <v>0</v>
      </c>
      <c r="I334" s="1417">
        <v>0</v>
      </c>
      <c r="J334" s="24">
        <f t="shared" si="38"/>
        <v>0</v>
      </c>
      <c r="K334" s="821">
        <f t="shared" si="37"/>
        <v>0</v>
      </c>
      <c r="V334">
        <v>0</v>
      </c>
      <c r="W334">
        <v>0</v>
      </c>
      <c r="X334">
        <v>0</v>
      </c>
      <c r="Y334">
        <v>0</v>
      </c>
    </row>
    <row r="335" spans="1:25" ht="14.25">
      <c r="A335" s="12"/>
      <c r="B335" s="17">
        <f t="shared" si="36"/>
        <v>31</v>
      </c>
      <c r="C335" s="19" t="s">
        <v>274</v>
      </c>
      <c r="D335" s="1" t="s">
        <v>206</v>
      </c>
      <c r="E335" s="32"/>
      <c r="F335" s="1417">
        <v>0</v>
      </c>
      <c r="G335" s="1417">
        <v>0</v>
      </c>
      <c r="H335" s="1417">
        <v>0</v>
      </c>
      <c r="I335" s="1417">
        <v>0</v>
      </c>
      <c r="J335" s="24">
        <f t="shared" si="38"/>
        <v>0</v>
      </c>
      <c r="K335" s="821">
        <f t="shared" si="37"/>
        <v>0</v>
      </c>
      <c r="V335">
        <v>0</v>
      </c>
      <c r="W335">
        <v>0</v>
      </c>
      <c r="X335">
        <v>0</v>
      </c>
      <c r="Y335">
        <v>0</v>
      </c>
    </row>
    <row r="336" spans="1:25" ht="14.25">
      <c r="A336" s="12"/>
      <c r="B336" s="17">
        <f t="shared" si="36"/>
        <v>32</v>
      </c>
      <c r="C336" s="19" t="s">
        <v>275</v>
      </c>
      <c r="D336" s="1" t="s">
        <v>276</v>
      </c>
      <c r="E336" s="32"/>
      <c r="F336" s="1417">
        <v>0</v>
      </c>
      <c r="G336" s="1417">
        <v>3118.1799999999998</v>
      </c>
      <c r="H336" s="1417">
        <v>16.629999999999999</v>
      </c>
      <c r="I336" s="1417">
        <v>0</v>
      </c>
      <c r="J336" s="24">
        <f t="shared" si="38"/>
        <v>3134.8099999999999</v>
      </c>
      <c r="K336" s="821">
        <f t="shared" si="37"/>
        <v>0</v>
      </c>
      <c r="V336">
        <v>0</v>
      </c>
      <c r="W336">
        <v>3118.1799999999998</v>
      </c>
      <c r="X336">
        <v>16.629999999999999</v>
      </c>
      <c r="Y336">
        <v>0</v>
      </c>
    </row>
    <row r="337" spans="1:25" ht="14.25">
      <c r="A337" s="12"/>
      <c r="B337" s="17">
        <f t="shared" si="36"/>
        <v>33</v>
      </c>
      <c r="C337" s="19" t="s">
        <v>277</v>
      </c>
      <c r="D337" s="1" t="s">
        <v>276</v>
      </c>
      <c r="E337" s="32"/>
      <c r="F337" s="1418">
        <v>718782.63</v>
      </c>
      <c r="G337" s="1418">
        <v>1273875.04</v>
      </c>
      <c r="H337" s="1418">
        <v>212.81</v>
      </c>
      <c r="I337" s="1418">
        <v>4.4100000000000001</v>
      </c>
      <c r="J337" s="24">
        <f t="shared" si="38"/>
        <v>1992874.8899999999</v>
      </c>
      <c r="K337" s="821">
        <f t="shared" si="37"/>
        <v>0</v>
      </c>
      <c r="V337">
        <v>718782.63</v>
      </c>
      <c r="W337">
        <v>1273875.04</v>
      </c>
      <c r="X337">
        <v>212.81</v>
      </c>
      <c r="Y337">
        <v>4.4100000000000001</v>
      </c>
    </row>
    <row r="338" spans="1:11" ht="14.25">
      <c r="A338" s="12"/>
      <c r="B338" s="17">
        <f t="shared" si="36"/>
        <v>34</v>
      </c>
      <c r="C338" s="19"/>
      <c r="D338" s="1"/>
      <c r="E338" s="32"/>
      <c r="F338" s="778"/>
      <c r="G338" s="778"/>
      <c r="H338" s="778"/>
      <c r="I338" s="778"/>
      <c r="J338" s="24"/>
      <c r="K338" s="821">
        <f t="shared" si="37"/>
        <v>0</v>
      </c>
    </row>
    <row r="339" spans="1:11" ht="15">
      <c r="A339" s="1"/>
      <c r="B339" s="17">
        <f t="shared" si="36"/>
        <v>35</v>
      </c>
      <c r="C339" s="56" t="s">
        <v>288</v>
      </c>
      <c r="D339" s="36"/>
      <c r="E339" s="897"/>
      <c r="F339" s="1411"/>
      <c r="G339" s="1412"/>
      <c r="H339" s="1412"/>
      <c r="I339" s="1412"/>
      <c r="J339" s="24"/>
      <c r="K339" s="821">
        <f t="shared" si="37"/>
        <v>0</v>
      </c>
    </row>
    <row r="340" spans="1:25" ht="15">
      <c r="A340" s="8"/>
      <c r="B340" s="17">
        <f t="shared" si="36"/>
        <v>36</v>
      </c>
      <c r="C340" s="40"/>
      <c r="D340" s="42" t="s">
        <v>289</v>
      </c>
      <c r="E340" s="38" t="s">
        <v>290</v>
      </c>
      <c r="F340" s="1422">
        <v>0</v>
      </c>
      <c r="G340" s="1422">
        <v>0</v>
      </c>
      <c r="H340" s="1422">
        <v>0</v>
      </c>
      <c r="I340" s="1422">
        <v>0</v>
      </c>
      <c r="J340" s="24">
        <f>SUM(F340:I340)</f>
        <v>0</v>
      </c>
      <c r="K340" s="821">
        <f t="shared" si="37"/>
        <v>0</v>
      </c>
      <c r="V340">
        <v>0</v>
      </c>
      <c r="W340">
        <v>0</v>
      </c>
      <c r="X340">
        <v>0</v>
      </c>
      <c r="Y340">
        <v>0</v>
      </c>
    </row>
    <row r="341" spans="1:25" ht="15">
      <c r="A341" s="1"/>
      <c r="B341" s="17">
        <f t="shared" si="36"/>
        <v>37</v>
      </c>
      <c r="C341" s="40"/>
      <c r="D341" s="42" t="s">
        <v>291</v>
      </c>
      <c r="E341" s="38" t="s">
        <v>290</v>
      </c>
      <c r="F341" s="1423">
        <v>0</v>
      </c>
      <c r="G341" s="1423">
        <v>0</v>
      </c>
      <c r="H341" s="1423">
        <v>0</v>
      </c>
      <c r="I341" s="1423">
        <v>0</v>
      </c>
      <c r="J341" s="24">
        <f>SUM(F341:I341)</f>
        <v>0</v>
      </c>
      <c r="K341" s="821">
        <f t="shared" si="37"/>
        <v>0</v>
      </c>
      <c r="V341">
        <v>0</v>
      </c>
      <c r="W341">
        <v>0</v>
      </c>
      <c r="X341">
        <v>0</v>
      </c>
      <c r="Y341">
        <v>0</v>
      </c>
    </row>
    <row r="342" spans="1:25" ht="15">
      <c r="A342" s="8"/>
      <c r="B342" s="17">
        <f t="shared" si="36"/>
        <v>38</v>
      </c>
      <c r="C342" s="40"/>
      <c r="D342" s="42" t="s">
        <v>292</v>
      </c>
      <c r="E342" s="38" t="s">
        <v>293</v>
      </c>
      <c r="F342" s="1423">
        <v>0</v>
      </c>
      <c r="G342" s="1423">
        <v>0</v>
      </c>
      <c r="H342" s="1423">
        <v>0</v>
      </c>
      <c r="I342" s="1423">
        <v>0</v>
      </c>
      <c r="J342" s="24">
        <f>SUM(F342:I342)</f>
        <v>0</v>
      </c>
      <c r="K342" s="821">
        <f t="shared" si="37"/>
        <v>0</v>
      </c>
      <c r="V342">
        <v>0</v>
      </c>
      <c r="W342">
        <v>0</v>
      </c>
      <c r="X342">
        <v>0</v>
      </c>
      <c r="Y342">
        <v>0</v>
      </c>
    </row>
    <row r="343" spans="1:25" ht="15">
      <c r="A343" s="8"/>
      <c r="B343" s="17">
        <f t="shared" si="36"/>
        <v>39</v>
      </c>
      <c r="C343" s="40"/>
      <c r="D343" s="42" t="s">
        <v>294</v>
      </c>
      <c r="E343" s="38" t="s">
        <v>293</v>
      </c>
      <c r="F343" s="1423">
        <v>0</v>
      </c>
      <c r="G343" s="1423">
        <v>0</v>
      </c>
      <c r="H343" s="1423">
        <v>0</v>
      </c>
      <c r="I343" s="1423">
        <v>0</v>
      </c>
      <c r="J343" s="24">
        <f>SUM(F343:I343)</f>
        <v>0</v>
      </c>
      <c r="K343" s="821">
        <f t="shared" si="37"/>
        <v>0</v>
      </c>
      <c r="V343">
        <v>0</v>
      </c>
      <c r="W343">
        <v>0</v>
      </c>
      <c r="X343">
        <v>0</v>
      </c>
      <c r="Y343">
        <v>0</v>
      </c>
    </row>
    <row r="344" spans="1:25" ht="15">
      <c r="A344" s="8"/>
      <c r="B344" s="17">
        <f t="shared" si="36"/>
        <v>40</v>
      </c>
      <c r="C344" s="40"/>
      <c r="D344" s="42" t="s">
        <v>295</v>
      </c>
      <c r="E344" s="38" t="s">
        <v>293</v>
      </c>
      <c r="F344" s="1424">
        <v>0</v>
      </c>
      <c r="G344" s="1424">
        <v>0</v>
      </c>
      <c r="H344" s="1424">
        <v>0</v>
      </c>
      <c r="I344" s="1424">
        <v>0</v>
      </c>
      <c r="J344" s="24">
        <f>SUM(F344:I344)</f>
        <v>0</v>
      </c>
      <c r="K344" s="821">
        <f t="shared" si="37"/>
        <v>0</v>
      </c>
      <c r="V344">
        <v>0</v>
      </c>
      <c r="W344">
        <v>0</v>
      </c>
      <c r="X344">
        <v>0</v>
      </c>
      <c r="Y344">
        <v>0</v>
      </c>
    </row>
    <row r="345" spans="1:11" ht="15">
      <c r="A345" s="1"/>
      <c r="B345" s="17"/>
      <c r="C345" s="40"/>
      <c r="D345" s="42"/>
      <c r="E345" s="38"/>
      <c r="F345" s="1426"/>
      <c r="G345" s="1426"/>
      <c r="H345" s="1426"/>
      <c r="I345" s="1426"/>
      <c r="J345" s="24"/>
      <c r="K345" s="821">
        <f t="shared" si="37"/>
        <v>0</v>
      </c>
    </row>
    <row r="346" spans="1:11" ht="14.25">
      <c r="A346" s="19"/>
      <c r="B346" s="17"/>
      <c r="C346" s="19"/>
      <c r="D346" s="1"/>
      <c r="E346" s="32"/>
      <c r="F346" s="1426"/>
      <c r="G346" s="1426"/>
      <c r="H346" s="1426"/>
      <c r="I346" s="1426"/>
      <c r="J346" s="24"/>
      <c r="K346" s="821">
        <f t="shared" si="37"/>
        <v>0</v>
      </c>
    </row>
    <row r="347" spans="1:11" ht="15">
      <c r="A347" s="19"/>
      <c r="B347" s="17">
        <f t="shared" si="39" ref="B347:B389">B346+1</f>
        <v>1</v>
      </c>
      <c r="C347" s="366" t="s">
        <v>296</v>
      </c>
      <c r="D347" s="1"/>
      <c r="E347" s="1135" t="s">
        <v>297</v>
      </c>
      <c r="F347" s="1413"/>
      <c r="G347" s="1413"/>
      <c r="H347" s="1413"/>
      <c r="I347" s="1413"/>
      <c r="J347" s="24"/>
      <c r="K347" s="821">
        <f t="shared" si="37"/>
        <v>0</v>
      </c>
    </row>
    <row r="348" spans="1:11" ht="15">
      <c r="A348" s="19"/>
      <c r="B348" s="17">
        <f t="shared" si="39"/>
        <v>2</v>
      </c>
      <c r="C348" s="8" t="s">
        <v>298</v>
      </c>
      <c r="D348" s="1"/>
      <c r="E348" s="1135"/>
      <c r="F348" s="1413"/>
      <c r="G348" s="1413"/>
      <c r="H348" s="1413"/>
      <c r="I348" s="1413"/>
      <c r="J348" s="24"/>
      <c r="K348" s="821">
        <f t="shared" si="37"/>
        <v>0</v>
      </c>
    </row>
    <row r="349" spans="1:25" ht="15">
      <c r="A349" s="8"/>
      <c r="B349" s="17">
        <f t="shared" si="39"/>
        <v>3</v>
      </c>
      <c r="C349" s="1" t="s">
        <v>25</v>
      </c>
      <c r="D349" s="1" t="s">
        <v>26</v>
      </c>
      <c r="E349" s="17"/>
      <c r="F349" s="1416">
        <v>0</v>
      </c>
      <c r="G349" s="1416">
        <v>0</v>
      </c>
      <c r="H349" s="1416">
        <v>0</v>
      </c>
      <c r="I349" s="1416">
        <v>0</v>
      </c>
      <c r="J349" s="24">
        <f>SUM(F349:I349)</f>
        <v>0</v>
      </c>
      <c r="K349" s="821">
        <f t="shared" si="37"/>
        <v>0</v>
      </c>
      <c r="V349">
        <v>0</v>
      </c>
      <c r="W349">
        <v>0</v>
      </c>
      <c r="X349">
        <v>0</v>
      </c>
      <c r="Y349">
        <v>0</v>
      </c>
    </row>
    <row r="350" spans="1:25" ht="14.25">
      <c r="A350" s="1"/>
      <c r="B350" s="17">
        <f t="shared" si="39"/>
        <v>4</v>
      </c>
      <c r="C350" s="1" t="s">
        <v>27</v>
      </c>
      <c r="D350" s="1" t="s">
        <v>28</v>
      </c>
      <c r="E350" s="17"/>
      <c r="F350" s="1417">
        <v>0</v>
      </c>
      <c r="G350" s="1417">
        <v>0</v>
      </c>
      <c r="H350" s="1417">
        <v>0</v>
      </c>
      <c r="I350" s="1417">
        <v>0</v>
      </c>
      <c r="J350" s="24">
        <f>SUM(F350:I350)</f>
        <v>0</v>
      </c>
      <c r="K350" s="821">
        <f t="shared" si="37"/>
        <v>0</v>
      </c>
      <c r="V350">
        <v>0</v>
      </c>
      <c r="W350">
        <v>0</v>
      </c>
      <c r="X350">
        <v>0</v>
      </c>
      <c r="Y350">
        <v>0</v>
      </c>
    </row>
    <row r="351" spans="1:25" ht="14.25">
      <c r="A351" s="1"/>
      <c r="B351" s="17">
        <f t="shared" si="39"/>
        <v>5</v>
      </c>
      <c r="C351" s="1" t="s">
        <v>29</v>
      </c>
      <c r="D351" s="1" t="s">
        <v>34</v>
      </c>
      <c r="E351" s="17"/>
      <c r="F351" s="1418">
        <v>25229268.949999999</v>
      </c>
      <c r="G351" s="1418">
        <v>29112436.41</v>
      </c>
      <c r="H351" s="1418">
        <v>3894383</v>
      </c>
      <c r="I351" s="1418">
        <v>22267461.890000001</v>
      </c>
      <c r="J351" s="24">
        <f>SUM(F351:I351)</f>
        <v>80503550.25</v>
      </c>
      <c r="K351" s="821">
        <f t="shared" si="37"/>
        <v>0</v>
      </c>
      <c r="V351">
        <v>25229268.949999999</v>
      </c>
      <c r="W351">
        <v>29112436.41</v>
      </c>
      <c r="X351">
        <v>3894383</v>
      </c>
      <c r="Y351">
        <v>22267461.890000001</v>
      </c>
    </row>
    <row r="352" spans="1:11" ht="15">
      <c r="A352" s="19"/>
      <c r="B352" s="17">
        <f t="shared" si="39"/>
        <v>6</v>
      </c>
      <c r="C352" s="8" t="s">
        <v>299</v>
      </c>
      <c r="D352" s="1"/>
      <c r="E352" s="17"/>
      <c r="F352" s="1443"/>
      <c r="G352" s="1443"/>
      <c r="H352" s="1443"/>
      <c r="I352" s="1443"/>
      <c r="J352" s="24"/>
      <c r="K352" s="821">
        <f t="shared" si="37"/>
        <v>0</v>
      </c>
    </row>
    <row r="353" spans="1:25" ht="14.25">
      <c r="A353" s="1"/>
      <c r="B353" s="17">
        <f t="shared" si="39"/>
        <v>7</v>
      </c>
      <c r="C353" s="1" t="s">
        <v>41</v>
      </c>
      <c r="D353" s="1" t="s">
        <v>42</v>
      </c>
      <c r="E353" s="17"/>
      <c r="F353" s="1419">
        <v>6022981.1799999997</v>
      </c>
      <c r="G353" s="1419">
        <v>0</v>
      </c>
      <c r="H353" s="1419">
        <v>0</v>
      </c>
      <c r="I353" s="1419">
        <v>0</v>
      </c>
      <c r="J353" s="24">
        <f t="shared" si="40" ref="J353:J361">SUM(F353:I353)</f>
        <v>6022981.1799999997</v>
      </c>
      <c r="K353" s="821">
        <f t="shared" si="37"/>
        <v>0</v>
      </c>
      <c r="V353">
        <v>6022981.1799999997</v>
      </c>
      <c r="W353">
        <v>0</v>
      </c>
      <c r="X353">
        <v>0</v>
      </c>
      <c r="Y353">
        <v>0</v>
      </c>
    </row>
    <row r="354" spans="1:25" ht="14.25">
      <c r="A354" s="1"/>
      <c r="B354" s="17">
        <f t="shared" si="39"/>
        <v>8</v>
      </c>
      <c r="C354" s="1" t="s">
        <v>43</v>
      </c>
      <c r="D354" s="1" t="s">
        <v>44</v>
      </c>
      <c r="E354" s="17"/>
      <c r="F354" s="1420">
        <v>11703427</v>
      </c>
      <c r="G354" s="1420">
        <v>0</v>
      </c>
      <c r="H354" s="1420">
        <v>0</v>
      </c>
      <c r="I354" s="1420">
        <v>0</v>
      </c>
      <c r="J354" s="24">
        <f t="shared" si="40"/>
        <v>11703427</v>
      </c>
      <c r="K354" s="821">
        <f t="shared" si="37"/>
        <v>0</v>
      </c>
      <c r="V354">
        <v>11703427</v>
      </c>
      <c r="W354">
        <v>0</v>
      </c>
      <c r="X354">
        <v>0</v>
      </c>
      <c r="Y354">
        <v>0</v>
      </c>
    </row>
    <row r="355" spans="1:25" ht="15">
      <c r="A355" s="8"/>
      <c r="B355" s="17">
        <f t="shared" si="39"/>
        <v>9</v>
      </c>
      <c r="C355" s="1" t="s">
        <v>45</v>
      </c>
      <c r="D355" s="1" t="s">
        <v>46</v>
      </c>
      <c r="E355" s="17"/>
      <c r="F355" s="1420">
        <v>83049190.75</v>
      </c>
      <c r="G355" s="1420">
        <v>9346418.3000000007</v>
      </c>
      <c r="H355" s="1420">
        <v>0</v>
      </c>
      <c r="I355" s="1420">
        <v>0</v>
      </c>
      <c r="J355" s="24">
        <f t="shared" si="40"/>
        <v>92395609.049999997</v>
      </c>
      <c r="K355" s="821">
        <f t="shared" si="37"/>
        <v>0</v>
      </c>
      <c r="V355">
        <v>83049190.75</v>
      </c>
      <c r="W355">
        <v>9346418.3000000007</v>
      </c>
      <c r="X355">
        <v>0</v>
      </c>
      <c r="Y355">
        <v>0</v>
      </c>
    </row>
    <row r="356" spans="1:25" ht="14.25">
      <c r="A356" s="1"/>
      <c r="B356" s="17">
        <f t="shared" si="39"/>
        <v>10</v>
      </c>
      <c r="C356" s="1" t="s">
        <v>47</v>
      </c>
      <c r="D356" s="1" t="s">
        <v>48</v>
      </c>
      <c r="E356" s="17"/>
      <c r="F356" s="1420">
        <v>37740833.350000001</v>
      </c>
      <c r="G356" s="1420">
        <v>0</v>
      </c>
      <c r="H356" s="1420">
        <v>0</v>
      </c>
      <c r="I356" s="1420">
        <v>0</v>
      </c>
      <c r="J356" s="24">
        <f t="shared" si="40"/>
        <v>37740833.350000001</v>
      </c>
      <c r="K356" s="821">
        <f t="shared" si="37"/>
        <v>0</v>
      </c>
      <c r="V356">
        <v>37740833.350000001</v>
      </c>
      <c r="W356">
        <v>0</v>
      </c>
      <c r="X356">
        <v>0</v>
      </c>
      <c r="Y356">
        <v>0</v>
      </c>
    </row>
    <row r="357" spans="1:25" ht="15">
      <c r="A357" s="8"/>
      <c r="B357" s="17">
        <f t="shared" si="39"/>
        <v>11</v>
      </c>
      <c r="C357" s="1" t="s">
        <v>49</v>
      </c>
      <c r="D357" s="1" t="s">
        <v>50</v>
      </c>
      <c r="E357" s="17"/>
      <c r="F357" s="1420">
        <v>89864312.400000006</v>
      </c>
      <c r="G357" s="1420">
        <v>0</v>
      </c>
      <c r="H357" s="1420">
        <v>0</v>
      </c>
      <c r="I357" s="1420">
        <v>0</v>
      </c>
      <c r="J357" s="24">
        <f t="shared" si="40"/>
        <v>89864312.400000006</v>
      </c>
      <c r="K357" s="821">
        <f t="shared" si="37"/>
        <v>0</v>
      </c>
      <c r="V357">
        <v>89864312.400000006</v>
      </c>
      <c r="W357">
        <v>0</v>
      </c>
      <c r="X357">
        <v>0</v>
      </c>
      <c r="Y357">
        <v>0</v>
      </c>
    </row>
    <row r="358" spans="1:25" ht="14.25">
      <c r="A358" s="1"/>
      <c r="B358" s="17">
        <f t="shared" si="39"/>
        <v>12</v>
      </c>
      <c r="C358" s="1" t="s">
        <v>51</v>
      </c>
      <c r="D358" s="1" t="s">
        <v>52</v>
      </c>
      <c r="E358" s="17"/>
      <c r="F358" s="1420">
        <v>82695046.38000001</v>
      </c>
      <c r="G358" s="1420">
        <v>0</v>
      </c>
      <c r="H358" s="1420">
        <v>0</v>
      </c>
      <c r="I358" s="1420">
        <v>0</v>
      </c>
      <c r="J358" s="24">
        <f t="shared" si="40"/>
        <v>82695046.38000001</v>
      </c>
      <c r="K358" s="821">
        <f t="shared" si="37"/>
        <v>0</v>
      </c>
      <c r="V358">
        <v>82695046.38000001</v>
      </c>
      <c r="W358">
        <v>0</v>
      </c>
      <c r="X358">
        <v>0</v>
      </c>
      <c r="Y358">
        <v>0</v>
      </c>
    </row>
    <row r="359" spans="1:25" ht="14.25">
      <c r="A359" s="1"/>
      <c r="B359" s="17">
        <f t="shared" si="39"/>
        <v>13</v>
      </c>
      <c r="C359" s="1" t="s">
        <v>53</v>
      </c>
      <c r="D359" s="1" t="s">
        <v>54</v>
      </c>
      <c r="E359" s="17"/>
      <c r="F359" s="1420">
        <v>1056604.96</v>
      </c>
      <c r="G359" s="1420">
        <v>0</v>
      </c>
      <c r="H359" s="1420">
        <v>0</v>
      </c>
      <c r="I359" s="1420">
        <v>0</v>
      </c>
      <c r="J359" s="24">
        <f t="shared" si="40"/>
        <v>1056604.96</v>
      </c>
      <c r="K359" s="821">
        <f t="shared" si="37"/>
        <v>0</v>
      </c>
      <c r="V359">
        <v>1056604.96</v>
      </c>
      <c r="W359">
        <v>0</v>
      </c>
      <c r="X359">
        <v>0</v>
      </c>
      <c r="Y359">
        <v>0</v>
      </c>
    </row>
    <row r="360" spans="1:25" ht="14.25">
      <c r="A360" s="1"/>
      <c r="B360" s="17">
        <f t="shared" si="39"/>
        <v>14</v>
      </c>
      <c r="C360" s="1" t="s">
        <v>55</v>
      </c>
      <c r="D360" s="28" t="s">
        <v>56</v>
      </c>
      <c r="E360" s="17"/>
      <c r="F360" s="1420">
        <v>1915431.1000000001</v>
      </c>
      <c r="G360" s="1420">
        <v>0</v>
      </c>
      <c r="H360" s="1420">
        <v>0</v>
      </c>
      <c r="I360" s="1420">
        <v>0</v>
      </c>
      <c r="J360" s="24">
        <f t="shared" si="40"/>
        <v>1915431.1000000001</v>
      </c>
      <c r="K360" s="821">
        <f t="shared" si="37"/>
        <v>0</v>
      </c>
      <c r="V360">
        <v>1915431.1000000001</v>
      </c>
      <c r="W360">
        <v>0</v>
      </c>
      <c r="X360">
        <v>0</v>
      </c>
      <c r="Y360">
        <v>0</v>
      </c>
    </row>
    <row r="361" spans="1:25" ht="14.25">
      <c r="A361" s="1"/>
      <c r="B361" s="17">
        <f t="shared" si="39"/>
        <v>15</v>
      </c>
      <c r="C361" s="1" t="s">
        <v>57</v>
      </c>
      <c r="D361" s="1" t="s">
        <v>58</v>
      </c>
      <c r="E361" s="17"/>
      <c r="F361" s="1421">
        <v>0</v>
      </c>
      <c r="G361" s="1421">
        <v>0</v>
      </c>
      <c r="H361" s="1421">
        <v>0</v>
      </c>
      <c r="I361" s="1421">
        <v>0</v>
      </c>
      <c r="J361" s="24">
        <f t="shared" si="40"/>
        <v>0</v>
      </c>
      <c r="K361" s="821">
        <f t="shared" si="37"/>
        <v>0</v>
      </c>
      <c r="V361">
        <v>0</v>
      </c>
      <c r="W361">
        <v>0</v>
      </c>
      <c r="X361">
        <v>0</v>
      </c>
      <c r="Y361">
        <v>0</v>
      </c>
    </row>
    <row r="362" spans="1:11" ht="15">
      <c r="A362" s="19"/>
      <c r="B362" s="17">
        <f t="shared" si="39"/>
        <v>16</v>
      </c>
      <c r="C362" s="8" t="s">
        <v>300</v>
      </c>
      <c r="D362" s="1"/>
      <c r="E362" s="17"/>
      <c r="F362" s="1444"/>
      <c r="G362" s="1444"/>
      <c r="H362" s="1444"/>
      <c r="I362" s="1444"/>
      <c r="J362" s="24"/>
      <c r="K362" s="821">
        <f t="shared" si="37"/>
        <v>0</v>
      </c>
    </row>
    <row r="363" spans="1:25" ht="14.25">
      <c r="A363" s="1"/>
      <c r="B363" s="17">
        <f t="shared" si="39"/>
        <v>17</v>
      </c>
      <c r="C363" s="1" t="s">
        <v>61</v>
      </c>
      <c r="D363" s="1" t="s">
        <v>42</v>
      </c>
      <c r="E363" s="17"/>
      <c r="F363" s="1419">
        <v>18272.91</v>
      </c>
      <c r="G363" s="1419">
        <v>292756.59000000003</v>
      </c>
      <c r="H363" s="1419">
        <v>0</v>
      </c>
      <c r="I363" s="1419">
        <v>0</v>
      </c>
      <c r="J363" s="24">
        <f t="shared" si="41" ref="J363:J376">SUM(F363:I363)</f>
        <v>311029.5</v>
      </c>
      <c r="K363" s="821">
        <f t="shared" si="37"/>
        <v>0</v>
      </c>
      <c r="V363">
        <v>18272.91</v>
      </c>
      <c r="W363">
        <v>292756.59000000003</v>
      </c>
      <c r="X363">
        <v>0</v>
      </c>
      <c r="Y363">
        <v>0</v>
      </c>
    </row>
    <row r="364" spans="1:25" ht="14.25">
      <c r="A364" s="1"/>
      <c r="B364" s="17">
        <f t="shared" si="39"/>
        <v>18</v>
      </c>
      <c r="C364" s="1" t="s">
        <v>62</v>
      </c>
      <c r="D364" s="31" t="s">
        <v>44</v>
      </c>
      <c r="E364" s="32"/>
      <c r="F364" s="1420">
        <v>1442475.8000000001</v>
      </c>
      <c r="G364" s="1420">
        <v>2856983.6299999999</v>
      </c>
      <c r="H364" s="1420">
        <v>0</v>
      </c>
      <c r="I364" s="1420">
        <v>0</v>
      </c>
      <c r="J364" s="24">
        <f t="shared" si="41"/>
        <v>4299459.4299999997</v>
      </c>
      <c r="K364" s="821">
        <f t="shared" si="37"/>
        <v>0</v>
      </c>
      <c r="V364">
        <v>1442475.8000000001</v>
      </c>
      <c r="W364">
        <v>2856983.6299999999</v>
      </c>
      <c r="X364">
        <v>0</v>
      </c>
      <c r="Y364">
        <v>0</v>
      </c>
    </row>
    <row r="365" spans="1:25" ht="14.25">
      <c r="A365" s="1"/>
      <c r="B365" s="17">
        <f t="shared" si="39"/>
        <v>19</v>
      </c>
      <c r="C365" s="1" t="s">
        <v>63</v>
      </c>
      <c r="D365" s="1" t="s">
        <v>46</v>
      </c>
      <c r="E365" s="32"/>
      <c r="F365" s="1420">
        <v>12741263.59</v>
      </c>
      <c r="G365" s="1420">
        <v>36683880.890000001</v>
      </c>
      <c r="H365" s="1420">
        <v>0</v>
      </c>
      <c r="I365" s="1420">
        <v>0</v>
      </c>
      <c r="J365" s="24">
        <f t="shared" si="41"/>
        <v>49425144.480000004</v>
      </c>
      <c r="K365" s="821">
        <f t="shared" si="37"/>
        <v>0</v>
      </c>
      <c r="V365">
        <v>12741263.59</v>
      </c>
      <c r="W365">
        <v>36683880.890000001</v>
      </c>
      <c r="X365">
        <v>0</v>
      </c>
      <c r="Y365">
        <v>0</v>
      </c>
    </row>
    <row r="366" spans="1:25" ht="14.25">
      <c r="A366" s="1"/>
      <c r="B366" s="17">
        <f t="shared" si="39"/>
        <v>20</v>
      </c>
      <c r="C366" s="1" t="s">
        <v>64</v>
      </c>
      <c r="D366" s="1" t="s">
        <v>65</v>
      </c>
      <c r="E366" s="17"/>
      <c r="F366" s="1420">
        <v>0</v>
      </c>
      <c r="G366" s="1420">
        <v>0</v>
      </c>
      <c r="H366" s="1420">
        <v>0</v>
      </c>
      <c r="I366" s="1420">
        <v>0</v>
      </c>
      <c r="J366" s="24">
        <f t="shared" si="41"/>
        <v>0</v>
      </c>
      <c r="K366" s="821">
        <f t="shared" si="37"/>
        <v>0</v>
      </c>
      <c r="V366">
        <v>0</v>
      </c>
      <c r="W366">
        <v>0</v>
      </c>
      <c r="X366">
        <v>0</v>
      </c>
      <c r="Y366">
        <v>0</v>
      </c>
    </row>
    <row r="367" spans="1:25" ht="14.25">
      <c r="A367" s="1"/>
      <c r="B367" s="17">
        <f t="shared" si="39"/>
        <v>21</v>
      </c>
      <c r="C367" s="31" t="s">
        <v>66</v>
      </c>
      <c r="D367" s="31" t="s">
        <v>67</v>
      </c>
      <c r="E367" s="17"/>
      <c r="F367" s="1420">
        <v>0</v>
      </c>
      <c r="G367" s="1420">
        <v>95063645.810000002</v>
      </c>
      <c r="H367" s="1420">
        <v>0</v>
      </c>
      <c r="I367" s="1420">
        <v>0</v>
      </c>
      <c r="J367" s="24">
        <f t="shared" si="41"/>
        <v>95063645.810000002</v>
      </c>
      <c r="K367" s="821">
        <f t="shared" si="37"/>
        <v>0</v>
      </c>
      <c r="V367">
        <v>0</v>
      </c>
      <c r="W367">
        <v>95063645.810000002</v>
      </c>
      <c r="X367">
        <v>0</v>
      </c>
      <c r="Y367">
        <v>0</v>
      </c>
    </row>
    <row r="368" spans="1:25" ht="14.25">
      <c r="A368" s="1"/>
      <c r="B368" s="17">
        <f t="shared" si="39"/>
        <v>22</v>
      </c>
      <c r="C368" s="31" t="s">
        <v>68</v>
      </c>
      <c r="D368" s="31" t="s">
        <v>69</v>
      </c>
      <c r="E368" s="17"/>
      <c r="F368" s="1420">
        <v>0</v>
      </c>
      <c r="G368" s="1420">
        <v>53354376.829999998</v>
      </c>
      <c r="H368" s="1420">
        <v>0</v>
      </c>
      <c r="I368" s="1420">
        <v>0</v>
      </c>
      <c r="J368" s="24">
        <f t="shared" si="41"/>
        <v>53354376.829999998</v>
      </c>
      <c r="K368" s="821">
        <f t="shared" si="37"/>
        <v>0</v>
      </c>
      <c r="V368">
        <v>0</v>
      </c>
      <c r="W368">
        <v>53354376.829999998</v>
      </c>
      <c r="X368">
        <v>0</v>
      </c>
      <c r="Y368">
        <v>0</v>
      </c>
    </row>
    <row r="369" spans="1:25" ht="14.25">
      <c r="A369" s="1"/>
      <c r="B369" s="17">
        <f t="shared" si="39"/>
        <v>23</v>
      </c>
      <c r="C369" s="31" t="s">
        <v>70</v>
      </c>
      <c r="D369" s="31" t="s">
        <v>71</v>
      </c>
      <c r="E369" s="17"/>
      <c r="F369" s="1420">
        <v>0</v>
      </c>
      <c r="G369" s="1420">
        <v>23578853.789999999</v>
      </c>
      <c r="H369" s="1420">
        <v>0</v>
      </c>
      <c r="I369" s="1420">
        <v>0</v>
      </c>
      <c r="J369" s="24">
        <f t="shared" si="41"/>
        <v>23578853.789999999</v>
      </c>
      <c r="K369" s="821">
        <f t="shared" si="37"/>
        <v>0</v>
      </c>
      <c r="V369">
        <v>0</v>
      </c>
      <c r="W369">
        <v>23578853.789999999</v>
      </c>
      <c r="X369">
        <v>0</v>
      </c>
      <c r="Y369">
        <v>0</v>
      </c>
    </row>
    <row r="370" spans="1:25" ht="14.25">
      <c r="A370" s="1"/>
      <c r="B370" s="17">
        <f t="shared" si="39"/>
        <v>24</v>
      </c>
      <c r="C370" s="31" t="s">
        <v>72</v>
      </c>
      <c r="D370" s="31" t="s">
        <v>73</v>
      </c>
      <c r="E370" s="30"/>
      <c r="F370" s="1420">
        <v>0</v>
      </c>
      <c r="G370" s="1420">
        <v>56736034.090000004</v>
      </c>
      <c r="H370" s="1420">
        <v>0</v>
      </c>
      <c r="I370" s="1420">
        <v>0</v>
      </c>
      <c r="J370" s="24">
        <f t="shared" si="41"/>
        <v>56736034.090000004</v>
      </c>
      <c r="K370" s="821">
        <f t="shared" si="37"/>
        <v>0</v>
      </c>
      <c r="V370">
        <v>0</v>
      </c>
      <c r="W370">
        <v>56736034.090000004</v>
      </c>
      <c r="X370">
        <v>0</v>
      </c>
      <c r="Y370">
        <v>0</v>
      </c>
    </row>
    <row r="371" spans="1:25" ht="14.25">
      <c r="A371" s="1"/>
      <c r="B371" s="17">
        <f t="shared" si="39"/>
        <v>25</v>
      </c>
      <c r="C371" s="31" t="s">
        <v>74</v>
      </c>
      <c r="D371" s="31" t="s">
        <v>75</v>
      </c>
      <c r="E371" s="17"/>
      <c r="F371" s="1420">
        <v>0</v>
      </c>
      <c r="G371" s="1420">
        <v>56703640.140000001</v>
      </c>
      <c r="H371" s="1420">
        <v>0</v>
      </c>
      <c r="I371" s="1420">
        <v>0</v>
      </c>
      <c r="J371" s="24">
        <f t="shared" si="41"/>
        <v>56703640.140000001</v>
      </c>
      <c r="K371" s="821">
        <f t="shared" si="37"/>
        <v>0</v>
      </c>
      <c r="V371">
        <v>0</v>
      </c>
      <c r="W371">
        <v>56703640.140000001</v>
      </c>
      <c r="X371">
        <v>0</v>
      </c>
      <c r="Y371">
        <v>0</v>
      </c>
    </row>
    <row r="372" spans="1:25" ht="14.25">
      <c r="A372" s="1"/>
      <c r="B372" s="17">
        <f t="shared" si="39"/>
        <v>26</v>
      </c>
      <c r="C372" s="1" t="s">
        <v>76</v>
      </c>
      <c r="D372" s="31" t="s">
        <v>77</v>
      </c>
      <c r="E372" s="30"/>
      <c r="F372" s="1420">
        <v>0</v>
      </c>
      <c r="G372" s="1420">
        <v>50246720.280000001</v>
      </c>
      <c r="H372" s="1420">
        <v>0</v>
      </c>
      <c r="I372" s="1420">
        <v>0</v>
      </c>
      <c r="J372" s="24">
        <f t="shared" si="41"/>
        <v>50246720.280000001</v>
      </c>
      <c r="K372" s="821">
        <f t="shared" si="37"/>
        <v>0</v>
      </c>
      <c r="V372">
        <v>0</v>
      </c>
      <c r="W372">
        <v>50246720.280000001</v>
      </c>
      <c r="X372">
        <v>0</v>
      </c>
      <c r="Y372">
        <v>0</v>
      </c>
    </row>
    <row r="373" spans="1:25" ht="14.25">
      <c r="A373" s="1"/>
      <c r="B373" s="17">
        <f t="shared" si="39"/>
        <v>27</v>
      </c>
      <c r="C373" s="1" t="s">
        <v>78</v>
      </c>
      <c r="D373" s="1" t="s">
        <v>79</v>
      </c>
      <c r="E373" s="17"/>
      <c r="F373" s="1420">
        <v>0</v>
      </c>
      <c r="G373" s="1420">
        <v>0</v>
      </c>
      <c r="H373" s="1420">
        <v>17195294.84</v>
      </c>
      <c r="I373" s="1420">
        <v>0</v>
      </c>
      <c r="J373" s="24">
        <f t="shared" si="41"/>
        <v>17195294.84</v>
      </c>
      <c r="K373" s="821">
        <f t="shared" si="37"/>
        <v>0</v>
      </c>
      <c r="V373">
        <v>0</v>
      </c>
      <c r="W373">
        <v>0</v>
      </c>
      <c r="X373">
        <v>17195294.84</v>
      </c>
      <c r="Y373">
        <v>0</v>
      </c>
    </row>
    <row r="374" spans="1:25" ht="14.25">
      <c r="A374" s="1"/>
      <c r="B374" s="17">
        <f t="shared" si="39"/>
        <v>28</v>
      </c>
      <c r="C374" s="1" t="s">
        <v>80</v>
      </c>
      <c r="D374" s="1" t="s">
        <v>81</v>
      </c>
      <c r="E374" s="17"/>
      <c r="F374" s="1420">
        <v>0</v>
      </c>
      <c r="G374" s="1420">
        <v>2390143.4199999999</v>
      </c>
      <c r="H374" s="1420">
        <v>0</v>
      </c>
      <c r="I374" s="1420">
        <v>0</v>
      </c>
      <c r="J374" s="24">
        <f t="shared" si="41"/>
        <v>2390143.4199999999</v>
      </c>
      <c r="K374" s="821">
        <f t="shared" si="37"/>
        <v>0</v>
      </c>
      <c r="V374">
        <v>0</v>
      </c>
      <c r="W374">
        <v>2390143.4199999999</v>
      </c>
      <c r="X374">
        <v>0</v>
      </c>
      <c r="Y374">
        <v>0</v>
      </c>
    </row>
    <row r="375" spans="1:25" ht="14.25">
      <c r="A375" s="1"/>
      <c r="B375" s="17">
        <f t="shared" si="39"/>
        <v>29</v>
      </c>
      <c r="C375" s="1" t="s">
        <v>82</v>
      </c>
      <c r="D375" s="1" t="s">
        <v>83</v>
      </c>
      <c r="E375" s="17"/>
      <c r="F375" s="1420">
        <v>0</v>
      </c>
      <c r="G375" s="1420">
        <v>0</v>
      </c>
      <c r="H375" s="1420">
        <v>0</v>
      </c>
      <c r="I375" s="1420">
        <v>0</v>
      </c>
      <c r="J375" s="24">
        <f t="shared" si="41"/>
        <v>0</v>
      </c>
      <c r="K375" s="821">
        <f t="shared" si="37"/>
        <v>0</v>
      </c>
      <c r="V375">
        <v>0</v>
      </c>
      <c r="W375">
        <v>0</v>
      </c>
      <c r="X375">
        <v>0</v>
      </c>
      <c r="Y375">
        <v>0</v>
      </c>
    </row>
    <row r="376" spans="1:25" ht="14.25">
      <c r="A376" s="1"/>
      <c r="B376" s="17">
        <f t="shared" si="39"/>
        <v>30</v>
      </c>
      <c r="C376" s="1" t="s">
        <v>84</v>
      </c>
      <c r="D376" s="1" t="s">
        <v>85</v>
      </c>
      <c r="E376" s="17"/>
      <c r="F376" s="1421">
        <v>0</v>
      </c>
      <c r="G376" s="1421">
        <v>21013686.960000001</v>
      </c>
      <c r="H376" s="1421">
        <v>0</v>
      </c>
      <c r="I376" s="1421">
        <v>0</v>
      </c>
      <c r="J376" s="24">
        <f t="shared" si="41"/>
        <v>21013686.960000001</v>
      </c>
      <c r="K376" s="821">
        <f t="shared" si="37"/>
        <v>0</v>
      </c>
      <c r="V376">
        <v>0</v>
      </c>
      <c r="W376">
        <v>21013686.960000001</v>
      </c>
      <c r="X376">
        <v>0</v>
      </c>
      <c r="Y376">
        <v>0</v>
      </c>
    </row>
    <row r="377" spans="1:11" ht="15">
      <c r="A377" s="19"/>
      <c r="B377" s="17">
        <f t="shared" si="39"/>
        <v>31</v>
      </c>
      <c r="C377" s="34" t="s">
        <v>301</v>
      </c>
      <c r="D377" s="1"/>
      <c r="E377" s="1135"/>
      <c r="F377" s="1444"/>
      <c r="G377" s="1444"/>
      <c r="H377" s="1444"/>
      <c r="I377" s="1444"/>
      <c r="J377" s="24"/>
      <c r="K377" s="821">
        <f t="shared" si="37"/>
        <v>0</v>
      </c>
    </row>
    <row r="378" spans="1:25" ht="14.25">
      <c r="A378" s="1"/>
      <c r="B378" s="17">
        <f t="shared" si="39"/>
        <v>32</v>
      </c>
      <c r="C378" s="1" t="s">
        <v>92</v>
      </c>
      <c r="D378" s="1" t="s">
        <v>42</v>
      </c>
      <c r="E378" s="17"/>
      <c r="F378" s="1419">
        <v>1237.1900000000001</v>
      </c>
      <c r="G378" s="1419">
        <v>1610.53</v>
      </c>
      <c r="H378" s="1419">
        <v>68.370000000000005</v>
      </c>
      <c r="I378" s="1419">
        <v>0.26000000000000001</v>
      </c>
      <c r="J378" s="24">
        <f t="shared" si="42" ref="J378:J387">SUM(F378:I378)</f>
        <v>2916.3500000000004</v>
      </c>
      <c r="K378" s="821">
        <f t="shared" si="37"/>
        <v>0</v>
      </c>
      <c r="V378">
        <v>1237.1900000000001</v>
      </c>
      <c r="W378">
        <v>1610.53</v>
      </c>
      <c r="X378">
        <v>68.370000000000005</v>
      </c>
      <c r="Y378">
        <v>0.26000000000000001</v>
      </c>
    </row>
    <row r="379" spans="1:25" ht="14.25">
      <c r="A379" s="1"/>
      <c r="B379" s="17">
        <f t="shared" si="39"/>
        <v>33</v>
      </c>
      <c r="C379" s="1" t="s">
        <v>93</v>
      </c>
      <c r="D379" s="1" t="s">
        <v>44</v>
      </c>
      <c r="E379" s="17"/>
      <c r="F379" s="1420">
        <v>1787386.47</v>
      </c>
      <c r="G379" s="1420">
        <v>2871490.2400000002</v>
      </c>
      <c r="H379" s="1420">
        <v>489731.73999999999</v>
      </c>
      <c r="I379" s="1420">
        <v>269972.15999999997</v>
      </c>
      <c r="J379" s="24">
        <f t="shared" si="42"/>
        <v>5418580.6100000003</v>
      </c>
      <c r="K379" s="821">
        <f t="shared" si="37"/>
        <v>0</v>
      </c>
      <c r="V379">
        <v>1787386.47</v>
      </c>
      <c r="W379">
        <v>2871490.2400000002</v>
      </c>
      <c r="X379">
        <v>489731.73999999999</v>
      </c>
      <c r="Y379">
        <v>269972.15999999997</v>
      </c>
    </row>
    <row r="380" spans="1:25" ht="14.25">
      <c r="A380" s="1"/>
      <c r="B380" s="17">
        <f t="shared" si="39"/>
        <v>34</v>
      </c>
      <c r="C380" s="1" t="s">
        <v>94</v>
      </c>
      <c r="D380" s="1" t="s">
        <v>95</v>
      </c>
      <c r="E380" s="17"/>
      <c r="F380" s="1420">
        <v>8815814.3399999999</v>
      </c>
      <c r="G380" s="1420">
        <v>11253947.6</v>
      </c>
      <c r="H380" s="1420">
        <v>8476613.7300000004</v>
      </c>
      <c r="I380" s="1420">
        <v>10258435.65</v>
      </c>
      <c r="J380" s="24">
        <f t="shared" si="42"/>
        <v>38804811.32</v>
      </c>
      <c r="K380" s="821">
        <f t="shared" si="37"/>
        <v>0</v>
      </c>
      <c r="V380">
        <v>8815814.3399999999</v>
      </c>
      <c r="W380">
        <v>11253947.6</v>
      </c>
      <c r="X380">
        <v>8476613.7300000004</v>
      </c>
      <c r="Y380">
        <v>10258435.65</v>
      </c>
    </row>
    <row r="381" spans="1:25" ht="14.25">
      <c r="A381" s="1"/>
      <c r="B381" s="17">
        <f t="shared" si="39"/>
        <v>35</v>
      </c>
      <c r="C381" s="1" t="s">
        <v>96</v>
      </c>
      <c r="D381" s="1" t="s">
        <v>98</v>
      </c>
      <c r="E381" s="17"/>
      <c r="F381" s="1420">
        <v>734898.93999999994</v>
      </c>
      <c r="G381" s="1420">
        <v>1013262.58</v>
      </c>
      <c r="H381" s="1420">
        <v>0</v>
      </c>
      <c r="I381" s="1420">
        <v>0</v>
      </c>
      <c r="J381" s="24">
        <f t="shared" si="42"/>
        <v>1748161.52</v>
      </c>
      <c r="K381" s="821">
        <f t="shared" si="37"/>
        <v>0</v>
      </c>
      <c r="V381">
        <v>734898.93999999994</v>
      </c>
      <c r="W381">
        <v>1013262.58</v>
      </c>
      <c r="X381">
        <v>0</v>
      </c>
      <c r="Y381">
        <v>0</v>
      </c>
    </row>
    <row r="382" spans="1:25" ht="14.25">
      <c r="A382" s="1"/>
      <c r="B382" s="17">
        <f t="shared" si="39"/>
        <v>36</v>
      </c>
      <c r="C382" s="1" t="s">
        <v>99</v>
      </c>
      <c r="D382" s="1" t="s">
        <v>100</v>
      </c>
      <c r="E382" s="17"/>
      <c r="F382" s="1420">
        <v>66490.550000000003</v>
      </c>
      <c r="G382" s="1420">
        <v>179893.10999999999</v>
      </c>
      <c r="H382" s="1420">
        <v>32050.389999999999</v>
      </c>
      <c r="I382" s="1420">
        <v>0</v>
      </c>
      <c r="J382" s="24">
        <f t="shared" si="42"/>
        <v>278434.04999999999</v>
      </c>
      <c r="K382" s="821">
        <f t="shared" si="37"/>
        <v>0</v>
      </c>
      <c r="V382">
        <v>66490.550000000003</v>
      </c>
      <c r="W382">
        <v>179893.10999999999</v>
      </c>
      <c r="X382">
        <v>32050.389999999999</v>
      </c>
      <c r="Y382">
        <v>0</v>
      </c>
    </row>
    <row r="383" spans="1:25" ht="14.25">
      <c r="A383" s="1"/>
      <c r="B383" s="17">
        <f t="shared" si="39"/>
        <v>37</v>
      </c>
      <c r="C383" s="1" t="s">
        <v>101</v>
      </c>
      <c r="D383" s="1" t="s">
        <v>102</v>
      </c>
      <c r="E383" s="17"/>
      <c r="F383" s="1420">
        <v>989704.43999999994</v>
      </c>
      <c r="G383" s="1420">
        <v>1613751</v>
      </c>
      <c r="H383" s="1420">
        <v>160870.84</v>
      </c>
      <c r="I383" s="1420">
        <v>0</v>
      </c>
      <c r="J383" s="24">
        <f t="shared" si="42"/>
        <v>2764326.2799999998</v>
      </c>
      <c r="K383" s="821">
        <f t="shared" si="43" ref="K383:K453">J383-SUM(F383:I383)</f>
        <v>0</v>
      </c>
      <c r="V383">
        <v>989704.43999999994</v>
      </c>
      <c r="W383">
        <v>1613751</v>
      </c>
      <c r="X383">
        <v>160870.84</v>
      </c>
      <c r="Y383">
        <v>0</v>
      </c>
    </row>
    <row r="384" spans="1:25" ht="14.25">
      <c r="A384" s="1"/>
      <c r="B384" s="17">
        <f t="shared" si="39"/>
        <v>38</v>
      </c>
      <c r="C384" s="1" t="s">
        <v>103</v>
      </c>
      <c r="D384" s="1" t="s">
        <v>104</v>
      </c>
      <c r="E384" s="17"/>
      <c r="F384" s="1420">
        <v>1976031.21</v>
      </c>
      <c r="G384" s="1420">
        <v>1151258.3999999999</v>
      </c>
      <c r="H384" s="1420">
        <v>242609.72</v>
      </c>
      <c r="I384" s="1420">
        <v>0</v>
      </c>
      <c r="J384" s="24">
        <f t="shared" si="42"/>
        <v>3369899.3300000001</v>
      </c>
      <c r="K384" s="821">
        <f t="shared" si="43"/>
        <v>0</v>
      </c>
      <c r="V384">
        <v>1976031.21</v>
      </c>
      <c r="W384">
        <v>1151258.3999999999</v>
      </c>
      <c r="X384">
        <v>242609.72</v>
      </c>
      <c r="Y384">
        <v>0</v>
      </c>
    </row>
    <row r="385" spans="1:25" ht="14.25">
      <c r="A385" s="1"/>
      <c r="B385" s="17">
        <f t="shared" si="39"/>
        <v>39</v>
      </c>
      <c r="C385" s="1" t="s">
        <v>105</v>
      </c>
      <c r="D385" s="1" t="s">
        <v>106</v>
      </c>
      <c r="E385" s="17"/>
      <c r="F385" s="1420">
        <v>194373.67999999999</v>
      </c>
      <c r="G385" s="1420">
        <v>479878.02000000002</v>
      </c>
      <c r="H385" s="1420">
        <v>61487.510000000002</v>
      </c>
      <c r="I385" s="1420">
        <v>0</v>
      </c>
      <c r="J385" s="24">
        <f t="shared" si="42"/>
        <v>735739.20999999996</v>
      </c>
      <c r="K385" s="821">
        <f t="shared" si="43"/>
        <v>0</v>
      </c>
      <c r="V385">
        <v>194373.67999999999</v>
      </c>
      <c r="W385">
        <v>479878.02000000002</v>
      </c>
      <c r="X385">
        <v>61487.510000000002</v>
      </c>
      <c r="Y385">
        <v>0</v>
      </c>
    </row>
    <row r="386" spans="1:25" ht="15">
      <c r="A386" s="1"/>
      <c r="B386" s="17">
        <f t="shared" si="39"/>
        <v>40</v>
      </c>
      <c r="C386" s="1" t="s">
        <v>107</v>
      </c>
      <c r="D386" s="1" t="s">
        <v>108</v>
      </c>
      <c r="E386" s="1135"/>
      <c r="F386" s="1420">
        <v>5747202.3499999996</v>
      </c>
      <c r="G386" s="1420">
        <v>3522760.3300000001</v>
      </c>
      <c r="H386" s="1420">
        <v>289426.59999999998</v>
      </c>
      <c r="I386" s="1420">
        <v>133407.13000000001</v>
      </c>
      <c r="J386" s="24">
        <f t="shared" si="42"/>
        <v>9692796.4100000001</v>
      </c>
      <c r="K386" s="821">
        <f t="shared" si="43"/>
        <v>0</v>
      </c>
      <c r="V386">
        <v>5747202.3499999996</v>
      </c>
      <c r="W386">
        <v>3522760.3300000001</v>
      </c>
      <c r="X386">
        <v>289426.59999999998</v>
      </c>
      <c r="Y386">
        <v>133407.13000000001</v>
      </c>
    </row>
    <row r="387" spans="1:25" ht="14.25">
      <c r="A387" s="1"/>
      <c r="B387" s="17">
        <f t="shared" si="39"/>
        <v>41</v>
      </c>
      <c r="C387" s="1" t="s">
        <v>110</v>
      </c>
      <c r="D387" s="1" t="s">
        <v>111</v>
      </c>
      <c r="E387" s="17"/>
      <c r="F387" s="1420">
        <v>352648.52000000002</v>
      </c>
      <c r="G387" s="1420">
        <v>349716.01000000001</v>
      </c>
      <c r="H387" s="1420">
        <v>71826.929999999993</v>
      </c>
      <c r="I387" s="1420">
        <v>0</v>
      </c>
      <c r="J387" s="24">
        <f t="shared" si="42"/>
        <v>774191.45999999996</v>
      </c>
      <c r="K387" s="821">
        <f t="shared" si="43"/>
        <v>0</v>
      </c>
      <c r="V387">
        <v>352648.52000000002</v>
      </c>
      <c r="W387">
        <v>349716.01000000001</v>
      </c>
      <c r="X387">
        <v>71826.929999999993</v>
      </c>
      <c r="Y387">
        <v>0</v>
      </c>
    </row>
    <row r="388" spans="1:25" ht="14.25">
      <c r="A388" s="1"/>
      <c r="B388" s="17">
        <f t="shared" si="39"/>
        <v>42</v>
      </c>
      <c r="C388" s="1" t="s">
        <v>112</v>
      </c>
      <c r="D388" s="1" t="s">
        <v>302</v>
      </c>
      <c r="E388" s="17"/>
      <c r="F388" s="1420">
        <v>0</v>
      </c>
      <c r="G388" s="1420">
        <v>0</v>
      </c>
      <c r="H388" s="1420">
        <v>0</v>
      </c>
      <c r="I388" s="1420">
        <v>0</v>
      </c>
      <c r="J388" s="24"/>
      <c r="K388" s="821">
        <f t="shared" si="43"/>
        <v>0</v>
      </c>
      <c r="V388">
        <v>0</v>
      </c>
      <c r="W388">
        <v>0</v>
      </c>
      <c r="X388">
        <v>0</v>
      </c>
      <c r="Y388">
        <v>0</v>
      </c>
    </row>
    <row r="389" spans="1:25" ht="14.25">
      <c r="A389" s="1"/>
      <c r="B389" s="17">
        <f t="shared" si="39"/>
        <v>43</v>
      </c>
      <c r="C389" s="1" t="s">
        <v>112</v>
      </c>
      <c r="D389" s="1" t="s">
        <v>303</v>
      </c>
      <c r="E389" s="17"/>
      <c r="F389" s="1421">
        <v>0</v>
      </c>
      <c r="G389" s="1421">
        <v>0</v>
      </c>
      <c r="H389" s="1421">
        <v>0</v>
      </c>
      <c r="I389" s="1421">
        <v>0</v>
      </c>
      <c r="J389" s="24"/>
      <c r="K389" s="821">
        <f t="shared" si="43"/>
        <v>0</v>
      </c>
      <c r="V389">
        <v>0</v>
      </c>
      <c r="W389">
        <v>0</v>
      </c>
      <c r="X389">
        <v>0</v>
      </c>
      <c r="Y389">
        <v>0</v>
      </c>
    </row>
    <row r="390" spans="1:11" ht="14.25">
      <c r="A390" s="1"/>
      <c r="B390" s="17"/>
      <c r="C390" s="1"/>
      <c r="D390" s="1"/>
      <c r="E390" s="1"/>
      <c r="F390" s="778"/>
      <c r="G390" s="778"/>
      <c r="H390" s="778"/>
      <c r="I390" s="778"/>
      <c r="J390" s="24"/>
      <c r="K390" s="821">
        <f t="shared" si="43"/>
        <v>0</v>
      </c>
    </row>
    <row r="391" spans="1:11" ht="15">
      <c r="A391" s="1"/>
      <c r="B391" s="17">
        <f t="shared" si="44" ref="B391:B432">B390+1</f>
        <v>1</v>
      </c>
      <c r="C391" s="366" t="s">
        <v>304</v>
      </c>
      <c r="D391" s="1"/>
      <c r="E391" s="1135" t="s">
        <v>305</v>
      </c>
      <c r="F391" s="778"/>
      <c r="G391" s="778"/>
      <c r="H391" s="778"/>
      <c r="I391" s="778"/>
      <c r="J391" s="24"/>
      <c r="K391" s="821">
        <f t="shared" si="43"/>
        <v>0</v>
      </c>
    </row>
    <row r="392" spans="1:11" ht="15">
      <c r="A392" s="22"/>
      <c r="B392" s="17">
        <f t="shared" si="44"/>
        <v>2</v>
      </c>
      <c r="C392" s="8" t="s">
        <v>306</v>
      </c>
      <c r="D392" s="1144"/>
      <c r="E392" s="17"/>
      <c r="F392" s="1413"/>
      <c r="G392" s="1413"/>
      <c r="H392" s="1413"/>
      <c r="I392" s="1413"/>
      <c r="J392" s="24"/>
      <c r="K392" s="821">
        <f t="shared" si="43"/>
        <v>0</v>
      </c>
    </row>
    <row r="393" spans="1:25" ht="14.25">
      <c r="A393" s="1"/>
      <c r="B393" s="17">
        <f t="shared" si="44"/>
        <v>3</v>
      </c>
      <c r="C393" s="19"/>
      <c r="D393" s="1" t="s">
        <v>307</v>
      </c>
      <c r="E393" s="32"/>
      <c r="F393" s="1416">
        <v>3815149.1299999999</v>
      </c>
      <c r="G393" s="1416">
        <v>10525362.25</v>
      </c>
      <c r="H393" s="1416">
        <v>2869720.4100000001</v>
      </c>
      <c r="I393" s="1416">
        <v>115481.33000000194</v>
      </c>
      <c r="J393" s="24">
        <f>SUM(F393:I393)</f>
        <v>17325713.120000001</v>
      </c>
      <c r="K393" s="821">
        <f t="shared" si="43"/>
        <v>0</v>
      </c>
      <c r="V393">
        <v>3815149.1299999999</v>
      </c>
      <c r="W393">
        <v>10525362.25</v>
      </c>
      <c r="X393">
        <v>2869720.4100000001</v>
      </c>
      <c r="Y393">
        <v>115481.33000000194</v>
      </c>
    </row>
    <row r="394" spans="1:25" ht="14.25">
      <c r="A394" s="1"/>
      <c r="B394" s="17">
        <f t="shared" si="44"/>
        <v>4</v>
      </c>
      <c r="C394" s="19"/>
      <c r="D394" s="1" t="s">
        <v>308</v>
      </c>
      <c r="E394" s="32"/>
      <c r="F394" s="1417">
        <v>47755.769999999997</v>
      </c>
      <c r="G394" s="1417">
        <v>131750.22</v>
      </c>
      <c r="H394" s="1417">
        <v>35921.449999999997</v>
      </c>
      <c r="I394" s="1417">
        <v>1445.5200000000041</v>
      </c>
      <c r="J394" s="24">
        <f>SUM(F394:I394)</f>
        <v>216872.96000000002</v>
      </c>
      <c r="K394" s="821">
        <f t="shared" si="43"/>
        <v>0</v>
      </c>
      <c r="V394">
        <v>47755.769999999997</v>
      </c>
      <c r="W394">
        <v>131750.22</v>
      </c>
      <c r="X394">
        <v>35921.449999999997</v>
      </c>
      <c r="Y394">
        <v>1445.5200000000041</v>
      </c>
    </row>
    <row r="395" spans="1:25" ht="14.25">
      <c r="A395" s="19"/>
      <c r="B395" s="17">
        <f t="shared" si="44"/>
        <v>5</v>
      </c>
      <c r="C395" s="19"/>
      <c r="D395" s="1" t="s">
        <v>309</v>
      </c>
      <c r="E395" s="32"/>
      <c r="F395" s="1418">
        <v>65637.589999999997</v>
      </c>
      <c r="G395" s="1418">
        <v>181083.20999999999</v>
      </c>
      <c r="H395" s="1418">
        <v>49372</v>
      </c>
      <c r="I395" s="1418">
        <v>1986.7999999999884</v>
      </c>
      <c r="J395" s="24">
        <f>SUM(F395:I395)</f>
        <v>298079.59999999998</v>
      </c>
      <c r="K395" s="821">
        <f t="shared" si="43"/>
        <v>0</v>
      </c>
      <c r="V395">
        <v>65637.589999999997</v>
      </c>
      <c r="W395">
        <v>181083.20999999999</v>
      </c>
      <c r="X395">
        <v>49372</v>
      </c>
      <c r="Y395">
        <v>1986.7999999999884</v>
      </c>
    </row>
    <row r="396" spans="1:11" ht="15">
      <c r="A396" s="19"/>
      <c r="B396" s="17">
        <f t="shared" si="44"/>
        <v>6</v>
      </c>
      <c r="C396" s="8" t="s">
        <v>310</v>
      </c>
      <c r="D396" s="1"/>
      <c r="E396" s="17"/>
      <c r="F396" s="1413"/>
      <c r="G396" s="1413"/>
      <c r="H396" s="1413"/>
      <c r="I396" s="1413"/>
      <c r="J396" s="24"/>
      <c r="K396" s="821">
        <f t="shared" si="43"/>
        <v>0</v>
      </c>
    </row>
    <row r="397" spans="1:25" ht="14.25">
      <c r="A397" s="19"/>
      <c r="B397" s="17">
        <f t="shared" si="44"/>
        <v>7</v>
      </c>
      <c r="C397" s="19"/>
      <c r="D397" s="1" t="s">
        <v>311</v>
      </c>
      <c r="E397" s="32"/>
      <c r="F397" s="1445">
        <v>141317043.76999998</v>
      </c>
      <c r="G397" s="1445">
        <v>132463225.04000001</v>
      </c>
      <c r="H397" s="1445">
        <v>4504909.1100000003</v>
      </c>
      <c r="I397" s="1445">
        <v>3841558.0100000342</v>
      </c>
      <c r="J397" s="24">
        <f>SUM(F397:I397)</f>
        <v>282126735.93000007</v>
      </c>
      <c r="K397" s="821">
        <f t="shared" si="43"/>
        <v>0</v>
      </c>
      <c r="V397">
        <v>141317043.76999998</v>
      </c>
      <c r="W397">
        <v>132463225.04000001</v>
      </c>
      <c r="X397">
        <v>4504909.1100000003</v>
      </c>
      <c r="Y397">
        <v>3841558.0100000342</v>
      </c>
    </row>
    <row r="398" spans="1:11" ht="15">
      <c r="A398" s="19"/>
      <c r="B398" s="17">
        <f t="shared" si="44"/>
        <v>8</v>
      </c>
      <c r="C398" s="1145" t="s">
        <v>312</v>
      </c>
      <c r="D398" s="1"/>
      <c r="E398" s="17"/>
      <c r="F398" s="1413"/>
      <c r="G398" s="1413"/>
      <c r="H398" s="1413"/>
      <c r="I398" s="1413"/>
      <c r="J398" s="24"/>
      <c r="K398" s="821">
        <f t="shared" si="43"/>
        <v>0</v>
      </c>
    </row>
    <row r="399" spans="1:25" s="386" customFormat="1" ht="14.25">
      <c r="A399" s="19"/>
      <c r="B399" s="17">
        <f t="shared" si="44"/>
        <v>9</v>
      </c>
      <c r="C399" s="19"/>
      <c r="D399" s="19" t="s">
        <v>313</v>
      </c>
      <c r="E399" s="32"/>
      <c r="F399" s="1446">
        <v>5047172.1800000006</v>
      </c>
      <c r="G399" s="1446">
        <v>21065900.859999999</v>
      </c>
      <c r="H399" s="1446">
        <v>1078537.3899999999</v>
      </c>
      <c r="I399" s="1446">
        <v>549068.12999999966</v>
      </c>
      <c r="J399" s="24">
        <f>SUM(F399:I399)</f>
        <v>27740678.559999999</v>
      </c>
      <c r="K399" s="821">
        <f t="shared" si="43"/>
        <v>0</v>
      </c>
      <c r="L399"/>
      <c r="M399"/>
      <c r="N399"/>
      <c r="O399"/>
      <c r="V399" s="386">
        <v>5047172.1800000006</v>
      </c>
      <c r="W399" s="386">
        <v>21065900.859999999</v>
      </c>
      <c r="X399" s="386">
        <v>1078537.3899999999</v>
      </c>
      <c r="Y399" s="386">
        <v>549068.12999999966</v>
      </c>
    </row>
    <row r="400" spans="1:25" ht="15">
      <c r="A400" s="22"/>
      <c r="B400" s="17">
        <f t="shared" si="44"/>
        <v>10</v>
      </c>
      <c r="C400" s="19"/>
      <c r="D400" s="19" t="s">
        <v>314</v>
      </c>
      <c r="E400" s="32"/>
      <c r="F400" s="1447">
        <v>0</v>
      </c>
      <c r="G400" s="1447">
        <v>283082877</v>
      </c>
      <c r="H400" s="1447">
        <v>0</v>
      </c>
      <c r="I400" s="1447">
        <v>0</v>
      </c>
      <c r="J400" s="24">
        <f>SUM(F400:I400)</f>
        <v>283082877</v>
      </c>
      <c r="K400" s="821">
        <f t="shared" si="43"/>
        <v>0</v>
      </c>
      <c r="V400">
        <v>0</v>
      </c>
      <c r="W400">
        <v>283082877</v>
      </c>
      <c r="X400">
        <v>0</v>
      </c>
      <c r="Y400">
        <v>0</v>
      </c>
    </row>
    <row r="401" spans="1:11" ht="15">
      <c r="A401" s="22"/>
      <c r="B401" s="17">
        <f t="shared" si="44"/>
        <v>11</v>
      </c>
      <c r="C401" s="19"/>
      <c r="D401" s="19"/>
      <c r="E401" s="32"/>
      <c r="F401" s="1444"/>
      <c r="G401" s="1444"/>
      <c r="H401" s="1444"/>
      <c r="I401" s="1444"/>
      <c r="J401" s="24"/>
      <c r="K401" s="821">
        <f t="shared" si="43"/>
        <v>0</v>
      </c>
    </row>
    <row r="402" spans="1:11" ht="15">
      <c r="A402" s="1"/>
      <c r="B402" s="17">
        <f t="shared" si="44"/>
        <v>12</v>
      </c>
      <c r="C402" s="366" t="s">
        <v>315</v>
      </c>
      <c r="D402" s="1"/>
      <c r="E402" s="1135" t="s">
        <v>316</v>
      </c>
      <c r="F402" s="1444"/>
      <c r="G402" s="1444"/>
      <c r="H402" s="1444"/>
      <c r="I402" s="1444"/>
      <c r="J402" s="24"/>
      <c r="K402" s="821">
        <f t="shared" si="43"/>
        <v>0</v>
      </c>
    </row>
    <row r="403" spans="1:11" ht="15">
      <c r="A403" s="19"/>
      <c r="B403" s="17">
        <f t="shared" si="44"/>
        <v>13</v>
      </c>
      <c r="C403" s="19"/>
      <c r="D403" s="8" t="s">
        <v>317</v>
      </c>
      <c r="E403" s="54"/>
      <c r="F403" s="778"/>
      <c r="G403" s="778"/>
      <c r="H403" s="778"/>
      <c r="I403" s="778"/>
      <c r="J403" s="24"/>
      <c r="K403" s="821">
        <f t="shared" si="43"/>
        <v>0</v>
      </c>
    </row>
    <row r="404" spans="1:25" ht="15" customHeight="1">
      <c r="A404" s="19"/>
      <c r="B404" s="17">
        <f t="shared" si="44"/>
        <v>14</v>
      </c>
      <c r="C404" s="19"/>
      <c r="D404" s="19" t="s">
        <v>318</v>
      </c>
      <c r="E404" s="32"/>
      <c r="F404" s="1416">
        <v>217550015.89000002</v>
      </c>
      <c r="G404" s="1416">
        <v>218383546.59</v>
      </c>
      <c r="H404" s="1416">
        <v>10153815.380000001</v>
      </c>
      <c r="I404" s="1416">
        <v>4942244.9999999348</v>
      </c>
      <c r="J404" s="24">
        <f t="shared" si="45" ref="J404:J410">SUM(F404:I404)</f>
        <v>451029622.85999995</v>
      </c>
      <c r="K404" s="821">
        <f t="shared" si="43"/>
        <v>0</v>
      </c>
      <c r="V404">
        <v>217550015.89000002</v>
      </c>
      <c r="W404">
        <v>218383546.59</v>
      </c>
      <c r="X404">
        <v>10153815.380000001</v>
      </c>
      <c r="Y404">
        <v>4942244.9999999348</v>
      </c>
    </row>
    <row r="405" spans="1:25" ht="14.25">
      <c r="A405" s="19"/>
      <c r="B405" s="17">
        <f t="shared" si="44"/>
        <v>15</v>
      </c>
      <c r="C405" s="19"/>
      <c r="D405" s="19" t="s">
        <v>319</v>
      </c>
      <c r="E405" s="32"/>
      <c r="F405" s="1417">
        <v>580486.72999999998</v>
      </c>
      <c r="G405" s="1417">
        <v>191147.98999999999</v>
      </c>
      <c r="H405" s="1417">
        <v>0</v>
      </c>
      <c r="I405" s="1417">
        <v>0</v>
      </c>
      <c r="J405" s="24">
        <f t="shared" si="45"/>
        <v>771634.71999999997</v>
      </c>
      <c r="K405" s="821">
        <f t="shared" si="43"/>
        <v>0</v>
      </c>
      <c r="V405">
        <v>580486.72999999998</v>
      </c>
      <c r="W405">
        <v>191147.98999999999</v>
      </c>
      <c r="X405">
        <v>0</v>
      </c>
      <c r="Y405">
        <v>0</v>
      </c>
    </row>
    <row r="406" spans="1:25" ht="14.25">
      <c r="A406" s="19"/>
      <c r="B406" s="17">
        <f t="shared" si="44"/>
        <v>16</v>
      </c>
      <c r="C406" s="19"/>
      <c r="D406" s="19" t="s">
        <v>1247</v>
      </c>
      <c r="E406" s="32"/>
      <c r="F406" s="1417">
        <v>8494637.3499999996</v>
      </c>
      <c r="G406" s="1417">
        <v>7133574.9500000002</v>
      </c>
      <c r="H406" s="1417">
        <v>242603.98999999999</v>
      </c>
      <c r="I406" s="1417">
        <v>206880.70000000042</v>
      </c>
      <c r="J406" s="24">
        <f t="shared" si="45"/>
        <v>16077696.990000002</v>
      </c>
      <c r="K406" s="821">
        <f t="shared" si="43"/>
        <v>0</v>
      </c>
      <c r="V406">
        <v>8494637.3499999996</v>
      </c>
      <c r="W406">
        <v>7133574.9500000002</v>
      </c>
      <c r="X406">
        <v>242603.98999999999</v>
      </c>
      <c r="Y406">
        <v>206880.70000000042</v>
      </c>
    </row>
    <row r="407" spans="1:25" ht="14.25">
      <c r="A407" s="19"/>
      <c r="B407" s="17">
        <f t="shared" si="44"/>
        <v>17</v>
      </c>
      <c r="C407" s="19"/>
      <c r="D407" s="19" t="s">
        <v>1248</v>
      </c>
      <c r="E407" s="32"/>
      <c r="F407" s="1417">
        <v>13164047.740000002</v>
      </c>
      <c r="G407" s="1417">
        <v>20604260.02</v>
      </c>
      <c r="H407" s="1417">
        <v>2549533.1000000001</v>
      </c>
      <c r="I407" s="1417">
        <v>-217593.92999998515</v>
      </c>
      <c r="J407" s="24">
        <f t="shared" si="45"/>
        <v>36100246.930000022</v>
      </c>
      <c r="K407" s="821">
        <f t="shared" si="43"/>
        <v>0</v>
      </c>
      <c r="V407">
        <v>13164047.740000002</v>
      </c>
      <c r="W407">
        <v>20604260.02</v>
      </c>
      <c r="X407">
        <v>2549533.1000000001</v>
      </c>
      <c r="Y407">
        <v>-217593.92999998515</v>
      </c>
    </row>
    <row r="408" spans="1:25" ht="14.25">
      <c r="A408" s="19"/>
      <c r="B408" s="17">
        <f t="shared" si="44"/>
        <v>18</v>
      </c>
      <c r="C408" s="19"/>
      <c r="D408" s="19" t="s">
        <v>1249</v>
      </c>
      <c r="E408" s="32"/>
      <c r="F408" s="1417">
        <v>43508.65000000014</v>
      </c>
      <c r="G408" s="1417">
        <v>-1676942.8500000001</v>
      </c>
      <c r="H408" s="1417">
        <v>-57030.739999999998</v>
      </c>
      <c r="I408" s="1417">
        <v>-48632.919999999918</v>
      </c>
      <c r="J408" s="24">
        <f t="shared" si="45"/>
        <v>-1739097.8599999999</v>
      </c>
      <c r="K408" s="821">
        <f t="shared" si="43"/>
        <v>0</v>
      </c>
      <c r="V408">
        <v>43508.65000000014</v>
      </c>
      <c r="W408">
        <v>-1676942.8500000001</v>
      </c>
      <c r="X408">
        <v>-57030.739999999998</v>
      </c>
      <c r="Y408">
        <v>-48632.919999999918</v>
      </c>
    </row>
    <row r="409" spans="1:25" ht="14.25">
      <c r="A409" s="19"/>
      <c r="B409" s="17">
        <f t="shared" si="44"/>
        <v>19</v>
      </c>
      <c r="C409" s="19"/>
      <c r="D409" s="19" t="s">
        <v>1250</v>
      </c>
      <c r="E409" s="32"/>
      <c r="F409" s="1417">
        <v>233885.85000000001</v>
      </c>
      <c r="G409" s="1417">
        <v>253322.39000000001</v>
      </c>
      <c r="H409" s="1417">
        <v>8615.1800000000003</v>
      </c>
      <c r="I409" s="1417">
        <v>7346.580000000009</v>
      </c>
      <c r="J409" s="24">
        <f t="shared" si="45"/>
        <v>503170</v>
      </c>
      <c r="K409" s="821">
        <f t="shared" si="43"/>
        <v>0</v>
      </c>
      <c r="V409">
        <v>233885.85000000001</v>
      </c>
      <c r="W409">
        <v>253322.39000000001</v>
      </c>
      <c r="X409">
        <v>8615.1800000000003</v>
      </c>
      <c r="Y409">
        <v>7346.580000000009</v>
      </c>
    </row>
    <row r="410" spans="1:25" s="386" customFormat="1" ht="14.25">
      <c r="A410" s="19"/>
      <c r="B410" s="17">
        <f t="shared" si="44"/>
        <v>20</v>
      </c>
      <c r="C410" s="19"/>
      <c r="D410" s="19" t="s">
        <v>998</v>
      </c>
      <c r="E410" s="32"/>
      <c r="F410" s="1418">
        <v>28038.459999999999</v>
      </c>
      <c r="G410" s="1418">
        <v>85706.160000000003</v>
      </c>
      <c r="H410" s="1418">
        <v>4388.0100000000002</v>
      </c>
      <c r="I410" s="1418">
        <v>2233.8599999999951</v>
      </c>
      <c r="J410" s="24">
        <f t="shared" si="45"/>
        <v>120366.48999999999</v>
      </c>
      <c r="K410" s="821">
        <f t="shared" si="43"/>
        <v>0</v>
      </c>
      <c r="V410" s="386">
        <v>28038.459999999999</v>
      </c>
      <c r="W410" s="386">
        <v>85706.160000000003</v>
      </c>
      <c r="X410" s="386">
        <v>4388.0100000000002</v>
      </c>
      <c r="Y410" s="386">
        <v>2233.8599999999951</v>
      </c>
    </row>
    <row r="411" spans="1:11" ht="14.25">
      <c r="A411" s="19"/>
      <c r="B411" s="17">
        <f t="shared" si="44"/>
        <v>21</v>
      </c>
      <c r="C411" s="19"/>
      <c r="D411" s="19"/>
      <c r="E411" s="32"/>
      <c r="F411" s="778"/>
      <c r="G411" s="778"/>
      <c r="H411" s="778"/>
      <c r="I411" s="778"/>
      <c r="J411" s="24"/>
      <c r="K411" s="821">
        <f t="shared" si="43"/>
        <v>0</v>
      </c>
    </row>
    <row r="412" spans="1:11" ht="14.25">
      <c r="A412" s="19"/>
      <c r="B412" s="17">
        <f t="shared" si="44"/>
        <v>22</v>
      </c>
      <c r="C412" s="19"/>
      <c r="D412" s="19"/>
      <c r="E412" s="32"/>
      <c r="F412" s="778"/>
      <c r="G412" s="778"/>
      <c r="H412" s="778"/>
      <c r="I412" s="778"/>
      <c r="J412" s="24"/>
      <c r="K412" s="821"/>
    </row>
    <row r="413" spans="1:11" ht="14.25">
      <c r="A413" s="19"/>
      <c r="B413" s="17">
        <f t="shared" si="44"/>
        <v>23</v>
      </c>
      <c r="C413" s="19"/>
      <c r="D413" s="19"/>
      <c r="E413" s="32"/>
      <c r="F413" s="778"/>
      <c r="G413" s="778"/>
      <c r="H413" s="778"/>
      <c r="I413" s="778"/>
      <c r="J413" s="24"/>
      <c r="K413" s="821">
        <f t="shared" si="43"/>
        <v>0</v>
      </c>
    </row>
    <row r="414" spans="1:11" ht="15">
      <c r="A414" s="8"/>
      <c r="B414" s="17">
        <f t="shared" si="44"/>
        <v>24</v>
      </c>
      <c r="C414" s="1"/>
      <c r="D414" s="8" t="s">
        <v>321</v>
      </c>
      <c r="E414" s="17"/>
      <c r="F414" s="1406"/>
      <c r="G414" s="1406"/>
      <c r="H414" s="1406"/>
      <c r="I414" s="1406"/>
      <c r="J414" s="24"/>
      <c r="K414" s="821">
        <f t="shared" si="43"/>
        <v>0</v>
      </c>
    </row>
    <row r="415" spans="1:25" ht="14.25">
      <c r="A415" s="1"/>
      <c r="B415" s="17">
        <f t="shared" si="44"/>
        <v>25</v>
      </c>
      <c r="C415" s="19"/>
      <c r="D415" s="778" t="s">
        <v>323</v>
      </c>
      <c r="E415" s="32"/>
      <c r="F415" s="1416">
        <v>130507.04999999999</v>
      </c>
      <c r="G415" s="1416">
        <v>141352.53</v>
      </c>
      <c r="H415" s="1416">
        <v>4807.2200000000003</v>
      </c>
      <c r="I415" s="1416">
        <v>4099.3500000000358</v>
      </c>
      <c r="J415" s="24">
        <f>SUM(F415:I415)</f>
        <v>280766.14999999997</v>
      </c>
      <c r="K415" s="821">
        <f t="shared" si="43"/>
        <v>0</v>
      </c>
      <c r="V415">
        <v>130507.04999999999</v>
      </c>
      <c r="W415">
        <v>141352.53</v>
      </c>
      <c r="X415">
        <v>4807.2200000000003</v>
      </c>
      <c r="Y415">
        <v>4099.3500000000358</v>
      </c>
    </row>
    <row r="416" spans="1:25" ht="14.25">
      <c r="A416" s="1"/>
      <c r="B416" s="17">
        <f t="shared" si="44"/>
        <v>26</v>
      </c>
      <c r="C416" s="19"/>
      <c r="D416" s="778" t="s">
        <v>1251</v>
      </c>
      <c r="E416" s="32"/>
      <c r="F416" s="1417">
        <v>373833.14000000001</v>
      </c>
      <c r="G416" s="1417">
        <v>1031343.5</v>
      </c>
      <c r="H416" s="1417">
        <v>281193.88</v>
      </c>
      <c r="I416" s="1417">
        <v>11315.619999999995</v>
      </c>
      <c r="J416" s="24">
        <f>SUM(F416:I416)</f>
        <v>1697686.1400000001</v>
      </c>
      <c r="K416" s="821">
        <f t="shared" si="43"/>
        <v>0</v>
      </c>
      <c r="V416">
        <v>373833.14000000001</v>
      </c>
      <c r="W416">
        <v>1031343.5</v>
      </c>
      <c r="X416">
        <v>281193.88</v>
      </c>
      <c r="Y416">
        <v>11315.619999999995</v>
      </c>
    </row>
    <row r="417" spans="1:25" ht="14.25">
      <c r="A417" s="1"/>
      <c r="B417" s="17">
        <f t="shared" si="44"/>
        <v>27</v>
      </c>
      <c r="C417" s="19"/>
      <c r="D417" s="778" t="s">
        <v>1252</v>
      </c>
      <c r="E417" s="32"/>
      <c r="F417" s="1417">
        <v>0</v>
      </c>
      <c r="G417" s="1417">
        <v>0</v>
      </c>
      <c r="H417" s="1417">
        <v>0</v>
      </c>
      <c r="I417" s="1417">
        <v>0</v>
      </c>
      <c r="J417" s="24">
        <f>SUM(F417:I417)</f>
        <v>0</v>
      </c>
      <c r="K417" s="821">
        <f t="shared" si="43"/>
        <v>0</v>
      </c>
      <c r="V417">
        <v>0</v>
      </c>
      <c r="W417">
        <v>0</v>
      </c>
      <c r="X417">
        <v>0</v>
      </c>
      <c r="Y417">
        <v>0</v>
      </c>
    </row>
    <row r="418" spans="1:25" ht="14.25">
      <c r="A418" s="1"/>
      <c r="B418" s="17">
        <f t="shared" si="44"/>
        <v>28</v>
      </c>
      <c r="C418" s="19"/>
      <c r="D418" s="778" t="s">
        <v>1253</v>
      </c>
      <c r="E418" s="32"/>
      <c r="F418" s="1417">
        <v>312761.56</v>
      </c>
      <c r="G418" s="1417">
        <v>862857.16000000003</v>
      </c>
      <c r="H418" s="1417">
        <v>235256.39999999999</v>
      </c>
      <c r="I418" s="1417">
        <v>9467.0199999998149</v>
      </c>
      <c r="J418" s="24">
        <f>SUM(F418:I418)</f>
        <v>1420342.1399999997</v>
      </c>
      <c r="K418" s="821">
        <f t="shared" si="43"/>
        <v>0</v>
      </c>
      <c r="V418">
        <v>312761.56</v>
      </c>
      <c r="W418">
        <v>862857.16000000003</v>
      </c>
      <c r="X418">
        <v>235256.39999999999</v>
      </c>
      <c r="Y418">
        <v>9467.0199999998149</v>
      </c>
    </row>
    <row r="419" spans="1:25" ht="14.25">
      <c r="A419" s="1"/>
      <c r="B419" s="17">
        <f t="shared" si="44"/>
        <v>29</v>
      </c>
      <c r="C419" s="19"/>
      <c r="D419" s="778" t="s">
        <v>1254</v>
      </c>
      <c r="E419" s="32"/>
      <c r="F419" s="1417">
        <v>-1426489.3000000001</v>
      </c>
      <c r="G419" s="1417">
        <v>-2460478.1699999999</v>
      </c>
      <c r="H419" s="1417">
        <v>-815018.30000000005</v>
      </c>
      <c r="I419" s="1417">
        <v>-267715.65999999997</v>
      </c>
      <c r="J419" s="24">
        <f>SUM(F419:I419)</f>
        <v>-4969701.4299999997</v>
      </c>
      <c r="K419" s="821">
        <f t="shared" si="43"/>
        <v>0</v>
      </c>
      <c r="V419">
        <v>-1426489.3000000001</v>
      </c>
      <c r="W419">
        <v>-2460478.1699999999</v>
      </c>
      <c r="X419">
        <v>-815018.30000000005</v>
      </c>
      <c r="Y419">
        <v>-267715.65999999997</v>
      </c>
    </row>
    <row r="420" spans="1:25" s="386" customFormat="1" ht="14.25">
      <c r="A420" s="1"/>
      <c r="B420" s="17">
        <f t="shared" si="44"/>
        <v>30</v>
      </c>
      <c r="C420" s="19"/>
      <c r="D420" s="778" t="s">
        <v>1374</v>
      </c>
      <c r="E420" s="1337"/>
      <c r="F420" s="1417">
        <v>0</v>
      </c>
      <c r="G420" s="1417">
        <v>0</v>
      </c>
      <c r="H420" s="1417">
        <v>0</v>
      </c>
      <c r="I420" s="1417">
        <v>0</v>
      </c>
      <c r="J420" s="24"/>
      <c r="K420" s="821"/>
      <c r="L420"/>
      <c r="M420"/>
      <c r="N420"/>
      <c r="O420"/>
      <c r="V420" s="386">
        <v>0</v>
      </c>
      <c r="W420" s="386">
        <v>0</v>
      </c>
      <c r="X420" s="386">
        <v>0</v>
      </c>
      <c r="Y420" s="386">
        <v>0</v>
      </c>
    </row>
    <row r="421" spans="1:25" s="386" customFormat="1" ht="14.25">
      <c r="A421" s="1"/>
      <c r="B421" s="17">
        <f t="shared" si="44"/>
        <v>31</v>
      </c>
      <c r="C421" s="1"/>
      <c r="D421" s="778" t="s">
        <v>322</v>
      </c>
      <c r="E421" s="17"/>
      <c r="F421" s="1418">
        <v>0</v>
      </c>
      <c r="G421" s="1418">
        <v>0</v>
      </c>
      <c r="H421" s="1418">
        <v>0</v>
      </c>
      <c r="I421" s="1418">
        <v>0</v>
      </c>
      <c r="J421" s="24"/>
      <c r="K421" s="821">
        <f t="shared" si="43"/>
        <v>0</v>
      </c>
      <c r="L421"/>
      <c r="M421"/>
      <c r="N421"/>
      <c r="O421"/>
      <c r="V421" s="386">
        <v>0</v>
      </c>
      <c r="W421" s="386">
        <v>0</v>
      </c>
      <c r="X421" s="386">
        <v>0</v>
      </c>
      <c r="Y421" s="386">
        <v>0</v>
      </c>
    </row>
    <row r="422" spans="1:15" s="386" customFormat="1" ht="15">
      <c r="A422" s="19"/>
      <c r="B422" s="17">
        <f t="shared" si="44"/>
        <v>32</v>
      </c>
      <c r="C422" s="19"/>
      <c r="D422" s="8" t="s">
        <v>324</v>
      </c>
      <c r="E422" s="32"/>
      <c r="F422" s="1406"/>
      <c r="G422" s="1406"/>
      <c r="H422" s="1406"/>
      <c r="I422" s="1406"/>
      <c r="J422" s="24">
        <f t="shared" si="46" ref="J422:J429">SUM(F422:I422)</f>
        <v>0</v>
      </c>
      <c r="K422" s="821">
        <f t="shared" si="43"/>
        <v>0</v>
      </c>
      <c r="L422"/>
      <c r="M422"/>
      <c r="N422"/>
      <c r="O422"/>
    </row>
    <row r="423" spans="1:25" s="386" customFormat="1" ht="14.25">
      <c r="A423" s="19"/>
      <c r="B423" s="17">
        <f t="shared" si="44"/>
        <v>33</v>
      </c>
      <c r="C423" s="19"/>
      <c r="D423" s="778" t="s">
        <v>319</v>
      </c>
      <c r="E423" s="32"/>
      <c r="F423" s="1448">
        <v>580486.72999999998</v>
      </c>
      <c r="G423" s="1448">
        <v>191147.98999999999</v>
      </c>
      <c r="H423" s="1448">
        <v>0</v>
      </c>
      <c r="I423" s="1416">
        <v>0</v>
      </c>
      <c r="J423" s="24">
        <f t="shared" si="46"/>
        <v>771634.71999999997</v>
      </c>
      <c r="K423" s="821">
        <f t="shared" si="43"/>
        <v>0</v>
      </c>
      <c r="L423"/>
      <c r="M423"/>
      <c r="N423"/>
      <c r="O423"/>
      <c r="V423" s="386">
        <v>580486.72999999998</v>
      </c>
      <c r="W423" s="386">
        <v>191147.98999999999</v>
      </c>
      <c r="X423" s="386">
        <v>0</v>
      </c>
      <c r="Y423" s="386">
        <v>0</v>
      </c>
    </row>
    <row r="424" spans="1:25" s="386" customFormat="1" ht="14.25">
      <c r="A424" s="19"/>
      <c r="B424" s="17">
        <f t="shared" si="44"/>
        <v>34</v>
      </c>
      <c r="C424" s="19"/>
      <c r="D424" s="778" t="s">
        <v>1247</v>
      </c>
      <c r="E424" s="32"/>
      <c r="F424" s="1449">
        <v>8494637.3499999996</v>
      </c>
      <c r="G424" s="1450">
        <v>7133574.9500000002</v>
      </c>
      <c r="H424" s="1450">
        <v>242603.98999999999</v>
      </c>
      <c r="I424" s="1451">
        <v>206880.70000000042</v>
      </c>
      <c r="J424" s="24">
        <f t="shared" si="46"/>
        <v>16077696.990000002</v>
      </c>
      <c r="K424" s="821">
        <f t="shared" si="43"/>
        <v>0</v>
      </c>
      <c r="L424"/>
      <c r="M424"/>
      <c r="N424"/>
      <c r="O424"/>
      <c r="V424" s="386">
        <v>8494637.3499999996</v>
      </c>
      <c r="W424" s="386">
        <v>7133574.9500000002</v>
      </c>
      <c r="X424" s="386">
        <v>242603.98999999999</v>
      </c>
      <c r="Y424" s="386">
        <v>206880.70000000042</v>
      </c>
    </row>
    <row r="425" spans="1:25" s="386" customFormat="1" ht="14.25">
      <c r="A425" s="19"/>
      <c r="B425" s="17">
        <f t="shared" si="44"/>
        <v>35</v>
      </c>
      <c r="C425" s="1"/>
      <c r="D425" s="778" t="s">
        <v>1248</v>
      </c>
      <c r="E425" s="17"/>
      <c r="F425" s="1449">
        <v>13164047.740000002</v>
      </c>
      <c r="G425" s="1450">
        <v>20604260.02</v>
      </c>
      <c r="H425" s="1450">
        <v>2549533.1000000001</v>
      </c>
      <c r="I425" s="1451">
        <v>-217593.92999998515</v>
      </c>
      <c r="J425" s="24">
        <f t="shared" si="46"/>
        <v>36100246.930000022</v>
      </c>
      <c r="K425" s="821">
        <f t="shared" si="43"/>
        <v>0</v>
      </c>
      <c r="L425"/>
      <c r="M425"/>
      <c r="N425"/>
      <c r="O425"/>
      <c r="V425" s="386">
        <v>13164047.740000002</v>
      </c>
      <c r="W425" s="386">
        <v>20604260.02</v>
      </c>
      <c r="X425" s="386">
        <v>2549533.1000000001</v>
      </c>
      <c r="Y425" s="386">
        <v>-217593.92999998515</v>
      </c>
    </row>
    <row r="426" spans="1:25" s="386" customFormat="1" ht="14.25">
      <c r="A426" s="19"/>
      <c r="B426" s="17">
        <f t="shared" si="44"/>
        <v>36</v>
      </c>
      <c r="C426" s="19"/>
      <c r="D426" s="778" t="s">
        <v>1249</v>
      </c>
      <c r="E426" s="54"/>
      <c r="F426" s="1452">
        <v>43508.65000000014</v>
      </c>
      <c r="G426" s="1453">
        <v>-1676942.8500000001</v>
      </c>
      <c r="H426" s="1453">
        <v>-57030.739999999998</v>
      </c>
      <c r="I426" s="1454">
        <v>-48632.919999999918</v>
      </c>
      <c r="J426" s="24">
        <f t="shared" si="46"/>
        <v>-1739097.8599999999</v>
      </c>
      <c r="K426" s="821">
        <f t="shared" si="43"/>
        <v>0</v>
      </c>
      <c r="L426"/>
      <c r="M426"/>
      <c r="N426"/>
      <c r="O426"/>
      <c r="V426" s="386">
        <v>43508.65000000014</v>
      </c>
      <c r="W426" s="386">
        <v>-1676942.8500000001</v>
      </c>
      <c r="X426" s="386">
        <v>-57030.739999999998</v>
      </c>
      <c r="Y426" s="386">
        <v>-48632.919999999918</v>
      </c>
    </row>
    <row r="427" spans="1:25" s="386" customFormat="1" ht="14.25">
      <c r="A427" s="19"/>
      <c r="B427" s="17">
        <f t="shared" si="44"/>
        <v>37</v>
      </c>
      <c r="C427" s="19"/>
      <c r="D427" s="778" t="s">
        <v>1250</v>
      </c>
      <c r="E427" s="54"/>
      <c r="F427" s="1455">
        <v>233885.85000000001</v>
      </c>
      <c r="G427" s="1456">
        <v>253322.39000000001</v>
      </c>
      <c r="H427" s="1456">
        <v>8615.1800000000003</v>
      </c>
      <c r="I427" s="1457">
        <v>7346.580000000009</v>
      </c>
      <c r="J427" s="24">
        <f t="shared" si="46"/>
        <v>503170</v>
      </c>
      <c r="K427" s="821">
        <f t="shared" si="43"/>
        <v>0</v>
      </c>
      <c r="L427"/>
      <c r="M427"/>
      <c r="N427"/>
      <c r="O427"/>
      <c r="V427" s="386">
        <v>233885.85000000001</v>
      </c>
      <c r="W427" s="386">
        <v>253322.39000000001</v>
      </c>
      <c r="X427" s="386">
        <v>8615.1800000000003</v>
      </c>
      <c r="Y427" s="386">
        <v>7346.580000000009</v>
      </c>
    </row>
    <row r="428" spans="1:11" s="386" customFormat="1" ht="15">
      <c r="A428" s="19"/>
      <c r="B428" s="17">
        <f t="shared" si="44"/>
        <v>38</v>
      </c>
      <c r="C428" s="19"/>
      <c r="D428" s="8" t="s">
        <v>325</v>
      </c>
      <c r="E428" s="54"/>
      <c r="F428" s="1406"/>
      <c r="G428" s="1406"/>
      <c r="H428" s="1406"/>
      <c r="I428" s="1406"/>
      <c r="J428" s="24">
        <f t="shared" si="46"/>
        <v>0</v>
      </c>
      <c r="K428" s="821">
        <f t="shared" si="43"/>
        <v>0</v>
      </c>
    </row>
    <row r="429" spans="1:25" s="386" customFormat="1" ht="14.25">
      <c r="A429" s="19"/>
      <c r="B429" s="17">
        <f t="shared" si="44"/>
        <v>39</v>
      </c>
      <c r="C429" s="19"/>
      <c r="D429" s="778" t="s">
        <v>323</v>
      </c>
      <c r="E429" s="54"/>
      <c r="F429" s="1416">
        <v>130507.04999999999</v>
      </c>
      <c r="G429" s="1416">
        <v>141352.53</v>
      </c>
      <c r="H429" s="1416">
        <v>4807.2200000000003</v>
      </c>
      <c r="I429" s="1416">
        <v>4099.3500000000358</v>
      </c>
      <c r="J429" s="24">
        <f t="shared" si="46"/>
        <v>280766.14999999997</v>
      </c>
      <c r="K429" s="821">
        <f>J429-SUM(F429:I429)</f>
        <v>0</v>
      </c>
      <c r="L429"/>
      <c r="M429"/>
      <c r="N429"/>
      <c r="O429"/>
      <c r="V429" s="386">
        <v>130507.04999999999</v>
      </c>
      <c r="W429" s="386">
        <v>141352.53</v>
      </c>
      <c r="X429" s="386">
        <v>4807.2200000000003</v>
      </c>
      <c r="Y429" s="386">
        <v>4099.3500000000358</v>
      </c>
    </row>
    <row r="430" spans="1:25" s="386" customFormat="1" ht="14.25">
      <c r="A430" s="19"/>
      <c r="B430" s="17">
        <f t="shared" si="44"/>
        <v>40</v>
      </c>
      <c r="C430" s="19"/>
      <c r="D430" s="778" t="s">
        <v>1374</v>
      </c>
      <c r="E430" s="1337"/>
      <c r="F430" s="1417">
        <v>0</v>
      </c>
      <c r="G430" s="1417">
        <v>0</v>
      </c>
      <c r="H430" s="1417">
        <v>0</v>
      </c>
      <c r="I430" s="1417">
        <v>0</v>
      </c>
      <c r="J430" s="24"/>
      <c r="K430" s="821"/>
      <c r="L430"/>
      <c r="M430"/>
      <c r="N430"/>
      <c r="O430"/>
      <c r="V430" s="386">
        <v>0</v>
      </c>
      <c r="W430" s="386">
        <v>0</v>
      </c>
      <c r="X430" s="386">
        <v>0</v>
      </c>
      <c r="Y430" s="386">
        <v>0</v>
      </c>
    </row>
    <row r="431" spans="1:25" s="386" customFormat="1" ht="13.5" customHeight="1">
      <c r="A431" s="19"/>
      <c r="B431" s="17">
        <f t="shared" si="44"/>
        <v>41</v>
      </c>
      <c r="C431" s="19"/>
      <c r="D431" s="778" t="s">
        <v>326</v>
      </c>
      <c r="E431" s="54"/>
      <c r="F431" s="1417">
        <v>0</v>
      </c>
      <c r="G431" s="1417">
        <v>0</v>
      </c>
      <c r="H431" s="1417">
        <v>0</v>
      </c>
      <c r="I431" s="1417">
        <v>0</v>
      </c>
      <c r="J431" s="24">
        <f>SUM(F431:I431)</f>
        <v>0</v>
      </c>
      <c r="K431" s="821"/>
      <c r="L431"/>
      <c r="M431"/>
      <c r="N431"/>
      <c r="O431"/>
      <c r="V431" s="386">
        <v>0</v>
      </c>
      <c r="W431" s="386">
        <v>0</v>
      </c>
      <c r="X431" s="386">
        <v>0</v>
      </c>
      <c r="Y431" s="386">
        <v>0</v>
      </c>
    </row>
    <row r="432" spans="1:15" s="386" customFormat="1" ht="14.25">
      <c r="A432" s="19"/>
      <c r="B432" s="17">
        <f t="shared" si="44"/>
        <v>42</v>
      </c>
      <c r="E432" s="54"/>
      <c r="F432" s="1418"/>
      <c r="G432" s="1418"/>
      <c r="H432" s="1418"/>
      <c r="I432" s="1418"/>
      <c r="J432" s="24">
        <f>SUM(F432:I432)</f>
        <v>0</v>
      </c>
      <c r="K432" s="821">
        <f>J432-SUM(F432:I432)</f>
        <v>0</v>
      </c>
      <c r="L432"/>
      <c r="M432"/>
      <c r="N432"/>
      <c r="O432"/>
    </row>
    <row r="433" spans="1:11" ht="14.25">
      <c r="A433" s="19"/>
      <c r="E433" s="54"/>
      <c r="F433" s="778"/>
      <c r="G433" s="778"/>
      <c r="H433" s="778"/>
      <c r="I433" s="778"/>
      <c r="J433" s="24"/>
      <c r="K433" s="821"/>
    </row>
    <row r="434" spans="1:11" ht="14.25">
      <c r="A434" s="19"/>
      <c r="B434" s="17"/>
      <c r="C434" s="19"/>
      <c r="D434" s="19"/>
      <c r="E434" s="54"/>
      <c r="F434" s="778"/>
      <c r="G434" s="778"/>
      <c r="H434" s="778"/>
      <c r="I434" s="778"/>
      <c r="J434" s="24"/>
      <c r="K434" s="821">
        <f t="shared" si="43"/>
        <v>0</v>
      </c>
    </row>
    <row r="435" spans="1:11" ht="15">
      <c r="A435" s="19"/>
      <c r="B435" s="17">
        <v>1</v>
      </c>
      <c r="C435" s="366" t="s">
        <v>327</v>
      </c>
      <c r="D435" s="19"/>
      <c r="E435" s="54"/>
      <c r="F435" s="778"/>
      <c r="G435" s="778"/>
      <c r="H435" s="778"/>
      <c r="I435" s="778"/>
      <c r="J435" s="24"/>
      <c r="K435" s="821">
        <f t="shared" si="43"/>
        <v>0</v>
      </c>
    </row>
    <row r="436" spans="1:25" ht="15">
      <c r="A436" s="19"/>
      <c r="B436" s="17">
        <f t="shared" si="47" ref="B436:B473">B435+1</f>
        <v>2</v>
      </c>
      <c r="C436" s="1" t="s">
        <v>328</v>
      </c>
      <c r="D436" s="1" t="s">
        <v>329</v>
      </c>
      <c r="E436" s="907" t="s">
        <v>330</v>
      </c>
      <c r="F436" s="1416">
        <v>22721.029999999999</v>
      </c>
      <c r="G436" s="1416">
        <v>97.260000000002037</v>
      </c>
      <c r="H436" s="1416">
        <v>0</v>
      </c>
      <c r="I436" s="1416">
        <v>0</v>
      </c>
      <c r="J436" s="24">
        <f>SUM(F436:I436)</f>
        <v>22818.290000000001</v>
      </c>
      <c r="K436" s="821">
        <f t="shared" si="43"/>
        <v>0</v>
      </c>
      <c r="V436">
        <v>22721.029999999999</v>
      </c>
      <c r="W436">
        <v>97.260000000002037</v>
      </c>
      <c r="X436">
        <v>0</v>
      </c>
      <c r="Y436">
        <v>0</v>
      </c>
    </row>
    <row r="437" spans="1:25" ht="15">
      <c r="A437" s="1"/>
      <c r="B437" s="17">
        <f t="shared" si="47"/>
        <v>3</v>
      </c>
      <c r="C437" s="1" t="s">
        <v>331</v>
      </c>
      <c r="D437" s="1" t="s">
        <v>332</v>
      </c>
      <c r="E437" s="907" t="s">
        <v>333</v>
      </c>
      <c r="F437" s="1418">
        <v>1145044.3400000001</v>
      </c>
      <c r="G437" s="1418">
        <v>-2773001.1500000004</v>
      </c>
      <c r="H437" s="1418">
        <v>25459958.16</v>
      </c>
      <c r="I437" s="1418">
        <v>0</v>
      </c>
      <c r="J437" s="24">
        <f>SUM(F437:I437)</f>
        <v>23832001.350000001</v>
      </c>
      <c r="K437" s="821">
        <f t="shared" si="43"/>
        <v>0</v>
      </c>
      <c r="V437">
        <v>1145044.3400000001</v>
      </c>
      <c r="W437">
        <v>-2773001.1500000004</v>
      </c>
      <c r="X437">
        <v>25459958.16</v>
      </c>
      <c r="Y437">
        <v>0</v>
      </c>
    </row>
    <row r="438" spans="1:11" ht="15">
      <c r="A438" s="1"/>
      <c r="B438" s="17">
        <f t="shared" si="47"/>
        <v>4</v>
      </c>
      <c r="C438" s="1"/>
      <c r="D438" s="1"/>
      <c r="E438" s="907"/>
      <c r="F438" s="778"/>
      <c r="G438" s="778"/>
      <c r="H438" s="778"/>
      <c r="I438" s="778"/>
      <c r="J438" s="24"/>
      <c r="K438" s="821">
        <f t="shared" si="43"/>
        <v>0</v>
      </c>
    </row>
    <row r="439" spans="1:11" ht="15">
      <c r="A439" s="1"/>
      <c r="B439" s="17">
        <f t="shared" si="47"/>
        <v>5</v>
      </c>
      <c r="C439" s="366" t="s">
        <v>334</v>
      </c>
      <c r="D439" s="1"/>
      <c r="E439" s="1135" t="s">
        <v>335</v>
      </c>
      <c r="F439" s="1406"/>
      <c r="G439" s="1406"/>
      <c r="H439" s="1406"/>
      <c r="I439" s="1406"/>
      <c r="J439" s="24"/>
      <c r="K439" s="821">
        <f t="shared" si="43"/>
        <v>0</v>
      </c>
    </row>
    <row r="440" spans="1:11" ht="15">
      <c r="A440" s="8"/>
      <c r="B440" s="17">
        <f t="shared" si="47"/>
        <v>6</v>
      </c>
      <c r="C440" s="8" t="s">
        <v>336</v>
      </c>
      <c r="D440" s="1"/>
      <c r="E440" s="17"/>
      <c r="F440" s="1406"/>
      <c r="G440" s="1406"/>
      <c r="H440" s="1406"/>
      <c r="I440" s="1406"/>
      <c r="J440" s="24"/>
      <c r="K440" s="821">
        <f t="shared" si="43"/>
        <v>0</v>
      </c>
    </row>
    <row r="441" spans="1:25" ht="15">
      <c r="A441" s="8"/>
      <c r="B441" s="17">
        <f t="shared" si="47"/>
        <v>7</v>
      </c>
      <c r="C441" s="1" t="s">
        <v>337</v>
      </c>
      <c r="D441" s="1" t="s">
        <v>338</v>
      </c>
      <c r="E441" s="54"/>
      <c r="F441" s="1416">
        <v>0</v>
      </c>
      <c r="G441" s="1479">
        <v>17616778</v>
      </c>
      <c r="H441" s="1416">
        <v>0</v>
      </c>
      <c r="I441" s="1416">
        <v>0</v>
      </c>
      <c r="J441" s="24">
        <f t="shared" si="48" ref="J441:J451">SUM(F441:I441)</f>
        <v>17616778</v>
      </c>
      <c r="K441" s="821">
        <f t="shared" si="43"/>
        <v>0</v>
      </c>
      <c r="L441" s="1443"/>
      <c r="V441">
        <v>0</v>
      </c>
      <c r="W441">
        <v>17616778</v>
      </c>
      <c r="X441">
        <v>0</v>
      </c>
      <c r="Y441">
        <v>0</v>
      </c>
    </row>
    <row r="442" spans="1:25" ht="14.25">
      <c r="A442" s="1"/>
      <c r="B442" s="17">
        <f t="shared" si="47"/>
        <v>8</v>
      </c>
      <c r="C442" s="1" t="s">
        <v>339</v>
      </c>
      <c r="D442" s="1" t="s">
        <v>340</v>
      </c>
      <c r="E442" s="54"/>
      <c r="F442" s="1417">
        <v>0</v>
      </c>
      <c r="G442" s="1417">
        <v>1070706.0600000001</v>
      </c>
      <c r="H442" s="1417">
        <v>0</v>
      </c>
      <c r="I442" s="1417">
        <v>0</v>
      </c>
      <c r="J442" s="24">
        <f t="shared" si="48"/>
        <v>1070706.0600000001</v>
      </c>
      <c r="K442" s="821">
        <f t="shared" si="43"/>
        <v>0</v>
      </c>
      <c r="V442">
        <v>0</v>
      </c>
      <c r="W442">
        <v>1070706.0600000001</v>
      </c>
      <c r="X442">
        <v>0</v>
      </c>
      <c r="Y442">
        <v>0</v>
      </c>
    </row>
    <row r="443" spans="1:25" s="386" customFormat="1" ht="14.25">
      <c r="A443" s="1"/>
      <c r="B443" s="17">
        <f t="shared" si="47"/>
        <v>9</v>
      </c>
      <c r="C443" s="1" t="s">
        <v>341</v>
      </c>
      <c r="D443" s="1" t="s">
        <v>342</v>
      </c>
      <c r="E443" s="1"/>
      <c r="F443" s="1417">
        <v>0</v>
      </c>
      <c r="G443" s="1417">
        <v>17168857.82</v>
      </c>
      <c r="H443" s="1417">
        <v>5094630.9699999997</v>
      </c>
      <c r="I443" s="1417">
        <v>205014.6500000013</v>
      </c>
      <c r="J443" s="24">
        <f t="shared" si="48"/>
        <v>22468503.440000001</v>
      </c>
      <c r="K443" s="821">
        <f t="shared" si="43"/>
        <v>0</v>
      </c>
      <c r="L443"/>
      <c r="M443"/>
      <c r="N443"/>
      <c r="O443"/>
      <c r="V443" s="386">
        <v>0</v>
      </c>
      <c r="W443" s="386">
        <v>17168857.82</v>
      </c>
      <c r="X443" s="386">
        <v>5094630.9699999997</v>
      </c>
      <c r="Y443" s="386">
        <v>205014.6500000013</v>
      </c>
    </row>
    <row r="444" spans="1:25" s="386" customFormat="1" ht="14.25">
      <c r="A444" s="19"/>
      <c r="B444" s="17">
        <f t="shared" si="47"/>
        <v>10</v>
      </c>
      <c r="C444" s="1" t="s">
        <v>343</v>
      </c>
      <c r="D444" s="1" t="s">
        <v>344</v>
      </c>
      <c r="E444" s="19"/>
      <c r="F444" s="1417">
        <v>0</v>
      </c>
      <c r="G444" s="1417">
        <v>456565.46000000002</v>
      </c>
      <c r="H444" s="1417">
        <v>0</v>
      </c>
      <c r="I444" s="1417">
        <v>0</v>
      </c>
      <c r="J444" s="24">
        <f t="shared" si="48"/>
        <v>456565.46000000002</v>
      </c>
      <c r="K444" s="821">
        <f t="shared" si="43"/>
        <v>0</v>
      </c>
      <c r="V444" s="386">
        <v>0</v>
      </c>
      <c r="W444" s="386">
        <v>456565.46000000002</v>
      </c>
      <c r="X444" s="386">
        <v>0</v>
      </c>
      <c r="Y444" s="386">
        <v>0</v>
      </c>
    </row>
    <row r="445" spans="1:25" s="386" customFormat="1" ht="14.25">
      <c r="A445" s="19"/>
      <c r="B445" s="17">
        <f t="shared" si="47"/>
        <v>11</v>
      </c>
      <c r="C445" s="730" t="s">
        <v>1255</v>
      </c>
      <c r="D445" s="1400" t="s">
        <v>1256</v>
      </c>
      <c r="E445" s="19"/>
      <c r="F445" s="1417">
        <v>0</v>
      </c>
      <c r="G445" s="1417">
        <v>0</v>
      </c>
      <c r="H445" s="1417">
        <v>0</v>
      </c>
      <c r="I445" s="1417">
        <v>0</v>
      </c>
      <c r="J445" s="24">
        <f t="shared" si="48"/>
        <v>0</v>
      </c>
      <c r="K445" s="821"/>
      <c r="V445" s="386">
        <v>0</v>
      </c>
      <c r="W445" s="386">
        <v>0</v>
      </c>
      <c r="X445" s="386">
        <v>0</v>
      </c>
      <c r="Y445" s="386">
        <v>0</v>
      </c>
    </row>
    <row r="446" spans="1:25" s="386" customFormat="1" ht="14.25">
      <c r="A446" s="19"/>
      <c r="B446" s="17">
        <f t="shared" si="47"/>
        <v>12</v>
      </c>
      <c r="C446" s="1" t="s">
        <v>345</v>
      </c>
      <c r="D446" s="1" t="s">
        <v>346</v>
      </c>
      <c r="E446" s="19"/>
      <c r="F446" s="1417">
        <v>0</v>
      </c>
      <c r="G446" s="1417">
        <v>8281656.0099999998</v>
      </c>
      <c r="H446" s="1417">
        <v>0</v>
      </c>
      <c r="I446" s="1417">
        <v>0</v>
      </c>
      <c r="J446" s="24">
        <f t="shared" si="48"/>
        <v>8281656.0099999998</v>
      </c>
      <c r="K446" s="821">
        <f t="shared" si="43"/>
        <v>0</v>
      </c>
      <c r="V446" s="386">
        <v>0</v>
      </c>
      <c r="W446" s="386">
        <v>8281656.0099999998</v>
      </c>
      <c r="X446" s="386">
        <v>0</v>
      </c>
      <c r="Y446" s="386">
        <v>0</v>
      </c>
    </row>
    <row r="447" spans="1:25" s="386" customFormat="1" ht="14.25">
      <c r="A447" s="19"/>
      <c r="B447" s="17">
        <f t="shared" si="47"/>
        <v>13</v>
      </c>
      <c r="C447" s="730" t="s">
        <v>347</v>
      </c>
      <c r="D447" s="1" t="s">
        <v>348</v>
      </c>
      <c r="E447" s="19"/>
      <c r="F447" s="1417">
        <v>961339</v>
      </c>
      <c r="G447" s="1417">
        <v>1059910.96</v>
      </c>
      <c r="H447" s="1417">
        <v>0</v>
      </c>
      <c r="I447" s="1417">
        <v>0</v>
      </c>
      <c r="J447" s="24">
        <f t="shared" si="48"/>
        <v>2021249.96</v>
      </c>
      <c r="K447" s="821">
        <f t="shared" si="43"/>
        <v>0</v>
      </c>
      <c r="V447" s="386">
        <v>961339</v>
      </c>
      <c r="W447" s="386">
        <v>1059910.96</v>
      </c>
      <c r="X447" s="386">
        <v>0</v>
      </c>
      <c r="Y447" s="386">
        <v>0</v>
      </c>
    </row>
    <row r="448" spans="1:25" s="386" customFormat="1" ht="14.25">
      <c r="A448" s="19"/>
      <c r="B448" s="17">
        <f t="shared" si="47"/>
        <v>14</v>
      </c>
      <c r="C448" s="1" t="s">
        <v>349</v>
      </c>
      <c r="D448" s="1" t="s">
        <v>350</v>
      </c>
      <c r="E448" s="19"/>
      <c r="F448" s="1417">
        <v>14538318.33</v>
      </c>
      <c r="G448" s="1417">
        <v>0</v>
      </c>
      <c r="H448" s="1417">
        <v>0</v>
      </c>
      <c r="I448" s="1417">
        <v>0</v>
      </c>
      <c r="J448" s="24">
        <f t="shared" si="48"/>
        <v>14538318.33</v>
      </c>
      <c r="K448" s="821">
        <f t="shared" si="43"/>
        <v>0</v>
      </c>
      <c r="V448" s="386">
        <v>14538318.33</v>
      </c>
      <c r="W448" s="386">
        <v>0</v>
      </c>
      <c r="X448" s="386">
        <v>0</v>
      </c>
      <c r="Y448" s="386">
        <v>0</v>
      </c>
    </row>
    <row r="449" spans="1:25" s="386" customFormat="1" ht="14.25">
      <c r="A449" s="19"/>
      <c r="B449" s="17">
        <f t="shared" si="47"/>
        <v>15</v>
      </c>
      <c r="C449" s="1" t="s">
        <v>351</v>
      </c>
      <c r="D449" s="1" t="s">
        <v>352</v>
      </c>
      <c r="E449" s="19"/>
      <c r="F449" s="1417">
        <v>609106.56000000006</v>
      </c>
      <c r="G449" s="1417">
        <v>16700</v>
      </c>
      <c r="H449" s="1417">
        <v>0</v>
      </c>
      <c r="I449" s="1417">
        <v>0</v>
      </c>
      <c r="J449" s="24">
        <f t="shared" si="48"/>
        <v>625806.56000000006</v>
      </c>
      <c r="K449" s="821">
        <f t="shared" si="43"/>
        <v>0</v>
      </c>
      <c r="V449" s="386">
        <v>609106.56000000006</v>
      </c>
      <c r="W449" s="386">
        <v>16700</v>
      </c>
      <c r="X449" s="386">
        <v>0</v>
      </c>
      <c r="Y449" s="386">
        <v>0</v>
      </c>
    </row>
    <row r="450" spans="1:25" s="386" customFormat="1" ht="14.25">
      <c r="A450" s="19"/>
      <c r="B450" s="17">
        <f t="shared" si="47"/>
        <v>16</v>
      </c>
      <c r="C450" s="1" t="s">
        <v>353</v>
      </c>
      <c r="D450" s="1" t="s">
        <v>354</v>
      </c>
      <c r="E450" s="19"/>
      <c r="F450" s="1417">
        <v>464684.04000000004</v>
      </c>
      <c r="G450" s="1417">
        <v>0</v>
      </c>
      <c r="H450" s="1417">
        <v>0</v>
      </c>
      <c r="I450" s="1417">
        <v>0</v>
      </c>
      <c r="J450" s="24">
        <f t="shared" si="48"/>
        <v>464684.04000000004</v>
      </c>
      <c r="K450" s="821">
        <f t="shared" si="43"/>
        <v>0</v>
      </c>
      <c r="V450" s="386">
        <v>464684.04000000004</v>
      </c>
      <c r="W450" s="386">
        <v>0</v>
      </c>
      <c r="X450" s="386">
        <v>0</v>
      </c>
      <c r="Y450" s="386">
        <v>0</v>
      </c>
    </row>
    <row r="451" spans="1:25" s="386" customFormat="1" ht="14.25">
      <c r="A451" s="19"/>
      <c r="B451" s="17">
        <f t="shared" si="47"/>
        <v>17</v>
      </c>
      <c r="C451" s="1" t="s">
        <v>355</v>
      </c>
      <c r="D451" s="28" t="s">
        <v>356</v>
      </c>
      <c r="E451" s="19"/>
      <c r="F451" s="1417">
        <v>26449886.82</v>
      </c>
      <c r="G451" s="1417">
        <v>6086807.6699999981</v>
      </c>
      <c r="H451" s="1417">
        <v>0</v>
      </c>
      <c r="I451" s="1417">
        <v>0</v>
      </c>
      <c r="J451" s="24">
        <f t="shared" si="48"/>
        <v>32536694.489999998</v>
      </c>
      <c r="K451" s="821">
        <f t="shared" si="43"/>
        <v>0</v>
      </c>
      <c r="V451" s="386">
        <v>26449886.82</v>
      </c>
      <c r="W451" s="386">
        <v>6086807.6699999981</v>
      </c>
      <c r="X451" s="386">
        <v>0</v>
      </c>
      <c r="Y451" s="386">
        <v>0</v>
      </c>
    </row>
    <row r="452" spans="1:11" ht="14.25">
      <c r="A452" s="19"/>
      <c r="B452" s="17">
        <f t="shared" si="47"/>
        <v>18</v>
      </c>
      <c r="C452" s="1"/>
      <c r="D452" s="28"/>
      <c r="E452" s="19"/>
      <c r="F452" s="1418"/>
      <c r="G452" s="1418"/>
      <c r="H452" s="1418"/>
      <c r="I452" s="1418"/>
      <c r="J452" s="24"/>
      <c r="K452" s="821"/>
    </row>
    <row r="453" spans="1:11" ht="15">
      <c r="A453" s="22"/>
      <c r="B453" s="17">
        <f t="shared" si="47"/>
        <v>19</v>
      </c>
      <c r="C453" s="896"/>
      <c r="D453" s="896"/>
      <c r="E453" s="896"/>
      <c r="F453" s="1410"/>
      <c r="G453" s="1410"/>
      <c r="H453" s="1410"/>
      <c r="I453" s="1410"/>
      <c r="J453" s="24"/>
      <c r="K453" s="821">
        <f t="shared" si="43"/>
        <v>0</v>
      </c>
    </row>
    <row r="454" spans="1:25" ht="15">
      <c r="A454" s="19"/>
      <c r="B454" s="17">
        <f t="shared" si="47"/>
        <v>20</v>
      </c>
      <c r="C454" s="896" t="s">
        <v>357</v>
      </c>
      <c r="D454" s="1"/>
      <c r="E454" s="1135" t="s">
        <v>279</v>
      </c>
      <c r="F454" s="1458">
        <v>64966318.359999999</v>
      </c>
      <c r="G454" s="1459">
        <v>171590795.55000001</v>
      </c>
      <c r="H454" s="1459">
        <v>44152741.849999994</v>
      </c>
      <c r="I454" s="1460">
        <v>19069829.240000002</v>
      </c>
      <c r="J454" s="24">
        <f>SUM(F454:I454)</f>
        <v>299779685</v>
      </c>
      <c r="K454" s="821">
        <f t="shared" si="49" ref="K454:K456">J454-SUM(F454:I454)</f>
        <v>0</v>
      </c>
      <c r="V454">
        <v>64966318.359999999</v>
      </c>
      <c r="W454">
        <v>171590795.55000001</v>
      </c>
      <c r="X454">
        <v>44152741.849999994</v>
      </c>
      <c r="Y454">
        <v>19069829.240000002</v>
      </c>
    </row>
    <row r="455" spans="1:11" ht="15">
      <c r="A455" s="22"/>
      <c r="B455" s="17">
        <f t="shared" si="47"/>
        <v>21</v>
      </c>
      <c r="C455" s="896"/>
      <c r="D455" s="896"/>
      <c r="E455" s="1135"/>
      <c r="F455" s="1410"/>
      <c r="G455" s="1410"/>
      <c r="H455" s="1410"/>
      <c r="I455" s="1410"/>
      <c r="J455" s="24"/>
      <c r="K455" s="821">
        <f t="shared" si="49"/>
        <v>0</v>
      </c>
    </row>
    <row r="456" spans="1:25" s="386" customFormat="1" ht="15">
      <c r="A456" s="1"/>
      <c r="B456" s="17">
        <f t="shared" si="47"/>
        <v>22</v>
      </c>
      <c r="C456" s="896" t="s">
        <v>358</v>
      </c>
      <c r="D456" s="1"/>
      <c r="E456" s="1274" t="s">
        <v>359</v>
      </c>
      <c r="F456" s="1461">
        <v>1445176353.4782901</v>
      </c>
      <c r="G456" s="1461">
        <v>3960794562.0684595</v>
      </c>
      <c r="H456" s="1461">
        <v>200341062.40062925</v>
      </c>
      <c r="I456" s="1461">
        <v>104379391.31904973</v>
      </c>
      <c r="J456" s="24">
        <f>SUM(F456:I456)</f>
        <v>5710691369.266428</v>
      </c>
      <c r="K456" s="821">
        <f t="shared" si="49"/>
        <v>0</v>
      </c>
      <c r="L456"/>
      <c r="M456"/>
      <c r="N456"/>
      <c r="O456"/>
      <c r="V456" s="386">
        <v>1445176353.4782901</v>
      </c>
      <c r="W456" s="386">
        <v>3960794562.0684595</v>
      </c>
      <c r="X456" s="386">
        <v>200341062.40062925</v>
      </c>
      <c r="Y456" s="386">
        <v>104379391.31904973</v>
      </c>
    </row>
    <row r="457" spans="1:11" s="386" customFormat="1" ht="14.25">
      <c r="A457" s="1"/>
      <c r="B457" s="17">
        <f t="shared" si="47"/>
        <v>23</v>
      </c>
      <c r="C457" s="730"/>
      <c r="D457" s="1"/>
      <c r="E457" s="1"/>
      <c r="F457" s="894"/>
      <c r="G457" s="894"/>
      <c r="H457" s="894"/>
      <c r="I457" s="894"/>
      <c r="J457" s="1"/>
      <c r="K457" s="2"/>
    </row>
    <row r="458" spans="1:13" s="386" customFormat="1" ht="15">
      <c r="A458" s="19"/>
      <c r="B458" s="17">
        <f t="shared" si="47"/>
        <v>24</v>
      </c>
      <c r="C458" s="59"/>
      <c r="D458" s="59"/>
      <c r="E458" s="19"/>
      <c r="F458" s="19"/>
      <c r="G458" s="19"/>
      <c r="H458" s="19"/>
      <c r="I458" s="19"/>
      <c r="J458" s="19"/>
      <c r="K458" s="1278"/>
      <c r="L458" s="404"/>
      <c r="M458" s="147"/>
    </row>
    <row r="459" spans="1:13" s="147" customFormat="1" ht="15">
      <c r="A459" s="896"/>
      <c r="B459" s="1274">
        <f t="shared" si="47"/>
        <v>25</v>
      </c>
      <c r="C459" s="1279"/>
      <c r="D459" s="1280" t="s">
        <v>360</v>
      </c>
      <c r="E459" s="693"/>
      <c r="F459" s="1281">
        <f>(SUM(F18:F20)-SUM(F22:F24)+SUM(F26:F35)-SUM(F37:F46)+SUM(F50:F64)-SUM(F66:F79)+SUM(F83:F94)-SUM(F96:F107)+SUM(F111:F119)-F120+SUM(F122:F189))</f>
        <v>9026971613.7346134</v>
      </c>
      <c r="G459" s="1281">
        <f>(SUM(G18:G20)-SUM(G22:G24)+SUM(G26:G35)-SUM(G37:G46)+SUM(G50:G64)-SUM(G66:G79)+SUM(G83:G94)-SUM(G96:G107)+SUM(G111:G119)-G120+SUM(G122:G189))</f>
        <v>9061557949.7653809</v>
      </c>
      <c r="H459" s="1281">
        <f>(SUM(H18:H20)-SUM(H22:H24)+SUM(H26:H35)-SUM(H37:H46)+SUM(H50:H64)-SUM(H66:H79)+SUM(H83:H94)-SUM(H96:H107)+SUM(H111:H119)-H120+SUM(H122:H189))</f>
        <v>421320140.15076929</v>
      </c>
      <c r="I459" s="1281">
        <f>(SUM(I18:I20)-SUM(I22:I24)+SUM(I26:I35)-SUM(I37:I46)+SUM(I50:I64)-SUM(I66:I79)+SUM(I83:I94)-SUM(I96:I107)+SUM(I111:I119)-I120+SUM(I122:I189))</f>
        <v>205072406.65318757</v>
      </c>
      <c r="J459" s="1282">
        <f>SUM(F459:I459)</f>
        <v>18714922110.303947</v>
      </c>
      <c r="K459" s="822"/>
      <c r="L459" s="779"/>
      <c r="M459" s="386"/>
    </row>
    <row r="460" spans="1:13" s="386" customFormat="1" ht="14.25">
      <c r="A460" s="19"/>
      <c r="B460" s="17">
        <f t="shared" si="47"/>
        <v>26</v>
      </c>
      <c r="C460" s="59"/>
      <c r="D460" s="1283"/>
      <c r="E460" s="19"/>
      <c r="F460" s="19"/>
      <c r="G460" s="19"/>
      <c r="H460" s="19"/>
      <c r="I460" s="19"/>
      <c r="J460" s="19"/>
      <c r="K460" s="1284"/>
      <c r="L460" s="778"/>
      <c r="M460" s="703"/>
    </row>
    <row r="461" spans="1:12" s="703" customFormat="1" ht="14.25">
      <c r="A461" s="894"/>
      <c r="B461" s="728">
        <f t="shared" si="47"/>
        <v>27</v>
      </c>
      <c r="C461" s="59"/>
      <c r="D461" s="1285" t="s">
        <v>361</v>
      </c>
      <c r="E461" s="894"/>
      <c r="F461" s="1286">
        <f>F459*F190</f>
        <v>636401498.76829016</v>
      </c>
      <c r="G461" s="1286">
        <f>G459*G190</f>
        <v>638839835.45845926</v>
      </c>
      <c r="H461" s="1286">
        <f>H459*H190</f>
        <v>29703069.880629234</v>
      </c>
      <c r="I461" s="1286">
        <f>I459*I190</f>
        <v>14457604.669049723</v>
      </c>
      <c r="J461" s="1286">
        <f t="shared" si="50" ref="J461:J466">SUM(F461:I461)</f>
        <v>1319402008.7764285</v>
      </c>
      <c r="K461" s="1287"/>
      <c r="L461" s="778"/>
    </row>
    <row r="462" spans="1:12" s="703" customFormat="1" ht="14.25">
      <c r="A462" s="894"/>
      <c r="B462" s="728">
        <f t="shared" si="47"/>
        <v>28</v>
      </c>
      <c r="C462" s="59"/>
      <c r="D462" s="1285" t="s">
        <v>362</v>
      </c>
      <c r="E462" s="894"/>
      <c r="F462" s="1286">
        <f>SUM(F194:F264)</f>
        <v>243393419.97999996</v>
      </c>
      <c r="G462" s="1286">
        <f>SUM(G194:G264)</f>
        <v>2390996883.98</v>
      </c>
      <c r="H462" s="1286">
        <f>SUM(H194:H264)</f>
        <v>109170716.78</v>
      </c>
      <c r="I462" s="1286">
        <f>SUM(I194:I264)</f>
        <v>50153807.960000001</v>
      </c>
      <c r="J462" s="1286">
        <f t="shared" si="50"/>
        <v>2793714828.7000003</v>
      </c>
      <c r="K462" s="1284"/>
      <c r="L462" s="778"/>
    </row>
    <row r="463" spans="1:12" s="703" customFormat="1" ht="14.25">
      <c r="A463" s="894"/>
      <c r="B463" s="728">
        <f t="shared" si="47"/>
        <v>29</v>
      </c>
      <c r="C463" s="59"/>
      <c r="D463" s="1285" t="s">
        <v>363</v>
      </c>
      <c r="E463" s="894"/>
      <c r="F463" s="1286">
        <f>SUM(F346:F389)+SUM(F436:F437)</f>
        <v>375312661.43000001</v>
      </c>
      <c r="G463" s="1286">
        <f>SUM(G346:G389)+SUM(G436:G437)</f>
        <v>457044241.06999993</v>
      </c>
      <c r="H463" s="1286">
        <f>SUM(H346:H389)+SUM(H436:H437)</f>
        <v>56374321.829999998</v>
      </c>
      <c r="I463" s="1286">
        <f>SUM(I346:I389)+SUM(I436:I437)</f>
        <v>32929277.09</v>
      </c>
      <c r="J463" s="1286">
        <f t="shared" si="50"/>
        <v>921660501.42000008</v>
      </c>
      <c r="K463" s="1287"/>
      <c r="L463" s="778"/>
    </row>
    <row r="464" spans="1:13" s="703" customFormat="1" ht="14.25">
      <c r="A464" s="894"/>
      <c r="B464" s="728">
        <f t="shared" si="47"/>
        <v>30</v>
      </c>
      <c r="C464" s="59"/>
      <c r="D464" s="1285" t="s">
        <v>364</v>
      </c>
      <c r="E464" s="894"/>
      <c r="F464" s="1286">
        <f>SUM(F392:F400)</f>
        <v>150292758.44</v>
      </c>
      <c r="G464" s="1286">
        <f>SUM(G392:G400)</f>
        <v>447450198.57999998</v>
      </c>
      <c r="H464" s="1286">
        <f>SUM(H392:H400)</f>
        <v>8538460.3600000013</v>
      </c>
      <c r="I464" s="1286">
        <f>SUM(I392:I400)</f>
        <v>4509539.7900000354</v>
      </c>
      <c r="J464" s="1286">
        <f t="shared" si="50"/>
        <v>610790957.17000008</v>
      </c>
      <c r="K464" s="1287"/>
      <c r="L464" s="778"/>
      <c r="M464" s="386"/>
    </row>
    <row r="465" spans="1:12" s="386" customFormat="1" ht="14.25">
      <c r="A465" s="19"/>
      <c r="B465" s="17">
        <f t="shared" si="47"/>
        <v>31</v>
      </c>
      <c r="C465" s="59"/>
      <c r="D465" s="1288" t="s">
        <v>365</v>
      </c>
      <c r="E465" s="19"/>
      <c r="F465" s="1289">
        <f>(F461-SUM(F404:F410)+SUM(F415:F421))*(0.21/(1-0.21))-SUM(F423:F427)+SUM(F429:F432)</f>
        <v>82799349.609925225</v>
      </c>
      <c r="G465" s="63">
        <f>(G461-SUM(G404:G410)+SUM(G415:G421))*(0.21/(1-0.21))-SUM(G423:G427)+SUM(G429:G432)</f>
        <v>78221384.964147389</v>
      </c>
      <c r="H465" s="63">
        <f>(H461-SUM(H404:H410)+SUM(H415:H421))*(0.21/(1-0.21))-SUM(H423:H427)+SUM(H429:H432)</f>
        <v>1649124.5175090355</v>
      </c>
      <c r="I465" s="63">
        <f>(I461-SUM(I404:I410)+SUM(I415:I421))*(0.21/(1-0.21))-SUM(I423:I427)+SUM(I429:I432)</f>
        <v>2534176.462911949</v>
      </c>
      <c r="J465" s="63">
        <f t="shared" si="50"/>
        <v>165204035.55449361</v>
      </c>
      <c r="K465" s="1287"/>
      <c r="L465" s="778"/>
    </row>
    <row r="466" spans="1:12" s="386" customFormat="1" ht="16.5">
      <c r="A466" s="896"/>
      <c r="B466" s="17">
        <f t="shared" si="47"/>
        <v>32</v>
      </c>
      <c r="C466" s="896"/>
      <c r="D466" s="1288" t="s">
        <v>366</v>
      </c>
      <c r="E466" s="896"/>
      <c r="F466" s="1290">
        <f t="shared" si="51" ref="F466:I466">-SUM(F441:F452)</f>
        <v>-43023334.75</v>
      </c>
      <c r="G466" s="1290">
        <f t="shared" si="51"/>
        <v>-51757981.979999989</v>
      </c>
      <c r="H466" s="1290">
        <f t="shared" si="51"/>
        <v>-5094630.9699999997</v>
      </c>
      <c r="I466" s="1290">
        <f t="shared" si="51"/>
        <v>-205014.6500000013</v>
      </c>
      <c r="J466" s="1290">
        <f t="shared" si="50"/>
        <v>-100080962.34999999</v>
      </c>
      <c r="K466" s="1287"/>
      <c r="L466" s="778"/>
    </row>
    <row r="467" spans="1:12" s="386" customFormat="1" ht="15">
      <c r="A467" s="1"/>
      <c r="B467" s="17">
        <f t="shared" si="47"/>
        <v>33</v>
      </c>
      <c r="C467" s="1"/>
      <c r="D467" s="1288" t="s">
        <v>367</v>
      </c>
      <c r="E467" s="896"/>
      <c r="F467" s="63">
        <f t="shared" si="52" ref="F467:I467">SUM(F461:F466)</f>
        <v>1445176353.4782155</v>
      </c>
      <c r="G467" s="63">
        <f t="shared" si="52"/>
        <v>3960794562.0726066</v>
      </c>
      <c r="H467" s="63">
        <f t="shared" si="52"/>
        <v>200341062.39813831</v>
      </c>
      <c r="I467" s="63">
        <f t="shared" si="52"/>
        <v>104379391.3219617</v>
      </c>
      <c r="J467" s="63">
        <f>SUM(F467:I467)</f>
        <v>5710691369.2709217</v>
      </c>
      <c r="K467" s="1287"/>
      <c r="L467" s="778"/>
    </row>
    <row r="468" spans="1:12" s="386" customFormat="1" ht="15">
      <c r="A468" s="1"/>
      <c r="B468" s="17">
        <f t="shared" si="47"/>
        <v>34</v>
      </c>
      <c r="C468" s="1"/>
      <c r="D468" s="64"/>
      <c r="E468" s="1"/>
      <c r="F468" s="1"/>
      <c r="G468" s="1"/>
      <c r="H468" s="1"/>
      <c r="I468" s="1"/>
      <c r="J468" s="1"/>
      <c r="K468" s="1287"/>
      <c r="L468" s="779"/>
    </row>
    <row r="469" spans="1:12" s="386" customFormat="1" ht="15">
      <c r="A469" s="1"/>
      <c r="B469" s="17">
        <f t="shared" si="47"/>
        <v>35</v>
      </c>
      <c r="C469" s="59"/>
      <c r="D469" s="1291" t="s">
        <v>368</v>
      </c>
      <c r="E469" s="65"/>
      <c r="F469" s="1292" t="b">
        <f t="shared" si="53" ref="F469:J469">IF(ROUND(F467,0)=ROUND(F456,0),TRUE,F467-F456)</f>
        <v>1</v>
      </c>
      <c r="G469" s="1292" t="b">
        <f t="shared" si="53"/>
        <v>1</v>
      </c>
      <c r="H469" s="1292" t="b">
        <f t="shared" si="53"/>
        <v>1</v>
      </c>
      <c r="I469" s="1292" t="b">
        <f t="shared" si="53"/>
        <v>1</v>
      </c>
      <c r="J469" s="1292" t="b">
        <f t="shared" si="53"/>
        <v>1</v>
      </c>
      <c r="K469" s="822"/>
      <c r="L469" s="779"/>
    </row>
    <row r="470" spans="1:12" s="386" customFormat="1" ht="14.25">
      <c r="A470" s="19"/>
      <c r="B470" s="17">
        <f t="shared" si="47"/>
        <v>36</v>
      </c>
      <c r="C470" s="59"/>
      <c r="D470" s="59"/>
      <c r="E470" s="19"/>
      <c r="F470" s="19"/>
      <c r="G470" s="19"/>
      <c r="H470" s="19"/>
      <c r="I470" s="19"/>
      <c r="J470" s="19"/>
      <c r="K470" s="730"/>
      <c r="L470" s="730"/>
    </row>
    <row r="471" spans="1:12" s="386" customFormat="1" ht="15">
      <c r="A471" s="19"/>
      <c r="B471" s="17">
        <f t="shared" si="47"/>
        <v>37</v>
      </c>
      <c r="C471" s="59"/>
      <c r="D471" s="1293" t="s">
        <v>369</v>
      </c>
      <c r="E471" s="62"/>
      <c r="F471" s="62">
        <f>SUM(F266:F338)</f>
        <v>64966318.360000014</v>
      </c>
      <c r="G471" s="62">
        <f>SUM(G266:G338)</f>
        <v>171590795.55000001</v>
      </c>
      <c r="H471" s="62">
        <f>SUM(H266:H338)</f>
        <v>44152741.850000001</v>
      </c>
      <c r="I471" s="62">
        <f>SUM(I266:I338)</f>
        <v>19069829.239999998</v>
      </c>
      <c r="J471" s="62">
        <f>SUM(J266:J338)</f>
        <v>299779685</v>
      </c>
      <c r="K471" s="822"/>
      <c r="L471" s="730"/>
    </row>
    <row r="472" spans="1:12" s="386" customFormat="1" ht="14.25">
      <c r="A472" s="19"/>
      <c r="B472" s="17">
        <f t="shared" si="47"/>
        <v>38</v>
      </c>
      <c r="C472" s="59"/>
      <c r="D472" s="1294"/>
      <c r="E472" s="19"/>
      <c r="F472" s="19"/>
      <c r="G472" s="19"/>
      <c r="H472" s="19"/>
      <c r="I472" s="19"/>
      <c r="J472" s="19"/>
      <c r="K472" s="59"/>
      <c r="L472" s="778"/>
    </row>
    <row r="473" spans="1:12" s="386" customFormat="1" ht="15">
      <c r="A473" s="19"/>
      <c r="B473" s="17">
        <f t="shared" si="47"/>
        <v>39</v>
      </c>
      <c r="C473" s="59"/>
      <c r="D473" s="1291" t="s">
        <v>368</v>
      </c>
      <c r="E473" s="65"/>
      <c r="F473" s="1295" t="b">
        <f t="shared" si="54" ref="F473:J473">IF(ROUND(F471,2)=ROUND(F454,2),TRUE,F471-F454)</f>
        <v>1</v>
      </c>
      <c r="G473" s="1295" t="b">
        <f t="shared" si="54"/>
        <v>1</v>
      </c>
      <c r="H473" s="1295" t="b">
        <f t="shared" si="54"/>
        <v>1</v>
      </c>
      <c r="I473" s="1295" t="b">
        <f t="shared" si="54"/>
        <v>1</v>
      </c>
      <c r="J473" s="1295" t="b">
        <f t="shared" si="54"/>
        <v>1</v>
      </c>
      <c r="K473" s="822"/>
      <c r="L473" s="778"/>
    </row>
    <row r="474" spans="1:12" s="386" customFormat="1" ht="14.25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96"/>
      <c r="L474" s="778"/>
    </row>
    <row r="475" spans="5:13" s="386" customFormat="1" ht="15">
      <c r="E475" s="703"/>
      <c r="F475" s="1147"/>
      <c r="G475" s="1147"/>
      <c r="H475" s="1147"/>
      <c r="I475" s="1147"/>
      <c r="J475" s="1147"/>
      <c r="K475" s="822"/>
      <c r="L475" s="730"/>
      <c r="M475" s="1147"/>
    </row>
    <row r="476" spans="4:11" ht="14.25">
      <c r="D476" s="664" t="s">
        <v>1292</v>
      </c>
      <c r="E476"/>
      <c r="F476" s="692">
        <f>SUM(F461:F465)</f>
        <v>1488199688.2282155</v>
      </c>
      <c r="G476" s="692">
        <f t="shared" si="55" ref="G476:J476">SUM(G461:G465)</f>
        <v>4012552544.0526066</v>
      </c>
      <c r="H476" s="692">
        <f t="shared" si="55"/>
        <v>205435693.36813831</v>
      </c>
      <c r="I476" s="692">
        <f t="shared" si="55"/>
        <v>104584405.97196171</v>
      </c>
      <c r="J476" s="692">
        <f t="shared" si="55"/>
        <v>5810772331.620923</v>
      </c>
      <c r="K476" s="692">
        <f t="shared" si="56" ref="K476">SUM(K460:K464)</f>
        <v>0</v>
      </c>
    </row>
    <row r="477" spans="4:10" ht="14.25">
      <c r="D477" s="703" t="s">
        <v>1293</v>
      </c>
      <c r="F477" s="692">
        <f>SUM(F461:F466)</f>
        <v>1445176353.4782155</v>
      </c>
      <c r="G477" s="692">
        <f t="shared" si="57" ref="G477:J477">SUM(G461:G466)</f>
        <v>3960794562.0726066</v>
      </c>
      <c r="H477" s="692">
        <f t="shared" si="57"/>
        <v>200341062.39813831</v>
      </c>
      <c r="I477" s="692">
        <f t="shared" si="57"/>
        <v>104379391.3219617</v>
      </c>
      <c r="J477" s="692">
        <f t="shared" si="57"/>
        <v>5710691369.2709227</v>
      </c>
    </row>
    <row r="478" spans="4:10" ht="14.25">
      <c r="D478" s="730" t="s">
        <v>1413</v>
      </c>
      <c r="F478" s="1148">
        <f>F476-F477</f>
        <v>43023334.75</v>
      </c>
      <c r="G478" s="1148">
        <f t="shared" si="58" ref="G478:J478">G476-G477</f>
        <v>51757981.980000019</v>
      </c>
      <c r="H478" s="1148">
        <f t="shared" si="58"/>
        <v>5094630.9699999988</v>
      </c>
      <c r="I478" s="1148">
        <f t="shared" si="58"/>
        <v>205014.65000000596</v>
      </c>
      <c r="J478" s="1148">
        <f t="shared" si="58"/>
        <v>100080962.35000038</v>
      </c>
    </row>
    <row r="479" spans="4:10" ht="15">
      <c r="D479" s="703"/>
      <c r="F479" s="896"/>
      <c r="G479" s="896"/>
      <c r="H479" s="896"/>
      <c r="I479" s="896"/>
      <c r="J479" s="252"/>
    </row>
    <row r="481" spans="6:10" ht="14.25">
      <c r="F481" s="1147"/>
      <c r="G481" s="1147"/>
      <c r="H481" s="1147"/>
      <c r="I481" s="1147"/>
      <c r="J481" s="1147"/>
    </row>
    <row r="482" spans="6:10" ht="14.25">
      <c r="F482" s="1148"/>
      <c r="G482" s="1148"/>
      <c r="H482" s="1148"/>
      <c r="I482" s="1148"/>
      <c r="J482" s="1148"/>
    </row>
    <row r="483" spans="10:10" ht="14.25">
      <c r="J483" s="839"/>
    </row>
  </sheetData>
  <conditionalFormatting sqref="J18:J20 J22:J24 J26:J35 J37:J46 J50:J64 J66:J79 J83:J94 J96:J107 J194:J201 J203:J208 J210:J219 J221:J229 J233:J237 J239:J243 J245:J249 J251:J263 J267:J274 J276:J281 J283:J292 J294:J302 J306:J310 J312:J316 J318:J322 J325:J337 J340:J344 J349:J351 J353:J361 J363:J376 J378:J389 J393:J395 J397:J400 J404:J409 J436:J437 J454:J456 F21:J21 F25:J25 F36:J36 F47:J49 F65:J65 F80:J82 F95:J95 F108:J110 F121:J122 F155:J155 F202:J202 F209:J209 F220:J220 F230:J232 F238:J238 F244:J244 F250:J250 F264:J266 F275:J275 F282:J282 F293:J293 F303:J305 F311:J311 F317:J317 F323:J324 F338:J339 F345:J348 F352:J352 F362:J362 F377:J377 F390:J392 F396:J396 F401:J403 F432:J435 F438:J440 F453:J453 F167:J178 J179:J188 J111:J120 J123:J154 J156:J166 F410:J414 F457:J473 J441:J452 J415:J431 F189:J193">
    <cfRule type="cellIs" priority="74" dxfId="2" operator="lessThan" stopIfTrue="1">
      <formula>0</formula>
    </cfRule>
  </conditionalFormatting>
  <conditionalFormatting sqref="F456:I456">
    <cfRule type="cellIs" priority="1" dxfId="0" operator="lessThan" stopIfTrue="1">
      <formula>0</formula>
    </cfRule>
  </conditionalFormatting>
  <printOptions horizontalCentered="1"/>
  <pageMargins left="0.5" right="0.5" top="1.75" bottom="0.5" header="1.5" footer="0.5"/>
  <pageSetup fitToHeight="13" orientation="landscape" scale="62" r:id="rId1"/>
  <headerFooter alignWithMargins="0">
    <oddHeader>&amp;RWP/ II-I-1.1
Page &amp;P of &amp;N</oddHeader>
  </headerFooter>
  <rowBreaks count="12" manualBreakCount="12">
    <brk id="47" min="1" max="11" man="1"/>
    <brk id="80" min="1" max="11" man="1"/>
    <brk id="108" min="1" max="11" man="1"/>
    <brk id="121" min="1" max="10" man="1"/>
    <brk id="166" min="1" max="9" man="1"/>
    <brk id="191" min="1" max="11" man="1"/>
    <brk id="230" min="1" max="11" man="1"/>
    <brk id="264" min="1" max="11" man="1"/>
    <brk id="303" min="1" max="11" man="1"/>
    <brk id="345" min="1" max="11" man="1"/>
    <brk id="389" min="1" max="11" man="1"/>
    <brk id="433" min="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J37"/>
  <sheetViews>
    <sheetView workbookViewId="0" topLeftCell="A5">
      <selection pane="topLeft" activeCell="H17" sqref="H17:I17"/>
    </sheetView>
  </sheetViews>
  <sheetFormatPr defaultRowHeight="14.25"/>
  <cols>
    <col min="1" max="1" width="2.25" customWidth="1"/>
    <col min="2" max="2" width="18.375" customWidth="1"/>
    <col min="3" max="3" width="21.625" customWidth="1"/>
    <col min="4" max="4" width="1" customWidth="1"/>
    <col min="5" max="5" width="4.625" customWidth="1"/>
    <col min="6" max="6" width="45.125" customWidth="1"/>
    <col min="7" max="7" width="1.5" style="386" customWidth="1"/>
    <col min="8" max="8" width="3.75" customWidth="1"/>
    <col min="9" max="9" width="29.375" customWidth="1"/>
  </cols>
  <sheetData>
    <row r="1" spans="1:1" ht="14.25">
      <c r="A1" s="664" t="s">
        <v>1204</v>
      </c>
    </row>
    <row r="2" spans="5:8" ht="14.25">
      <c r="E2" s="664" t="s">
        <v>1207</v>
      </c>
      <c r="H2" s="664" t="s">
        <v>1208</v>
      </c>
    </row>
    <row r="3" spans="2:6" ht="14.25">
      <c r="B3" s="664" t="s">
        <v>1206</v>
      </c>
      <c r="C3" s="664" t="s">
        <v>1205</v>
      </c>
      <c r="E3" s="1115">
        <v>186</v>
      </c>
      <c r="F3" s="1114" t="s">
        <v>1216</v>
      </c>
    </row>
    <row r="4" spans="2:10" ht="15">
      <c r="B4" s="1111" t="s">
        <v>1036</v>
      </c>
      <c r="C4" s="1112" t="s">
        <v>1209</v>
      </c>
      <c r="E4" s="1115">
        <v>186</v>
      </c>
      <c r="F4" s="1114" t="s">
        <v>1217</v>
      </c>
      <c r="H4" s="45">
        <v>189</v>
      </c>
      <c r="I4" s="43" t="s">
        <v>133</v>
      </c>
      <c r="J4" s="38"/>
    </row>
    <row r="5" spans="5:10" ht="15">
      <c r="E5" s="1115">
        <v>186</v>
      </c>
      <c r="F5" s="1114" t="s">
        <v>1218</v>
      </c>
      <c r="H5" s="40">
        <v>182</v>
      </c>
      <c r="I5" s="43" t="s">
        <v>134</v>
      </c>
      <c r="J5" s="38"/>
    </row>
    <row r="6" spans="5:10" ht="15">
      <c r="E6" s="1115">
        <v>186</v>
      </c>
      <c r="F6" s="1114" t="s">
        <v>1219</v>
      </c>
      <c r="H6" s="40">
        <v>182</v>
      </c>
      <c r="I6" s="43" t="s">
        <v>987</v>
      </c>
      <c r="J6" s="38"/>
    </row>
    <row r="7" spans="5:6" ht="14.25">
      <c r="E7" s="1115">
        <v>186</v>
      </c>
      <c r="F7" s="1114" t="s">
        <v>1220</v>
      </c>
    </row>
    <row r="8" spans="5:9" ht="14.25">
      <c r="E8" s="1115">
        <v>186</v>
      </c>
      <c r="F8" s="1114" t="s">
        <v>1221</v>
      </c>
      <c r="H8" s="40">
        <v>186</v>
      </c>
      <c r="I8" s="43" t="s">
        <v>988</v>
      </c>
    </row>
    <row r="9" spans="5:9" ht="14.25">
      <c r="E9" s="1115">
        <v>186</v>
      </c>
      <c r="F9" s="1114" t="s">
        <v>1222</v>
      </c>
      <c r="H9" s="40">
        <v>186</v>
      </c>
      <c r="I9" s="43" t="s">
        <v>989</v>
      </c>
    </row>
    <row r="10" spans="5:9" ht="14.25">
      <c r="E10" s="1113">
        <v>189</v>
      </c>
      <c r="F10" s="1114" t="s">
        <v>1210</v>
      </c>
      <c r="H10" s="40">
        <v>186</v>
      </c>
      <c r="I10" s="43" t="s">
        <v>990</v>
      </c>
    </row>
    <row r="11" spans="5:9" ht="14.25">
      <c r="E11" s="1113">
        <v>182</v>
      </c>
      <c r="F11" s="1114" t="s">
        <v>1211</v>
      </c>
      <c r="H11" s="40">
        <v>182</v>
      </c>
      <c r="I11" s="43" t="s">
        <v>991</v>
      </c>
    </row>
    <row r="12" spans="5:9" ht="14.25">
      <c r="E12" s="1113">
        <v>182</v>
      </c>
      <c r="F12" s="1114" t="s">
        <v>1212</v>
      </c>
      <c r="H12" s="40">
        <v>182</v>
      </c>
      <c r="I12" s="43" t="s">
        <v>138</v>
      </c>
    </row>
    <row r="13" spans="5:6" ht="14.25">
      <c r="E13" s="1113">
        <v>182</v>
      </c>
      <c r="F13" s="1114" t="s">
        <v>1213</v>
      </c>
    </row>
    <row r="14" spans="5:9" ht="14.25">
      <c r="E14" s="1113">
        <v>182</v>
      </c>
      <c r="F14" s="1114" t="s">
        <v>1214</v>
      </c>
      <c r="H14" s="40">
        <v>186</v>
      </c>
      <c r="I14" s="43" t="s">
        <v>142</v>
      </c>
    </row>
    <row r="15" spans="5:9" ht="14.25">
      <c r="E15" s="1113">
        <v>182</v>
      </c>
      <c r="F15" s="1114" t="s">
        <v>1215</v>
      </c>
      <c r="H15" s="40">
        <v>182</v>
      </c>
      <c r="I15" s="43" t="s">
        <v>143</v>
      </c>
    </row>
    <row r="16" spans="5:9" ht="14.25">
      <c r="E16" s="1116">
        <v>182</v>
      </c>
      <c r="F16" s="1117" t="s">
        <v>1227</v>
      </c>
      <c r="H16" s="40">
        <v>228</v>
      </c>
      <c r="I16" s="43" t="s">
        <v>144</v>
      </c>
    </row>
    <row r="17" spans="5:9" ht="14.25">
      <c r="E17" s="1116">
        <v>186</v>
      </c>
      <c r="F17" s="1117" t="s">
        <v>1228</v>
      </c>
      <c r="H17" s="40">
        <v>254</v>
      </c>
      <c r="I17" s="43" t="s">
        <v>145</v>
      </c>
    </row>
    <row r="18" spans="5:6" ht="14.25">
      <c r="E18" s="40"/>
      <c r="F18" s="43"/>
    </row>
    <row r="21" spans="5:6" ht="14.25">
      <c r="E21" s="40"/>
      <c r="F21" s="43"/>
    </row>
    <row r="22" spans="5:6" ht="14.25">
      <c r="E22" s="1118"/>
      <c r="F22" s="386"/>
    </row>
    <row r="23" spans="5:6" ht="14.25">
      <c r="E23" s="1118"/>
      <c r="F23" s="386"/>
    </row>
    <row r="24" spans="5:6" ht="14.25">
      <c r="E24" s="1118"/>
      <c r="F24" s="386"/>
    </row>
    <row r="25" spans="5:6" ht="14.25">
      <c r="E25" s="1118"/>
      <c r="F25" s="386"/>
    </row>
    <row r="26" spans="5:6" ht="14.25">
      <c r="E26" s="1118"/>
      <c r="F26" s="386"/>
    </row>
    <row r="27" spans="5:6" ht="14.25">
      <c r="E27" s="1118"/>
      <c r="F27" s="386"/>
    </row>
    <row r="28" spans="5:6" ht="14.25">
      <c r="E28" s="1118"/>
      <c r="F28" s="386"/>
    </row>
    <row r="29" spans="5:6" ht="14.25">
      <c r="E29" s="1118"/>
      <c r="F29" s="386"/>
    </row>
    <row r="30" spans="5:6" ht="14.25">
      <c r="E30" s="1118"/>
      <c r="F30" s="386"/>
    </row>
    <row r="31" spans="5:6" ht="14.25">
      <c r="E31" s="1118"/>
      <c r="F31" s="386"/>
    </row>
    <row r="32" spans="5:6" ht="14.25">
      <c r="E32" s="1119"/>
      <c r="F32" s="43"/>
    </row>
    <row r="33" spans="5:6" ht="14.25">
      <c r="E33" s="40"/>
      <c r="F33" s="43"/>
    </row>
    <row r="34" spans="5:6" ht="14.25">
      <c r="E34" s="40"/>
      <c r="F34" s="43"/>
    </row>
    <row r="35" spans="5:6" ht="14.25">
      <c r="E35" s="40"/>
      <c r="F35" s="43"/>
    </row>
    <row r="36" spans="5:6" ht="14.25">
      <c r="E36" s="40"/>
      <c r="F36" s="43"/>
    </row>
    <row r="37" spans="5:6" ht="14.25">
      <c r="E37" s="40"/>
      <c r="F37" s="43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9"/>
  <dimension ref="A1:AN1201"/>
  <sheetViews>
    <sheetView view="pageBreakPreview" zoomScale="75" zoomScaleNormal="75" zoomScaleSheetLayoutView="75" workbookViewId="0" topLeftCell="A1">
      <selection pane="topLeft" activeCell="B31" sqref="B31"/>
    </sheetView>
  </sheetViews>
  <sheetFormatPr defaultColWidth="15.875" defaultRowHeight="14.25"/>
  <cols>
    <col min="1" max="1" width="1.625" customWidth="1"/>
    <col min="2" max="2" width="4.875" customWidth="1"/>
    <col min="3" max="3" width="5.625" customWidth="1"/>
    <col min="4" max="4" width="47.75" customWidth="1"/>
    <col min="5" max="5" width="10.25" customWidth="1"/>
    <col min="6" max="6" width="16" customWidth="1"/>
    <col min="7" max="7" width="17.625" customWidth="1"/>
    <col min="8" max="9" width="16" customWidth="1"/>
    <col min="10" max="10" width="14.625" customWidth="1"/>
    <col min="11" max="11" width="2.75" customWidth="1"/>
    <col min="12" max="12" width="16.25" bestFit="1" customWidth="1"/>
    <col min="13" max="13" width="2" customWidth="1"/>
    <col min="14" max="14" width="19.375" customWidth="1"/>
    <col min="15" max="15" width="1.75" customWidth="1"/>
    <col min="16" max="16" width="9" customWidth="1"/>
    <col min="17" max="17" width="10.125" customWidth="1"/>
    <col min="18" max="18" width="7.125" customWidth="1"/>
    <col min="19" max="19" width="10.25" customWidth="1"/>
    <col min="20" max="20" width="7.5" customWidth="1"/>
  </cols>
  <sheetData>
    <row r="1" spans="1:40" s="1238" customFormat="1" ht="18.75">
      <c r="A1" s="1237"/>
      <c r="B1" s="1245"/>
      <c r="C1" s="1237"/>
      <c r="D1" s="1237"/>
      <c r="E1" s="1237"/>
      <c r="F1" s="1237"/>
      <c r="G1" s="1237"/>
      <c r="H1" s="1237"/>
      <c r="I1" s="1237"/>
      <c r="J1" s="1237"/>
      <c r="K1" s="1237"/>
      <c r="AH1" s="1239"/>
      <c r="AI1" s="1239"/>
      <c r="AJ1" s="1239"/>
      <c r="AK1" s="1239"/>
      <c r="AL1" s="1239"/>
      <c r="AM1" s="1239"/>
      <c r="AN1" s="1239"/>
    </row>
    <row r="2" spans="2:13" ht="15">
      <c r="B2" s="874"/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134" t="str">
        <f>" "</f>
        <v xml:space="preserve"> </v>
      </c>
    </row>
    <row r="3" spans="2:13" ht="15.75" thickBot="1">
      <c r="B3" s="874"/>
      <c r="C3" s="874"/>
      <c r="D3" s="874"/>
      <c r="E3" s="874"/>
      <c r="F3" s="874"/>
      <c r="G3" s="874"/>
      <c r="H3" s="874"/>
      <c r="I3" s="874"/>
      <c r="J3" s="874"/>
      <c r="K3" s="874"/>
      <c r="L3" s="874"/>
      <c r="M3" s="129"/>
    </row>
    <row r="4" spans="2:14" ht="15.75" customHeight="1">
      <c r="B4" s="920" t="str">
        <f>'WP II-I-1.1'!B3</f>
        <v>2022 RATE CASE</v>
      </c>
      <c r="C4" s="926"/>
      <c r="D4" s="927"/>
      <c r="E4" s="874"/>
      <c r="F4" s="874"/>
      <c r="G4" s="874"/>
      <c r="H4" s="874"/>
      <c r="I4" s="874"/>
      <c r="J4" s="874"/>
      <c r="K4" s="874"/>
      <c r="L4" s="874"/>
      <c r="M4" s="167"/>
      <c r="N4" s="167"/>
    </row>
    <row r="5" spans="2:14" ht="15.75" customHeight="1">
      <c r="B5" s="917" t="str">
        <f>'WP II-I-1.1'!B4</f>
        <v>ONCOR ELECTRIC DELIVERY COMPANY LLC</v>
      </c>
      <c r="C5" s="369"/>
      <c r="D5" s="928"/>
      <c r="E5" s="874"/>
      <c r="F5" s="874"/>
      <c r="G5" s="874"/>
      <c r="H5" s="874"/>
      <c r="I5" s="874"/>
      <c r="J5" s="874"/>
      <c r="K5" s="874"/>
      <c r="L5" s="874"/>
      <c r="M5" s="67"/>
      <c r="N5" s="167"/>
    </row>
    <row r="6" spans="2:14" ht="15.75" customHeight="1">
      <c r="B6" s="406" t="s">
        <v>504</v>
      </c>
      <c r="C6" s="369"/>
      <c r="D6" s="928"/>
      <c r="E6" s="874"/>
      <c r="F6" s="874"/>
      <c r="G6" s="874"/>
      <c r="H6" s="874"/>
      <c r="I6" s="874"/>
      <c r="J6" s="874"/>
      <c r="K6" s="874"/>
      <c r="L6" s="874"/>
      <c r="M6" s="67"/>
      <c r="N6" s="167"/>
    </row>
    <row r="7" spans="2:14" ht="15.75">
      <c r="B7" s="406" t="str">
        <f>'WP II-I-1.1'!B6</f>
        <v>TEST YEAR ENDING 12/31/2021</v>
      </c>
      <c r="C7" s="369"/>
      <c r="D7" s="928"/>
      <c r="E7" s="369"/>
      <c r="F7" s="369"/>
      <c r="G7" s="369"/>
      <c r="H7" s="369"/>
      <c r="I7" s="369"/>
      <c r="J7" s="369"/>
      <c r="K7" s="369"/>
      <c r="L7" s="369"/>
      <c r="M7" s="67"/>
      <c r="N7" s="167"/>
    </row>
    <row r="8" spans="2:14" ht="15.75">
      <c r="B8" s="406" t="str">
        <f>'WP II-I-2.2'!$B$7</f>
        <v>SPONSOR:  MATTHEW A. TROXLE</v>
      </c>
      <c r="C8" s="369"/>
      <c r="D8" s="928"/>
      <c r="E8" s="369"/>
      <c r="F8" s="369"/>
      <c r="G8" s="369"/>
      <c r="H8" s="369"/>
      <c r="I8" s="369"/>
      <c r="J8" s="369"/>
      <c r="K8" s="369"/>
      <c r="L8" s="369"/>
      <c r="M8" s="67"/>
      <c r="N8" s="167"/>
    </row>
    <row r="9" spans="2:14" ht="16.5" thickBot="1">
      <c r="B9" s="410"/>
      <c r="C9" s="929"/>
      <c r="D9" s="930"/>
      <c r="E9" s="67"/>
      <c r="F9" s="67"/>
      <c r="G9" s="67"/>
      <c r="H9" s="67"/>
      <c r="I9" s="67"/>
      <c r="J9" s="67"/>
      <c r="K9" s="47"/>
      <c r="L9" s="67"/>
      <c r="M9" s="67"/>
      <c r="N9" s="167"/>
    </row>
    <row r="10" spans="2:14" ht="15">
      <c r="B10" s="396"/>
      <c r="C10" s="236"/>
      <c r="D10" s="237"/>
      <c r="E10" s="238"/>
      <c r="F10" s="237" t="s">
        <v>6</v>
      </c>
      <c r="G10" s="13" t="s">
        <v>7</v>
      </c>
      <c r="H10" s="13" t="s">
        <v>8</v>
      </c>
      <c r="I10" s="239" t="s">
        <v>9</v>
      </c>
      <c r="J10" s="13" t="s">
        <v>10</v>
      </c>
      <c r="K10" s="17"/>
      <c r="L10" s="139" t="s">
        <v>966</v>
      </c>
      <c r="M10" s="67"/>
      <c r="N10" s="167"/>
    </row>
    <row r="11" spans="2:14" ht="15.75">
      <c r="B11" s="235" t="s">
        <v>2</v>
      </c>
      <c r="C11" s="240"/>
      <c r="D11" s="241" t="s">
        <v>367</v>
      </c>
      <c r="E11" s="242" t="s">
        <v>371</v>
      </c>
      <c r="F11" s="242"/>
      <c r="G11" s="15"/>
      <c r="H11" s="15"/>
      <c r="I11" s="15"/>
      <c r="J11" s="15"/>
      <c r="K11" s="17"/>
      <c r="L11" s="97" t="s">
        <v>967</v>
      </c>
      <c r="M11" s="67"/>
      <c r="N11" s="167"/>
    </row>
    <row r="12" spans="2:14" ht="15">
      <c r="B12" s="235"/>
      <c r="C12" s="240"/>
      <c r="D12" s="242"/>
      <c r="E12" s="242"/>
      <c r="F12" s="242"/>
      <c r="G12" s="15"/>
      <c r="H12" s="15"/>
      <c r="I12" s="15"/>
      <c r="J12" s="15"/>
      <c r="K12" s="17"/>
      <c r="L12" s="97"/>
      <c r="M12" s="67"/>
      <c r="N12" s="167"/>
    </row>
    <row r="13" spans="2:14" ht="15.75" thickBot="1">
      <c r="B13" s="243" t="s">
        <v>13</v>
      </c>
      <c r="C13" s="244"/>
      <c r="D13" s="245" t="s">
        <v>14</v>
      </c>
      <c r="E13" s="245" t="s">
        <v>15</v>
      </c>
      <c r="F13" s="16" t="s">
        <v>16</v>
      </c>
      <c r="G13" s="16" t="s">
        <v>17</v>
      </c>
      <c r="H13" s="16" t="s">
        <v>18</v>
      </c>
      <c r="I13" s="16" t="s">
        <v>21</v>
      </c>
      <c r="J13" s="16" t="s">
        <v>22</v>
      </c>
      <c r="K13" s="17"/>
      <c r="L13" s="99" t="s">
        <v>419</v>
      </c>
      <c r="M13" s="67"/>
      <c r="N13" s="167"/>
    </row>
    <row r="14" spans="2:14" ht="15">
      <c r="B14" s="67"/>
      <c r="C14" s="12"/>
      <c r="D14" s="246"/>
      <c r="E14" s="246"/>
      <c r="F14" s="12"/>
      <c r="G14" s="12"/>
      <c r="H14" s="12"/>
      <c r="I14" s="12"/>
      <c r="J14" s="12"/>
      <c r="K14" s="1"/>
      <c r="L14" s="1"/>
      <c r="M14" s="67"/>
      <c r="N14" s="167"/>
    </row>
    <row r="15" spans="2:14" ht="15.75">
      <c r="B15" s="17">
        <f t="shared" si="0" ref="B15:B24">B14+1</f>
        <v>1</v>
      </c>
      <c r="C15" s="12"/>
      <c r="D15" s="247" t="s">
        <v>642</v>
      </c>
      <c r="E15" s="58" t="s">
        <v>253</v>
      </c>
      <c r="F15" s="24">
        <f>F638+F686</f>
        <v>127752919.42</v>
      </c>
      <c r="G15" s="24">
        <f>G638+G686</f>
        <v>1967625126.8699999</v>
      </c>
      <c r="H15" s="24">
        <f>H638+H686</f>
        <v>50235235.630000003</v>
      </c>
      <c r="I15" s="24">
        <f>I638+I686</f>
        <v>343150.72999999998</v>
      </c>
      <c r="J15" s="24">
        <f>SUM(F15:I15)</f>
        <v>2145956432.6500001</v>
      </c>
      <c r="K15" s="24"/>
      <c r="L15" s="19">
        <f>SUM(G15:I15)</f>
        <v>2018203513.23</v>
      </c>
      <c r="M15" s="67"/>
      <c r="N15" s="167"/>
    </row>
    <row r="16" spans="2:14" ht="15.75">
      <c r="B16" s="17">
        <f t="shared" si="0"/>
        <v>2</v>
      </c>
      <c r="C16" s="12"/>
      <c r="D16" s="247" t="s">
        <v>643</v>
      </c>
      <c r="E16" s="58" t="s">
        <v>253</v>
      </c>
      <c r="F16" s="24">
        <f>F706+F716+F726</f>
        <v>87420.859999999986</v>
      </c>
      <c r="G16" s="24">
        <f>G706+G716+G726</f>
        <v>245305.53</v>
      </c>
      <c r="H16" s="24">
        <f>H706+H716+H726</f>
        <v>8799722.5300000012</v>
      </c>
      <c r="I16" s="24">
        <f>I706+I716+I726</f>
        <v>13109328.479999999</v>
      </c>
      <c r="J16" s="24">
        <f>SUM(F16:I16)</f>
        <v>22241777.399999999</v>
      </c>
      <c r="K16" s="24"/>
      <c r="L16" s="19">
        <f t="shared" si="1" ref="L16:L31">SUM(G16:I16)</f>
        <v>22154356.539999999</v>
      </c>
      <c r="M16" s="67"/>
      <c r="N16" s="167"/>
    </row>
    <row r="17" spans="2:14" ht="17.25">
      <c r="B17" s="17">
        <f t="shared" si="0"/>
        <v>3</v>
      </c>
      <c r="C17" s="12"/>
      <c r="D17" s="632" t="s">
        <v>644</v>
      </c>
      <c r="E17" s="58" t="s">
        <v>253</v>
      </c>
      <c r="F17" s="266">
        <f>F760</f>
        <v>115553079.69999999</v>
      </c>
      <c r="G17" s="266">
        <f>G760</f>
        <v>423126451.5800001</v>
      </c>
      <c r="H17" s="266">
        <f>H760</f>
        <v>50135758.619999997</v>
      </c>
      <c r="I17" s="266">
        <f>I760</f>
        <v>36701328.750000007</v>
      </c>
      <c r="J17" s="266">
        <f>SUM(F17:I17)</f>
        <v>625516618.6500001</v>
      </c>
      <c r="K17" s="24"/>
      <c r="L17" s="83">
        <f t="shared" si="1"/>
        <v>509963538.95000011</v>
      </c>
      <c r="M17" s="67"/>
      <c r="N17" s="167"/>
    </row>
    <row r="18" spans="2:20" ht="15.75">
      <c r="B18" s="17">
        <f t="shared" si="0"/>
        <v>4</v>
      </c>
      <c r="C18" s="167"/>
      <c r="D18" s="247" t="s">
        <v>506</v>
      </c>
      <c r="E18" s="58"/>
      <c r="F18" s="896">
        <f>SUM(F15:F17)</f>
        <v>243393419.97999999</v>
      </c>
      <c r="G18" s="896">
        <f>SUM(G15:G17)</f>
        <v>2390996883.98</v>
      </c>
      <c r="H18" s="896">
        <f>SUM(H15:H17)</f>
        <v>109170716.78</v>
      </c>
      <c r="I18" s="896">
        <f>SUM(I15:I17)</f>
        <v>50153807.960000008</v>
      </c>
      <c r="J18" s="252">
        <f>SUM(F18:I18)</f>
        <v>2793714828.7000003</v>
      </c>
      <c r="K18" s="252"/>
      <c r="L18" s="19">
        <f t="shared" si="1"/>
        <v>2550321408.7200003</v>
      </c>
      <c r="M18" s="67"/>
      <c r="N18" s="1220" t="b">
        <f>'WP II-I-1.1'!J462=J18</f>
        <v>1</v>
      </c>
      <c r="P18" s="692" t="b">
        <f>'WP II-I-1.1'!F462=F18</f>
        <v>1</v>
      </c>
      <c r="Q18" s="692" t="b">
        <f>'WP II-I-1.1'!G462=G18</f>
        <v>1</v>
      </c>
      <c r="R18" s="692" t="b">
        <f>'WP II-I-1.1'!H462=H18</f>
        <v>1</v>
      </c>
      <c r="S18" s="692" t="b">
        <f>'WP II-I-1.1'!I462=I18</f>
        <v>1</v>
      </c>
      <c r="T18" s="692" t="b">
        <f>'WP II-I-1.1'!J462=J18</f>
        <v>1</v>
      </c>
    </row>
    <row r="19" spans="2:13" ht="15.75">
      <c r="B19" s="17">
        <f t="shared" si="0"/>
        <v>5</v>
      </c>
      <c r="C19" s="167"/>
      <c r="D19" s="247"/>
      <c r="E19" s="58"/>
      <c r="F19" s="19"/>
      <c r="G19" s="19"/>
      <c r="H19" s="19"/>
      <c r="I19" s="19"/>
      <c r="J19" s="775"/>
      <c r="K19" s="24"/>
      <c r="L19" s="19"/>
      <c r="M19" s="67"/>
    </row>
    <row r="20" spans="2:20" ht="15.75">
      <c r="B20" s="17">
        <f t="shared" si="0"/>
        <v>6</v>
      </c>
      <c r="C20" s="167"/>
      <c r="D20" s="214" t="s">
        <v>640</v>
      </c>
      <c r="E20" s="58" t="s">
        <v>297</v>
      </c>
      <c r="F20" s="19">
        <f>F1035</f>
        <v>374144896.06</v>
      </c>
      <c r="G20" s="19">
        <f>G1035</f>
        <v>459817144.95999992</v>
      </c>
      <c r="H20" s="19">
        <f>H1035</f>
        <v>30914363.670000002</v>
      </c>
      <c r="I20" s="19">
        <f>I1035</f>
        <v>32929277.090000004</v>
      </c>
      <c r="J20" s="24">
        <f>SUM(F20:I20)</f>
        <v>897805681.77999997</v>
      </c>
      <c r="K20" s="24"/>
      <c r="L20" s="19">
        <f t="shared" si="1"/>
        <v>523660785.71999991</v>
      </c>
      <c r="M20" s="67"/>
      <c r="P20" s="692"/>
      <c r="Q20" s="692"/>
      <c r="R20" s="692"/>
      <c r="S20" s="692"/>
      <c r="T20" s="692"/>
    </row>
    <row r="21" spans="2:13" ht="17.25">
      <c r="B21" s="17">
        <f t="shared" si="0"/>
        <v>7</v>
      </c>
      <c r="C21" s="167"/>
      <c r="D21" s="633" t="s">
        <v>641</v>
      </c>
      <c r="E21" s="58" t="s">
        <v>330</v>
      </c>
      <c r="F21" s="901">
        <f>F1037+F1038</f>
        <v>1167765.3700000001</v>
      </c>
      <c r="G21" s="901">
        <f>G1037+G1038</f>
        <v>-2772903.8900000006</v>
      </c>
      <c r="H21" s="901">
        <f>H1037+H1038</f>
        <v>25459958.16</v>
      </c>
      <c r="I21" s="901">
        <f>I1037+I1038</f>
        <v>0</v>
      </c>
      <c r="J21" s="266">
        <f>SUM(F21:I21)</f>
        <v>23854819.640000001</v>
      </c>
      <c r="K21" s="24"/>
      <c r="L21" s="901">
        <f t="shared" si="1"/>
        <v>22687054.27</v>
      </c>
      <c r="M21" s="67"/>
    </row>
    <row r="22" spans="2:20" ht="15.75">
      <c r="B22" s="17">
        <f t="shared" si="0"/>
        <v>8</v>
      </c>
      <c r="C22" s="167"/>
      <c r="D22" s="12" t="s">
        <v>507</v>
      </c>
      <c r="E22" s="58"/>
      <c r="F22" s="896">
        <f>SUM(F20:F21)</f>
        <v>375312661.43000001</v>
      </c>
      <c r="G22" s="896">
        <f>SUM(G20:G21)</f>
        <v>457044241.06999993</v>
      </c>
      <c r="H22" s="896">
        <f>SUM(H20:H21)</f>
        <v>56374321.829999998</v>
      </c>
      <c r="I22" s="896">
        <f>SUM(I20:I21)</f>
        <v>32929277.090000004</v>
      </c>
      <c r="J22" s="252">
        <f>SUM(F22:I22)</f>
        <v>921660501.42000008</v>
      </c>
      <c r="K22" s="252"/>
      <c r="L22" s="896">
        <f t="shared" si="1"/>
        <v>546347839.98999989</v>
      </c>
      <c r="M22" s="67"/>
      <c r="N22" s="1220" t="b">
        <f>'WP II-I-1.1'!J463=J22</f>
        <v>1</v>
      </c>
      <c r="P22" s="692" t="b">
        <f>'WP II-I-1.1'!F463=F22</f>
        <v>1</v>
      </c>
      <c r="Q22" s="692" t="b">
        <f>'WP II-I-1.1'!G463=G22</f>
        <v>1</v>
      </c>
      <c r="R22" s="692" t="b">
        <f>'WP II-I-1.1'!H463=H22</f>
        <v>1</v>
      </c>
      <c r="S22" s="692" t="b">
        <f>'WP II-I-1.1'!I463=I22</f>
        <v>1</v>
      </c>
      <c r="T22" s="692" t="b">
        <f>'WP II-I-1.1'!J463=J22</f>
        <v>1</v>
      </c>
    </row>
    <row r="23" spans="2:13" ht="15.75">
      <c r="B23" s="17">
        <f t="shared" si="0"/>
        <v>9</v>
      </c>
      <c r="C23" s="167"/>
      <c r="D23" s="12"/>
      <c r="E23" s="58"/>
      <c r="F23" s="19"/>
      <c r="G23" s="19"/>
      <c r="H23" s="19"/>
      <c r="I23" s="19"/>
      <c r="J23" s="252"/>
      <c r="K23" s="24"/>
      <c r="L23" s="19"/>
      <c r="M23" s="67"/>
    </row>
    <row r="24" spans="2:20" ht="15.75">
      <c r="B24" s="17">
        <f t="shared" si="0"/>
        <v>10</v>
      </c>
      <c r="C24" s="167"/>
      <c r="D24" s="12" t="s">
        <v>364</v>
      </c>
      <c r="E24" s="58" t="s">
        <v>305</v>
      </c>
      <c r="F24" s="19">
        <f>+F1072</f>
        <v>150292758.44</v>
      </c>
      <c r="G24" s="19">
        <f>+G1072</f>
        <v>447450198.58000004</v>
      </c>
      <c r="H24" s="19">
        <f>+H1072</f>
        <v>8538460.3599999994</v>
      </c>
      <c r="I24" s="19">
        <f>+I1072</f>
        <v>4509539.7900000364</v>
      </c>
      <c r="J24" s="24">
        <f>SUM(F24:I24)</f>
        <v>610790957.17000008</v>
      </c>
      <c r="K24" s="24"/>
      <c r="L24" s="19">
        <f t="shared" si="1"/>
        <v>460498198.73000008</v>
      </c>
      <c r="M24" s="67"/>
      <c r="N24" s="1220" t="b">
        <f>'WP II-I-1.1'!J464=J24</f>
        <v>1</v>
      </c>
      <c r="P24" s="692" t="b">
        <f>'WP II-I-1.1'!F464=F24</f>
        <v>1</v>
      </c>
      <c r="Q24" s="692" t="b">
        <f>'WP II-I-1.1'!G464=G24</f>
        <v>1</v>
      </c>
      <c r="R24" s="692" t="b">
        <f>'WP II-I-1.1'!H464=H24</f>
        <v>1</v>
      </c>
      <c r="S24" s="692">
        <f>'WP II-I-1.1'!I464-I24</f>
        <v>0</v>
      </c>
      <c r="T24" s="692" t="b">
        <f>'WP II-I-1.1'!J464=J24</f>
        <v>1</v>
      </c>
    </row>
    <row r="25" spans="2:20" ht="15.75">
      <c r="B25" s="17">
        <f t="shared" si="2" ref="B25:B29">B24+1</f>
        <v>11</v>
      </c>
      <c r="C25" s="167"/>
      <c r="D25" s="247" t="s">
        <v>508</v>
      </c>
      <c r="E25" s="58" t="s">
        <v>316</v>
      </c>
      <c r="F25" s="19">
        <f>+F1132</f>
        <v>82799349.609925285</v>
      </c>
      <c r="G25" s="19">
        <f>+G1132</f>
        <v>78221384.964147478</v>
      </c>
      <c r="H25" s="19">
        <f>+H1132</f>
        <v>1649124.5175090355</v>
      </c>
      <c r="I25" s="19">
        <f>+I1132</f>
        <v>2534176.4629119495</v>
      </c>
      <c r="J25" s="24">
        <f>SUM(F25:I25)</f>
        <v>165204035.55449379</v>
      </c>
      <c r="K25" s="24"/>
      <c r="L25" s="19">
        <f t="shared" si="1"/>
        <v>82404685.944568455</v>
      </c>
      <c r="M25" s="67"/>
      <c r="N25" s="1220" t="b">
        <f>'WP II-I-1.1'!J465=J25</f>
        <v>1</v>
      </c>
      <c r="P25" s="692">
        <f>'WP II-I-1.1'!F465-F25</f>
        <v>0</v>
      </c>
      <c r="Q25" s="692">
        <f>'WP II-I-1.1'!G465-G25</f>
        <v>0</v>
      </c>
      <c r="R25" s="692">
        <f>'WP II-I-1.1'!H465-H25</f>
        <v>0</v>
      </c>
      <c r="S25" s="692">
        <f>'WP II-I-1.1'!I465-I25</f>
        <v>0</v>
      </c>
      <c r="T25" s="692">
        <f>'WP II-I-1.1'!J465-J25</f>
        <v>0</v>
      </c>
    </row>
    <row r="26" spans="2:13" ht="15.75">
      <c r="B26" s="17">
        <f t="shared" si="2"/>
        <v>12</v>
      </c>
      <c r="C26" s="167"/>
      <c r="D26" s="151"/>
      <c r="E26" s="248"/>
      <c r="F26" s="19"/>
      <c r="G26" s="19"/>
      <c r="H26" s="19"/>
      <c r="I26" s="19"/>
      <c r="J26" s="19"/>
      <c r="K26" s="19"/>
      <c r="L26" s="19"/>
      <c r="M26" s="67"/>
    </row>
    <row r="27" spans="2:20" ht="15.75">
      <c r="B27" s="17">
        <f t="shared" si="2"/>
        <v>13</v>
      </c>
      <c r="C27" s="167"/>
      <c r="D27" s="12" t="s">
        <v>509</v>
      </c>
      <c r="E27" s="58" t="s">
        <v>510</v>
      </c>
      <c r="F27" s="19">
        <f>+F83</f>
        <v>636401498.76829016</v>
      </c>
      <c r="G27" s="19">
        <f>+G83</f>
        <v>638839835.45845962</v>
      </c>
      <c r="H27" s="19">
        <f>+H83</f>
        <v>29703069.880629227</v>
      </c>
      <c r="I27" s="19">
        <f>+I83</f>
        <v>14457604.669049723</v>
      </c>
      <c r="J27" s="24">
        <f>SUM(F27:I27)</f>
        <v>1319402008.7764289</v>
      </c>
      <c r="K27" s="24"/>
      <c r="L27" s="19">
        <f t="shared" si="1"/>
        <v>683000510.00813854</v>
      </c>
      <c r="M27" s="67"/>
      <c r="N27" s="1220" t="b">
        <f>'WP II-I-1.1'!J461=J27</f>
        <v>1</v>
      </c>
      <c r="P27" s="692">
        <f>'WP II-I-1.1'!F461-F27</f>
        <v>0</v>
      </c>
      <c r="Q27" s="692">
        <f>'WP II-I-1.1'!G461-G27</f>
        <v>0</v>
      </c>
      <c r="R27" s="692">
        <f>'WP II-I-1.1'!H461-H27</f>
        <v>0</v>
      </c>
      <c r="S27" s="692">
        <f>'WP II-I-1.1'!I461-I27</f>
        <v>0</v>
      </c>
      <c r="T27" s="692">
        <f>'WP II-I-1.1'!J461-J27</f>
        <v>0</v>
      </c>
    </row>
    <row r="28" spans="2:14" ht="15.75">
      <c r="B28" s="17">
        <f t="shared" si="2"/>
        <v>14</v>
      </c>
      <c r="C28" s="167"/>
      <c r="D28" s="247"/>
      <c r="E28" s="248"/>
      <c r="F28" s="19"/>
      <c r="G28" s="19"/>
      <c r="H28" s="19"/>
      <c r="I28" s="19"/>
      <c r="J28" s="19"/>
      <c r="K28" s="24"/>
      <c r="L28" s="1"/>
      <c r="M28" s="67"/>
      <c r="N28" s="167"/>
    </row>
    <row r="29" spans="2:14" ht="15.75">
      <c r="B29" s="17">
        <f t="shared" si="2"/>
        <v>15</v>
      </c>
      <c r="C29" s="249"/>
      <c r="D29" s="250" t="s">
        <v>511</v>
      </c>
      <c r="E29" s="248"/>
      <c r="F29" s="896">
        <f>+F18+F22+F24+F25+F27</f>
        <v>1488199688.2282152</v>
      </c>
      <c r="G29" s="896">
        <f>+G18+G22+G24+G25+G27</f>
        <v>4012552544.0526075</v>
      </c>
      <c r="H29" s="896">
        <f>+H18+H22+H24+H25+H27</f>
        <v>205435693.36813831</v>
      </c>
      <c r="I29" s="896">
        <f>+I18+I22+I24+I25+I27</f>
        <v>104584405.97196172</v>
      </c>
      <c r="J29" s="252">
        <f>SUM(F29:I29)</f>
        <v>5810772331.620923</v>
      </c>
      <c r="K29" s="252"/>
      <c r="L29" s="896">
        <f t="shared" si="1"/>
        <v>4322572643.3927078</v>
      </c>
      <c r="M29" s="133"/>
      <c r="N29" s="249"/>
    </row>
    <row r="30" spans="2:14" s="386" customFormat="1" ht="15.75">
      <c r="B30" s="17">
        <v>16</v>
      </c>
      <c r="C30" s="684"/>
      <c r="D30" s="1"/>
      <c r="E30" s="1212"/>
      <c r="F30" s="19"/>
      <c r="G30" s="19"/>
      <c r="H30" s="19"/>
      <c r="I30" s="894"/>
      <c r="J30" s="19"/>
      <c r="K30" s="19"/>
      <c r="L30" s="19"/>
      <c r="M30" s="47"/>
      <c r="N30" s="684"/>
    </row>
    <row r="31" spans="2:14" ht="15.75">
      <c r="B31" s="17">
        <f>B30+1</f>
        <v>17</v>
      </c>
      <c r="C31" s="167"/>
      <c r="D31" s="12" t="s">
        <v>512</v>
      </c>
      <c r="E31" s="58" t="s">
        <v>335</v>
      </c>
      <c r="F31" s="50">
        <f>+F1188</f>
        <v>43023334.75</v>
      </c>
      <c r="G31" s="50">
        <f>+G1188</f>
        <v>51757981.979999989</v>
      </c>
      <c r="H31" s="50">
        <f>+H1188</f>
        <v>5094630.9699999997</v>
      </c>
      <c r="I31" s="50">
        <f>+I1188</f>
        <v>205014.6500000013</v>
      </c>
      <c r="J31" s="121">
        <f>SUM(F31:I31)</f>
        <v>100080962.34999999</v>
      </c>
      <c r="K31" s="24"/>
      <c r="L31" s="19">
        <f t="shared" si="1"/>
        <v>57057627.599999987</v>
      </c>
      <c r="M31" s="67"/>
      <c r="N31" s="1220" t="b">
        <f>'WP II-I-1.1'!J466=-J31</f>
        <v>1</v>
      </c>
    </row>
    <row r="32" spans="2:14" ht="15.75" thickBot="1">
      <c r="B32" s="17">
        <f>B31+1</f>
        <v>18</v>
      </c>
      <c r="C32" s="167"/>
      <c r="D32" s="12"/>
      <c r="E32" s="12"/>
      <c r="F32" s="12"/>
      <c r="G32" s="12"/>
      <c r="H32" s="12"/>
      <c r="I32" s="12"/>
      <c r="J32" s="12"/>
      <c r="K32" s="1"/>
      <c r="L32" s="1"/>
      <c r="M32" s="67"/>
      <c r="N32" s="167"/>
    </row>
    <row r="33" spans="2:14" ht="16.5" thickBot="1">
      <c r="B33" s="17">
        <f>B32+1</f>
        <v>19</v>
      </c>
      <c r="C33" s="167"/>
      <c r="D33" s="253" t="s">
        <v>358</v>
      </c>
      <c r="E33" s="254"/>
      <c r="F33" s="255">
        <f>+F29-F31</f>
        <v>1445176353.4782152</v>
      </c>
      <c r="G33" s="255">
        <f>+G29-G31</f>
        <v>3960794562.0726075</v>
      </c>
      <c r="H33" s="255">
        <f>+H29-H31</f>
        <v>200341062.39813831</v>
      </c>
      <c r="I33" s="255">
        <f>+I29-I31</f>
        <v>104379391.32196172</v>
      </c>
      <c r="J33" s="256">
        <f>SUM(F33:I33)</f>
        <v>5710691369.2709227</v>
      </c>
      <c r="K33" s="252"/>
      <c r="L33" s="257">
        <f>G33+H33+I33</f>
        <v>4265515015.7927079</v>
      </c>
      <c r="M33" s="67"/>
      <c r="N33" s="258">
        <f>'WP II-I-1.1'!$J$467-J33</f>
        <v>0</v>
      </c>
    </row>
    <row r="34" spans="2:14" ht="15"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</row>
    <row r="35" spans="2:14" ht="15"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</row>
    <row r="36" spans="2:14" ht="15"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</row>
    <row r="37" spans="2:14" ht="15"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</row>
    <row r="38" spans="2:14" ht="15"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</row>
    <row r="39" spans="2:14" ht="15"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</row>
    <row r="40" spans="2:14" ht="21.75" customHeight="1">
      <c r="B40" s="871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167"/>
      <c r="N40" s="167"/>
    </row>
    <row r="41" spans="2:14" ht="16.5" thickBot="1">
      <c r="B41" s="871"/>
      <c r="C41" s="871"/>
      <c r="D41" s="871"/>
      <c r="E41" s="871"/>
      <c r="F41" s="871"/>
      <c r="G41" s="871"/>
      <c r="H41" s="871"/>
      <c r="I41" s="871"/>
      <c r="J41" s="871"/>
      <c r="K41" s="871"/>
      <c r="L41" s="871"/>
      <c r="M41" s="134"/>
      <c r="N41" s="167"/>
    </row>
    <row r="42" spans="2:14" ht="15.75">
      <c r="B42" s="920" t="str">
        <f>$B$4</f>
        <v>2022 RATE CASE</v>
      </c>
      <c r="C42" s="926"/>
      <c r="D42" s="927"/>
      <c r="E42" s="871"/>
      <c r="F42" s="871"/>
      <c r="G42" s="871"/>
      <c r="H42" s="871"/>
      <c r="I42" s="871"/>
      <c r="J42" s="871"/>
      <c r="K42" s="871"/>
      <c r="L42" s="871"/>
      <c r="M42" s="167"/>
      <c r="N42" s="167"/>
    </row>
    <row r="43" spans="2:14" ht="15.75">
      <c r="B43" s="917" t="str">
        <f>$B$5</f>
        <v>ONCOR ELECTRIC DELIVERY COMPANY LLC</v>
      </c>
      <c r="C43" s="369"/>
      <c r="D43" s="928"/>
      <c r="E43" s="871"/>
      <c r="F43" s="871"/>
      <c r="G43" s="871"/>
      <c r="H43" s="871"/>
      <c r="I43" s="871"/>
      <c r="J43" s="871"/>
      <c r="K43" s="871"/>
      <c r="L43" s="871"/>
      <c r="M43" s="67"/>
      <c r="N43" s="167"/>
    </row>
    <row r="44" spans="2:14" ht="15.75">
      <c r="B44" s="406" t="str">
        <f>$B$6</f>
        <v>CONSOLIDATED FUNCTIONALIZED COST OF SERVICE</v>
      </c>
      <c r="C44" s="369"/>
      <c r="D44" s="928"/>
      <c r="E44" s="871"/>
      <c r="F44" s="871"/>
      <c r="G44" s="871"/>
      <c r="H44" s="871"/>
      <c r="I44" s="871"/>
      <c r="J44" s="871"/>
      <c r="K44" s="871"/>
      <c r="L44" s="871"/>
      <c r="M44" s="67"/>
      <c r="N44" s="167"/>
    </row>
    <row r="45" spans="2:14" ht="15.75">
      <c r="B45" s="406" t="str">
        <f>$B$7</f>
        <v>TEST YEAR ENDING 12/31/2021</v>
      </c>
      <c r="C45" s="369"/>
      <c r="D45" s="928"/>
      <c r="M45" s="67"/>
      <c r="N45" s="167"/>
    </row>
    <row r="46" spans="2:14" ht="15.75">
      <c r="B46" s="406" t="str">
        <f>$B$8</f>
        <v>SPONSOR:  MATTHEW A. TROXLE</v>
      </c>
      <c r="C46" s="369"/>
      <c r="D46" s="928"/>
      <c r="E46" s="872"/>
      <c r="F46" s="872"/>
      <c r="G46" s="872"/>
      <c r="H46" s="872"/>
      <c r="I46" s="872"/>
      <c r="J46" s="872"/>
      <c r="K46" s="872"/>
      <c r="L46" s="872"/>
      <c r="M46" s="67"/>
      <c r="N46" s="167"/>
    </row>
    <row r="47" spans="2:14" ht="16.5" thickBot="1">
      <c r="B47" s="410"/>
      <c r="C47" s="929"/>
      <c r="D47" s="930"/>
      <c r="M47" s="67"/>
      <c r="N47" s="167"/>
    </row>
    <row r="48" spans="2:14" ht="15.75">
      <c r="B48" s="857"/>
      <c r="C48" s="858"/>
      <c r="D48" s="859"/>
      <c r="E48" s="238"/>
      <c r="F48" s="237" t="s">
        <v>6</v>
      </c>
      <c r="G48" s="13" t="s">
        <v>7</v>
      </c>
      <c r="H48" s="13" t="s">
        <v>8</v>
      </c>
      <c r="I48" s="239" t="s">
        <v>9</v>
      </c>
      <c r="J48" s="13" t="s">
        <v>10</v>
      </c>
      <c r="K48" s="17"/>
      <c r="L48" s="139" t="str">
        <f>L$10</f>
        <v>DIST + MET</v>
      </c>
      <c r="M48" s="67"/>
      <c r="N48" s="167"/>
    </row>
    <row r="49" spans="2:14" ht="15.75">
      <c r="B49" s="235" t="s">
        <v>2</v>
      </c>
      <c r="C49" s="240"/>
      <c r="D49" s="241" t="s">
        <v>514</v>
      </c>
      <c r="E49" s="242" t="s">
        <v>371</v>
      </c>
      <c r="F49" s="242"/>
      <c r="G49" s="15"/>
      <c r="H49" s="15"/>
      <c r="I49" s="15"/>
      <c r="J49" s="15"/>
      <c r="K49" s="17"/>
      <c r="L49" s="97" t="str">
        <f>L$11</f>
        <v xml:space="preserve"> + TBILLTDCS</v>
      </c>
      <c r="M49" s="67"/>
      <c r="N49" s="167"/>
    </row>
    <row r="50" spans="2:14" ht="15">
      <c r="B50" s="235"/>
      <c r="C50" s="240"/>
      <c r="D50" s="242"/>
      <c r="E50" s="242"/>
      <c r="F50" s="242"/>
      <c r="G50" s="15"/>
      <c r="H50" s="15"/>
      <c r="I50" s="15"/>
      <c r="J50" s="15"/>
      <c r="K50" s="17"/>
      <c r="L50" s="97"/>
      <c r="M50" s="67"/>
      <c r="N50" s="167"/>
    </row>
    <row r="51" spans="2:14" ht="15.75" thickBot="1">
      <c r="B51" s="243" t="s">
        <v>13</v>
      </c>
      <c r="C51" s="244"/>
      <c r="D51" s="245" t="s">
        <v>14</v>
      </c>
      <c r="E51" s="245" t="s">
        <v>15</v>
      </c>
      <c r="F51" s="16" t="s">
        <v>16</v>
      </c>
      <c r="G51" s="16" t="s">
        <v>17</v>
      </c>
      <c r="H51" s="16" t="s">
        <v>18</v>
      </c>
      <c r="I51" s="16" t="s">
        <v>21</v>
      </c>
      <c r="J51" s="16" t="s">
        <v>22</v>
      </c>
      <c r="K51" s="17"/>
      <c r="L51" s="99" t="s">
        <v>419</v>
      </c>
      <c r="M51" s="67"/>
      <c r="N51" s="167"/>
    </row>
    <row r="52" spans="2:14" ht="15">
      <c r="B52" s="67"/>
      <c r="C52" s="12"/>
      <c r="D52" s="12"/>
      <c r="E52" s="12"/>
      <c r="F52" s="12"/>
      <c r="G52" s="12"/>
      <c r="H52" s="12"/>
      <c r="I52" s="12"/>
      <c r="J52" s="121"/>
      <c r="K52" s="24"/>
      <c r="L52" s="1"/>
      <c r="M52" s="67"/>
      <c r="N52" s="167"/>
    </row>
    <row r="53" spans="2:14" ht="15.75">
      <c r="B53" s="17">
        <f t="shared" si="3" ref="B53:B60">B52+1</f>
        <v>1</v>
      </c>
      <c r="C53" s="12"/>
      <c r="D53" s="260" t="s">
        <v>646</v>
      </c>
      <c r="E53" s="261" t="s">
        <v>24</v>
      </c>
      <c r="F53" s="121">
        <f>F106</f>
        <v>247306020.55000001</v>
      </c>
      <c r="G53" s="121">
        <f>G106</f>
        <v>323333372.81999999</v>
      </c>
      <c r="H53" s="121">
        <f>H106</f>
        <v>185301712.96000001</v>
      </c>
      <c r="I53" s="121">
        <f>I106</f>
        <v>310409174.74000001</v>
      </c>
      <c r="J53" s="121">
        <f>SUM(F53:I53)</f>
        <v>1066350281.0700001</v>
      </c>
      <c r="K53" s="24"/>
      <c r="L53" s="263">
        <f t="shared" si="4" ref="L53:L116">SUM(G53:I53)</f>
        <v>819044260.51999998</v>
      </c>
      <c r="M53" s="67"/>
      <c r="N53" s="1250" t="b">
        <f>SUM('WP II-I-1.1'!F18:I20)=J53</f>
        <v>1</v>
      </c>
    </row>
    <row r="54" spans="2:14" ht="15.75">
      <c r="B54" s="17">
        <f t="shared" si="3"/>
        <v>2</v>
      </c>
      <c r="C54" s="12"/>
      <c r="D54" s="260" t="s">
        <v>647</v>
      </c>
      <c r="E54" s="261" t="s">
        <v>24</v>
      </c>
      <c r="F54" s="121">
        <f>F118</f>
        <v>12636475915.75</v>
      </c>
      <c r="G54" s="121">
        <f>G118</f>
        <v>381860650.86000001</v>
      </c>
      <c r="H54" s="121">
        <f>H118</f>
        <v>0</v>
      </c>
      <c r="I54" s="121">
        <f>I118</f>
        <v>0</v>
      </c>
      <c r="J54" s="121">
        <f>SUM(F54:I54)</f>
        <v>13018336566.610001</v>
      </c>
      <c r="K54" s="24"/>
      <c r="L54" s="263">
        <f t="shared" si="4"/>
        <v>381860650.86000001</v>
      </c>
      <c r="M54" s="67"/>
      <c r="N54" s="167" t="b">
        <f>SUM('WP II-I-1.1'!F26:I35)=J54</f>
        <v>1</v>
      </c>
    </row>
    <row r="55" spans="2:14" ht="17.25">
      <c r="B55" s="17">
        <f t="shared" si="3"/>
        <v>3</v>
      </c>
      <c r="C55" s="12"/>
      <c r="D55" s="631" t="s">
        <v>645</v>
      </c>
      <c r="E55" s="261" t="s">
        <v>24</v>
      </c>
      <c r="F55" s="265">
        <f>F154</f>
        <v>705433552.61999989</v>
      </c>
      <c r="G55" s="265">
        <f>G154</f>
        <v>14618819732.849999</v>
      </c>
      <c r="H55" s="265">
        <f>H154</f>
        <v>574147483.07000005</v>
      </c>
      <c r="I55" s="265">
        <f>I154</f>
        <v>0</v>
      </c>
      <c r="J55" s="265">
        <f>SUM(F55:I55)</f>
        <v>15898400768.539997</v>
      </c>
      <c r="K55" s="24"/>
      <c r="L55" s="267">
        <f t="shared" si="4"/>
        <v>15192967215.919998</v>
      </c>
      <c r="M55" s="67"/>
      <c r="N55" s="167" t="b">
        <f>SUM('WP II-I-1.1'!F50:I64)=J55</f>
        <v>1</v>
      </c>
    </row>
    <row r="56" spans="2:20" ht="15.75">
      <c r="B56" s="17">
        <f t="shared" si="3"/>
        <v>4</v>
      </c>
      <c r="C56" s="167"/>
      <c r="D56" s="260" t="s">
        <v>515</v>
      </c>
      <c r="E56" s="261"/>
      <c r="F56" s="269">
        <f>SUM(F53:F55)</f>
        <v>13589215488.919998</v>
      </c>
      <c r="G56" s="269">
        <f>SUM(G53:G55)</f>
        <v>15324013756.529999</v>
      </c>
      <c r="H56" s="269">
        <f>SUM(H53:H55)</f>
        <v>759449196.03000009</v>
      </c>
      <c r="I56" s="269">
        <f>SUM(I53:I55)</f>
        <v>310409174.74000001</v>
      </c>
      <c r="J56" s="251">
        <f>SUM(F56:I56)</f>
        <v>29983087616.219997</v>
      </c>
      <c r="K56" s="252"/>
      <c r="L56" s="39">
        <f t="shared" si="4"/>
        <v>16393872127.299999</v>
      </c>
      <c r="M56" s="67"/>
      <c r="N56" s="1220" t="b">
        <f>SUM(F56:I56)=J56</f>
        <v>1</v>
      </c>
      <c r="P56" s="692"/>
      <c r="Q56" s="692"/>
      <c r="R56" s="692"/>
      <c r="S56" s="692"/>
      <c r="T56" s="692"/>
    </row>
    <row r="57" spans="2:14" ht="15.75">
      <c r="B57" s="17">
        <f t="shared" si="3"/>
        <v>5</v>
      </c>
      <c r="C57" s="167"/>
      <c r="D57" s="260"/>
      <c r="E57" s="261"/>
      <c r="F57" s="262"/>
      <c r="G57" s="262"/>
      <c r="H57" s="262"/>
      <c r="I57" s="262"/>
      <c r="J57" s="121"/>
      <c r="K57" s="24"/>
      <c r="L57" s="263">
        <f t="shared" si="4"/>
        <v>0</v>
      </c>
      <c r="M57" s="67"/>
      <c r="N57" s="167"/>
    </row>
    <row r="58" spans="2:14" ht="15.75">
      <c r="B58" s="17">
        <f t="shared" si="3"/>
        <v>6</v>
      </c>
      <c r="C58" s="167"/>
      <c r="D58" s="260" t="s">
        <v>516</v>
      </c>
      <c r="E58" s="261" t="s">
        <v>90</v>
      </c>
      <c r="F58" s="262">
        <f>+F194</f>
        <v>232353107.81000003</v>
      </c>
      <c r="G58" s="262">
        <f>+G194</f>
        <v>330131994.91000003</v>
      </c>
      <c r="H58" s="262">
        <f>+H194</f>
        <v>104726621.60999998</v>
      </c>
      <c r="I58" s="262">
        <f>+I194</f>
        <v>100100755.95999999</v>
      </c>
      <c r="J58" s="121">
        <f>SUM(F58:I58)</f>
        <v>767312480.29000008</v>
      </c>
      <c r="K58" s="24"/>
      <c r="L58" s="263">
        <f t="shared" si="4"/>
        <v>534959372.47999996</v>
      </c>
      <c r="M58" s="67"/>
      <c r="N58" s="167" t="b">
        <f>SUM('WP II-I-1.1'!F83:I91)+SUM('WP II-I-1.1'!F93:I94)=J58</f>
        <v>1</v>
      </c>
    </row>
    <row r="59" spans="2:14" ht="17.25">
      <c r="B59" s="17">
        <f t="shared" si="3"/>
        <v>7</v>
      </c>
      <c r="C59" s="167"/>
      <c r="D59" s="260" t="s">
        <v>517</v>
      </c>
      <c r="E59" s="261" t="s">
        <v>109</v>
      </c>
      <c r="F59" s="264">
        <f>+F212</f>
        <v>81760693.299999997</v>
      </c>
      <c r="G59" s="264">
        <f>+G212</f>
        <v>61337953.159999996</v>
      </c>
      <c r="H59" s="264">
        <f>+H212</f>
        <v>45688861.039999999</v>
      </c>
      <c r="I59" s="264">
        <f>+I212</f>
        <v>1554894.4199999999</v>
      </c>
      <c r="J59" s="265">
        <f>SUM(F59:I59)</f>
        <v>190342401.91999996</v>
      </c>
      <c r="K59" s="266"/>
      <c r="L59" s="267">
        <f t="shared" si="4"/>
        <v>108581708.61999999</v>
      </c>
      <c r="M59" s="67"/>
      <c r="N59" s="167" t="b">
        <f>SUM('WP II-I-1.1'!F92:I92)=J59</f>
        <v>1</v>
      </c>
    </row>
    <row r="60" spans="2:14" ht="15.75">
      <c r="B60" s="17">
        <f t="shared" si="3"/>
        <v>8</v>
      </c>
      <c r="C60" s="249"/>
      <c r="D60" s="268" t="s">
        <v>518</v>
      </c>
      <c r="E60" s="261"/>
      <c r="F60" s="269">
        <f>+F56+F58+F59</f>
        <v>13903329290.029997</v>
      </c>
      <c r="G60" s="269">
        <f>+G56+G58+G59</f>
        <v>15715483704.599999</v>
      </c>
      <c r="H60" s="269">
        <f>+H56+H58+H59</f>
        <v>909864678.68000007</v>
      </c>
      <c r="I60" s="269">
        <f>+I56+I58+I59</f>
        <v>412064825.12</v>
      </c>
      <c r="J60" s="251">
        <f>SUM(F60:I60)</f>
        <v>30940742498.429996</v>
      </c>
      <c r="K60" s="252"/>
      <c r="L60" s="39">
        <f t="shared" si="4"/>
        <v>17037413208.4</v>
      </c>
      <c r="M60" s="133"/>
      <c r="N60" s="249" t="b">
        <f>SUM(F60:I60)=J60</f>
        <v>1</v>
      </c>
    </row>
    <row r="61" spans="2:14" ht="15.75">
      <c r="B61" s="17">
        <f t="shared" si="5" ref="B61:B83">B60+1</f>
        <v>9</v>
      </c>
      <c r="C61" s="167"/>
      <c r="D61" s="260"/>
      <c r="E61" s="261"/>
      <c r="F61" s="262"/>
      <c r="G61" s="262"/>
      <c r="H61" s="262"/>
      <c r="I61" s="262"/>
      <c r="J61" s="262"/>
      <c r="K61" s="263"/>
      <c r="L61" s="263">
        <f t="shared" si="4"/>
        <v>0</v>
      </c>
      <c r="M61" s="67"/>
      <c r="N61" s="167"/>
    </row>
    <row r="62" spans="2:14" ht="15.75">
      <c r="B62" s="17">
        <f t="shared" si="5"/>
        <v>10</v>
      </c>
      <c r="C62" s="167"/>
      <c r="D62" s="270" t="s">
        <v>519</v>
      </c>
      <c r="E62" s="261" t="s">
        <v>36</v>
      </c>
      <c r="F62" s="262">
        <f>+F349+F308</f>
        <v>3399584207.2199998</v>
      </c>
      <c r="G62" s="262">
        <f>+G349+G308</f>
        <v>5869820991.1499996</v>
      </c>
      <c r="H62" s="262">
        <f>+H349+H308</f>
        <v>575025967.10000002</v>
      </c>
      <c r="I62" s="262">
        <f>+I349+I308</f>
        <v>126531352.90000001</v>
      </c>
      <c r="J62" s="121">
        <f>SUM(F62:I62)</f>
        <v>9970962518.3699989</v>
      </c>
      <c r="K62" s="24"/>
      <c r="L62" s="263">
        <f t="shared" si="4"/>
        <v>6571378311.1499996</v>
      </c>
      <c r="M62" s="67"/>
      <c r="N62" s="726" t="b">
        <f>SUM('WP II-I-1.1'!F22:I24)+SUM('WP II-I-1.1'!F37:I46)+SUM('WP II-I-1.1'!F66:I79)+SUM('WP II-I-1.1'!F96:I107)=J62</f>
        <v>1</v>
      </c>
    </row>
    <row r="63" spans="2:14" ht="15.75">
      <c r="B63" s="17">
        <f t="shared" si="5"/>
        <v>11</v>
      </c>
      <c r="C63" s="167"/>
      <c r="D63" s="260"/>
      <c r="E63" s="261"/>
      <c r="F63" s="271"/>
      <c r="G63" s="271"/>
      <c r="H63" s="271"/>
      <c r="I63" s="271"/>
      <c r="J63" s="262"/>
      <c r="K63" s="263"/>
      <c r="L63" s="272"/>
      <c r="M63" s="67"/>
      <c r="N63" s="167"/>
    </row>
    <row r="64" spans="2:14" ht="15.75">
      <c r="B64" s="17">
        <f t="shared" si="5"/>
        <v>12</v>
      </c>
      <c r="C64" s="249"/>
      <c r="D64" s="273" t="s">
        <v>520</v>
      </c>
      <c r="E64" s="58"/>
      <c r="F64" s="269">
        <f>+F60-F62</f>
        <v>10503745082.809998</v>
      </c>
      <c r="G64" s="269">
        <f>+G60-G62</f>
        <v>9845662713.4499989</v>
      </c>
      <c r="H64" s="269">
        <f>+H60-H62</f>
        <v>334838711.58000004</v>
      </c>
      <c r="I64" s="269">
        <f>+I60-I62</f>
        <v>285533472.22000003</v>
      </c>
      <c r="J64" s="251">
        <f>SUM(F64:I64)</f>
        <v>20969779980.059998</v>
      </c>
      <c r="K64" s="252"/>
      <c r="L64" s="39">
        <f t="shared" si="4"/>
        <v>10466034897.249998</v>
      </c>
      <c r="M64" s="133"/>
      <c r="N64" s="249"/>
    </row>
    <row r="65" spans="2:14" ht="15.75">
      <c r="B65" s="17">
        <f t="shared" si="5"/>
        <v>13</v>
      </c>
      <c r="C65" s="167"/>
      <c r="D65" s="260"/>
      <c r="E65" s="261"/>
      <c r="F65" s="12"/>
      <c r="G65" s="12"/>
      <c r="H65" s="12"/>
      <c r="I65" s="12"/>
      <c r="J65" s="12"/>
      <c r="K65" s="1"/>
      <c r="L65" s="1"/>
      <c r="M65" s="67"/>
      <c r="N65" s="167"/>
    </row>
    <row r="66" spans="2:14" ht="15.75">
      <c r="B66" s="17">
        <f t="shared" si="5"/>
        <v>14</v>
      </c>
      <c r="C66" s="167"/>
      <c r="D66" s="274" t="s">
        <v>521</v>
      </c>
      <c r="E66" s="275"/>
      <c r="F66" s="12"/>
      <c r="G66" s="12"/>
      <c r="H66" s="12"/>
      <c r="I66" s="12"/>
      <c r="J66" s="12"/>
      <c r="K66" s="1"/>
      <c r="L66" s="1"/>
      <c r="M66" s="67"/>
      <c r="N66" s="167"/>
    </row>
    <row r="67" spans="2:14" ht="15.75">
      <c r="B67" s="17">
        <f t="shared" si="5"/>
        <v>15</v>
      </c>
      <c r="C67" s="167"/>
      <c r="D67" s="41"/>
      <c r="E67" s="261"/>
      <c r="F67" s="1"/>
      <c r="G67" s="1"/>
      <c r="H67" s="1"/>
      <c r="I67" s="1"/>
      <c r="J67" s="1"/>
      <c r="K67" s="1"/>
      <c r="L67" s="1"/>
      <c r="M67" s="67"/>
      <c r="N67" s="167"/>
    </row>
    <row r="68" spans="1:14" s="1131" customFormat="1" ht="15.75">
      <c r="A68" s="386"/>
      <c r="B68" s="17">
        <f t="shared" si="5"/>
        <v>16</v>
      </c>
      <c r="C68" s="684"/>
      <c r="D68" s="42" t="s">
        <v>116</v>
      </c>
      <c r="E68" s="415" t="s">
        <v>117</v>
      </c>
      <c r="F68" s="263">
        <f>+F237</f>
        <v>0</v>
      </c>
      <c r="G68" s="263">
        <f>+G237</f>
        <v>0</v>
      </c>
      <c r="H68" s="263">
        <f>+H237</f>
        <v>0</v>
      </c>
      <c r="I68" s="263">
        <f>+I237</f>
        <v>0</v>
      </c>
      <c r="J68" s="24">
        <f t="shared" si="6" ref="J68:J77">SUM(F68:I68)</f>
        <v>0</v>
      </c>
      <c r="K68" s="24"/>
      <c r="L68" s="263">
        <f t="shared" si="4"/>
        <v>0</v>
      </c>
      <c r="M68" s="1130"/>
      <c r="N68" s="1129"/>
    </row>
    <row r="69" spans="2:14" ht="15.75">
      <c r="B69" s="17">
        <f t="shared" si="5"/>
        <v>17</v>
      </c>
      <c r="C69" s="167"/>
      <c r="D69" s="41" t="s">
        <v>118</v>
      </c>
      <c r="E69" s="261" t="s">
        <v>119</v>
      </c>
      <c r="F69" s="263">
        <f>+F374</f>
        <v>21469068.16</v>
      </c>
      <c r="G69" s="263">
        <f>+G374</f>
        <v>1745979.3400000001</v>
      </c>
      <c r="H69" s="263">
        <f>+H374</f>
        <v>0</v>
      </c>
      <c r="I69" s="263">
        <f>+I374</f>
        <v>0</v>
      </c>
      <c r="J69" s="24">
        <f t="shared" si="6"/>
        <v>23215047.5</v>
      </c>
      <c r="K69" s="24"/>
      <c r="L69" s="263">
        <f t="shared" si="4"/>
        <v>1745979.3400000001</v>
      </c>
      <c r="M69" s="67"/>
      <c r="N69" s="167"/>
    </row>
    <row r="70" spans="2:14" ht="15.75">
      <c r="B70" s="17">
        <f t="shared" si="5"/>
        <v>18</v>
      </c>
      <c r="C70" s="167"/>
      <c r="D70" s="42" t="s">
        <v>522</v>
      </c>
      <c r="E70" s="261" t="s">
        <v>523</v>
      </c>
      <c r="F70" s="24">
        <f>F395</f>
        <v>0</v>
      </c>
      <c r="G70" s="24">
        <f>G395</f>
        <v>0</v>
      </c>
      <c r="H70" s="24">
        <f>H395</f>
        <v>0</v>
      </c>
      <c r="I70" s="24">
        <f>I395</f>
        <v>0</v>
      </c>
      <c r="J70" s="24">
        <f t="shared" si="6"/>
        <v>0</v>
      </c>
      <c r="K70" s="24"/>
      <c r="L70" s="24">
        <f t="shared" si="4"/>
        <v>0</v>
      </c>
      <c r="M70" s="67"/>
      <c r="N70" s="167"/>
    </row>
    <row r="71" spans="2:14" ht="15.75">
      <c r="B71" s="17">
        <f t="shared" si="5"/>
        <v>19</v>
      </c>
      <c r="C71" s="167"/>
      <c r="D71" s="41" t="s">
        <v>524</v>
      </c>
      <c r="E71" s="261" t="s">
        <v>121</v>
      </c>
      <c r="F71" s="263">
        <f>+F421</f>
        <v>77242553.11999999</v>
      </c>
      <c r="G71" s="263">
        <f>+G421</f>
        <v>74690404.409999996</v>
      </c>
      <c r="H71" s="263">
        <f>+H421</f>
        <v>105783.33</v>
      </c>
      <c r="I71" s="263">
        <f>+I421</f>
        <v>0</v>
      </c>
      <c r="J71" s="24">
        <f t="shared" si="6"/>
        <v>152038740.85999998</v>
      </c>
      <c r="K71" s="24"/>
      <c r="L71" s="263">
        <f t="shared" si="4"/>
        <v>74796187.739999995</v>
      </c>
      <c r="M71" s="67"/>
      <c r="N71" s="167"/>
    </row>
    <row r="72" spans="2:14" ht="15.75">
      <c r="B72" s="17">
        <f t="shared" si="5"/>
        <v>20</v>
      </c>
      <c r="C72" s="167"/>
      <c r="D72" s="41" t="s">
        <v>123</v>
      </c>
      <c r="E72" s="261" t="s">
        <v>124</v>
      </c>
      <c r="F72" s="262">
        <f>+F441</f>
        <v>-56535861.520000003</v>
      </c>
      <c r="G72" s="262">
        <f>+G441</f>
        <v>-16695371.95999999</v>
      </c>
      <c r="H72" s="262">
        <f>+H441</f>
        <v>273938.61000000028</v>
      </c>
      <c r="I72" s="262">
        <f>+I441</f>
        <v>141339.77999998356</v>
      </c>
      <c r="J72" s="121">
        <f t="shared" si="6"/>
        <v>-72815955.090000004</v>
      </c>
      <c r="K72" s="24"/>
      <c r="L72" s="263">
        <f t="shared" si="4"/>
        <v>-16280093.570000006</v>
      </c>
      <c r="M72" s="67"/>
      <c r="N72" s="167"/>
    </row>
    <row r="73" spans="2:14" ht="15.75">
      <c r="B73" s="17">
        <f t="shared" si="5"/>
        <v>21</v>
      </c>
      <c r="C73" s="167"/>
      <c r="D73" s="41" t="s">
        <v>125</v>
      </c>
      <c r="E73" s="261" t="s">
        <v>126</v>
      </c>
      <c r="F73" s="262">
        <f>+F462</f>
        <v>10576723.424615383</v>
      </c>
      <c r="G73" s="262">
        <f>+G462</f>
        <v>100121671.99538463</v>
      </c>
      <c r="H73" s="262">
        <f>+H462</f>
        <v>3524809.17076923</v>
      </c>
      <c r="I73" s="262">
        <f>+I462</f>
        <v>930191.56999999855</v>
      </c>
      <c r="J73" s="121">
        <f t="shared" si="6"/>
        <v>115153396.16076924</v>
      </c>
      <c r="K73" s="24"/>
      <c r="L73" s="263">
        <f t="shared" si="4"/>
        <v>104576672.73615386</v>
      </c>
      <c r="M73" s="67"/>
      <c r="N73" s="167"/>
    </row>
    <row r="74" spans="2:14" ht="15.75">
      <c r="B74" s="17">
        <f t="shared" si="5"/>
        <v>22</v>
      </c>
      <c r="C74" s="167"/>
      <c r="D74" s="42" t="s">
        <v>525</v>
      </c>
      <c r="E74" s="261" t="s">
        <v>128</v>
      </c>
      <c r="F74" s="262">
        <f>F483</f>
        <v>24173334.859999999</v>
      </c>
      <c r="G74" s="262">
        <f>G483</f>
        <v>-2428360.54</v>
      </c>
      <c r="H74" s="262">
        <f>H483</f>
        <v>-668323.90000000002</v>
      </c>
      <c r="I74" s="262">
        <f>I483</f>
        <v>0</v>
      </c>
      <c r="J74" s="121">
        <f t="shared" si="6"/>
        <v>21076650.420000002</v>
      </c>
      <c r="K74" s="24"/>
      <c r="L74" s="263">
        <f t="shared" si="4"/>
        <v>-3096684.4399999999</v>
      </c>
      <c r="M74" s="67"/>
      <c r="N74" s="167"/>
    </row>
    <row r="75" spans="2:14" ht="15.75">
      <c r="B75" s="17">
        <f t="shared" si="5"/>
        <v>23</v>
      </c>
      <c r="C75" s="167"/>
      <c r="D75" s="42" t="s">
        <v>526</v>
      </c>
      <c r="E75" s="261" t="s">
        <v>132</v>
      </c>
      <c r="F75" s="262">
        <f>F591</f>
        <v>-470917022.62</v>
      </c>
      <c r="G75" s="262">
        <f>G591</f>
        <v>190520108.74000001</v>
      </c>
      <c r="H75" s="262">
        <f>H591</f>
        <v>119901695.55999999</v>
      </c>
      <c r="I75" s="262">
        <f>I591</f>
        <v>4277692.1731872801</v>
      </c>
      <c r="J75" s="121">
        <f t="shared" si="6"/>
        <v>-156217526.14681271</v>
      </c>
      <c r="K75" s="24"/>
      <c r="L75" s="263">
        <f t="shared" si="4"/>
        <v>314699496.47318727</v>
      </c>
      <c r="M75" s="67"/>
      <c r="N75" s="167"/>
    </row>
    <row r="76" spans="2:14" ht="17.25">
      <c r="B76" s="17">
        <f t="shared" si="5"/>
        <v>24</v>
      </c>
      <c r="C76" s="167"/>
      <c r="D76" s="42" t="s">
        <v>527</v>
      </c>
      <c r="E76" s="261" t="s">
        <v>528</v>
      </c>
      <c r="F76" s="264">
        <f>+F399</f>
        <v>-1082782264.5000002</v>
      </c>
      <c r="G76" s="264">
        <f>+G399</f>
        <v>-1132059195.6699996</v>
      </c>
      <c r="H76" s="264">
        <f>+H399</f>
        <v>-36656474.20000001</v>
      </c>
      <c r="I76" s="264">
        <f>+I399</f>
        <v>-85810289.089999706</v>
      </c>
      <c r="J76" s="265">
        <f t="shared" si="6"/>
        <v>-2337308223.4599996</v>
      </c>
      <c r="K76" s="266"/>
      <c r="L76" s="267">
        <f t="shared" si="4"/>
        <v>-1254525958.9599993</v>
      </c>
      <c r="M76" s="67"/>
      <c r="N76" s="167"/>
    </row>
    <row r="77" spans="2:14" ht="15.75">
      <c r="B77" s="17">
        <f t="shared" si="5"/>
        <v>25</v>
      </c>
      <c r="C77" s="249"/>
      <c r="D77" s="213" t="s">
        <v>491</v>
      </c>
      <c r="E77" s="213"/>
      <c r="F77" s="269">
        <f>SUM(F68:F76)</f>
        <v>-1476773469.0753849</v>
      </c>
      <c r="G77" s="269">
        <f>SUM(G68:G76)</f>
        <v>-784104763.6846149</v>
      </c>
      <c r="H77" s="269">
        <f>SUM(H68:H76)</f>
        <v>86481428.570769221</v>
      </c>
      <c r="I77" s="269">
        <f>SUM(I68:I76)</f>
        <v>-80461065.566812441</v>
      </c>
      <c r="J77" s="251">
        <f t="shared" si="6"/>
        <v>-2254857869.756043</v>
      </c>
      <c r="K77" s="252"/>
      <c r="L77" s="39">
        <f t="shared" si="4"/>
        <v>-778084400.6806581</v>
      </c>
      <c r="M77" s="133"/>
      <c r="N77" s="249"/>
    </row>
    <row r="78" spans="2:14" ht="15.75" thickBot="1">
      <c r="B78" s="17">
        <f t="shared" si="5"/>
        <v>26</v>
      </c>
      <c r="C78" s="167"/>
      <c r="D78" s="41"/>
      <c r="E78" s="41"/>
      <c r="F78" s="12"/>
      <c r="G78" s="12"/>
      <c r="H78" s="12"/>
      <c r="I78" s="12"/>
      <c r="J78" s="12"/>
      <c r="K78" s="1"/>
      <c r="L78" s="1"/>
      <c r="M78" s="67"/>
      <c r="N78" s="167"/>
    </row>
    <row r="79" spans="2:16" ht="16.5" thickBot="1">
      <c r="B79" s="17">
        <f t="shared" si="5"/>
        <v>27</v>
      </c>
      <c r="C79" s="249"/>
      <c r="D79" s="276" t="s">
        <v>529</v>
      </c>
      <c r="E79" s="277"/>
      <c r="F79" s="278">
        <f>+F64+F77</f>
        <v>9026971613.7346134</v>
      </c>
      <c r="G79" s="278">
        <f>+G64+G77</f>
        <v>9061557949.7653847</v>
      </c>
      <c r="H79" s="278">
        <f>+H64+H77</f>
        <v>421320140.15076923</v>
      </c>
      <c r="I79" s="278">
        <f>+I64+I77</f>
        <v>205072406.65318757</v>
      </c>
      <c r="J79" s="279">
        <f>SUM(F79:I79)</f>
        <v>18714922110.303955</v>
      </c>
      <c r="K79" s="39"/>
      <c r="L79" s="280">
        <f t="shared" si="4"/>
        <v>9687950496.5693398</v>
      </c>
      <c r="M79" s="133"/>
      <c r="N79" s="726" t="b">
        <f>SUM(G79:I79)=L79</f>
        <v>1</v>
      </c>
      <c r="P79" s="692" t="b">
        <f>'WP II-I-1.1'!$J$459=J79</f>
        <v>0</v>
      </c>
    </row>
    <row r="80" spans="2:14" ht="15">
      <c r="B80" s="17">
        <f t="shared" si="5"/>
        <v>28</v>
      </c>
      <c r="C80" s="167"/>
      <c r="D80" s="281"/>
      <c r="E80" s="281"/>
      <c r="F80" s="262"/>
      <c r="G80" s="262"/>
      <c r="H80" s="262"/>
      <c r="I80" s="262"/>
      <c r="J80" s="262"/>
      <c r="K80" s="263"/>
      <c r="L80" s="263"/>
      <c r="M80" s="67"/>
      <c r="N80" s="167"/>
    </row>
    <row r="81" spans="2:14" ht="15.75">
      <c r="B81" s="17">
        <f t="shared" si="5"/>
        <v>29</v>
      </c>
      <c r="C81" s="167"/>
      <c r="D81" s="48" t="s">
        <v>530</v>
      </c>
      <c r="E81" s="281"/>
      <c r="F81" s="282">
        <f>F597</f>
        <v>0.070499999999999993</v>
      </c>
      <c r="G81" s="282">
        <f>G597</f>
        <v>0.070499999999999993</v>
      </c>
      <c r="H81" s="282">
        <f>H597</f>
        <v>0.070499999999999993</v>
      </c>
      <c r="I81" s="282">
        <f>I597</f>
        <v>0.070499999999999993</v>
      </c>
      <c r="J81" s="282">
        <f>J83/J79</f>
        <v>0.070500000000000007</v>
      </c>
      <c r="K81" s="282"/>
      <c r="L81" s="282">
        <f>L83/L79</f>
        <v>0.070500000000000007</v>
      </c>
      <c r="M81" s="67"/>
      <c r="N81" s="167"/>
    </row>
    <row r="82" spans="2:14" ht="15.75" thickBot="1">
      <c r="B82" s="17">
        <f t="shared" si="5"/>
        <v>30</v>
      </c>
      <c r="C82" s="167"/>
      <c r="D82" s="1"/>
      <c r="E82" s="1"/>
      <c r="F82" s="262"/>
      <c r="G82" s="262"/>
      <c r="H82" s="262"/>
      <c r="I82" s="262"/>
      <c r="J82" s="262"/>
      <c r="K82" s="263"/>
      <c r="L82" s="263"/>
      <c r="M82" s="67"/>
      <c r="N82" s="167"/>
    </row>
    <row r="83" spans="2:14" ht="16.5" thickBot="1">
      <c r="B83" s="17">
        <f t="shared" si="5"/>
        <v>31</v>
      </c>
      <c r="C83" s="249"/>
      <c r="D83" s="284" t="s">
        <v>531</v>
      </c>
      <c r="E83" s="285"/>
      <c r="F83" s="278">
        <f>+F79*F81</f>
        <v>636401498.76829016</v>
      </c>
      <c r="G83" s="278">
        <f>+G79*G81</f>
        <v>638839835.45845962</v>
      </c>
      <c r="H83" s="278">
        <f>+H79*H81</f>
        <v>29703069.880629227</v>
      </c>
      <c r="I83" s="278">
        <f>+I79*I81</f>
        <v>14457604.669049723</v>
      </c>
      <c r="J83" s="279">
        <f>SUM(F83:I83)</f>
        <v>1319402008.7764289</v>
      </c>
      <c r="K83" s="39"/>
      <c r="L83" s="280">
        <f t="shared" si="4"/>
        <v>683000510.00813854</v>
      </c>
      <c r="M83" s="133"/>
      <c r="N83" s="258" t="b">
        <f>IF(ROUND(J83-'WP II-I-1.1'!J461,2)=0,TRUE,J83-'WP II-I-1.1'!J461)</f>
        <v>1</v>
      </c>
    </row>
    <row r="84" spans="2:18" ht="15.75">
      <c r="B84" s="17"/>
      <c r="C84" s="249"/>
      <c r="K84" s="39"/>
      <c r="L84" s="39"/>
      <c r="M84" s="133"/>
      <c r="N84" s="1220" t="b">
        <f>'WP II-I-1.1'!F461=F83</f>
        <v>1</v>
      </c>
      <c r="O84" s="692">
        <f>'WP II-I-1.1'!G461</f>
        <v>638839835.45845926</v>
      </c>
      <c r="P84" s="692" t="b">
        <f>'WP II-I-1.1'!G461=G83</f>
        <v>0</v>
      </c>
      <c r="Q84" s="692" t="b">
        <f>'WP II-I-1.1'!H461=H83</f>
        <v>1</v>
      </c>
      <c r="R84" s="692" t="b">
        <f>'WP II-I-1.1'!I461=I83</f>
        <v>1</v>
      </c>
    </row>
    <row r="85" spans="2:14" ht="15.75"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33"/>
      <c r="N85" s="249"/>
    </row>
    <row r="86" spans="2:14" ht="15.75"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33"/>
      <c r="N86" s="249"/>
    </row>
    <row r="87" spans="2:14" ht="15.75"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33"/>
      <c r="N87" s="249"/>
    </row>
    <row r="88" spans="2:14" ht="15.75"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33"/>
      <c r="N88" s="249"/>
    </row>
    <row r="89" spans="2:14" ht="15.75">
      <c r="B89" s="874"/>
      <c r="C89" s="874"/>
      <c r="D89" s="874"/>
      <c r="E89" s="874"/>
      <c r="F89" s="874"/>
      <c r="G89" s="874"/>
      <c r="H89" s="874"/>
      <c r="I89" s="874"/>
      <c r="J89" s="874"/>
      <c r="K89" s="874"/>
      <c r="L89" s="874"/>
      <c r="M89" s="133"/>
      <c r="N89" s="249"/>
    </row>
    <row r="90" spans="2:14" ht="16.5" thickBot="1">
      <c r="B90" s="874"/>
      <c r="C90" s="874"/>
      <c r="D90" s="874"/>
      <c r="E90" s="874"/>
      <c r="F90" s="874"/>
      <c r="G90" s="874"/>
      <c r="H90" s="874"/>
      <c r="I90" s="874"/>
      <c r="J90" s="874"/>
      <c r="K90" s="874"/>
      <c r="L90" s="874"/>
      <c r="M90" s="133"/>
      <c r="N90" s="249"/>
    </row>
    <row r="91" spans="2:13" ht="15">
      <c r="B91" s="920" t="str">
        <f>$B$4</f>
        <v>2022 RATE CASE</v>
      </c>
      <c r="C91" s="926"/>
      <c r="D91" s="927"/>
      <c r="E91" s="874"/>
      <c r="F91" s="874"/>
      <c r="G91" s="874"/>
      <c r="H91" s="874"/>
      <c r="I91" s="874"/>
      <c r="J91" s="874"/>
      <c r="K91" s="874"/>
      <c r="L91" s="874"/>
      <c r="M91" s="134" t="str">
        <f>$M$2</f>
        <v xml:space="preserve"> </v>
      </c>
    </row>
    <row r="92" spans="2:13" ht="15">
      <c r="B92" s="917" t="str">
        <f>$B$5</f>
        <v>ONCOR ELECTRIC DELIVERY COMPANY LLC</v>
      </c>
      <c r="C92" s="369"/>
      <c r="D92" s="928"/>
      <c r="E92" s="874"/>
      <c r="F92" s="874"/>
      <c r="G92" s="874"/>
      <c r="H92" s="874"/>
      <c r="I92" s="874"/>
      <c r="J92" s="874"/>
      <c r="K92" s="874"/>
      <c r="L92" s="874"/>
      <c r="M92" s="67"/>
    </row>
    <row r="93" spans="2:13" ht="15">
      <c r="B93" s="406" t="str">
        <f>$B$6</f>
        <v>CONSOLIDATED FUNCTIONALIZED COST OF SERVICE</v>
      </c>
      <c r="C93" s="369"/>
      <c r="D93" s="928"/>
      <c r="E93" s="874"/>
      <c r="F93" s="874"/>
      <c r="G93" s="874"/>
      <c r="H93" s="874"/>
      <c r="I93" s="874"/>
      <c r="J93" s="874"/>
      <c r="K93" s="874"/>
      <c r="L93" s="874"/>
      <c r="M93" s="67"/>
    </row>
    <row r="94" spans="2:13" ht="15">
      <c r="B94" s="406" t="str">
        <f>$B$7</f>
        <v>TEST YEAR ENDING 12/31/2021</v>
      </c>
      <c r="C94" s="404"/>
      <c r="D94" s="405"/>
      <c r="M94" s="67"/>
    </row>
    <row r="95" spans="2:13" ht="15.75" customHeight="1">
      <c r="B95" s="406" t="str">
        <f>$B$8</f>
        <v>SPONSOR:  MATTHEW A. TROXLE</v>
      </c>
      <c r="C95" s="369"/>
      <c r="D95" s="928"/>
      <c r="E95" s="369"/>
      <c r="F95" s="369"/>
      <c r="G95" s="369"/>
      <c r="H95" s="369"/>
      <c r="I95" s="369"/>
      <c r="J95" s="369"/>
      <c r="K95" s="369"/>
      <c r="L95" s="369"/>
      <c r="M95" s="67"/>
    </row>
    <row r="96" spans="2:14" ht="15.75" thickBot="1">
      <c r="B96" s="410"/>
      <c r="C96" s="942"/>
      <c r="D96" s="943"/>
      <c r="M96" s="67"/>
      <c r="N96" s="129"/>
    </row>
    <row r="97" spans="2:14" ht="14.25">
      <c r="B97" s="13"/>
      <c r="C97" s="14"/>
      <c r="D97" s="14"/>
      <c r="E97" s="14"/>
      <c r="F97" s="237" t="s">
        <v>6</v>
      </c>
      <c r="G97" s="13" t="s">
        <v>7</v>
      </c>
      <c r="H97" s="13" t="s">
        <v>8</v>
      </c>
      <c r="I97" s="239" t="s">
        <v>9</v>
      </c>
      <c r="J97" s="13" t="s">
        <v>10</v>
      </c>
      <c r="K97" s="17"/>
      <c r="L97" s="139" t="s">
        <v>966</v>
      </c>
      <c r="M97" s="67"/>
      <c r="N97" s="129"/>
    </row>
    <row r="98" spans="2:14" ht="15">
      <c r="B98" s="15" t="s">
        <v>2</v>
      </c>
      <c r="C98" s="15" t="s">
        <v>370</v>
      </c>
      <c r="D98" s="287" t="s">
        <v>532</v>
      </c>
      <c r="E98" s="15" t="s">
        <v>371</v>
      </c>
      <c r="F98" s="242"/>
      <c r="G98" s="15"/>
      <c r="H98" s="15"/>
      <c r="I98" s="15"/>
      <c r="J98" s="15"/>
      <c r="K98" s="17"/>
      <c r="L98" s="97" t="s">
        <v>967</v>
      </c>
      <c r="M98" s="67"/>
      <c r="N98" s="129"/>
    </row>
    <row r="99" spans="2:14" ht="14.25">
      <c r="B99" s="15"/>
      <c r="C99" s="15"/>
      <c r="D99" s="15"/>
      <c r="E99" s="15"/>
      <c r="F99" s="242"/>
      <c r="G99" s="15"/>
      <c r="H99" s="15"/>
      <c r="I99" s="15"/>
      <c r="J99" s="15"/>
      <c r="K99" s="17"/>
      <c r="L99" s="97"/>
      <c r="M99" s="67"/>
      <c r="N99" s="129"/>
    </row>
    <row r="100" spans="2:14" ht="15" thickBot="1">
      <c r="B100" s="16"/>
      <c r="C100" s="16" t="s">
        <v>13</v>
      </c>
      <c r="D100" s="16" t="s">
        <v>14</v>
      </c>
      <c r="E100" s="16" t="s">
        <v>15</v>
      </c>
      <c r="F100" s="16" t="s">
        <v>16</v>
      </c>
      <c r="G100" s="16" t="s">
        <v>17</v>
      </c>
      <c r="H100" s="16" t="s">
        <v>18</v>
      </c>
      <c r="I100" s="16" t="s">
        <v>21</v>
      </c>
      <c r="J100" s="16" t="s">
        <v>22</v>
      </c>
      <c r="K100" s="17"/>
      <c r="L100" s="1125" t="s">
        <v>418</v>
      </c>
      <c r="M100" s="67"/>
      <c r="N100" s="129"/>
    </row>
    <row r="101" spans="2:14" ht="14.25">
      <c r="B101" s="67"/>
      <c r="C101" s="67"/>
      <c r="D101" s="100"/>
      <c r="E101" s="100"/>
      <c r="F101" s="288"/>
      <c r="G101" s="288"/>
      <c r="H101" s="289"/>
      <c r="I101" s="289"/>
      <c r="J101" s="100"/>
      <c r="K101" s="1"/>
      <c r="L101" s="289"/>
      <c r="M101" s="67"/>
      <c r="N101" s="129"/>
    </row>
    <row r="102" spans="2:14" ht="15" customHeight="1">
      <c r="B102" s="17">
        <f t="shared" si="7" ref="B102:B118">B101+1</f>
        <v>1</v>
      </c>
      <c r="C102" s="8" t="s">
        <v>533</v>
      </c>
      <c r="D102" s="8"/>
      <c r="E102" s="20" t="s">
        <v>24</v>
      </c>
      <c r="F102" s="21"/>
      <c r="G102" s="22"/>
      <c r="H102" s="22"/>
      <c r="I102" s="8"/>
      <c r="J102" s="8"/>
      <c r="K102" s="8"/>
      <c r="L102" s="8"/>
      <c r="M102" s="67"/>
      <c r="N102" s="129"/>
    </row>
    <row r="103" spans="2:14" s="386" customFormat="1" ht="14.25">
      <c r="B103" s="17">
        <f t="shared" si="7"/>
        <v>2</v>
      </c>
      <c r="C103" s="1" t="s">
        <v>25</v>
      </c>
      <c r="D103" s="1" t="s">
        <v>26</v>
      </c>
      <c r="E103" s="17"/>
      <c r="F103" s="1149">
        <f>'WP II-I-1.1'!F18</f>
        <v>0</v>
      </c>
      <c r="G103" s="1150">
        <f>'WP II-I-1.1'!G18</f>
        <v>0</v>
      </c>
      <c r="H103" s="1150">
        <f>'WP II-I-1.1'!H18</f>
        <v>0</v>
      </c>
      <c r="I103" s="1151">
        <f>'WP II-I-1.1'!I18</f>
        <v>0</v>
      </c>
      <c r="J103" s="290">
        <f>SUM(F103:I103)</f>
        <v>0</v>
      </c>
      <c r="K103" s="290"/>
      <c r="L103" s="18">
        <f t="shared" si="4"/>
        <v>0</v>
      </c>
      <c r="M103" s="47"/>
      <c r="N103" s="839">
        <f t="shared" si="8" ref="N103:N104">J103-L103-F103</f>
        <v>0</v>
      </c>
    </row>
    <row r="104" spans="2:14" s="386" customFormat="1" ht="14.25">
      <c r="B104" s="17">
        <f t="shared" si="7"/>
        <v>3</v>
      </c>
      <c r="C104" s="1" t="s">
        <v>27</v>
      </c>
      <c r="D104" s="1" t="s">
        <v>28</v>
      </c>
      <c r="E104" s="17"/>
      <c r="F104" s="1152">
        <f>'WP II-I-1.1'!F19</f>
        <v>0</v>
      </c>
      <c r="G104" s="291">
        <f>'WP II-I-1.1'!G19</f>
        <v>0</v>
      </c>
      <c r="H104" s="291">
        <f>'WP II-I-1.1'!H19</f>
        <v>0</v>
      </c>
      <c r="I104" s="1153">
        <f>'WP II-I-1.1'!I19</f>
        <v>0</v>
      </c>
      <c r="J104" s="290">
        <f>SUM(F104:I104)</f>
        <v>0</v>
      </c>
      <c r="K104" s="290"/>
      <c r="L104" s="18">
        <f t="shared" si="4"/>
        <v>0</v>
      </c>
      <c r="M104" s="47"/>
      <c r="N104" s="839">
        <f t="shared" si="8"/>
        <v>0</v>
      </c>
    </row>
    <row r="105" spans="2:14" s="386" customFormat="1" ht="16.5">
      <c r="B105" s="17">
        <f t="shared" si="7"/>
        <v>4</v>
      </c>
      <c r="C105" s="1" t="s">
        <v>29</v>
      </c>
      <c r="D105" s="1" t="s">
        <v>34</v>
      </c>
      <c r="E105" s="17"/>
      <c r="F105" s="1083">
        <f>'WP II-I-1.1'!F20</f>
        <v>247306020.55000001</v>
      </c>
      <c r="G105" s="1084">
        <f>'WP II-I-1.1'!G20</f>
        <v>323333372.81999999</v>
      </c>
      <c r="H105" s="1084">
        <f>'WP II-I-1.1'!H20</f>
        <v>185301712.96000001</v>
      </c>
      <c r="I105" s="1085">
        <f>'WP II-I-1.1'!I20</f>
        <v>310409174.74000001</v>
      </c>
      <c r="J105" s="302">
        <f>SUM(F105:I105)</f>
        <v>1066350281.0700001</v>
      </c>
      <c r="K105" s="290"/>
      <c r="L105" s="296">
        <f t="shared" si="4"/>
        <v>819044260.51999998</v>
      </c>
      <c r="M105" s="47"/>
      <c r="N105" s="839">
        <f>J105-L105-F105</f>
        <v>0</v>
      </c>
    </row>
    <row r="106" spans="2:14" ht="15">
      <c r="B106" s="17">
        <f t="shared" si="7"/>
        <v>5</v>
      </c>
      <c r="C106" s="8"/>
      <c r="D106" s="297" t="s">
        <v>491</v>
      </c>
      <c r="E106" s="20"/>
      <c r="F106" s="907">
        <f>SUM(F103:F105)</f>
        <v>247306020.55000001</v>
      </c>
      <c r="G106" s="907">
        <f>SUM(G103:G105)</f>
        <v>323333372.81999999</v>
      </c>
      <c r="H106" s="907">
        <f>SUM(H103:H105)</f>
        <v>185301712.96000001</v>
      </c>
      <c r="I106" s="907">
        <f>SUM(I103:I105)</f>
        <v>310409174.74000001</v>
      </c>
      <c r="J106" s="300">
        <f>SUM(F106:I106)</f>
        <v>1066350281.0700001</v>
      </c>
      <c r="K106" s="300"/>
      <c r="L106" s="907">
        <f t="shared" si="4"/>
        <v>819044260.51999998</v>
      </c>
      <c r="M106" s="67"/>
      <c r="N106" s="839">
        <f>J106-L106-F106</f>
        <v>0</v>
      </c>
    </row>
    <row r="107" spans="2:14" ht="15">
      <c r="B107" s="17">
        <f t="shared" si="7"/>
        <v>6</v>
      </c>
      <c r="C107" s="8" t="s">
        <v>566</v>
      </c>
      <c r="D107" s="8"/>
      <c r="E107" s="20" t="s">
        <v>24</v>
      </c>
      <c r="F107" s="896"/>
      <c r="G107" s="896"/>
      <c r="H107" s="896"/>
      <c r="I107" s="896"/>
      <c r="J107" s="8"/>
      <c r="K107" s="8"/>
      <c r="L107" s="896"/>
      <c r="M107" s="67"/>
      <c r="N107" s="839">
        <f t="shared" si="9" ref="N107:N118">J107-L107-F107</f>
        <v>0</v>
      </c>
    </row>
    <row r="108" spans="2:14" s="386" customFormat="1" ht="15">
      <c r="B108" s="17">
        <f t="shared" si="7"/>
        <v>7</v>
      </c>
      <c r="C108" s="1" t="s">
        <v>39</v>
      </c>
      <c r="D108" s="1" t="s">
        <v>40</v>
      </c>
      <c r="E108" s="856"/>
      <c r="F108" s="1087">
        <f>'WP II-I-1.1'!F26</f>
        <v>115906329.26000001</v>
      </c>
      <c r="G108" s="1088">
        <f>'WP II-I-1.1'!G26</f>
        <v>0</v>
      </c>
      <c r="H108" s="1089">
        <f>'WP II-I-1.1'!H26</f>
        <v>0</v>
      </c>
      <c r="I108" s="1090">
        <f>'WP II-I-1.1'!I26</f>
        <v>0</v>
      </c>
      <c r="J108" s="290">
        <f t="shared" si="10" ref="J108:J118">SUM(F108:I108)</f>
        <v>115906329.26000001</v>
      </c>
      <c r="K108" s="290"/>
      <c r="L108" s="18">
        <f t="shared" si="4"/>
        <v>0</v>
      </c>
      <c r="M108" s="47"/>
      <c r="N108" s="839">
        <f t="shared" si="9"/>
        <v>0</v>
      </c>
    </row>
    <row r="109" spans="2:14" s="386" customFormat="1" ht="14.25">
      <c r="B109" s="17">
        <f t="shared" si="7"/>
        <v>8</v>
      </c>
      <c r="C109" s="1" t="s">
        <v>41</v>
      </c>
      <c r="D109" s="1" t="s">
        <v>42</v>
      </c>
      <c r="E109" s="17"/>
      <c r="F109" s="1081">
        <f>'WP II-I-1.1'!F27</f>
        <v>615926404.49000001</v>
      </c>
      <c r="G109" s="1091">
        <f>'WP II-I-1.1'!G27</f>
        <v>0</v>
      </c>
      <c r="H109" s="893">
        <f>'WP II-I-1.1'!H27</f>
        <v>0</v>
      </c>
      <c r="I109" s="1082">
        <f>'WP II-I-1.1'!I27</f>
        <v>0</v>
      </c>
      <c r="J109" s="290">
        <f t="shared" si="10"/>
        <v>615926404.49000001</v>
      </c>
      <c r="K109" s="290"/>
      <c r="L109" s="18">
        <f t="shared" si="4"/>
        <v>0</v>
      </c>
      <c r="M109" s="47"/>
      <c r="N109" s="839">
        <f t="shared" si="9"/>
        <v>0</v>
      </c>
    </row>
    <row r="110" spans="2:14" s="386" customFormat="1" ht="14.25">
      <c r="B110" s="17">
        <f t="shared" si="7"/>
        <v>9</v>
      </c>
      <c r="C110" s="1" t="s">
        <v>43</v>
      </c>
      <c r="D110" s="1" t="s">
        <v>44</v>
      </c>
      <c r="E110" s="17"/>
      <c r="F110" s="1081">
        <f>'WP II-I-1.1'!F28</f>
        <v>420045890.62</v>
      </c>
      <c r="G110" s="1091">
        <f>'WP II-I-1.1'!G28</f>
        <v>0</v>
      </c>
      <c r="H110" s="893">
        <f>'WP II-I-1.1'!H28</f>
        <v>0</v>
      </c>
      <c r="I110" s="1082">
        <f>'WP II-I-1.1'!I28</f>
        <v>0</v>
      </c>
      <c r="J110" s="290">
        <f t="shared" si="10"/>
        <v>420045890.62</v>
      </c>
      <c r="K110" s="290"/>
      <c r="L110" s="18">
        <f t="shared" si="4"/>
        <v>0</v>
      </c>
      <c r="M110" s="47"/>
      <c r="N110" s="839">
        <f t="shared" si="9"/>
        <v>0</v>
      </c>
    </row>
    <row r="111" spans="2:14" s="386" customFormat="1" ht="14.25">
      <c r="B111" s="17">
        <f t="shared" si="7"/>
        <v>10</v>
      </c>
      <c r="C111" s="1" t="s">
        <v>45</v>
      </c>
      <c r="D111" s="1" t="s">
        <v>46</v>
      </c>
      <c r="E111" s="17"/>
      <c r="F111" s="1081">
        <f>'WP II-I-1.1'!F29</f>
        <v>3495298428.2399998</v>
      </c>
      <c r="G111" s="1091">
        <f>'WP II-I-1.1'!G29</f>
        <v>381860650.86000001</v>
      </c>
      <c r="H111" s="893">
        <f>'WP II-I-1.1'!H29</f>
        <v>0</v>
      </c>
      <c r="I111" s="1082">
        <f>'WP II-I-1.1'!I29</f>
        <v>0</v>
      </c>
      <c r="J111" s="290">
        <f t="shared" si="10"/>
        <v>3877159079.0999999</v>
      </c>
      <c r="K111" s="290"/>
      <c r="L111" s="18">
        <f t="shared" si="4"/>
        <v>381860650.86000001</v>
      </c>
      <c r="M111" s="47"/>
      <c r="N111" s="839">
        <f t="shared" si="9"/>
        <v>0</v>
      </c>
    </row>
    <row r="112" spans="2:14" s="386" customFormat="1" ht="14.25">
      <c r="B112" s="17">
        <f t="shared" si="7"/>
        <v>11</v>
      </c>
      <c r="C112" s="1" t="s">
        <v>47</v>
      </c>
      <c r="D112" s="1" t="s">
        <v>48</v>
      </c>
      <c r="E112" s="17"/>
      <c r="F112" s="1081">
        <f>'WP II-I-1.1'!F30</f>
        <v>1929652755.3099999</v>
      </c>
      <c r="G112" s="1091">
        <f>'WP II-I-1.1'!G30</f>
        <v>0</v>
      </c>
      <c r="H112" s="893">
        <f>'WP II-I-1.1'!H30</f>
        <v>0</v>
      </c>
      <c r="I112" s="1082">
        <f>'WP II-I-1.1'!I30</f>
        <v>0</v>
      </c>
      <c r="J112" s="290">
        <f t="shared" si="10"/>
        <v>1929652755.3099999</v>
      </c>
      <c r="K112" s="290"/>
      <c r="L112" s="18">
        <f t="shared" si="4"/>
        <v>0</v>
      </c>
      <c r="M112" s="47"/>
      <c r="N112" s="839">
        <f t="shared" si="9"/>
        <v>0</v>
      </c>
    </row>
    <row r="113" spans="2:14" s="386" customFormat="1" ht="14.25">
      <c r="B113" s="17">
        <f t="shared" si="7"/>
        <v>12</v>
      </c>
      <c r="C113" s="1" t="s">
        <v>49</v>
      </c>
      <c r="D113" s="730" t="s">
        <v>50</v>
      </c>
      <c r="E113" s="17"/>
      <c r="F113" s="1081">
        <f>'WP II-I-1.1'!F31</f>
        <v>2870770310.9200001</v>
      </c>
      <c r="G113" s="1091">
        <f>'WP II-I-1.1'!G31</f>
        <v>0</v>
      </c>
      <c r="H113" s="893">
        <f>'WP II-I-1.1'!H31</f>
        <v>0</v>
      </c>
      <c r="I113" s="1082">
        <f>'WP II-I-1.1'!I31</f>
        <v>0</v>
      </c>
      <c r="J113" s="290">
        <f t="shared" si="10"/>
        <v>2870770310.9200001</v>
      </c>
      <c r="K113" s="290"/>
      <c r="L113" s="18">
        <f t="shared" si="4"/>
        <v>0</v>
      </c>
      <c r="M113" s="47"/>
      <c r="N113" s="839">
        <f t="shared" si="9"/>
        <v>0</v>
      </c>
    </row>
    <row r="114" spans="2:14" s="386" customFormat="1" ht="14.25">
      <c r="B114" s="17">
        <f t="shared" si="7"/>
        <v>13</v>
      </c>
      <c r="C114" s="1" t="s">
        <v>51</v>
      </c>
      <c r="D114" s="1" t="s">
        <v>534</v>
      </c>
      <c r="E114" s="17"/>
      <c r="F114" s="1081">
        <f>'WP II-I-1.1'!F32</f>
        <v>3044581319.5700002</v>
      </c>
      <c r="G114" s="1091">
        <f>'WP II-I-1.1'!G32</f>
        <v>0</v>
      </c>
      <c r="H114" s="893">
        <f>'WP II-I-1.1'!H32</f>
        <v>0</v>
      </c>
      <c r="I114" s="1082">
        <f>'WP II-I-1.1'!I32</f>
        <v>0</v>
      </c>
      <c r="J114" s="290">
        <f t="shared" si="10"/>
        <v>3044581319.5700002</v>
      </c>
      <c r="K114" s="290"/>
      <c r="L114" s="18">
        <f t="shared" si="4"/>
        <v>0</v>
      </c>
      <c r="M114" s="47"/>
      <c r="N114" s="839">
        <f t="shared" si="9"/>
        <v>0</v>
      </c>
    </row>
    <row r="115" spans="2:14" s="386" customFormat="1" ht="14.25">
      <c r="B115" s="17">
        <f t="shared" si="7"/>
        <v>14</v>
      </c>
      <c r="C115" s="1" t="s">
        <v>53</v>
      </c>
      <c r="D115" s="1" t="s">
        <v>54</v>
      </c>
      <c r="E115" s="17"/>
      <c r="F115" s="1081">
        <f>'WP II-I-1.1'!F33</f>
        <v>60197134.759999998</v>
      </c>
      <c r="G115" s="1091">
        <f>'WP II-I-1.1'!G33</f>
        <v>0</v>
      </c>
      <c r="H115" s="893">
        <f>'WP II-I-1.1'!H33</f>
        <v>0</v>
      </c>
      <c r="I115" s="1082">
        <f>'WP II-I-1.1'!I33</f>
        <v>0</v>
      </c>
      <c r="J115" s="290">
        <f t="shared" si="10"/>
        <v>60197134.759999998</v>
      </c>
      <c r="K115" s="290"/>
      <c r="L115" s="18">
        <f t="shared" si="4"/>
        <v>0</v>
      </c>
      <c r="M115" s="47"/>
      <c r="N115" s="839">
        <f t="shared" si="9"/>
        <v>0</v>
      </c>
    </row>
    <row r="116" spans="2:14" s="386" customFormat="1" ht="14.25">
      <c r="B116" s="17">
        <f t="shared" si="7"/>
        <v>15</v>
      </c>
      <c r="C116" s="1" t="s">
        <v>55</v>
      </c>
      <c r="D116" s="31" t="s">
        <v>535</v>
      </c>
      <c r="E116" s="17"/>
      <c r="F116" s="1081">
        <f>'WP II-I-1.1'!F34</f>
        <v>84097342.579999998</v>
      </c>
      <c r="G116" s="1091">
        <f>'WP II-I-1.1'!G34</f>
        <v>0</v>
      </c>
      <c r="H116" s="893">
        <f>'WP II-I-1.1'!H34</f>
        <v>0</v>
      </c>
      <c r="I116" s="1082">
        <f>'WP II-I-1.1'!I34</f>
        <v>0</v>
      </c>
      <c r="J116" s="290">
        <f t="shared" si="10"/>
        <v>84097342.579999998</v>
      </c>
      <c r="K116" s="290"/>
      <c r="L116" s="18">
        <f t="shared" si="4"/>
        <v>0</v>
      </c>
      <c r="M116" s="47"/>
      <c r="N116" s="839">
        <f t="shared" si="9"/>
        <v>0</v>
      </c>
    </row>
    <row r="117" spans="2:14" s="386" customFormat="1" ht="16.5">
      <c r="B117" s="17">
        <f t="shared" si="7"/>
        <v>16</v>
      </c>
      <c r="C117" s="1" t="s">
        <v>57</v>
      </c>
      <c r="D117" s="1" t="s">
        <v>58</v>
      </c>
      <c r="E117" s="17"/>
      <c r="F117" s="1083">
        <f>'WP II-I-1.1'!F35</f>
        <v>0</v>
      </c>
      <c r="G117" s="1092">
        <f>'WP II-I-1.1'!G35</f>
        <v>0</v>
      </c>
      <c r="H117" s="1084">
        <f>'WP II-I-1.1'!H35</f>
        <v>0</v>
      </c>
      <c r="I117" s="1085">
        <f>'WP II-I-1.1'!I35</f>
        <v>0</v>
      </c>
      <c r="J117" s="302">
        <f t="shared" si="10"/>
        <v>0</v>
      </c>
      <c r="K117" s="290"/>
      <c r="L117" s="296">
        <f t="shared" si="11" ref="L117:L180">SUM(G117:I117)</f>
        <v>0</v>
      </c>
      <c r="M117" s="47"/>
      <c r="N117" s="839">
        <f t="shared" si="9"/>
        <v>0</v>
      </c>
    </row>
    <row r="118" spans="2:14" ht="15">
      <c r="B118" s="17">
        <f t="shared" si="7"/>
        <v>17</v>
      </c>
      <c r="C118" s="8"/>
      <c r="D118" s="297" t="s">
        <v>491</v>
      </c>
      <c r="E118" s="20"/>
      <c r="F118" s="896">
        <f>SUM(F108:F117)</f>
        <v>12636475915.75</v>
      </c>
      <c r="G118" s="896">
        <f>SUM(G108:G117)</f>
        <v>381860650.86000001</v>
      </c>
      <c r="H118" s="896">
        <f>SUM(H108:H117)</f>
        <v>0</v>
      </c>
      <c r="I118" s="896">
        <f>SUM(I108:I117)</f>
        <v>0</v>
      </c>
      <c r="J118" s="300">
        <f t="shared" si="10"/>
        <v>13018336566.610001</v>
      </c>
      <c r="K118" s="300"/>
      <c r="L118" s="896">
        <f t="shared" si="11"/>
        <v>381860650.86000001</v>
      </c>
      <c r="M118" s="67"/>
      <c r="N118" s="839">
        <f t="shared" si="9"/>
        <v>0</v>
      </c>
    </row>
    <row r="119" spans="2:13" ht="15">
      <c r="B119" s="874"/>
      <c r="C119" s="874"/>
      <c r="D119" s="874"/>
      <c r="E119" s="874"/>
      <c r="F119" s="959"/>
      <c r="G119" s="959"/>
      <c r="H119" s="959"/>
      <c r="I119" s="959"/>
      <c r="J119" s="959"/>
      <c r="K119" s="959"/>
      <c r="L119" s="959"/>
      <c r="M119" s="134" t="str">
        <f>$M$2</f>
        <v xml:space="preserve"> </v>
      </c>
    </row>
    <row r="120" spans="2:13" ht="15.75" thickBot="1">
      <c r="B120" s="874"/>
      <c r="C120" s="874"/>
      <c r="D120" s="874"/>
      <c r="E120" s="874"/>
      <c r="F120" s="874"/>
      <c r="G120" s="874"/>
      <c r="H120" s="874"/>
      <c r="I120" s="874"/>
      <c r="J120" s="874"/>
      <c r="K120" s="874"/>
      <c r="L120" s="874"/>
      <c r="M120" s="134"/>
    </row>
    <row r="121" spans="2:12" ht="15">
      <c r="B121" s="953" t="str">
        <f>$B$4</f>
        <v>2022 RATE CASE</v>
      </c>
      <c r="C121" s="926"/>
      <c r="D121" s="927"/>
      <c r="E121" s="874"/>
      <c r="F121" s="874"/>
      <c r="G121" s="874"/>
      <c r="H121" s="874"/>
      <c r="I121" s="874"/>
      <c r="J121" s="874"/>
      <c r="K121" s="874"/>
      <c r="L121" s="874"/>
    </row>
    <row r="122" spans="2:13" ht="15">
      <c r="B122" s="954" t="str">
        <f>$B$5</f>
        <v>ONCOR ELECTRIC DELIVERY COMPANY LLC</v>
      </c>
      <c r="C122" s="369"/>
      <c r="D122" s="928"/>
      <c r="E122" s="874"/>
      <c r="F122" s="874"/>
      <c r="G122" s="874"/>
      <c r="H122" s="874"/>
      <c r="I122" s="874"/>
      <c r="J122" s="874"/>
      <c r="K122" s="874"/>
      <c r="L122" s="874"/>
      <c r="M122" s="67"/>
    </row>
    <row r="123" spans="2:13" ht="15">
      <c r="B123" s="954" t="str">
        <f>$B$6</f>
        <v>CONSOLIDATED FUNCTIONALIZED COST OF SERVICE</v>
      </c>
      <c r="C123" s="369"/>
      <c r="D123" s="928"/>
      <c r="E123" s="874"/>
      <c r="F123" s="874"/>
      <c r="G123" s="874"/>
      <c r="H123" s="874"/>
      <c r="I123" s="874"/>
      <c r="J123" s="874"/>
      <c r="K123" s="874"/>
      <c r="L123" s="874"/>
      <c r="M123" s="67"/>
    </row>
    <row r="124" spans="2:13" ht="15">
      <c r="B124" s="917" t="str">
        <f>$B$7</f>
        <v>TEST YEAR ENDING 12/31/2021</v>
      </c>
      <c r="C124" s="404"/>
      <c r="D124" s="405"/>
      <c r="M124" s="67"/>
    </row>
    <row r="125" spans="2:13" ht="15.75" customHeight="1">
      <c r="B125" s="954" t="str">
        <f>$B$8</f>
        <v>SPONSOR:  MATTHEW A. TROXLE</v>
      </c>
      <c r="C125" s="369"/>
      <c r="D125" s="928"/>
      <c r="E125" s="369"/>
      <c r="F125" s="369"/>
      <c r="G125" s="369"/>
      <c r="H125" s="369"/>
      <c r="I125" s="369"/>
      <c r="J125" s="369"/>
      <c r="K125" s="369"/>
      <c r="L125" s="369"/>
      <c r="M125" s="67"/>
    </row>
    <row r="126" spans="2:14" ht="15" thickBot="1">
      <c r="B126" s="955"/>
      <c r="C126" s="942"/>
      <c r="D126" s="943"/>
      <c r="M126" s="67"/>
      <c r="N126" s="129"/>
    </row>
    <row r="127" spans="2:14" ht="14.25">
      <c r="B127" s="13"/>
      <c r="C127" s="14"/>
      <c r="D127" s="14"/>
      <c r="E127" s="14"/>
      <c r="F127" s="237" t="s">
        <v>6</v>
      </c>
      <c r="G127" s="13" t="s">
        <v>7</v>
      </c>
      <c r="H127" s="13" t="s">
        <v>8</v>
      </c>
      <c r="I127" s="239" t="s">
        <v>9</v>
      </c>
      <c r="J127" s="13" t="s">
        <v>10</v>
      </c>
      <c r="K127" s="17"/>
      <c r="L127" s="139" t="s">
        <v>966</v>
      </c>
      <c r="M127" s="67"/>
      <c r="N127" s="129"/>
    </row>
    <row r="128" spans="2:14" ht="15">
      <c r="B128" s="15" t="s">
        <v>2</v>
      </c>
      <c r="C128" s="15" t="s">
        <v>370</v>
      </c>
      <c r="D128" s="287" t="s">
        <v>567</v>
      </c>
      <c r="E128" s="15" t="s">
        <v>371</v>
      </c>
      <c r="F128" s="242"/>
      <c r="G128" s="15"/>
      <c r="H128" s="15"/>
      <c r="I128" s="15"/>
      <c r="J128" s="15"/>
      <c r="K128" s="17"/>
      <c r="L128" s="97" t="s">
        <v>967</v>
      </c>
      <c r="M128" s="67"/>
      <c r="N128" s="129"/>
    </row>
    <row r="129" spans="2:14" ht="14.25">
      <c r="B129" s="15"/>
      <c r="C129" s="15"/>
      <c r="D129" s="15"/>
      <c r="E129" s="15"/>
      <c r="F129" s="242"/>
      <c r="G129" s="15"/>
      <c r="H129" s="15"/>
      <c r="I129" s="15"/>
      <c r="J129" s="15"/>
      <c r="K129" s="17"/>
      <c r="L129" s="97"/>
      <c r="M129" s="67"/>
      <c r="N129" s="129"/>
    </row>
    <row r="130" spans="2:14" ht="15" thickBot="1">
      <c r="B130" s="16"/>
      <c r="C130" s="16" t="s">
        <v>13</v>
      </c>
      <c r="D130" s="16" t="s">
        <v>14</v>
      </c>
      <c r="E130" s="16" t="s">
        <v>15</v>
      </c>
      <c r="F130" s="16" t="s">
        <v>16</v>
      </c>
      <c r="G130" s="16" t="s">
        <v>17</v>
      </c>
      <c r="H130" s="16" t="s">
        <v>18</v>
      </c>
      <c r="I130" s="16" t="s">
        <v>21</v>
      </c>
      <c r="J130" s="16" t="s">
        <v>22</v>
      </c>
      <c r="K130" s="17"/>
      <c r="L130" s="1125" t="s">
        <v>418</v>
      </c>
      <c r="M130" s="67"/>
      <c r="N130" s="129"/>
    </row>
    <row r="131" spans="2:14" ht="14.25">
      <c r="B131" s="67"/>
      <c r="C131" s="67"/>
      <c r="D131" s="100"/>
      <c r="E131" s="100"/>
      <c r="F131" s="288"/>
      <c r="G131" s="288"/>
      <c r="H131" s="289"/>
      <c r="I131" s="289"/>
      <c r="J131" s="100"/>
      <c r="K131" s="1"/>
      <c r="L131" s="289"/>
      <c r="M131" s="67"/>
      <c r="N131" s="129"/>
    </row>
    <row r="132" spans="2:13" ht="15">
      <c r="B132" s="17">
        <v>1</v>
      </c>
      <c r="C132" s="8" t="s">
        <v>567</v>
      </c>
      <c r="D132" s="8"/>
      <c r="E132" s="20" t="s">
        <v>24</v>
      </c>
      <c r="F132" s="22"/>
      <c r="G132" s="22"/>
      <c r="H132" s="22"/>
      <c r="I132" s="22"/>
      <c r="J132" s="8"/>
      <c r="K132" s="8"/>
      <c r="L132" s="22"/>
      <c r="M132" s="67"/>
    </row>
    <row r="133" spans="2:14" s="386" customFormat="1" ht="14.25">
      <c r="B133" s="17">
        <f t="shared" si="12" ref="B133:B163">B132+1</f>
        <v>2</v>
      </c>
      <c r="C133" s="1" t="s">
        <v>61</v>
      </c>
      <c r="D133" s="1" t="s">
        <v>42</v>
      </c>
      <c r="E133" s="17"/>
      <c r="F133" s="1087">
        <f>'WP II-I-1.1'!F50</f>
        <v>1320894.71</v>
      </c>
      <c r="G133" s="1088">
        <f>'WP II-I-1.1'!G50</f>
        <v>23046028.010000002</v>
      </c>
      <c r="H133" s="1089">
        <f>'WP II-I-1.1'!H50</f>
        <v>0</v>
      </c>
      <c r="I133" s="1090">
        <f>'WP II-I-1.1'!I50</f>
        <v>0</v>
      </c>
      <c r="J133" s="290">
        <f t="shared" si="13" ref="J133:J154">SUM(F133:I133)</f>
        <v>24366922.720000003</v>
      </c>
      <c r="K133" s="290"/>
      <c r="L133" s="18">
        <f t="shared" si="11"/>
        <v>23046028.010000002</v>
      </c>
      <c r="M133" s="47"/>
      <c r="N133" s="839">
        <f t="shared" si="14" ref="N133:N163">J133-L133-F133</f>
        <v>0</v>
      </c>
    </row>
    <row r="134" spans="2:14" s="386" customFormat="1" ht="14.25">
      <c r="B134" s="17">
        <f t="shared" si="12"/>
        <v>3</v>
      </c>
      <c r="C134" s="1" t="s">
        <v>62</v>
      </c>
      <c r="D134" s="31" t="s">
        <v>44</v>
      </c>
      <c r="E134" s="17"/>
      <c r="F134" s="1081">
        <f>'WP II-I-1.1'!F51</f>
        <v>69201899.979999989</v>
      </c>
      <c r="G134" s="1091">
        <f>'WP II-I-1.1'!G51</f>
        <v>137062053.49000001</v>
      </c>
      <c r="H134" s="893">
        <f>'WP II-I-1.1'!H51</f>
        <v>0</v>
      </c>
      <c r="I134" s="1082">
        <f>'WP II-I-1.1'!I51</f>
        <v>0</v>
      </c>
      <c r="J134" s="290">
        <f t="shared" si="13"/>
        <v>206263953.47</v>
      </c>
      <c r="K134" s="290"/>
      <c r="L134" s="18">
        <f t="shared" si="11"/>
        <v>137062053.49000001</v>
      </c>
      <c r="M134" s="47"/>
      <c r="N134" s="839">
        <f t="shared" si="14"/>
        <v>0</v>
      </c>
    </row>
    <row r="135" spans="2:14" s="386" customFormat="1" ht="14.25">
      <c r="B135" s="17">
        <f t="shared" si="12"/>
        <v>4</v>
      </c>
      <c r="C135" s="1" t="s">
        <v>63</v>
      </c>
      <c r="D135" s="1" t="s">
        <v>46</v>
      </c>
      <c r="E135" s="17"/>
      <c r="F135" s="1081">
        <f>'WP II-I-1.1'!F52</f>
        <v>610270399.91999996</v>
      </c>
      <c r="G135" s="1091">
        <f>'WP II-I-1.1'!G52</f>
        <v>1760200029.54</v>
      </c>
      <c r="H135" s="893">
        <f>'WP II-I-1.1'!H52</f>
        <v>0</v>
      </c>
      <c r="I135" s="1082">
        <f>'WP II-I-1.1'!I52</f>
        <v>0</v>
      </c>
      <c r="J135" s="290">
        <f t="shared" si="13"/>
        <v>2370470429.46</v>
      </c>
      <c r="K135" s="290"/>
      <c r="L135" s="18">
        <f t="shared" si="11"/>
        <v>1760200029.54</v>
      </c>
      <c r="M135" s="47"/>
      <c r="N135" s="839">
        <f t="shared" si="14"/>
        <v>0</v>
      </c>
    </row>
    <row r="136" spans="2:14" s="386" customFormat="1" ht="14.25">
      <c r="B136" s="17">
        <f t="shared" si="12"/>
        <v>5</v>
      </c>
      <c r="C136" s="1" t="s">
        <v>64</v>
      </c>
      <c r="D136" s="1" t="s">
        <v>65</v>
      </c>
      <c r="E136" s="17"/>
      <c r="F136" s="1081">
        <f>'WP II-I-1.1'!F53</f>
        <v>0</v>
      </c>
      <c r="G136" s="1091">
        <f>'WP II-I-1.1'!G53</f>
        <v>0</v>
      </c>
      <c r="H136" s="893">
        <f>'WP II-I-1.1'!H53</f>
        <v>0</v>
      </c>
      <c r="I136" s="1082">
        <f>'WP II-I-1.1'!I53</f>
        <v>0</v>
      </c>
      <c r="J136" s="290">
        <f t="shared" si="13"/>
        <v>0</v>
      </c>
      <c r="K136" s="290"/>
      <c r="L136" s="18">
        <f t="shared" si="11"/>
        <v>0</v>
      </c>
      <c r="M136" s="47"/>
      <c r="N136" s="839">
        <f t="shared" si="14"/>
        <v>0</v>
      </c>
    </row>
    <row r="137" spans="2:14" s="386" customFormat="1" ht="14.25">
      <c r="B137" s="17">
        <f t="shared" si="12"/>
        <v>6</v>
      </c>
      <c r="C137" s="1" t="s">
        <v>380</v>
      </c>
      <c r="D137" s="31" t="s">
        <v>537</v>
      </c>
      <c r="E137" s="17"/>
      <c r="F137" s="1087">
        <f>'WP II-I-1.2'!F27</f>
        <v>0</v>
      </c>
      <c r="G137" s="1088">
        <f>'WP II-I-1.2'!G27</f>
        <v>2222118466.4489856</v>
      </c>
      <c r="H137" s="1089">
        <f>'WP II-I-1.2'!H27</f>
        <v>0</v>
      </c>
      <c r="I137" s="1090">
        <f>'WP II-I-1.2'!I27</f>
        <v>0</v>
      </c>
      <c r="J137" s="290">
        <f t="shared" si="13"/>
        <v>2222118466.4489856</v>
      </c>
      <c r="K137" s="290"/>
      <c r="L137" s="18">
        <f t="shared" si="11"/>
        <v>2222118466.4489856</v>
      </c>
      <c r="M137" s="47"/>
      <c r="N137" s="839">
        <f t="shared" si="14"/>
        <v>0</v>
      </c>
    </row>
    <row r="138" spans="2:14" s="386" customFormat="1" ht="14.25">
      <c r="B138" s="17">
        <f t="shared" si="12"/>
        <v>7</v>
      </c>
      <c r="C138" s="1" t="s">
        <v>382</v>
      </c>
      <c r="D138" s="31" t="s">
        <v>538</v>
      </c>
      <c r="E138" s="17"/>
      <c r="F138" s="1081">
        <f>'WP II-I-1.2'!F28</f>
        <v>0</v>
      </c>
      <c r="G138" s="1091">
        <f>'WP II-I-1.2'!G28</f>
        <v>456239794.36101425</v>
      </c>
      <c r="H138" s="893">
        <f>'WP II-I-1.2'!H28</f>
        <v>0</v>
      </c>
      <c r="I138" s="1082">
        <f>'WP II-I-1.2'!I28</f>
        <v>0</v>
      </c>
      <c r="J138" s="290">
        <f t="shared" si="13"/>
        <v>456239794.36101425</v>
      </c>
      <c r="K138" s="290"/>
      <c r="L138" s="18">
        <f t="shared" si="11"/>
        <v>456239794.36101425</v>
      </c>
      <c r="M138" s="47"/>
      <c r="N138" s="839">
        <f t="shared" si="14"/>
        <v>0</v>
      </c>
    </row>
    <row r="139" spans="2:14" s="386" customFormat="1" ht="14.25">
      <c r="B139" s="17">
        <f t="shared" si="12"/>
        <v>8</v>
      </c>
      <c r="C139" s="1" t="s">
        <v>385</v>
      </c>
      <c r="D139" s="1" t="s">
        <v>539</v>
      </c>
      <c r="E139" s="17"/>
      <c r="F139" s="1081">
        <f>'WP II-I-1.2'!F30</f>
        <v>0</v>
      </c>
      <c r="G139" s="1091">
        <f>'WP II-I-1.2'!G30</f>
        <v>1423183157.5036314</v>
      </c>
      <c r="H139" s="893">
        <f>'WP II-I-1.2'!H30</f>
        <v>0</v>
      </c>
      <c r="I139" s="1082">
        <f>'WP II-I-1.2'!I30</f>
        <v>0</v>
      </c>
      <c r="J139" s="290">
        <f t="shared" si="13"/>
        <v>1423183157.5036314</v>
      </c>
      <c r="K139" s="290"/>
      <c r="L139" s="18">
        <f t="shared" si="11"/>
        <v>1423183157.5036314</v>
      </c>
      <c r="M139" s="47"/>
      <c r="N139" s="839">
        <f t="shared" si="14"/>
        <v>0</v>
      </c>
    </row>
    <row r="140" spans="2:14" s="386" customFormat="1" ht="14.25">
      <c r="B140" s="17">
        <f t="shared" si="12"/>
        <v>9</v>
      </c>
      <c r="C140" s="1" t="s">
        <v>387</v>
      </c>
      <c r="D140" s="1" t="s">
        <v>540</v>
      </c>
      <c r="E140" s="17"/>
      <c r="F140" s="1081">
        <f>'WP II-I-1.2'!F31</f>
        <v>0</v>
      </c>
      <c r="G140" s="1091">
        <f>'WP II-I-1.2'!G31</f>
        <v>252227700.61636847</v>
      </c>
      <c r="H140" s="893">
        <f>'WP II-I-1.2'!H31</f>
        <v>0</v>
      </c>
      <c r="I140" s="1082">
        <f>'WP II-I-1.2'!I31</f>
        <v>0</v>
      </c>
      <c r="J140" s="290">
        <f t="shared" si="13"/>
        <v>252227700.61636847</v>
      </c>
      <c r="K140" s="290"/>
      <c r="L140" s="18">
        <f t="shared" si="11"/>
        <v>252227700.61636847</v>
      </c>
      <c r="M140" s="47"/>
      <c r="N140" s="839">
        <f t="shared" si="14"/>
        <v>0</v>
      </c>
    </row>
    <row r="141" spans="2:14" s="386" customFormat="1" ht="14.25">
      <c r="B141" s="17">
        <f t="shared" si="12"/>
        <v>10</v>
      </c>
      <c r="C141" s="1" t="s">
        <v>390</v>
      </c>
      <c r="D141" s="1" t="s">
        <v>391</v>
      </c>
      <c r="E141" s="17"/>
      <c r="F141" s="1081">
        <f>'WP II-I-1.2'!F33</f>
        <v>0</v>
      </c>
      <c r="G141" s="1091">
        <f>'WP II-I-1.2'!G33</f>
        <v>656988431.26209927</v>
      </c>
      <c r="H141" s="893">
        <f>'WP II-I-1.2'!H33</f>
        <v>0</v>
      </c>
      <c r="I141" s="1082">
        <f>'WP II-I-1.2'!I33</f>
        <v>0</v>
      </c>
      <c r="J141" s="290">
        <f t="shared" si="13"/>
        <v>656988431.26209927</v>
      </c>
      <c r="K141" s="290"/>
      <c r="L141" s="18">
        <f t="shared" si="11"/>
        <v>656988431.26209927</v>
      </c>
      <c r="M141" s="47"/>
      <c r="N141" s="839">
        <f t="shared" si="14"/>
        <v>0</v>
      </c>
    </row>
    <row r="142" spans="2:14" s="386" customFormat="1" ht="14.25">
      <c r="B142" s="17">
        <f t="shared" si="12"/>
        <v>11</v>
      </c>
      <c r="C142" s="1" t="s">
        <v>392</v>
      </c>
      <c r="D142" s="1" t="s">
        <v>393</v>
      </c>
      <c r="E142" s="17"/>
      <c r="F142" s="1081">
        <f>'WP II-I-1.2'!F34</f>
        <v>0</v>
      </c>
      <c r="G142" s="1091">
        <f>'WP II-I-1.2'!G34</f>
        <v>425130046.84790057</v>
      </c>
      <c r="H142" s="893">
        <f>'WP II-I-1.2'!H34</f>
        <v>0</v>
      </c>
      <c r="I142" s="1082">
        <f>'WP II-I-1.2'!I34</f>
        <v>0</v>
      </c>
      <c r="J142" s="290">
        <f t="shared" si="13"/>
        <v>425130046.84790057</v>
      </c>
      <c r="K142" s="290"/>
      <c r="L142" s="18">
        <f t="shared" si="11"/>
        <v>425130046.84790057</v>
      </c>
      <c r="M142" s="47"/>
      <c r="N142" s="839">
        <f t="shared" si="14"/>
        <v>0</v>
      </c>
    </row>
    <row r="143" spans="2:14" s="386" customFormat="1" ht="14.25">
      <c r="B143" s="17">
        <f t="shared" si="12"/>
        <v>12</v>
      </c>
      <c r="C143" s="1" t="s">
        <v>395</v>
      </c>
      <c r="D143" s="31" t="s">
        <v>541</v>
      </c>
      <c r="E143" s="30"/>
      <c r="F143" s="1081">
        <f>'WP II-I-1.2'!F36</f>
        <v>0</v>
      </c>
      <c r="G143" s="1091">
        <f>'WP II-I-1.2'!G36</f>
        <v>2071962156.2558694</v>
      </c>
      <c r="H143" s="893">
        <f>'WP II-I-1.2'!H36</f>
        <v>0</v>
      </c>
      <c r="I143" s="1082">
        <f>'WP II-I-1.2'!I36</f>
        <v>0</v>
      </c>
      <c r="J143" s="290">
        <f t="shared" si="13"/>
        <v>2071962156.2558694</v>
      </c>
      <c r="K143" s="290"/>
      <c r="L143" s="18">
        <f t="shared" si="11"/>
        <v>2071962156.2558694</v>
      </c>
      <c r="M143" s="47"/>
      <c r="N143" s="839">
        <f t="shared" si="14"/>
        <v>0</v>
      </c>
    </row>
    <row r="144" spans="2:14" s="386" customFormat="1" ht="14.25">
      <c r="B144" s="17">
        <f t="shared" si="12"/>
        <v>13</v>
      </c>
      <c r="C144" s="1" t="s">
        <v>397</v>
      </c>
      <c r="D144" s="31" t="s">
        <v>542</v>
      </c>
      <c r="E144" s="30"/>
      <c r="F144" s="1081">
        <f>'WP II-I-1.2'!F37</f>
        <v>0</v>
      </c>
      <c r="G144" s="1091">
        <f>'WP II-I-1.2'!G37</f>
        <v>481965371.7141304</v>
      </c>
      <c r="H144" s="893">
        <f>'WP II-I-1.2'!H37</f>
        <v>0</v>
      </c>
      <c r="I144" s="1082">
        <f>'WP II-I-1.2'!I37</f>
        <v>0</v>
      </c>
      <c r="J144" s="290">
        <f t="shared" si="13"/>
        <v>481965371.7141304</v>
      </c>
      <c r="K144" s="290"/>
      <c r="L144" s="18">
        <f t="shared" si="11"/>
        <v>481965371.7141304</v>
      </c>
      <c r="M144" s="47"/>
      <c r="N144" s="839">
        <f t="shared" si="14"/>
        <v>0</v>
      </c>
    </row>
    <row r="145" spans="2:14" s="386" customFormat="1" ht="14.25">
      <c r="B145" s="17">
        <f t="shared" si="12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081">
        <f>'WP II-I-1.2'!F39</f>
        <v>0</v>
      </c>
      <c r="G145" s="1091">
        <f>'WP II-I-1.2'!G39</f>
        <v>146592103.22000006</v>
      </c>
      <c r="H145" s="893">
        <f>'WP II-I-1.2'!H39</f>
        <v>0</v>
      </c>
      <c r="I145" s="1082">
        <f>'WP II-I-1.2'!I39</f>
        <v>0</v>
      </c>
      <c r="J145" s="290">
        <f t="shared" si="13"/>
        <v>146592103.22000006</v>
      </c>
      <c r="K145" s="290"/>
      <c r="L145" s="18">
        <f t="shared" si="11"/>
        <v>146592103.22000006</v>
      </c>
      <c r="M145" s="47"/>
      <c r="N145" s="839">
        <f t="shared" si="14"/>
        <v>0</v>
      </c>
    </row>
    <row r="146" spans="2:14" s="386" customFormat="1" ht="14.25">
      <c r="B146" s="17">
        <f t="shared" si="12"/>
        <v>15</v>
      </c>
      <c r="C146" s="1" t="s">
        <v>402</v>
      </c>
      <c r="D146" s="1" t="str">
        <f>'WP II-I-1.2'!D40</f>
        <v>Secondary Transformers</v>
      </c>
      <c r="E146" s="17"/>
      <c r="F146" s="1081">
        <f>'WP II-I-1.2'!F40</f>
        <v>0</v>
      </c>
      <c r="G146" s="1091">
        <f>'WP II-I-1.2'!G40</f>
        <v>2196294899.3600001</v>
      </c>
      <c r="H146" s="893">
        <f>'WP II-I-1.2'!H40</f>
        <v>0</v>
      </c>
      <c r="I146" s="1082">
        <f>'WP II-I-1.2'!I40</f>
        <v>0</v>
      </c>
      <c r="J146" s="290">
        <f t="shared" si="13"/>
        <v>2196294899.3600001</v>
      </c>
      <c r="K146" s="290"/>
      <c r="L146" s="18">
        <f t="shared" si="11"/>
        <v>2196294899.3600001</v>
      </c>
      <c r="M146" s="47"/>
      <c r="N146" s="839">
        <f t="shared" si="14"/>
        <v>0</v>
      </c>
    </row>
    <row r="147" spans="2:14" s="386" customFormat="1" ht="14.25">
      <c r="B147" s="17">
        <f t="shared" si="12"/>
        <v>16</v>
      </c>
      <c r="C147" s="1" t="s">
        <v>404</v>
      </c>
      <c r="D147" s="1" t="str">
        <f>'WP II-I-1.2'!D41</f>
        <v>Capacitors</v>
      </c>
      <c r="E147" s="17"/>
      <c r="F147" s="1083">
        <f>'WP II-I-1.2'!F41</f>
        <v>0</v>
      </c>
      <c r="G147" s="1092">
        <f>'WP II-I-1.2'!G41</f>
        <v>150190759.82000005</v>
      </c>
      <c r="H147" s="1084">
        <f>'WP II-I-1.2'!H41</f>
        <v>0</v>
      </c>
      <c r="I147" s="1085">
        <f>'WP II-I-1.2'!I41</f>
        <v>0</v>
      </c>
      <c r="J147" s="290">
        <f t="shared" si="13"/>
        <v>150190759.82000005</v>
      </c>
      <c r="K147" s="290"/>
      <c r="L147" s="18">
        <f t="shared" si="11"/>
        <v>150190759.82000005</v>
      </c>
      <c r="M147" s="47"/>
      <c r="N147" s="839">
        <f t="shared" si="14"/>
        <v>0</v>
      </c>
    </row>
    <row r="148" spans="2:14" s="386" customFormat="1" ht="14.25">
      <c r="B148" s="17">
        <f t="shared" si="12"/>
        <v>17</v>
      </c>
      <c r="C148" s="1" t="s">
        <v>76</v>
      </c>
      <c r="D148" s="31" t="s">
        <v>77</v>
      </c>
      <c r="E148" s="30"/>
      <c r="F148" s="1081">
        <f>'WP II-I-1.1'!F59</f>
        <v>0</v>
      </c>
      <c r="G148" s="1091">
        <f>'WP II-I-1.1'!G59</f>
        <v>1652238990.3599999</v>
      </c>
      <c r="H148" s="893">
        <f>'WP II-I-1.1'!H59</f>
        <v>0</v>
      </c>
      <c r="I148" s="1082">
        <f>'WP II-I-1.1'!I59</f>
        <v>0</v>
      </c>
      <c r="J148" s="290">
        <f t="shared" si="13"/>
        <v>1652238990.3599999</v>
      </c>
      <c r="K148" s="290"/>
      <c r="L148" s="18">
        <f t="shared" si="11"/>
        <v>1652238990.3599999</v>
      </c>
      <c r="M148" s="47"/>
      <c r="N148" s="839">
        <f t="shared" si="14"/>
        <v>0</v>
      </c>
    </row>
    <row r="149" spans="2:14" s="386" customFormat="1" ht="14.25">
      <c r="B149" s="17">
        <f t="shared" si="12"/>
        <v>18</v>
      </c>
      <c r="C149" s="1" t="s">
        <v>78</v>
      </c>
      <c r="D149" s="1" t="s">
        <v>79</v>
      </c>
      <c r="E149" s="17"/>
      <c r="F149" s="1081">
        <f>'WP II-I-1.1'!F60</f>
        <v>0</v>
      </c>
      <c r="G149" s="1091">
        <f>'WP II-I-1.1'!G60</f>
        <v>0</v>
      </c>
      <c r="H149" s="893">
        <f>'WP II-I-1.1'!H60</f>
        <v>574147483.07000005</v>
      </c>
      <c r="I149" s="1082">
        <f>'WP II-I-1.1'!I60</f>
        <v>0</v>
      </c>
      <c r="J149" s="290">
        <f t="shared" si="13"/>
        <v>574147483.07000005</v>
      </c>
      <c r="K149" s="290"/>
      <c r="L149" s="18">
        <f t="shared" si="11"/>
        <v>574147483.07000005</v>
      </c>
      <c r="M149" s="47"/>
      <c r="N149" s="839">
        <f t="shared" si="14"/>
        <v>0</v>
      </c>
    </row>
    <row r="150" spans="2:14" s="386" customFormat="1" ht="14.25">
      <c r="B150" s="17">
        <f t="shared" si="12"/>
        <v>19</v>
      </c>
      <c r="C150" s="1" t="s">
        <v>80</v>
      </c>
      <c r="D150" s="1" t="s">
        <v>543</v>
      </c>
      <c r="E150" s="17"/>
      <c r="F150" s="1081">
        <f>'WP II-I-1.1'!F61</f>
        <v>0</v>
      </c>
      <c r="G150" s="1091">
        <f>'WP II-I-1.1'!G61</f>
        <v>54631096.93</v>
      </c>
      <c r="H150" s="893">
        <f>'WP II-I-1.1'!H61</f>
        <v>0</v>
      </c>
      <c r="I150" s="1082">
        <f>'WP II-I-1.1'!I61</f>
        <v>0</v>
      </c>
      <c r="J150" s="290">
        <f t="shared" si="13"/>
        <v>54631096.93</v>
      </c>
      <c r="K150" s="290"/>
      <c r="L150" s="18">
        <f t="shared" si="11"/>
        <v>54631096.93</v>
      </c>
      <c r="M150" s="47"/>
      <c r="N150" s="839">
        <f t="shared" si="14"/>
        <v>0</v>
      </c>
    </row>
    <row r="151" spans="2:14" s="386" customFormat="1" ht="14.25">
      <c r="B151" s="17">
        <f t="shared" si="12"/>
        <v>20</v>
      </c>
      <c r="C151" s="1" t="s">
        <v>82</v>
      </c>
      <c r="D151" s="1" t="s">
        <v>544</v>
      </c>
      <c r="E151" s="17"/>
      <c r="F151" s="1081">
        <f>'WP II-I-1.1'!F62</f>
        <v>0</v>
      </c>
      <c r="G151" s="1091">
        <f>'WP II-I-1.1'!G62</f>
        <v>0</v>
      </c>
      <c r="H151" s="893">
        <f>'WP II-I-1.1'!H62</f>
        <v>0</v>
      </c>
      <c r="I151" s="1082">
        <f>'WP II-I-1.1'!I62</f>
        <v>0</v>
      </c>
      <c r="J151" s="290">
        <f t="shared" si="13"/>
        <v>0</v>
      </c>
      <c r="K151" s="290"/>
      <c r="L151" s="18">
        <f t="shared" si="11"/>
        <v>0</v>
      </c>
      <c r="M151" s="47"/>
      <c r="N151" s="839">
        <f t="shared" si="14"/>
        <v>0</v>
      </c>
    </row>
    <row r="152" spans="2:14" s="386" customFormat="1" ht="14.25">
      <c r="B152" s="17">
        <f t="shared" si="12"/>
        <v>21</v>
      </c>
      <c r="C152" s="1" t="s">
        <v>84</v>
      </c>
      <c r="D152" s="1" t="s">
        <v>88</v>
      </c>
      <c r="E152" s="17"/>
      <c r="F152" s="1081">
        <f>'WP II-I-1.1'!F63</f>
        <v>0</v>
      </c>
      <c r="G152" s="1091">
        <f>'WP II-I-1.1'!G63</f>
        <v>437403825.88999999</v>
      </c>
      <c r="H152" s="893">
        <f>'WP II-I-1.1'!H63</f>
        <v>0</v>
      </c>
      <c r="I152" s="1082">
        <f>'WP II-I-1.1'!I63</f>
        <v>0</v>
      </c>
      <c r="J152" s="290">
        <f t="shared" si="13"/>
        <v>437403825.88999999</v>
      </c>
      <c r="K152" s="290"/>
      <c r="L152" s="18">
        <f t="shared" si="11"/>
        <v>437403825.88999999</v>
      </c>
      <c r="M152" s="47"/>
      <c r="N152" s="839">
        <f t="shared" si="14"/>
        <v>0</v>
      </c>
    </row>
    <row r="153" spans="2:14" s="386" customFormat="1" ht="16.5">
      <c r="B153" s="17">
        <f t="shared" si="12"/>
        <v>22</v>
      </c>
      <c r="C153" s="1" t="s">
        <v>86</v>
      </c>
      <c r="D153" s="1" t="s">
        <v>40</v>
      </c>
      <c r="E153" s="17"/>
      <c r="F153" s="1083">
        <f>'WP II-I-1.1'!F64</f>
        <v>24640358.010000002</v>
      </c>
      <c r="G153" s="1092">
        <f>'WP II-I-1.1'!G64</f>
        <v>71344821.219999999</v>
      </c>
      <c r="H153" s="1084">
        <f>'WP II-I-1.1'!H64</f>
        <v>0</v>
      </c>
      <c r="I153" s="1085">
        <f>'WP II-I-1.1'!I64</f>
        <v>0</v>
      </c>
      <c r="J153" s="302">
        <f t="shared" si="13"/>
        <v>95985179.230000004</v>
      </c>
      <c r="K153" s="290"/>
      <c r="L153" s="296">
        <f t="shared" si="11"/>
        <v>71344821.219999999</v>
      </c>
      <c r="M153" s="47"/>
      <c r="N153" s="839">
        <f t="shared" si="14"/>
        <v>0</v>
      </c>
    </row>
    <row r="154" spans="2:14" ht="15">
      <c r="B154" s="17">
        <f t="shared" si="12"/>
        <v>23</v>
      </c>
      <c r="C154" s="67"/>
      <c r="D154" s="297" t="s">
        <v>491</v>
      </c>
      <c r="E154" s="150"/>
      <c r="F154" s="22">
        <f>SUM(F133:F153)</f>
        <v>705433552.61999989</v>
      </c>
      <c r="G154" s="22">
        <f>SUM(G133:G153)</f>
        <v>14618819732.849999</v>
      </c>
      <c r="H154" s="22">
        <f>SUM(H133:H153)</f>
        <v>574147483.07000005</v>
      </c>
      <c r="I154" s="22">
        <f>SUM(I133:I153)</f>
        <v>0</v>
      </c>
      <c r="J154" s="299">
        <f t="shared" si="13"/>
        <v>15898400768.539997</v>
      </c>
      <c r="K154" s="300"/>
      <c r="L154" s="22">
        <f t="shared" si="11"/>
        <v>15192967215.919998</v>
      </c>
      <c r="M154" s="67"/>
      <c r="N154" s="839">
        <f t="shared" si="14"/>
        <v>-9.5367431640625E-07</v>
      </c>
    </row>
    <row r="155" spans="2:14" ht="14.25">
      <c r="B155" s="17">
        <f t="shared" si="12"/>
        <v>24</v>
      </c>
      <c r="C155" s="67"/>
      <c r="D155" s="1"/>
      <c r="E155" s="17"/>
      <c r="F155" s="19"/>
      <c r="G155" s="19"/>
      <c r="H155" s="19"/>
      <c r="I155" s="1"/>
      <c r="J155" s="1"/>
      <c r="K155" s="1"/>
      <c r="L155" s="1"/>
      <c r="M155" s="67"/>
      <c r="N155" s="839">
        <f t="shared" si="14"/>
        <v>0</v>
      </c>
    </row>
    <row r="156" spans="2:14" ht="15">
      <c r="B156" s="17">
        <f t="shared" si="12"/>
        <v>25</v>
      </c>
      <c r="C156" s="67"/>
      <c r="D156" s="297" t="s">
        <v>568</v>
      </c>
      <c r="E156" s="17"/>
      <c r="F156" s="22">
        <f>SUM(F137:F138)</f>
        <v>0</v>
      </c>
      <c r="G156" s="22">
        <f>SUM(G137:G138)</f>
        <v>2678358260.8099999</v>
      </c>
      <c r="H156" s="22">
        <f>SUM(H137:H138)</f>
        <v>0</v>
      </c>
      <c r="I156" s="22">
        <f>SUM(I137:I138)</f>
        <v>0</v>
      </c>
      <c r="J156" s="299">
        <f>SUM(F156:I156)</f>
        <v>2678358260.8099999</v>
      </c>
      <c r="K156" s="300"/>
      <c r="L156" s="22">
        <f t="shared" si="11"/>
        <v>2678358260.8099999</v>
      </c>
      <c r="M156" s="67"/>
      <c r="N156" s="839">
        <f t="shared" si="14"/>
        <v>0</v>
      </c>
    </row>
    <row r="157" spans="2:14" ht="15">
      <c r="B157" s="17">
        <f t="shared" si="12"/>
        <v>26</v>
      </c>
      <c r="C157" s="67"/>
      <c r="D157" s="297" t="s">
        <v>569</v>
      </c>
      <c r="E157" s="17"/>
      <c r="F157" s="22">
        <f>SUM(F139:F140)</f>
        <v>0</v>
      </c>
      <c r="G157" s="22">
        <f>SUM(G139:G140)</f>
        <v>1675410858.1199999</v>
      </c>
      <c r="H157" s="22">
        <f>SUM(H139:H140)</f>
        <v>0</v>
      </c>
      <c r="I157" s="22">
        <f>SUM(I139:I140)</f>
        <v>0</v>
      </c>
      <c r="J157" s="299">
        <f>SUM(F157:I157)</f>
        <v>1675410858.1199999</v>
      </c>
      <c r="K157" s="300"/>
      <c r="L157" s="22">
        <f t="shared" si="11"/>
        <v>1675410858.1199999</v>
      </c>
      <c r="M157" s="67"/>
      <c r="N157" s="839">
        <f t="shared" si="14"/>
        <v>0</v>
      </c>
    </row>
    <row r="158" spans="2:14" ht="15">
      <c r="B158" s="17">
        <f t="shared" si="12"/>
        <v>27</v>
      </c>
      <c r="C158" s="67"/>
      <c r="D158" s="297" t="s">
        <v>570</v>
      </c>
      <c r="E158" s="17"/>
      <c r="F158" s="22">
        <f>SUM(F141:F142)</f>
        <v>0</v>
      </c>
      <c r="G158" s="22">
        <f>SUM(G141:G142)</f>
        <v>1082118478.1099999</v>
      </c>
      <c r="H158" s="22">
        <f>SUM(H141:H142)</f>
        <v>0</v>
      </c>
      <c r="I158" s="22">
        <f>SUM(I141:I142)</f>
        <v>0</v>
      </c>
      <c r="J158" s="299">
        <f>SUM(F158:I158)</f>
        <v>1082118478.1099999</v>
      </c>
      <c r="K158" s="300"/>
      <c r="L158" s="22">
        <f t="shared" si="11"/>
        <v>1082118478.1099999</v>
      </c>
      <c r="M158" s="67"/>
      <c r="N158" s="839">
        <f t="shared" si="14"/>
        <v>0</v>
      </c>
    </row>
    <row r="159" spans="2:14" ht="15">
      <c r="B159" s="17">
        <f t="shared" si="12"/>
        <v>28</v>
      </c>
      <c r="C159" s="67"/>
      <c r="D159" s="297" t="s">
        <v>571</v>
      </c>
      <c r="E159" s="17"/>
      <c r="F159" s="22">
        <f>SUM(F143:F144)</f>
        <v>0</v>
      </c>
      <c r="G159" s="22">
        <f>SUM(G143:G144)</f>
        <v>2553927527.9699998</v>
      </c>
      <c r="H159" s="22">
        <f>SUM(H143:H144)</f>
        <v>0</v>
      </c>
      <c r="I159" s="22">
        <f>SUM(I143:I144)</f>
        <v>0</v>
      </c>
      <c r="J159" s="299">
        <f>SUM(F159:I159)</f>
        <v>2553927527.9699998</v>
      </c>
      <c r="K159" s="300"/>
      <c r="L159" s="22">
        <f t="shared" si="11"/>
        <v>2553927527.9699998</v>
      </c>
      <c r="M159" s="67"/>
      <c r="N159" s="839">
        <f t="shared" si="14"/>
        <v>0</v>
      </c>
    </row>
    <row r="160" spans="2:14" ht="15">
      <c r="B160" s="17">
        <f t="shared" si="12"/>
        <v>29</v>
      </c>
      <c r="C160" s="67"/>
      <c r="D160" s="297" t="s">
        <v>572</v>
      </c>
      <c r="E160" s="17"/>
      <c r="F160" s="22">
        <f>SUM(F145:F147)</f>
        <v>0</v>
      </c>
      <c r="G160" s="22">
        <f>SUM(G145:G147)</f>
        <v>2493077762.4000006</v>
      </c>
      <c r="H160" s="22">
        <f>SUM(H145:H147)</f>
        <v>0</v>
      </c>
      <c r="I160" s="22">
        <f>SUM(I145:I147)</f>
        <v>0</v>
      </c>
      <c r="J160" s="299">
        <f>SUM(F160:I160)</f>
        <v>2493077762.4000006</v>
      </c>
      <c r="K160" s="300"/>
      <c r="L160" s="22">
        <f t="shared" si="11"/>
        <v>2493077762.4000006</v>
      </c>
      <c r="M160" s="67"/>
      <c r="N160" s="839">
        <f t="shared" si="14"/>
        <v>0</v>
      </c>
    </row>
    <row r="161" spans="2:14" ht="15" thickBot="1">
      <c r="B161" s="17">
        <f t="shared" si="12"/>
        <v>30</v>
      </c>
      <c r="C161" s="67"/>
      <c r="D161" s="1"/>
      <c r="E161" s="17"/>
      <c r="F161" s="19"/>
      <c r="G161" s="19"/>
      <c r="H161" s="19"/>
      <c r="I161" s="1"/>
      <c r="J161" s="1"/>
      <c r="K161" s="1"/>
      <c r="L161" s="1"/>
      <c r="M161" s="67"/>
      <c r="N161" s="839">
        <f t="shared" si="14"/>
        <v>0</v>
      </c>
    </row>
    <row r="162" spans="2:14" ht="15">
      <c r="B162" s="17">
        <f t="shared" si="12"/>
        <v>31</v>
      </c>
      <c r="C162" s="303" t="s">
        <v>545</v>
      </c>
      <c r="D162" s="304"/>
      <c r="E162" s="305" t="s">
        <v>24</v>
      </c>
      <c r="F162" s="306">
        <f>F106+F118+F154</f>
        <v>13589215488.919998</v>
      </c>
      <c r="G162" s="306">
        <f>G106+G118+G154</f>
        <v>15324013756.529999</v>
      </c>
      <c r="H162" s="306">
        <f>H106+H118+H154</f>
        <v>759449196.03000009</v>
      </c>
      <c r="I162" s="306">
        <f>I106+I118+I154</f>
        <v>310409174.74000001</v>
      </c>
      <c r="J162" s="307">
        <f>SUM(F162:I162)</f>
        <v>29983087616.219997</v>
      </c>
      <c r="K162" s="252"/>
      <c r="L162" s="308">
        <f t="shared" si="11"/>
        <v>16393872127.299999</v>
      </c>
      <c r="M162" s="67"/>
      <c r="N162" s="839">
        <f t="shared" si="14"/>
        <v>0</v>
      </c>
    </row>
    <row r="163" spans="2:14" ht="15.75" thickBot="1">
      <c r="B163" s="17">
        <f t="shared" si="12"/>
        <v>32</v>
      </c>
      <c r="C163" s="309" t="s">
        <v>546</v>
      </c>
      <c r="D163" s="310"/>
      <c r="E163" s="311" t="s">
        <v>24</v>
      </c>
      <c r="F163" s="312">
        <f>F118+F154</f>
        <v>13341909468.369999</v>
      </c>
      <c r="G163" s="312">
        <f>G118+G154</f>
        <v>15000680383.709999</v>
      </c>
      <c r="H163" s="312">
        <f>H118+H154</f>
        <v>574147483.07000005</v>
      </c>
      <c r="I163" s="312">
        <f>I118+I154</f>
        <v>0</v>
      </c>
      <c r="J163" s="313">
        <f>SUM(F163:I163)</f>
        <v>28916737335.149998</v>
      </c>
      <c r="K163" s="252"/>
      <c r="L163" s="314">
        <f t="shared" si="11"/>
        <v>15574827866.779999</v>
      </c>
      <c r="M163" s="67"/>
      <c r="N163" s="839">
        <f t="shared" si="14"/>
        <v>0</v>
      </c>
    </row>
    <row r="164" spans="2:12" ht="14.25">
      <c r="B164" s="67"/>
      <c r="C164" s="67"/>
      <c r="D164" s="67"/>
      <c r="E164" s="67"/>
      <c r="F164" s="67"/>
      <c r="G164" s="67"/>
      <c r="H164" s="67"/>
      <c r="I164" s="67"/>
      <c r="J164" s="67"/>
      <c r="K164" s="47"/>
      <c r="L164" s="47"/>
    </row>
    <row r="165" spans="2:13" ht="15">
      <c r="B165" s="874"/>
      <c r="C165" s="874"/>
      <c r="D165" s="874"/>
      <c r="E165" s="874"/>
      <c r="F165" s="874"/>
      <c r="G165" s="874"/>
      <c r="H165" s="874"/>
      <c r="I165" s="874"/>
      <c r="J165" s="874"/>
      <c r="K165" s="874"/>
      <c r="L165" s="874"/>
      <c r="M165" s="134" t="str">
        <f>$M$2</f>
        <v xml:space="preserve"> </v>
      </c>
    </row>
    <row r="166" spans="2:13" ht="15.75" thickBot="1">
      <c r="B166" s="874"/>
      <c r="C166" s="874"/>
      <c r="D166" s="874"/>
      <c r="E166" s="874"/>
      <c r="F166" s="874"/>
      <c r="G166" s="874"/>
      <c r="H166" s="874"/>
      <c r="I166" s="874"/>
      <c r="J166" s="874"/>
      <c r="K166" s="874"/>
      <c r="L166" s="874"/>
      <c r="M166" s="134"/>
    </row>
    <row r="167" spans="2:12" ht="15">
      <c r="B167" s="920" t="str">
        <f>$B$4</f>
        <v>2022 RATE CASE</v>
      </c>
      <c r="C167" s="926"/>
      <c r="D167" s="927"/>
      <c r="E167" s="874"/>
      <c r="F167" s="874"/>
      <c r="G167" s="874"/>
      <c r="H167" s="874"/>
      <c r="I167" s="874"/>
      <c r="J167" s="874"/>
      <c r="K167" s="874"/>
      <c r="L167" s="874"/>
    </row>
    <row r="168" spans="2:13" ht="15">
      <c r="B168" s="917" t="str">
        <f>$B$5</f>
        <v>ONCOR ELECTRIC DELIVERY COMPANY LLC</v>
      </c>
      <c r="C168" s="369"/>
      <c r="D168" s="928"/>
      <c r="E168" s="874"/>
      <c r="F168" s="874"/>
      <c r="G168" s="874"/>
      <c r="H168" s="874"/>
      <c r="I168" s="874"/>
      <c r="J168" s="874"/>
      <c r="K168" s="874"/>
      <c r="L168" s="874"/>
      <c r="M168" s="67"/>
    </row>
    <row r="169" spans="2:13" ht="15">
      <c r="B169" s="406" t="str">
        <f>$B$6</f>
        <v>CONSOLIDATED FUNCTIONALIZED COST OF SERVICE</v>
      </c>
      <c r="C169" s="369"/>
      <c r="D169" s="928"/>
      <c r="E169" s="874"/>
      <c r="F169" s="874"/>
      <c r="G169" s="874"/>
      <c r="H169" s="874"/>
      <c r="I169" s="874"/>
      <c r="J169" s="874"/>
      <c r="K169" s="874"/>
      <c r="L169" s="874"/>
      <c r="M169" s="67"/>
    </row>
    <row r="170" spans="2:13" ht="15">
      <c r="B170" s="406" t="str">
        <f>$B$7</f>
        <v>TEST YEAR ENDING 12/31/2021</v>
      </c>
      <c r="C170" s="369"/>
      <c r="D170" s="928"/>
      <c r="E170" s="369"/>
      <c r="F170" s="369"/>
      <c r="G170" s="369"/>
      <c r="H170" s="369"/>
      <c r="I170" s="369"/>
      <c r="J170" s="369"/>
      <c r="K170" s="369"/>
      <c r="L170" s="369"/>
      <c r="M170" s="67"/>
    </row>
    <row r="171" spans="2:13" ht="15.75" customHeight="1">
      <c r="B171" s="406" t="str">
        <f>$B$8</f>
        <v>SPONSOR:  MATTHEW A. TROXLE</v>
      </c>
      <c r="C171" s="369"/>
      <c r="D171" s="928"/>
      <c r="E171" s="369"/>
      <c r="F171" s="369"/>
      <c r="G171" s="369"/>
      <c r="H171" s="369"/>
      <c r="I171" s="369"/>
      <c r="J171" s="369"/>
      <c r="K171" s="369"/>
      <c r="L171" s="369"/>
      <c r="M171" s="67"/>
    </row>
    <row r="172" spans="2:13" ht="15.75" thickBot="1">
      <c r="B172" s="410"/>
      <c r="C172" s="931"/>
      <c r="D172" s="932"/>
      <c r="E172" s="369"/>
      <c r="F172" s="369"/>
      <c r="G172" s="369"/>
      <c r="H172" s="369"/>
      <c r="I172" s="369"/>
      <c r="J172" s="369"/>
      <c r="K172" s="369"/>
      <c r="L172" s="369"/>
      <c r="M172" s="67"/>
    </row>
    <row r="173" spans="2:13" ht="14.25">
      <c r="B173" s="13"/>
      <c r="C173" s="14"/>
      <c r="D173" s="14"/>
      <c r="E173" s="14"/>
      <c r="F173" s="237" t="s">
        <v>6</v>
      </c>
      <c r="G173" s="13" t="s">
        <v>7</v>
      </c>
      <c r="H173" s="13" t="s">
        <v>8</v>
      </c>
      <c r="I173" s="239" t="s">
        <v>9</v>
      </c>
      <c r="J173" s="13" t="s">
        <v>10</v>
      </c>
      <c r="K173" s="17"/>
      <c r="L173" s="139" t="s">
        <v>966</v>
      </c>
      <c r="M173" s="67"/>
    </row>
    <row r="174" spans="2:13" ht="15">
      <c r="B174" s="15" t="s">
        <v>2</v>
      </c>
      <c r="C174" s="15" t="s">
        <v>370</v>
      </c>
      <c r="D174" s="287" t="s">
        <v>547</v>
      </c>
      <c r="E174" s="15" t="s">
        <v>371</v>
      </c>
      <c r="F174" s="242"/>
      <c r="G174" s="15"/>
      <c r="H174" s="15"/>
      <c r="I174" s="15"/>
      <c r="J174" s="15"/>
      <c r="K174" s="17"/>
      <c r="L174" s="97" t="s">
        <v>967</v>
      </c>
      <c r="M174" s="67"/>
    </row>
    <row r="175" spans="2:13" ht="14.25">
      <c r="B175" s="15"/>
      <c r="C175" s="15"/>
      <c r="D175" s="15"/>
      <c r="E175" s="15"/>
      <c r="F175" s="242"/>
      <c r="G175" s="15"/>
      <c r="H175" s="15"/>
      <c r="I175" s="15"/>
      <c r="J175" s="15"/>
      <c r="K175" s="17"/>
      <c r="L175" s="97"/>
      <c r="M175" s="67"/>
    </row>
    <row r="176" spans="2:13" ht="15" thickBot="1">
      <c r="B176" s="16"/>
      <c r="C176" s="16" t="s">
        <v>13</v>
      </c>
      <c r="D176" s="16" t="s">
        <v>14</v>
      </c>
      <c r="E176" s="16" t="s">
        <v>15</v>
      </c>
      <c r="F176" s="16" t="s">
        <v>16</v>
      </c>
      <c r="G176" s="16" t="s">
        <v>17</v>
      </c>
      <c r="H176" s="16" t="s">
        <v>18</v>
      </c>
      <c r="I176" s="16" t="s">
        <v>21</v>
      </c>
      <c r="J176" s="16" t="s">
        <v>22</v>
      </c>
      <c r="K176" s="17"/>
      <c r="L176" s="1125" t="s">
        <v>418</v>
      </c>
      <c r="M176" s="67"/>
    </row>
    <row r="177" spans="2:13" ht="14.25">
      <c r="B177" s="67"/>
      <c r="C177" s="100"/>
      <c r="D177" s="100"/>
      <c r="E177" s="315"/>
      <c r="F177" s="100"/>
      <c r="G177" s="100"/>
      <c r="H177" s="100"/>
      <c r="I177" s="1"/>
      <c r="J177" s="1"/>
      <c r="K177" s="1"/>
      <c r="L177" s="1"/>
      <c r="M177" s="67"/>
    </row>
    <row r="178" spans="2:13" ht="15">
      <c r="B178" s="17">
        <f t="shared" si="15" ref="B178:B194">B177+1</f>
        <v>1</v>
      </c>
      <c r="C178" s="49" t="s">
        <v>547</v>
      </c>
      <c r="D178" s="49"/>
      <c r="E178" s="58" t="s">
        <v>90</v>
      </c>
      <c r="F178" s="49"/>
      <c r="G178" s="49"/>
      <c r="H178" s="49"/>
      <c r="I178" s="49"/>
      <c r="J178" s="49"/>
      <c r="K178" s="8"/>
      <c r="L178" s="8"/>
      <c r="M178" s="67"/>
    </row>
    <row r="179" spans="2:14" s="386" customFormat="1" ht="14.25">
      <c r="B179" s="17">
        <f t="shared" si="15"/>
        <v>2</v>
      </c>
      <c r="C179" s="1" t="s">
        <v>91</v>
      </c>
      <c r="D179" s="1" t="s">
        <v>40</v>
      </c>
      <c r="E179" s="17"/>
      <c r="F179" s="1087">
        <f>'WP II-I-1.1'!F83</f>
        <v>7795889.0599999996</v>
      </c>
      <c r="G179" s="1089">
        <f>'WP II-I-1.1'!G83</f>
        <v>19410065.620000001</v>
      </c>
      <c r="H179" s="1089">
        <f>'WP II-I-1.1'!H83</f>
        <v>3908190.4500000002</v>
      </c>
      <c r="I179" s="1090">
        <f>'WP II-I-1.1'!I83</f>
        <v>2557941.0099999998</v>
      </c>
      <c r="J179" s="290">
        <f t="shared" si="16" ref="J179:J188">SUM(F179:I179)</f>
        <v>33672086.140000001</v>
      </c>
      <c r="K179" s="290"/>
      <c r="L179" s="18">
        <f t="shared" si="11"/>
        <v>25876197.079999998</v>
      </c>
      <c r="M179" s="47"/>
      <c r="N179" s="839">
        <f t="shared" si="17" ref="N179:N194">J179-L179-F179</f>
        <v>0</v>
      </c>
    </row>
    <row r="180" spans="2:14" s="386" customFormat="1" ht="14.25">
      <c r="B180" s="17">
        <f t="shared" si="15"/>
        <v>3</v>
      </c>
      <c r="C180" s="1" t="s">
        <v>92</v>
      </c>
      <c r="D180" s="1" t="s">
        <v>42</v>
      </c>
      <c r="E180" s="17"/>
      <c r="F180" s="1081">
        <f>'WP II-I-1.1'!F84</f>
        <v>60493.900000000001</v>
      </c>
      <c r="G180" s="893">
        <f>'WP II-I-1.1'!G84</f>
        <v>78748.830000000002</v>
      </c>
      <c r="H180" s="893">
        <f>'WP II-I-1.1'!H84</f>
        <v>3342.98</v>
      </c>
      <c r="I180" s="1082">
        <f>'WP II-I-1.1'!I84</f>
        <v>12.49</v>
      </c>
      <c r="J180" s="290">
        <f t="shared" si="16"/>
        <v>142598.20000000001</v>
      </c>
      <c r="K180" s="290"/>
      <c r="L180" s="18">
        <f t="shared" si="11"/>
        <v>82104.300000000003</v>
      </c>
      <c r="M180" s="47"/>
      <c r="N180" s="839">
        <f t="shared" si="17"/>
        <v>0</v>
      </c>
    </row>
    <row r="181" spans="2:14" s="386" customFormat="1" ht="14.25">
      <c r="B181" s="17">
        <f t="shared" si="15"/>
        <v>4</v>
      </c>
      <c r="C181" s="1" t="s">
        <v>93</v>
      </c>
      <c r="D181" s="1" t="s">
        <v>44</v>
      </c>
      <c r="E181" s="17"/>
      <c r="F181" s="1081">
        <f>'WP II-I-1.1'!F85</f>
        <v>80530915.359999999</v>
      </c>
      <c r="G181" s="893">
        <f>'WP II-I-1.1'!G85</f>
        <v>141498136</v>
      </c>
      <c r="H181" s="893">
        <f>'WP II-I-1.1'!H85</f>
        <v>24868885.27</v>
      </c>
      <c r="I181" s="1082">
        <f>'WP II-I-1.1'!I85</f>
        <v>13542694.41</v>
      </c>
      <c r="J181" s="290">
        <f t="shared" si="16"/>
        <v>260440631.04000002</v>
      </c>
      <c r="K181" s="290"/>
      <c r="L181" s="18">
        <f t="shared" si="18" ref="L181:L237">SUM(G181:I181)</f>
        <v>179909715.68000001</v>
      </c>
      <c r="M181" s="47"/>
      <c r="N181" s="839">
        <f t="shared" si="17"/>
        <v>0</v>
      </c>
    </row>
    <row r="182" spans="2:14" s="386" customFormat="1" ht="14.25">
      <c r="B182" s="17">
        <f t="shared" si="15"/>
        <v>5</v>
      </c>
      <c r="C182" s="1" t="s">
        <v>94</v>
      </c>
      <c r="D182" s="1" t="s">
        <v>95</v>
      </c>
      <c r="E182" s="17"/>
      <c r="F182" s="1081">
        <f>'WP II-I-1.1'!F86</f>
        <v>77149137.980000004</v>
      </c>
      <c r="G182" s="893">
        <f>'WP II-I-1.1'!G86</f>
        <v>96093234.140000001</v>
      </c>
      <c r="H182" s="893">
        <f>'WP II-I-1.1'!H86</f>
        <v>66950477.740000002</v>
      </c>
      <c r="I182" s="1082">
        <f>'WP II-I-1.1'!I86</f>
        <v>84000108.049999997</v>
      </c>
      <c r="J182" s="290">
        <f t="shared" si="16"/>
        <v>324192957.91000003</v>
      </c>
      <c r="K182" s="290"/>
      <c r="L182" s="18">
        <f t="shared" si="18"/>
        <v>247043819.93000001</v>
      </c>
      <c r="M182" s="47"/>
      <c r="N182" s="839">
        <f t="shared" si="17"/>
        <v>0</v>
      </c>
    </row>
    <row r="183" spans="2:14" s="386" customFormat="1" ht="14.25">
      <c r="B183" s="17">
        <f t="shared" si="15"/>
        <v>6</v>
      </c>
      <c r="C183" s="1" t="s">
        <v>96</v>
      </c>
      <c r="D183" s="1" t="s">
        <v>98</v>
      </c>
      <c r="E183" s="17"/>
      <c r="F183" s="1081">
        <f>'WP II-I-1.1'!F87</f>
        <v>10146632.609999999</v>
      </c>
      <c r="G183" s="893">
        <f>'WP II-I-1.1'!G87</f>
        <v>12716429.41</v>
      </c>
      <c r="H183" s="893">
        <f>'WP II-I-1.1'!H87</f>
        <v>0</v>
      </c>
      <c r="I183" s="1082">
        <f>'WP II-I-1.1'!I87</f>
        <v>0</v>
      </c>
      <c r="J183" s="290">
        <f t="shared" si="16"/>
        <v>22863062.02</v>
      </c>
      <c r="K183" s="290"/>
      <c r="L183" s="18">
        <f t="shared" si="18"/>
        <v>12716429.41</v>
      </c>
      <c r="M183" s="47"/>
      <c r="N183" s="839">
        <f t="shared" si="17"/>
        <v>0</v>
      </c>
    </row>
    <row r="184" spans="2:14" s="386" customFormat="1" ht="14.25">
      <c r="B184" s="17">
        <f t="shared" si="15"/>
        <v>7</v>
      </c>
      <c r="C184" s="1" t="s">
        <v>99</v>
      </c>
      <c r="D184" s="1" t="s">
        <v>548</v>
      </c>
      <c r="E184" s="17"/>
      <c r="F184" s="1081">
        <f>'WP II-I-1.1'!F88</f>
        <v>1193181.8300000001</v>
      </c>
      <c r="G184" s="893">
        <f>'WP II-I-1.1'!G88</f>
        <v>3228206.2200000002</v>
      </c>
      <c r="H184" s="893">
        <f>'WP II-I-1.1'!H88</f>
        <v>575148.54000000004</v>
      </c>
      <c r="I184" s="1082">
        <f>'WP II-I-1.1'!I88</f>
        <v>0</v>
      </c>
      <c r="J184" s="290">
        <f t="shared" si="16"/>
        <v>4996536.5900000008</v>
      </c>
      <c r="K184" s="290"/>
      <c r="L184" s="18">
        <f t="shared" si="18"/>
        <v>3803354.7600000002</v>
      </c>
      <c r="M184" s="47"/>
      <c r="N184" s="839">
        <f t="shared" si="17"/>
        <v>0</v>
      </c>
    </row>
    <row r="185" spans="2:14" s="386" customFormat="1" ht="14.25">
      <c r="B185" s="17">
        <f t="shared" si="15"/>
        <v>8</v>
      </c>
      <c r="C185" s="1" t="s">
        <v>101</v>
      </c>
      <c r="D185" s="1" t="s">
        <v>549</v>
      </c>
      <c r="E185" s="17"/>
      <c r="F185" s="1081">
        <f>'WP II-I-1.1'!F89</f>
        <v>14877076.029999999</v>
      </c>
      <c r="G185" s="893">
        <f>'WP II-I-1.1'!G89</f>
        <v>25982536.489999998</v>
      </c>
      <c r="H185" s="893">
        <f>'WP II-I-1.1'!H89</f>
        <v>2568972.02</v>
      </c>
      <c r="I185" s="1082">
        <f>'WP II-I-1.1'!I89</f>
        <v>0</v>
      </c>
      <c r="J185" s="290">
        <f t="shared" si="16"/>
        <v>43428584.539999999</v>
      </c>
      <c r="K185" s="290"/>
      <c r="L185" s="18">
        <f t="shared" si="18"/>
        <v>28551508.509999998</v>
      </c>
      <c r="M185" s="47"/>
      <c r="N185" s="839">
        <f t="shared" si="17"/>
        <v>0</v>
      </c>
    </row>
    <row r="186" spans="2:14" s="386" customFormat="1" ht="14.25">
      <c r="B186" s="17">
        <f t="shared" si="15"/>
        <v>9</v>
      </c>
      <c r="C186" s="1" t="s">
        <v>103</v>
      </c>
      <c r="D186" s="1" t="s">
        <v>104</v>
      </c>
      <c r="E186" s="17"/>
      <c r="F186" s="1081">
        <f>'WP II-I-1.1'!F90</f>
        <v>30439015.969999999</v>
      </c>
      <c r="G186" s="893">
        <f>'WP II-I-1.1'!G90</f>
        <v>17734119.199999999</v>
      </c>
      <c r="H186" s="893">
        <f>'WP II-I-1.1'!H90</f>
        <v>3737188.5699999998</v>
      </c>
      <c r="I186" s="1082">
        <f>'WP II-I-1.1'!I90</f>
        <v>0</v>
      </c>
      <c r="J186" s="290">
        <f t="shared" si="16"/>
        <v>51910323.740000002</v>
      </c>
      <c r="K186" s="290"/>
      <c r="L186" s="18">
        <f t="shared" si="18"/>
        <v>21471307.77</v>
      </c>
      <c r="M186" s="47"/>
      <c r="N186" s="839">
        <f t="shared" si="17"/>
        <v>0</v>
      </c>
    </row>
    <row r="187" spans="2:14" s="386" customFormat="1" ht="16.5">
      <c r="B187" s="17">
        <f t="shared" si="15"/>
        <v>10</v>
      </c>
      <c r="C187" s="1" t="s">
        <v>105</v>
      </c>
      <c r="D187" s="1" t="s">
        <v>106</v>
      </c>
      <c r="E187" s="17"/>
      <c r="F187" s="1083">
        <f>'WP II-I-1.1'!F91</f>
        <v>4340670.75</v>
      </c>
      <c r="G187" s="1084">
        <f>'WP II-I-1.1'!G91</f>
        <v>7626625.3200000003</v>
      </c>
      <c r="H187" s="1084">
        <f>'WP II-I-1.1'!H91</f>
        <v>930590.34999999998</v>
      </c>
      <c r="I187" s="1085">
        <f>'WP II-I-1.1'!I91</f>
        <v>0</v>
      </c>
      <c r="J187" s="302">
        <f t="shared" si="16"/>
        <v>12897886.42</v>
      </c>
      <c r="K187" s="290"/>
      <c r="L187" s="296">
        <f t="shared" si="18"/>
        <v>8557215.6699999999</v>
      </c>
      <c r="M187" s="47"/>
      <c r="N187" s="839">
        <f t="shared" si="17"/>
        <v>0</v>
      </c>
    </row>
    <row r="188" spans="2:14" ht="15">
      <c r="B188" s="17">
        <f t="shared" si="15"/>
        <v>11</v>
      </c>
      <c r="C188" s="1"/>
      <c r="D188" s="297" t="s">
        <v>491</v>
      </c>
      <c r="E188" s="20"/>
      <c r="F188" s="21">
        <f>SUM(F179:F187)</f>
        <v>226533013.49000004</v>
      </c>
      <c r="G188" s="21">
        <f>SUM(G179:G187)</f>
        <v>324368101.23000002</v>
      </c>
      <c r="H188" s="21">
        <f>SUM(H179:H187)</f>
        <v>103542795.91999999</v>
      </c>
      <c r="I188" s="895">
        <f>SUM(I179:I187)</f>
        <v>100100755.95999999</v>
      </c>
      <c r="J188" s="299">
        <f t="shared" si="16"/>
        <v>754544666.60000002</v>
      </c>
      <c r="K188" s="300"/>
      <c r="L188" s="21">
        <f t="shared" si="18"/>
        <v>528011653.10999995</v>
      </c>
      <c r="M188" s="67"/>
      <c r="N188" s="839">
        <f t="shared" si="17"/>
        <v>0</v>
      </c>
    </row>
    <row r="189" spans="2:14" ht="15">
      <c r="B189" s="17">
        <f t="shared" si="15"/>
        <v>12</v>
      </c>
      <c r="C189" s="8"/>
      <c r="D189" s="297"/>
      <c r="E189" s="20"/>
      <c r="F189" s="18"/>
      <c r="G189" s="18"/>
      <c r="H189" s="18"/>
      <c r="I189" s="18"/>
      <c r="J189" s="121"/>
      <c r="K189" s="24"/>
      <c r="L189" s="18"/>
      <c r="M189" s="67"/>
      <c r="N189" s="839"/>
    </row>
    <row r="190" spans="2:14" s="386" customFormat="1" ht="14.25">
      <c r="B190" s="17">
        <f t="shared" si="15"/>
        <v>13</v>
      </c>
      <c r="C190" s="1" t="s">
        <v>110</v>
      </c>
      <c r="D190" s="1" t="s">
        <v>550</v>
      </c>
      <c r="E190" s="17"/>
      <c r="F190" s="1087">
        <f>'WP II-I-1.1'!F93</f>
        <v>5820094.3200000003</v>
      </c>
      <c r="G190" s="1089">
        <f>'WP II-I-1.1'!G93</f>
        <v>5763893.6799999997</v>
      </c>
      <c r="H190" s="1089">
        <f>'WP II-I-1.1'!H93</f>
        <v>1183825.6899999999</v>
      </c>
      <c r="I190" s="1090">
        <f>'WP II-I-1.1'!I93</f>
        <v>0</v>
      </c>
      <c r="J190" s="290">
        <f>SUM(F190:I190)</f>
        <v>12767813.69</v>
      </c>
      <c r="K190" s="290"/>
      <c r="L190" s="18">
        <f t="shared" si="18"/>
        <v>6947719.3699999992</v>
      </c>
      <c r="M190" s="47"/>
      <c r="N190" s="839">
        <f t="shared" si="17"/>
        <v>0</v>
      </c>
    </row>
    <row r="191" spans="2:14" s="386" customFormat="1" ht="16.5">
      <c r="B191" s="17">
        <f t="shared" si="15"/>
        <v>14</v>
      </c>
      <c r="C191" s="1" t="s">
        <v>112</v>
      </c>
      <c r="D191" s="1" t="s">
        <v>551</v>
      </c>
      <c r="E191" s="17"/>
      <c r="F191" s="292">
        <f>'WP II-I-1.1'!F94</f>
        <v>0</v>
      </c>
      <c r="G191" s="293">
        <f>'WP II-I-1.1'!G94</f>
        <v>0</v>
      </c>
      <c r="H191" s="293">
        <f>'WP II-I-1.1'!H94</f>
        <v>0</v>
      </c>
      <c r="I191" s="294">
        <f>'WP II-I-1.1'!I94</f>
        <v>0</v>
      </c>
      <c r="J191" s="302">
        <f>SUM(F191:I191)</f>
        <v>0</v>
      </c>
      <c r="K191" s="302"/>
      <c r="L191" s="296">
        <f t="shared" si="18"/>
        <v>0</v>
      </c>
      <c r="M191" s="47"/>
      <c r="N191" s="839">
        <f t="shared" si="17"/>
        <v>0</v>
      </c>
    </row>
    <row r="192" spans="2:14" ht="15">
      <c r="B192" s="17">
        <f t="shared" si="15"/>
        <v>15</v>
      </c>
      <c r="C192" s="8"/>
      <c r="D192" s="297" t="s">
        <v>491</v>
      </c>
      <c r="E192" s="20"/>
      <c r="F192" s="21">
        <f>+F191+F190</f>
        <v>5820094.3200000003</v>
      </c>
      <c r="G192" s="21">
        <f>+G191+G190</f>
        <v>5763893.6799999997</v>
      </c>
      <c r="H192" s="21">
        <f>+H191+H190</f>
        <v>1183825.6899999999</v>
      </c>
      <c r="I192" s="21">
        <f>+I191+I190</f>
        <v>0</v>
      </c>
      <c r="J192" s="21">
        <f>SUM(F192:I192)</f>
        <v>12767813.69</v>
      </c>
      <c r="K192" s="21"/>
      <c r="L192" s="21">
        <f t="shared" si="18"/>
        <v>6947719.3699999992</v>
      </c>
      <c r="M192" s="67"/>
      <c r="N192" s="839">
        <f t="shared" si="17"/>
        <v>0</v>
      </c>
    </row>
    <row r="193" spans="2:14" ht="15.75" thickBot="1">
      <c r="B193" s="17">
        <f t="shared" si="15"/>
        <v>16</v>
      </c>
      <c r="C193" s="8"/>
      <c r="D193" s="297"/>
      <c r="E193" s="20"/>
      <c r="F193" s="22"/>
      <c r="G193" s="22"/>
      <c r="H193" s="22"/>
      <c r="I193" s="22"/>
      <c r="J193" s="8"/>
      <c r="K193" s="8"/>
      <c r="L193" s="22"/>
      <c r="M193" s="67"/>
      <c r="N193" s="839"/>
    </row>
    <row r="194" spans="2:14" ht="15.75" thickBot="1">
      <c r="B194" s="17">
        <f t="shared" si="15"/>
        <v>17</v>
      </c>
      <c r="C194" s="284" t="s">
        <v>552</v>
      </c>
      <c r="D194" s="285"/>
      <c r="E194" s="316" t="s">
        <v>90</v>
      </c>
      <c r="F194" s="255">
        <f>+F192+F188</f>
        <v>232353107.81000003</v>
      </c>
      <c r="G194" s="255">
        <f>+G192+G188</f>
        <v>330131994.91000003</v>
      </c>
      <c r="H194" s="255">
        <f>+H192+H188</f>
        <v>104726621.60999998</v>
      </c>
      <c r="I194" s="255">
        <f>+I192+I188</f>
        <v>100100755.95999999</v>
      </c>
      <c r="J194" s="256">
        <f>SUM(F194:I194)</f>
        <v>767312480.29000008</v>
      </c>
      <c r="K194" s="252"/>
      <c r="L194" s="257">
        <f t="shared" si="18"/>
        <v>534959372.47999996</v>
      </c>
      <c r="M194" s="67"/>
      <c r="N194" s="839">
        <f t="shared" si="17"/>
        <v>0</v>
      </c>
    </row>
    <row r="195" spans="2:13" ht="14.25">
      <c r="B195" s="67"/>
      <c r="C195" s="67"/>
      <c r="D195" s="67"/>
      <c r="E195" s="67"/>
      <c r="F195" s="67"/>
      <c r="G195" s="67"/>
      <c r="H195" s="67"/>
      <c r="I195" s="67"/>
      <c r="J195" s="67"/>
      <c r="K195" s="47"/>
      <c r="L195" s="47"/>
      <c r="M195" s="67"/>
    </row>
    <row r="196" spans="2:13" ht="15">
      <c r="B196" s="874"/>
      <c r="C196" s="874"/>
      <c r="D196" s="874"/>
      <c r="E196" s="874"/>
      <c r="F196" s="874"/>
      <c r="G196" s="874"/>
      <c r="H196" s="874"/>
      <c r="I196" s="874"/>
      <c r="J196" s="874"/>
      <c r="K196" s="874"/>
      <c r="L196" s="874"/>
      <c r="M196" s="134" t="str">
        <f>$M$2</f>
        <v xml:space="preserve"> </v>
      </c>
    </row>
    <row r="197" spans="2:13" ht="15.75" thickBot="1">
      <c r="B197" s="404"/>
      <c r="C197" s="369"/>
      <c r="D197" s="369"/>
      <c r="E197" s="874"/>
      <c r="F197" s="874"/>
      <c r="G197" s="874"/>
      <c r="H197" s="874"/>
      <c r="I197" s="874"/>
      <c r="J197" s="874"/>
      <c r="K197" s="874"/>
      <c r="L197" s="874"/>
      <c r="M197" s="67"/>
    </row>
    <row r="198" spans="2:12" ht="15">
      <c r="B198" s="920" t="str">
        <f>$B$4</f>
        <v>2022 RATE CASE</v>
      </c>
      <c r="C198" s="926"/>
      <c r="D198" s="927"/>
      <c r="E198" s="874"/>
      <c r="F198" s="874"/>
      <c r="G198" s="874"/>
      <c r="H198" s="874"/>
      <c r="I198" s="874"/>
      <c r="J198" s="874"/>
      <c r="K198" s="874"/>
      <c r="L198" s="874"/>
    </row>
    <row r="199" spans="2:13" ht="15">
      <c r="B199" s="917" t="str">
        <f>$B$5</f>
        <v>ONCOR ELECTRIC DELIVERY COMPANY LLC</v>
      </c>
      <c r="C199" s="369"/>
      <c r="D199" s="928"/>
      <c r="E199" s="874"/>
      <c r="F199" s="874"/>
      <c r="G199" s="874"/>
      <c r="H199" s="874"/>
      <c r="I199" s="874"/>
      <c r="J199" s="874"/>
      <c r="K199" s="874"/>
      <c r="L199" s="874"/>
      <c r="M199" s="67"/>
    </row>
    <row r="200" spans="2:13" ht="15">
      <c r="B200" s="406" t="str">
        <f>$B$6</f>
        <v>CONSOLIDATED FUNCTIONALIZED COST OF SERVICE</v>
      </c>
      <c r="C200" s="369"/>
      <c r="D200" s="928"/>
      <c r="E200" s="874"/>
      <c r="F200" s="874"/>
      <c r="G200" s="874"/>
      <c r="H200" s="874"/>
      <c r="I200" s="874"/>
      <c r="J200" s="874"/>
      <c r="K200" s="874"/>
      <c r="L200" s="874"/>
      <c r="M200" s="67"/>
    </row>
    <row r="201" spans="2:13" ht="15">
      <c r="B201" s="406" t="str">
        <f>$B$7</f>
        <v>TEST YEAR ENDING 12/31/2021</v>
      </c>
      <c r="C201" s="369"/>
      <c r="D201" s="928"/>
      <c r="E201" s="369"/>
      <c r="F201" s="369"/>
      <c r="G201" s="369"/>
      <c r="H201" s="369"/>
      <c r="I201" s="369"/>
      <c r="J201" s="369"/>
      <c r="K201" s="369"/>
      <c r="L201" s="369"/>
      <c r="M201" s="67"/>
    </row>
    <row r="202" spans="2:13" ht="15">
      <c r="B202" s="406" t="str">
        <f>$B$8</f>
        <v>SPONSOR:  MATTHEW A. TROXLE</v>
      </c>
      <c r="C202" s="369"/>
      <c r="D202" s="928"/>
      <c r="E202" s="369"/>
      <c r="F202" s="369"/>
      <c r="G202" s="369"/>
      <c r="H202" s="369"/>
      <c r="I202" s="369"/>
      <c r="J202" s="369"/>
      <c r="K202" s="369"/>
      <c r="L202" s="369"/>
      <c r="M202" s="67"/>
    </row>
    <row r="203" spans="2:13" ht="15.75" thickBot="1">
      <c r="B203" s="960"/>
      <c r="C203" s="931"/>
      <c r="D203" s="932"/>
      <c r="E203" s="369"/>
      <c r="F203" s="369"/>
      <c r="G203" s="369"/>
      <c r="H203" s="369"/>
      <c r="I203" s="369"/>
      <c r="J203" s="369"/>
      <c r="K203" s="369"/>
      <c r="L203" s="369"/>
      <c r="M203" s="67"/>
    </row>
    <row r="204" spans="2:13" ht="14.25">
      <c r="B204" s="13"/>
      <c r="C204" s="14"/>
      <c r="D204" s="14"/>
      <c r="E204" s="14"/>
      <c r="F204" s="237" t="s">
        <v>6</v>
      </c>
      <c r="G204" s="13" t="s">
        <v>7</v>
      </c>
      <c r="H204" s="13" t="s">
        <v>8</v>
      </c>
      <c r="I204" s="239" t="s">
        <v>9</v>
      </c>
      <c r="J204" s="13" t="s">
        <v>10</v>
      </c>
      <c r="K204" s="17"/>
      <c r="L204" s="139" t="s">
        <v>966</v>
      </c>
      <c r="M204" s="67"/>
    </row>
    <row r="205" spans="2:13" ht="15">
      <c r="B205" s="15" t="s">
        <v>2</v>
      </c>
      <c r="C205" s="15" t="s">
        <v>370</v>
      </c>
      <c r="D205" s="287" t="s">
        <v>108</v>
      </c>
      <c r="E205" s="15" t="s">
        <v>371</v>
      </c>
      <c r="F205" s="242"/>
      <c r="G205" s="15"/>
      <c r="H205" s="15"/>
      <c r="I205" s="15"/>
      <c r="J205" s="15"/>
      <c r="K205" s="17"/>
      <c r="L205" s="97" t="s">
        <v>967</v>
      </c>
      <c r="M205" s="67"/>
    </row>
    <row r="206" spans="2:13" ht="14.25">
      <c r="B206" s="15"/>
      <c r="C206" s="15"/>
      <c r="D206" s="15"/>
      <c r="E206" s="15"/>
      <c r="F206" s="242"/>
      <c r="G206" s="15"/>
      <c r="H206" s="15"/>
      <c r="I206" s="15"/>
      <c r="J206" s="15"/>
      <c r="K206" s="17"/>
      <c r="L206" s="97"/>
      <c r="M206" s="67"/>
    </row>
    <row r="207" spans="2:13" ht="15" thickBot="1">
      <c r="B207" s="16"/>
      <c r="C207" s="16" t="s">
        <v>13</v>
      </c>
      <c r="D207" s="16" t="s">
        <v>14</v>
      </c>
      <c r="E207" s="16" t="s">
        <v>15</v>
      </c>
      <c r="F207" s="16" t="s">
        <v>16</v>
      </c>
      <c r="G207" s="16" t="s">
        <v>17</v>
      </c>
      <c r="H207" s="16" t="s">
        <v>18</v>
      </c>
      <c r="I207" s="16" t="s">
        <v>21</v>
      </c>
      <c r="J207" s="16" t="s">
        <v>22</v>
      </c>
      <c r="K207" s="17"/>
      <c r="L207" s="1125" t="s">
        <v>418</v>
      </c>
      <c r="M207" s="67"/>
    </row>
    <row r="208" spans="2:13" ht="14.25">
      <c r="B208" s="67"/>
      <c r="C208" s="100"/>
      <c r="D208" s="100"/>
      <c r="E208" s="315"/>
      <c r="F208" s="100"/>
      <c r="G208" s="100"/>
      <c r="H208" s="100"/>
      <c r="I208" s="1"/>
      <c r="J208" s="1"/>
      <c r="K208" s="1"/>
      <c r="L208" s="1"/>
      <c r="M208" s="67"/>
    </row>
    <row r="209" spans="2:14" s="386" customFormat="1" ht="16.5">
      <c r="B209" s="17">
        <f t="shared" si="19" ref="B209:B218">B208+1</f>
        <v>1</v>
      </c>
      <c r="C209" s="1" t="s">
        <v>107</v>
      </c>
      <c r="D209" s="1" t="s">
        <v>553</v>
      </c>
      <c r="E209" s="856" t="s">
        <v>109</v>
      </c>
      <c r="F209" s="1093">
        <f>'WP II-I-1.1'!F92</f>
        <v>81760693.299999997</v>
      </c>
      <c r="G209" s="1094">
        <f>'WP II-I-1.1'!G92</f>
        <v>61337953.159999996</v>
      </c>
      <c r="H209" s="1094">
        <f>'WP II-I-1.1'!H92</f>
        <v>45688861.039999999</v>
      </c>
      <c r="I209" s="1095">
        <f>'WP II-I-1.1'!I92</f>
        <v>1554894.4199999999</v>
      </c>
      <c r="J209" s="302">
        <f>SUM(F209:I209)</f>
        <v>190342401.91999996</v>
      </c>
      <c r="K209" s="302"/>
      <c r="L209" s="296">
        <f t="shared" si="18"/>
        <v>108581708.61999999</v>
      </c>
      <c r="M209" s="47"/>
      <c r="N209" s="839">
        <f t="shared" si="20" ref="N209:N210">J209-L209-F209</f>
        <v>0</v>
      </c>
    </row>
    <row r="210" spans="2:14" ht="15">
      <c r="B210" s="17">
        <f t="shared" si="19"/>
        <v>2</v>
      </c>
      <c r="C210" s="8"/>
      <c r="D210" s="297" t="s">
        <v>491</v>
      </c>
      <c r="E210" s="20"/>
      <c r="F210" s="22">
        <f>+F209</f>
        <v>81760693.299999997</v>
      </c>
      <c r="G210" s="22">
        <f>+G209</f>
        <v>61337953.159999996</v>
      </c>
      <c r="H210" s="22">
        <f>+H209</f>
        <v>45688861.039999999</v>
      </c>
      <c r="I210" s="22">
        <f>+I209</f>
        <v>1554894.4199999999</v>
      </c>
      <c r="J210" s="299">
        <f>SUM(F210:I210)</f>
        <v>190342401.91999996</v>
      </c>
      <c r="K210" s="300"/>
      <c r="L210" s="22">
        <f t="shared" si="18"/>
        <v>108581708.61999999</v>
      </c>
      <c r="M210" s="67"/>
      <c r="N210" s="839">
        <f t="shared" si="20"/>
        <v>0</v>
      </c>
    </row>
    <row r="211" spans="2:13" ht="15.75" thickBot="1">
      <c r="B211" s="17">
        <f t="shared" si="19"/>
        <v>3</v>
      </c>
      <c r="C211" s="1"/>
      <c r="D211" s="297"/>
      <c r="E211" s="17"/>
      <c r="F211" s="19"/>
      <c r="G211" s="19"/>
      <c r="H211" s="19"/>
      <c r="I211" s="19"/>
      <c r="J211" s="1"/>
      <c r="K211" s="1"/>
      <c r="L211" s="19"/>
      <c r="M211" s="67"/>
    </row>
    <row r="212" spans="2:14" ht="15.75" thickBot="1">
      <c r="B212" s="17">
        <f t="shared" si="19"/>
        <v>4</v>
      </c>
      <c r="C212" s="284" t="s">
        <v>554</v>
      </c>
      <c r="D212" s="285"/>
      <c r="E212" s="316"/>
      <c r="F212" s="317">
        <f>+F210</f>
        <v>81760693.299999997</v>
      </c>
      <c r="G212" s="317">
        <f>+G210</f>
        <v>61337953.159999996</v>
      </c>
      <c r="H212" s="317">
        <f>+H210</f>
        <v>45688861.039999999</v>
      </c>
      <c r="I212" s="317">
        <f>+I210</f>
        <v>1554894.4199999999</v>
      </c>
      <c r="J212" s="256">
        <f>SUM(F212:I212)</f>
        <v>190342401.91999996</v>
      </c>
      <c r="K212" s="252"/>
      <c r="L212" s="318">
        <f t="shared" si="18"/>
        <v>108581708.61999999</v>
      </c>
      <c r="M212" s="67"/>
      <c r="N212" s="839">
        <f t="shared" si="21" ref="N212">J212-L212-F212</f>
        <v>0</v>
      </c>
    </row>
    <row r="213" spans="2:13" ht="15" thickBot="1">
      <c r="B213" s="17">
        <f t="shared" si="19"/>
        <v>5</v>
      </c>
      <c r="C213" s="12"/>
      <c r="D213" s="12"/>
      <c r="E213" s="11"/>
      <c r="F213" s="12"/>
      <c r="G213" s="12"/>
      <c r="H213" s="12"/>
      <c r="I213" s="12"/>
      <c r="J213" s="12"/>
      <c r="K213" s="1"/>
      <c r="L213" s="1"/>
      <c r="M213" s="67"/>
    </row>
    <row r="214" spans="2:14" ht="15.75" thickBot="1">
      <c r="B214" s="17">
        <f t="shared" si="19"/>
        <v>6</v>
      </c>
      <c r="C214" s="284" t="s">
        <v>555</v>
      </c>
      <c r="D214" s="285"/>
      <c r="E214" s="316" t="s">
        <v>556</v>
      </c>
      <c r="F214" s="317">
        <f>+F194+F212</f>
        <v>314113801.11000001</v>
      </c>
      <c r="G214" s="317">
        <f>+G194+G212</f>
        <v>391469948.07000005</v>
      </c>
      <c r="H214" s="317">
        <f>+H194+H212</f>
        <v>150415482.64999998</v>
      </c>
      <c r="I214" s="317">
        <f>+I194+I212</f>
        <v>101655650.38</v>
      </c>
      <c r="J214" s="256">
        <f>SUM(F214:I214)</f>
        <v>957654882.21000004</v>
      </c>
      <c r="K214" s="252"/>
      <c r="L214" s="318">
        <f t="shared" si="18"/>
        <v>643541081.10000002</v>
      </c>
      <c r="M214" s="67"/>
      <c r="N214" s="839">
        <f t="shared" si="22" ref="N214">J214-L214-F214</f>
        <v>0</v>
      </c>
    </row>
    <row r="215" spans="2:13" ht="15" thickBot="1">
      <c r="B215" s="17">
        <f t="shared" si="19"/>
        <v>7</v>
      </c>
      <c r="C215" s="12"/>
      <c r="D215" s="12"/>
      <c r="E215" s="11"/>
      <c r="F215" s="12"/>
      <c r="G215" s="12"/>
      <c r="H215" s="12"/>
      <c r="I215" s="12"/>
      <c r="J215" s="12"/>
      <c r="K215" s="1"/>
      <c r="L215" s="1"/>
      <c r="M215" s="67"/>
    </row>
    <row r="216" spans="2:14" ht="15.75" thickBot="1">
      <c r="B216" s="17">
        <f t="shared" si="19"/>
        <v>8</v>
      </c>
      <c r="C216" s="284" t="s">
        <v>557</v>
      </c>
      <c r="D216" s="285"/>
      <c r="E216" s="316" t="s">
        <v>558</v>
      </c>
      <c r="F216" s="255">
        <f>+F214+F162</f>
        <v>13903329290.029999</v>
      </c>
      <c r="G216" s="255">
        <f>+G214+G162</f>
        <v>15715483704.599999</v>
      </c>
      <c r="H216" s="255">
        <f>+H214+H162</f>
        <v>909864678.68000007</v>
      </c>
      <c r="I216" s="255">
        <f>+I214+I162</f>
        <v>412064825.12</v>
      </c>
      <c r="J216" s="256">
        <f>SUM(F216:I216)</f>
        <v>30940742498.429996</v>
      </c>
      <c r="K216" s="252"/>
      <c r="L216" s="257">
        <f t="shared" si="18"/>
        <v>17037413208.4</v>
      </c>
      <c r="M216" s="67"/>
      <c r="N216" s="839">
        <f t="shared" si="23" ref="N216">J216-L216-F216</f>
        <v>0</v>
      </c>
    </row>
    <row r="217" spans="2:13" ht="15.75" thickBot="1">
      <c r="B217" s="17">
        <f t="shared" si="19"/>
        <v>9</v>
      </c>
      <c r="C217" s="8"/>
      <c r="D217" s="1"/>
      <c r="E217" s="17"/>
      <c r="F217" s="1"/>
      <c r="G217" s="1"/>
      <c r="H217" s="1"/>
      <c r="I217" s="1"/>
      <c r="J217" s="1"/>
      <c r="K217" s="1"/>
      <c r="L217" s="1"/>
      <c r="M217" s="67"/>
    </row>
    <row r="218" spans="2:14" ht="15.75" thickBot="1">
      <c r="B218" s="17">
        <f t="shared" si="19"/>
        <v>10</v>
      </c>
      <c r="C218" s="284" t="s">
        <v>559</v>
      </c>
      <c r="D218" s="285"/>
      <c r="E218" s="316" t="s">
        <v>558</v>
      </c>
      <c r="F218" s="255">
        <f>+F214+F163</f>
        <v>13656023269.48</v>
      </c>
      <c r="G218" s="255">
        <f>+G214+G163</f>
        <v>15392150331.779999</v>
      </c>
      <c r="H218" s="255">
        <f>+H214+H163</f>
        <v>724562965.72000003</v>
      </c>
      <c r="I218" s="255">
        <f>+I214+I163</f>
        <v>101655650.38</v>
      </c>
      <c r="J218" s="256">
        <f>SUM(F218:I218)</f>
        <v>29874392217.360001</v>
      </c>
      <c r="K218" s="252"/>
      <c r="L218" s="257">
        <f t="shared" si="18"/>
        <v>16218368947.879997</v>
      </c>
      <c r="M218" s="67"/>
      <c r="N218" s="839">
        <f t="shared" si="24" ref="N218">J218-L218-F218</f>
        <v>0</v>
      </c>
    </row>
    <row r="219" spans="2:13" ht="14.25">
      <c r="B219" s="67"/>
      <c r="C219" s="67"/>
      <c r="D219" s="67"/>
      <c r="E219" s="67"/>
      <c r="F219" s="67"/>
      <c r="G219" s="67"/>
      <c r="H219" s="67"/>
      <c r="I219" s="67"/>
      <c r="J219" s="67"/>
      <c r="K219" s="47"/>
      <c r="L219" s="47"/>
      <c r="M219" s="67"/>
    </row>
    <row r="220" spans="2:13" ht="15">
      <c r="B220" s="874"/>
      <c r="C220" s="874"/>
      <c r="D220" s="874"/>
      <c r="E220" s="874"/>
      <c r="F220" s="874"/>
      <c r="G220" s="874"/>
      <c r="H220" s="874"/>
      <c r="I220" s="874"/>
      <c r="J220" s="874"/>
      <c r="K220" s="874"/>
      <c r="L220" s="874"/>
      <c r="M220" s="134" t="str">
        <f>$M$2</f>
        <v xml:space="preserve"> </v>
      </c>
    </row>
    <row r="221" spans="3:13" ht="15.75" thickBot="1">
      <c r="C221" s="874"/>
      <c r="D221" s="874"/>
      <c r="E221" s="874"/>
      <c r="F221" s="874"/>
      <c r="G221" s="874"/>
      <c r="H221" s="874"/>
      <c r="I221" s="874"/>
      <c r="J221" s="874"/>
      <c r="K221" s="874"/>
      <c r="L221" s="874"/>
      <c r="M221" s="67"/>
    </row>
    <row r="222" spans="2:12" ht="15">
      <c r="B222" s="920" t="str">
        <f>$B$4</f>
        <v>2022 RATE CASE</v>
      </c>
      <c r="C222" s="926"/>
      <c r="D222" s="927"/>
      <c r="E222" s="874"/>
      <c r="F222" s="874"/>
      <c r="G222" s="874"/>
      <c r="H222" s="874"/>
      <c r="I222" s="874"/>
      <c r="J222" s="874"/>
      <c r="K222" s="874"/>
      <c r="L222" s="874"/>
    </row>
    <row r="223" spans="2:13" ht="15">
      <c r="B223" s="917" t="str">
        <f>$B$5</f>
        <v>ONCOR ELECTRIC DELIVERY COMPANY LLC</v>
      </c>
      <c r="C223" s="369"/>
      <c r="D223" s="928"/>
      <c r="E223" s="874"/>
      <c r="F223" s="874"/>
      <c r="G223" s="874"/>
      <c r="H223" s="874"/>
      <c r="I223" s="874"/>
      <c r="J223" s="874"/>
      <c r="K223" s="874"/>
      <c r="L223" s="874"/>
      <c r="M223" s="67"/>
    </row>
    <row r="224" spans="2:13" ht="15">
      <c r="B224" s="406" t="str">
        <f>$B$6</f>
        <v>CONSOLIDATED FUNCTIONALIZED COST OF SERVICE</v>
      </c>
      <c r="C224" s="369"/>
      <c r="D224" s="928"/>
      <c r="E224" s="874"/>
      <c r="F224" s="874"/>
      <c r="G224" s="874"/>
      <c r="H224" s="874"/>
      <c r="I224" s="874"/>
      <c r="J224" s="874"/>
      <c r="K224" s="874"/>
      <c r="L224" s="874"/>
      <c r="M224" s="67"/>
    </row>
    <row r="225" spans="2:13" ht="15">
      <c r="B225" s="406" t="str">
        <f>$B$7</f>
        <v>TEST YEAR ENDING 12/31/2021</v>
      </c>
      <c r="C225" s="369"/>
      <c r="D225" s="928"/>
      <c r="E225" s="369"/>
      <c r="F225" s="369"/>
      <c r="G225" s="369"/>
      <c r="H225" s="369"/>
      <c r="I225" s="369"/>
      <c r="J225" s="369"/>
      <c r="K225" s="369"/>
      <c r="L225" s="369"/>
      <c r="M225" s="67"/>
    </row>
    <row r="226" spans="2:13" ht="15">
      <c r="B226" s="406" t="str">
        <f>$B$8</f>
        <v>SPONSOR:  MATTHEW A. TROXLE</v>
      </c>
      <c r="C226" s="369"/>
      <c r="D226" s="928"/>
      <c r="E226" s="369"/>
      <c r="F226" s="369"/>
      <c r="G226" s="369"/>
      <c r="H226" s="369"/>
      <c r="I226" s="369"/>
      <c r="J226" s="369"/>
      <c r="K226" s="369"/>
      <c r="L226" s="369"/>
      <c r="M226" s="67"/>
    </row>
    <row r="227" spans="2:13" ht="15.75" thickBot="1">
      <c r="B227" s="410"/>
      <c r="C227" s="931"/>
      <c r="D227" s="932"/>
      <c r="E227" s="369"/>
      <c r="F227" s="369"/>
      <c r="G227" s="369"/>
      <c r="H227" s="369"/>
      <c r="I227" s="369"/>
      <c r="J227" s="369"/>
      <c r="K227" s="369"/>
      <c r="L227" s="369"/>
      <c r="M227" s="67"/>
    </row>
    <row r="228" spans="2:13" ht="14.25">
      <c r="B228" s="13"/>
      <c r="C228" s="14"/>
      <c r="D228" s="14"/>
      <c r="E228" s="14"/>
      <c r="F228" s="237" t="s">
        <v>6</v>
      </c>
      <c r="G228" s="13" t="s">
        <v>7</v>
      </c>
      <c r="H228" s="13" t="s">
        <v>8</v>
      </c>
      <c r="I228" s="239" t="s">
        <v>9</v>
      </c>
      <c r="J228" s="13" t="s">
        <v>10</v>
      </c>
      <c r="K228" s="17"/>
      <c r="L228" s="139" t="s">
        <v>966</v>
      </c>
      <c r="M228" s="67"/>
    </row>
    <row r="229" spans="2:13" ht="15">
      <c r="B229" s="15" t="s">
        <v>2</v>
      </c>
      <c r="C229" s="15" t="s">
        <v>370</v>
      </c>
      <c r="D229" s="287" t="s">
        <v>560</v>
      </c>
      <c r="E229" s="15" t="s">
        <v>371</v>
      </c>
      <c r="F229" s="242"/>
      <c r="G229" s="15"/>
      <c r="H229" s="15"/>
      <c r="I229" s="15"/>
      <c r="J229" s="15"/>
      <c r="K229" s="17"/>
      <c r="L229" s="97" t="s">
        <v>967</v>
      </c>
      <c r="M229" s="67"/>
    </row>
    <row r="230" spans="2:13" ht="14.25">
      <c r="B230" s="15"/>
      <c r="C230" s="15"/>
      <c r="D230" s="15"/>
      <c r="E230" s="15"/>
      <c r="F230" s="242"/>
      <c r="G230" s="15"/>
      <c r="H230" s="15"/>
      <c r="I230" s="15"/>
      <c r="J230" s="15"/>
      <c r="K230" s="17"/>
      <c r="L230" s="97"/>
      <c r="M230" s="67"/>
    </row>
    <row r="231" spans="2:13" ht="15" thickBot="1">
      <c r="B231" s="16"/>
      <c r="C231" s="16" t="s">
        <v>13</v>
      </c>
      <c r="D231" s="16" t="s">
        <v>14</v>
      </c>
      <c r="E231" s="16" t="s">
        <v>15</v>
      </c>
      <c r="F231" s="16" t="s">
        <v>16</v>
      </c>
      <c r="G231" s="16" t="s">
        <v>17</v>
      </c>
      <c r="H231" s="16" t="s">
        <v>18</v>
      </c>
      <c r="I231" s="16" t="s">
        <v>21</v>
      </c>
      <c r="J231" s="16" t="s">
        <v>22</v>
      </c>
      <c r="K231" s="17"/>
      <c r="L231" s="1125" t="s">
        <v>418</v>
      </c>
      <c r="M231" s="67"/>
    </row>
    <row r="232" spans="2:13" ht="14.25">
      <c r="B232" s="67"/>
      <c r="C232" s="100"/>
      <c r="D232" s="100"/>
      <c r="E232" s="315"/>
      <c r="F232" s="100"/>
      <c r="G232" s="100"/>
      <c r="H232" s="100"/>
      <c r="I232" s="1"/>
      <c r="J232" s="1"/>
      <c r="K232" s="1"/>
      <c r="L232" s="1"/>
      <c r="M232" s="67"/>
    </row>
    <row r="233" spans="2:13" ht="15">
      <c r="B233" s="17">
        <f>B232+1</f>
        <v>1</v>
      </c>
      <c r="C233" s="8"/>
      <c r="D233" s="8" t="s">
        <v>560</v>
      </c>
      <c r="E233" s="20"/>
      <c r="F233" s="8"/>
      <c r="G233" s="8"/>
      <c r="H233" s="24"/>
      <c r="I233" s="8"/>
      <c r="J233" s="8"/>
      <c r="K233" s="8"/>
      <c r="L233" s="8"/>
      <c r="M233" s="67"/>
    </row>
    <row r="234" spans="2:14" s="386" customFormat="1" ht="16.5">
      <c r="B234" s="17">
        <f>B233+1</f>
        <v>2</v>
      </c>
      <c r="C234" s="1" t="s">
        <v>561</v>
      </c>
      <c r="D234" s="1" t="s">
        <v>116</v>
      </c>
      <c r="E234" s="17"/>
      <c r="F234" s="1154">
        <f>'WP II-I-1.1'!F111</f>
        <v>0</v>
      </c>
      <c r="G234" s="1155">
        <f>'WP II-I-1.1'!G111</f>
        <v>0</v>
      </c>
      <c r="H234" s="1155">
        <f>'WP II-I-1.1'!H111</f>
        <v>0</v>
      </c>
      <c r="I234" s="1156">
        <f>'WP II-I-1.1'!I111</f>
        <v>0</v>
      </c>
      <c r="J234" s="302">
        <f>SUM(F234:I234)</f>
        <v>0</v>
      </c>
      <c r="K234" s="302"/>
      <c r="L234" s="296">
        <f t="shared" si="18"/>
        <v>0</v>
      </c>
      <c r="M234" s="47"/>
      <c r="N234" s="839">
        <f t="shared" si="25" ref="N234:N235">J234-L234-F234</f>
        <v>0</v>
      </c>
    </row>
    <row r="235" spans="2:14" ht="15">
      <c r="B235" s="17">
        <f>B234+1</f>
        <v>3</v>
      </c>
      <c r="C235" s="1"/>
      <c r="D235" s="297" t="s">
        <v>491</v>
      </c>
      <c r="E235" s="20"/>
      <c r="F235" s="896">
        <f>+F234</f>
        <v>0</v>
      </c>
      <c r="G235" s="896">
        <f>+G234</f>
        <v>0</v>
      </c>
      <c r="H235" s="896">
        <f>+H234</f>
        <v>0</v>
      </c>
      <c r="I235" s="896">
        <f>+I234</f>
        <v>0</v>
      </c>
      <c r="J235" s="300">
        <f>SUM(F235:I235)</f>
        <v>0</v>
      </c>
      <c r="K235" s="300"/>
      <c r="L235" s="896">
        <f t="shared" si="18"/>
        <v>0</v>
      </c>
      <c r="M235" s="67"/>
      <c r="N235" s="839">
        <f t="shared" si="25"/>
        <v>0</v>
      </c>
    </row>
    <row r="236" spans="2:13" ht="15.75" thickBot="1">
      <c r="B236" s="17">
        <f>B235+1</f>
        <v>4</v>
      </c>
      <c r="C236" s="1"/>
      <c r="D236" s="1"/>
      <c r="E236" s="20"/>
      <c r="F236" s="19"/>
      <c r="G236" s="19"/>
      <c r="H236" s="19"/>
      <c r="I236" s="19"/>
      <c r="J236" s="8"/>
      <c r="K236" s="8"/>
      <c r="L236" s="19"/>
      <c r="M236" s="67"/>
    </row>
    <row r="237" spans="2:14" ht="15.75" thickBot="1">
      <c r="B237" s="17">
        <f>B236+1</f>
        <v>5</v>
      </c>
      <c r="C237" s="284" t="s">
        <v>562</v>
      </c>
      <c r="D237" s="285"/>
      <c r="E237" s="316" t="s">
        <v>117</v>
      </c>
      <c r="F237" s="1179">
        <f>F235</f>
        <v>0</v>
      </c>
      <c r="G237" s="1179">
        <f t="shared" si="26" ref="G237:J237">G235</f>
        <v>0</v>
      </c>
      <c r="H237" s="1179">
        <f t="shared" si="26"/>
        <v>0</v>
      </c>
      <c r="I237" s="1179">
        <f t="shared" si="26"/>
        <v>0</v>
      </c>
      <c r="J237" s="1179">
        <f t="shared" si="26"/>
        <v>0</v>
      </c>
      <c r="K237" s="252"/>
      <c r="L237" s="257">
        <f t="shared" si="18"/>
        <v>0</v>
      </c>
      <c r="M237" s="67"/>
      <c r="N237" s="839">
        <f t="shared" si="27" ref="N237">J237-L237-F237</f>
        <v>0</v>
      </c>
    </row>
    <row r="238" spans="2:13" ht="15.75" thickBot="1">
      <c r="B238" s="874"/>
      <c r="C238" s="874"/>
      <c r="D238" s="874"/>
      <c r="E238" s="874"/>
      <c r="F238" s="874"/>
      <c r="G238" s="874"/>
      <c r="H238" s="874"/>
      <c r="I238" s="874"/>
      <c r="J238" s="874"/>
      <c r="K238" s="874"/>
      <c r="L238" s="874"/>
      <c r="M238" s="67"/>
    </row>
    <row r="239" spans="2:13" ht="15">
      <c r="B239" s="920" t="str">
        <f>$B$4</f>
        <v>2022 RATE CASE</v>
      </c>
      <c r="C239" s="926"/>
      <c r="D239" s="927"/>
      <c r="E239" s="874"/>
      <c r="F239" s="874"/>
      <c r="G239" s="874"/>
      <c r="H239" s="874"/>
      <c r="I239" s="874"/>
      <c r="J239" s="874"/>
      <c r="K239" s="874"/>
      <c r="L239" s="874"/>
      <c r="M239" s="134" t="str">
        <f>$M$2</f>
        <v xml:space="preserve"> </v>
      </c>
    </row>
    <row r="240" spans="2:13" ht="15">
      <c r="B240" s="917" t="str">
        <f>$B$5</f>
        <v>ONCOR ELECTRIC DELIVERY COMPANY LLC</v>
      </c>
      <c r="C240" s="369"/>
      <c r="D240" s="928"/>
      <c r="E240" s="874"/>
      <c r="F240" s="874"/>
      <c r="G240" s="874"/>
      <c r="H240" s="874"/>
      <c r="I240" s="874"/>
      <c r="J240" s="874"/>
      <c r="K240" s="874"/>
      <c r="L240" s="874"/>
      <c r="M240" s="67"/>
    </row>
    <row r="241" spans="2:13" ht="15">
      <c r="B241" s="406" t="str">
        <f>$B$6</f>
        <v>CONSOLIDATED FUNCTIONALIZED COST OF SERVICE</v>
      </c>
      <c r="C241" s="369"/>
      <c r="D241" s="928"/>
      <c r="E241" s="874"/>
      <c r="F241" s="874"/>
      <c r="G241" s="874"/>
      <c r="H241" s="874"/>
      <c r="I241" s="874"/>
      <c r="J241" s="874"/>
      <c r="K241" s="874"/>
      <c r="L241" s="874"/>
      <c r="M241" s="67"/>
    </row>
    <row r="242" spans="2:13" ht="15">
      <c r="B242" s="406" t="str">
        <f>$B$7</f>
        <v>TEST YEAR ENDING 12/31/2021</v>
      </c>
      <c r="C242" s="369"/>
      <c r="D242" s="928"/>
      <c r="E242" s="874"/>
      <c r="F242" s="874"/>
      <c r="G242" s="874"/>
      <c r="H242" s="874"/>
      <c r="I242" s="874"/>
      <c r="J242" s="874"/>
      <c r="K242" s="874"/>
      <c r="L242" s="874"/>
      <c r="M242" s="67"/>
    </row>
    <row r="243" spans="2:13" ht="15.75">
      <c r="B243" s="406" t="str">
        <f>$B$8</f>
        <v>SPONSOR:  MATTHEW A. TROXLE</v>
      </c>
      <c r="C243" s="840"/>
      <c r="D243" s="921"/>
      <c r="E243" s="67"/>
      <c r="F243" s="67"/>
      <c r="G243" s="67"/>
      <c r="H243" s="67"/>
      <c r="I243" s="67"/>
      <c r="J243" s="67"/>
      <c r="K243" s="67"/>
      <c r="L243" s="67"/>
      <c r="M243" s="67"/>
    </row>
    <row r="244" spans="2:14" ht="15.75" thickBot="1">
      <c r="B244" s="410"/>
      <c r="C244" s="931"/>
      <c r="D244" s="932"/>
      <c r="E244" s="369"/>
      <c r="F244" s="369"/>
      <c r="G244" s="369"/>
      <c r="H244" s="369"/>
      <c r="I244" s="369"/>
      <c r="J244" s="369"/>
      <c r="K244" s="369"/>
      <c r="L244" s="369"/>
      <c r="M244" s="67"/>
      <c r="N244" s="129"/>
    </row>
    <row r="245" spans="2:14" ht="14.25">
      <c r="B245" s="13"/>
      <c r="C245" s="14"/>
      <c r="D245" s="14"/>
      <c r="E245" s="14"/>
      <c r="F245" s="237" t="s">
        <v>6</v>
      </c>
      <c r="G245" s="13" t="s">
        <v>7</v>
      </c>
      <c r="H245" s="13" t="s">
        <v>8</v>
      </c>
      <c r="I245" s="239" t="s">
        <v>9</v>
      </c>
      <c r="J245" s="13" t="s">
        <v>10</v>
      </c>
      <c r="K245" s="17"/>
      <c r="L245" s="139" t="s">
        <v>966</v>
      </c>
      <c r="M245" s="67"/>
      <c r="N245" s="129"/>
    </row>
    <row r="246" spans="2:14" ht="15">
      <c r="B246" s="15" t="s">
        <v>2</v>
      </c>
      <c r="C246" s="15" t="s">
        <v>370</v>
      </c>
      <c r="D246" s="287" t="s">
        <v>563</v>
      </c>
      <c r="E246" s="15" t="s">
        <v>371</v>
      </c>
      <c r="F246" s="242"/>
      <c r="G246" s="15"/>
      <c r="H246" s="15"/>
      <c r="I246" s="15"/>
      <c r="J246" s="15"/>
      <c r="K246" s="17"/>
      <c r="L246" s="97" t="s">
        <v>967</v>
      </c>
      <c r="M246" s="67"/>
      <c r="N246" s="129"/>
    </row>
    <row r="247" spans="2:14" ht="14.25">
      <c r="B247" s="15"/>
      <c r="C247" s="15"/>
      <c r="D247" s="15"/>
      <c r="E247" s="15"/>
      <c r="F247" s="242"/>
      <c r="G247" s="15"/>
      <c r="H247" s="15"/>
      <c r="I247" s="15"/>
      <c r="J247" s="15"/>
      <c r="K247" s="17"/>
      <c r="L247" s="97"/>
      <c r="M247" s="67"/>
      <c r="N247" s="129"/>
    </row>
    <row r="248" spans="2:14" ht="15" thickBot="1">
      <c r="B248" s="16"/>
      <c r="C248" s="16" t="s">
        <v>13</v>
      </c>
      <c r="D248" s="16" t="s">
        <v>14</v>
      </c>
      <c r="E248" s="16" t="s">
        <v>15</v>
      </c>
      <c r="F248" s="16" t="s">
        <v>16</v>
      </c>
      <c r="G248" s="16" t="s">
        <v>17</v>
      </c>
      <c r="H248" s="16" t="s">
        <v>18</v>
      </c>
      <c r="I248" s="16" t="s">
        <v>21</v>
      </c>
      <c r="J248" s="16" t="s">
        <v>22</v>
      </c>
      <c r="K248" s="17"/>
      <c r="L248" s="1125" t="s">
        <v>418</v>
      </c>
      <c r="M248" s="67"/>
      <c r="N248" s="129"/>
    </row>
    <row r="249" spans="2:14" ht="14.25">
      <c r="B249" s="67"/>
      <c r="C249" s="67"/>
      <c r="D249" s="100"/>
      <c r="E249" s="100"/>
      <c r="F249" s="288"/>
      <c r="G249" s="288"/>
      <c r="H249" s="289"/>
      <c r="I249" s="289"/>
      <c r="J249" s="100"/>
      <c r="K249" s="1"/>
      <c r="L249" s="289"/>
      <c r="M249" s="67"/>
      <c r="N249" s="129"/>
    </row>
    <row r="250" spans="2:14" ht="15">
      <c r="B250" s="17">
        <f t="shared" si="28" ref="B250:B266">B249+1</f>
        <v>1</v>
      </c>
      <c r="C250" s="8" t="s">
        <v>564</v>
      </c>
      <c r="D250" s="8"/>
      <c r="E250" s="20" t="s">
        <v>24</v>
      </c>
      <c r="F250" s="21"/>
      <c r="G250" s="22"/>
      <c r="H250" s="22"/>
      <c r="I250" s="8"/>
      <c r="J250" s="8"/>
      <c r="K250" s="8"/>
      <c r="L250" s="8"/>
      <c r="M250" s="67"/>
      <c r="N250" s="129"/>
    </row>
    <row r="251" spans="2:14" s="386" customFormat="1" ht="14.25">
      <c r="B251" s="17">
        <f t="shared" si="28"/>
        <v>2</v>
      </c>
      <c r="C251" s="1" t="s">
        <v>25</v>
      </c>
      <c r="D251" s="1" t="s">
        <v>26</v>
      </c>
      <c r="E251" s="17"/>
      <c r="F251" s="1149">
        <f>'WP II-I-1.1'!F22</f>
        <v>0</v>
      </c>
      <c r="G251" s="1150">
        <f>'WP II-I-1.1'!G22</f>
        <v>0</v>
      </c>
      <c r="H251" s="1150">
        <f>'WP II-I-1.1'!H22</f>
        <v>0</v>
      </c>
      <c r="I251" s="1151">
        <f>'WP II-I-1.1'!I22</f>
        <v>0</v>
      </c>
      <c r="J251" s="290">
        <f>SUM(F251:I251)</f>
        <v>0</v>
      </c>
      <c r="K251" s="290"/>
      <c r="L251" s="18">
        <f t="shared" si="29" ref="L251:L308">SUM(G251:I251)</f>
        <v>0</v>
      </c>
      <c r="M251" s="47"/>
      <c r="N251" s="839">
        <f t="shared" si="30" ref="N251:N266">J251-L251-F251</f>
        <v>0</v>
      </c>
    </row>
    <row r="252" spans="2:14" s="386" customFormat="1" ht="14.25">
      <c r="B252" s="17">
        <f t="shared" si="28"/>
        <v>3</v>
      </c>
      <c r="C252" s="1" t="s">
        <v>27</v>
      </c>
      <c r="D252" s="1" t="s">
        <v>28</v>
      </c>
      <c r="E252" s="17"/>
      <c r="F252" s="1152">
        <f>'WP II-I-1.1'!F23</f>
        <v>0</v>
      </c>
      <c r="G252" s="291">
        <f>'WP II-I-1.1'!G23</f>
        <v>0</v>
      </c>
      <c r="H252" s="291">
        <f>'WP II-I-1.1'!H23</f>
        <v>0</v>
      </c>
      <c r="I252" s="1153">
        <f>'WP II-I-1.1'!I23</f>
        <v>0</v>
      </c>
      <c r="J252" s="290">
        <f>SUM(F252:I252)</f>
        <v>0</v>
      </c>
      <c r="K252" s="290"/>
      <c r="L252" s="18">
        <f t="shared" si="29"/>
        <v>0</v>
      </c>
      <c r="M252" s="47"/>
      <c r="N252" s="839">
        <f t="shared" si="30"/>
        <v>0</v>
      </c>
    </row>
    <row r="253" spans="2:14" s="386" customFormat="1" ht="16.5">
      <c r="B253" s="17">
        <f t="shared" si="28"/>
        <v>4</v>
      </c>
      <c r="C253" s="1" t="s">
        <v>29</v>
      </c>
      <c r="D253" s="1" t="s">
        <v>34</v>
      </c>
      <c r="E253" s="17"/>
      <c r="F253" s="1083">
        <f>'WP II-I-1.1'!F24</f>
        <v>99337445.870000005</v>
      </c>
      <c r="G253" s="1084">
        <f>'WP II-I-1.1'!G24</f>
        <v>114122847.83</v>
      </c>
      <c r="H253" s="1084">
        <f>'WP II-I-1.1'!H24</f>
        <v>155161422.72999999</v>
      </c>
      <c r="I253" s="1085">
        <f>'WP II-I-1.1'!I24</f>
        <v>84146159.569999993</v>
      </c>
      <c r="J253" s="302">
        <f>SUM(F253:I253)</f>
        <v>452767875.99999994</v>
      </c>
      <c r="K253" s="302"/>
      <c r="L253" s="296">
        <f t="shared" si="29"/>
        <v>353430430.13</v>
      </c>
      <c r="M253" s="47"/>
      <c r="N253" s="839">
        <f t="shared" si="30"/>
        <v>0</v>
      </c>
    </row>
    <row r="254" spans="2:14" ht="15">
      <c r="B254" s="17">
        <f t="shared" si="28"/>
        <v>5</v>
      </c>
      <c r="C254" s="8"/>
      <c r="D254" s="297" t="s">
        <v>491</v>
      </c>
      <c r="E254" s="20"/>
      <c r="F254" s="907">
        <f>SUM(F251:F253)</f>
        <v>99337445.870000005</v>
      </c>
      <c r="G254" s="907">
        <f>SUM(G251:G253)</f>
        <v>114122847.83</v>
      </c>
      <c r="H254" s="907">
        <f>SUM(H251:H253)</f>
        <v>155161422.72999999</v>
      </c>
      <c r="I254" s="907">
        <f>SUM(I251:I253)</f>
        <v>84146159.569999993</v>
      </c>
      <c r="J254" s="300">
        <f>SUM(F254:I254)</f>
        <v>452767875.99999994</v>
      </c>
      <c r="K254" s="300"/>
      <c r="L254" s="298">
        <f t="shared" si="29"/>
        <v>353430430.13</v>
      </c>
      <c r="M254" s="67"/>
      <c r="N254" s="839">
        <f t="shared" si="30"/>
        <v>0</v>
      </c>
    </row>
    <row r="255" spans="2:14" ht="15">
      <c r="B255" s="17">
        <f t="shared" si="28"/>
        <v>6</v>
      </c>
      <c r="C255" s="8" t="s">
        <v>573</v>
      </c>
      <c r="D255" s="8"/>
      <c r="E255" s="20" t="s">
        <v>24</v>
      </c>
      <c r="F255" s="896"/>
      <c r="G255" s="896"/>
      <c r="H255" s="896"/>
      <c r="I255" s="896"/>
      <c r="J255" s="8"/>
      <c r="K255" s="8"/>
      <c r="L255" s="22"/>
      <c r="M255" s="67"/>
      <c r="N255" s="839"/>
    </row>
    <row r="256" spans="2:14" s="386" customFormat="1" ht="15">
      <c r="B256" s="17">
        <f t="shared" si="28"/>
        <v>7</v>
      </c>
      <c r="C256" s="1" t="s">
        <v>39</v>
      </c>
      <c r="D256" s="1" t="s">
        <v>40</v>
      </c>
      <c r="E256" s="856"/>
      <c r="F256" s="1087">
        <f>'WP II-I-1.1'!F37</f>
        <v>0</v>
      </c>
      <c r="G256" s="1088">
        <f>'WP II-I-1.1'!G37</f>
        <v>0</v>
      </c>
      <c r="H256" s="1089">
        <f>'WP II-I-1.1'!H37</f>
        <v>0</v>
      </c>
      <c r="I256" s="1090">
        <f>'WP II-I-1.1'!I37</f>
        <v>0</v>
      </c>
      <c r="J256" s="290">
        <f t="shared" si="31" ref="J256:J266">SUM(F256:I256)</f>
        <v>0</v>
      </c>
      <c r="K256" s="290"/>
      <c r="L256" s="18">
        <f t="shared" si="29"/>
        <v>0</v>
      </c>
      <c r="M256" s="47"/>
      <c r="N256" s="839">
        <f t="shared" si="30"/>
        <v>0</v>
      </c>
    </row>
    <row r="257" spans="2:14" s="386" customFormat="1" ht="14.25">
      <c r="B257" s="17">
        <f t="shared" si="28"/>
        <v>8</v>
      </c>
      <c r="C257" s="1" t="s">
        <v>41</v>
      </c>
      <c r="D257" s="1" t="s">
        <v>42</v>
      </c>
      <c r="E257" s="17"/>
      <c r="F257" s="1081">
        <f>'WP II-I-1.1'!F38</f>
        <v>106785501.30000001</v>
      </c>
      <c r="G257" s="1091">
        <f>'WP II-I-1.1'!G38</f>
        <v>0</v>
      </c>
      <c r="H257" s="893">
        <f>'WP II-I-1.1'!H38</f>
        <v>0</v>
      </c>
      <c r="I257" s="1082">
        <f>'WP II-I-1.1'!I38</f>
        <v>0</v>
      </c>
      <c r="J257" s="290">
        <f t="shared" si="31"/>
        <v>106785501.30000001</v>
      </c>
      <c r="K257" s="290"/>
      <c r="L257" s="18">
        <f t="shared" si="29"/>
        <v>0</v>
      </c>
      <c r="M257" s="47"/>
      <c r="N257" s="839">
        <f t="shared" si="30"/>
        <v>0</v>
      </c>
    </row>
    <row r="258" spans="2:14" s="386" customFormat="1" ht="14.25">
      <c r="B258" s="17">
        <f t="shared" si="28"/>
        <v>9</v>
      </c>
      <c r="C258" s="1" t="s">
        <v>43</v>
      </c>
      <c r="D258" s="1" t="s">
        <v>44</v>
      </c>
      <c r="E258" s="17"/>
      <c r="F258" s="1081">
        <f>'WP II-I-1.1'!F39</f>
        <v>128057112.69000001</v>
      </c>
      <c r="G258" s="1091">
        <f>'WP II-I-1.1'!G39</f>
        <v>0</v>
      </c>
      <c r="H258" s="893">
        <f>'WP II-I-1.1'!H39</f>
        <v>0</v>
      </c>
      <c r="I258" s="1082">
        <f>'WP II-I-1.1'!I39</f>
        <v>0</v>
      </c>
      <c r="J258" s="290">
        <f t="shared" si="31"/>
        <v>128057112.69000001</v>
      </c>
      <c r="K258" s="290"/>
      <c r="L258" s="18">
        <f t="shared" si="29"/>
        <v>0</v>
      </c>
      <c r="M258" s="47"/>
      <c r="N258" s="839">
        <f t="shared" si="30"/>
        <v>0</v>
      </c>
    </row>
    <row r="259" spans="2:14" s="386" customFormat="1" ht="14.25">
      <c r="B259" s="17">
        <f t="shared" si="28"/>
        <v>10</v>
      </c>
      <c r="C259" s="1" t="s">
        <v>45</v>
      </c>
      <c r="D259" s="1" t="s">
        <v>46</v>
      </c>
      <c r="E259" s="17"/>
      <c r="F259" s="1081">
        <f>'WP II-I-1.1'!F40</f>
        <v>693046475.36999989</v>
      </c>
      <c r="G259" s="1091">
        <f>'WP II-I-1.1'!G40</f>
        <v>97170477.010000005</v>
      </c>
      <c r="H259" s="893">
        <f>'WP II-I-1.1'!H40</f>
        <v>0</v>
      </c>
      <c r="I259" s="1082">
        <f>'WP II-I-1.1'!I40</f>
        <v>0</v>
      </c>
      <c r="J259" s="290">
        <f t="shared" si="31"/>
        <v>790216952.37999988</v>
      </c>
      <c r="K259" s="290"/>
      <c r="L259" s="18">
        <f t="shared" si="29"/>
        <v>97170477.010000005</v>
      </c>
      <c r="M259" s="47"/>
      <c r="N259" s="839">
        <f t="shared" si="30"/>
        <v>0</v>
      </c>
    </row>
    <row r="260" spans="2:14" s="386" customFormat="1" ht="14.25">
      <c r="B260" s="17">
        <f t="shared" si="28"/>
        <v>11</v>
      </c>
      <c r="C260" s="1" t="s">
        <v>47</v>
      </c>
      <c r="D260" s="1" t="s">
        <v>48</v>
      </c>
      <c r="E260" s="17"/>
      <c r="F260" s="1081">
        <f>'WP II-I-1.1'!F41</f>
        <v>467580047.15000004</v>
      </c>
      <c r="G260" s="1091">
        <f>'WP II-I-1.1'!G41</f>
        <v>0</v>
      </c>
      <c r="H260" s="893">
        <f>'WP II-I-1.1'!H41</f>
        <v>0</v>
      </c>
      <c r="I260" s="1082">
        <f>'WP II-I-1.1'!I41</f>
        <v>0</v>
      </c>
      <c r="J260" s="290">
        <f t="shared" si="31"/>
        <v>467580047.15000004</v>
      </c>
      <c r="K260" s="290"/>
      <c r="L260" s="18">
        <f t="shared" si="29"/>
        <v>0</v>
      </c>
      <c r="M260" s="47"/>
      <c r="N260" s="839">
        <f t="shared" si="30"/>
        <v>0</v>
      </c>
    </row>
    <row r="261" spans="2:14" s="386" customFormat="1" ht="14.25">
      <c r="B261" s="17">
        <f t="shared" si="28"/>
        <v>12</v>
      </c>
      <c r="C261" s="1" t="s">
        <v>49</v>
      </c>
      <c r="D261" s="1" t="s">
        <v>50</v>
      </c>
      <c r="E261" s="17"/>
      <c r="F261" s="1081">
        <f>'WP II-I-1.1'!F42</f>
        <v>664853703.49000001</v>
      </c>
      <c r="G261" s="1091">
        <f>'WP II-I-1.1'!G42</f>
        <v>0</v>
      </c>
      <c r="H261" s="893">
        <f>'WP II-I-1.1'!H42</f>
        <v>0</v>
      </c>
      <c r="I261" s="1082">
        <f>'WP II-I-1.1'!I42</f>
        <v>0</v>
      </c>
      <c r="J261" s="290">
        <f t="shared" si="31"/>
        <v>664853703.49000001</v>
      </c>
      <c r="K261" s="290"/>
      <c r="L261" s="18">
        <f t="shared" si="29"/>
        <v>0</v>
      </c>
      <c r="M261" s="47"/>
      <c r="N261" s="839">
        <f t="shared" si="30"/>
        <v>0</v>
      </c>
    </row>
    <row r="262" spans="2:14" s="386" customFormat="1" ht="14.25">
      <c r="B262" s="17">
        <f t="shared" si="28"/>
        <v>13</v>
      </c>
      <c r="C262" s="1" t="s">
        <v>51</v>
      </c>
      <c r="D262" s="1" t="s">
        <v>534</v>
      </c>
      <c r="E262" s="17"/>
      <c r="F262" s="1081">
        <f>'WP II-I-1.1'!F43</f>
        <v>978999051.40999997</v>
      </c>
      <c r="G262" s="1091">
        <f>'WP II-I-1.1'!G43</f>
        <v>0</v>
      </c>
      <c r="H262" s="893">
        <f>'WP II-I-1.1'!H43</f>
        <v>0</v>
      </c>
      <c r="I262" s="1082">
        <f>'WP II-I-1.1'!I43</f>
        <v>0</v>
      </c>
      <c r="J262" s="290">
        <f t="shared" si="31"/>
        <v>978999051.40999997</v>
      </c>
      <c r="K262" s="290"/>
      <c r="L262" s="18">
        <f t="shared" si="29"/>
        <v>0</v>
      </c>
      <c r="M262" s="47"/>
      <c r="N262" s="839">
        <f t="shared" si="30"/>
        <v>0</v>
      </c>
    </row>
    <row r="263" spans="2:14" s="386" customFormat="1" ht="14.25">
      <c r="B263" s="17">
        <f t="shared" si="28"/>
        <v>14</v>
      </c>
      <c r="C263" s="1" t="s">
        <v>53</v>
      </c>
      <c r="D263" s="1" t="s">
        <v>54</v>
      </c>
      <c r="E263" s="17"/>
      <c r="F263" s="1081">
        <f>'WP II-I-1.1'!F44</f>
        <v>19336447.609999999</v>
      </c>
      <c r="G263" s="1091">
        <f>'WP II-I-1.1'!G44</f>
        <v>0</v>
      </c>
      <c r="H263" s="893">
        <f>'WP II-I-1.1'!H44</f>
        <v>0</v>
      </c>
      <c r="I263" s="1082">
        <f>'WP II-I-1.1'!I44</f>
        <v>0</v>
      </c>
      <c r="J263" s="290">
        <f t="shared" si="31"/>
        <v>19336447.609999999</v>
      </c>
      <c r="K263" s="290"/>
      <c r="L263" s="18">
        <f t="shared" si="29"/>
        <v>0</v>
      </c>
      <c r="M263" s="47"/>
      <c r="N263" s="839">
        <f t="shared" si="30"/>
        <v>0</v>
      </c>
    </row>
    <row r="264" spans="2:14" s="386" customFormat="1" ht="14.25">
      <c r="B264" s="17">
        <f t="shared" si="28"/>
        <v>15</v>
      </c>
      <c r="C264" s="1" t="s">
        <v>55</v>
      </c>
      <c r="D264" s="31" t="s">
        <v>535</v>
      </c>
      <c r="E264" s="17"/>
      <c r="F264" s="1081">
        <f>'WP II-I-1.1'!F45</f>
        <v>33548402.460000001</v>
      </c>
      <c r="G264" s="1091">
        <f>'WP II-I-1.1'!G45</f>
        <v>0</v>
      </c>
      <c r="H264" s="893">
        <f>'WP II-I-1.1'!H45</f>
        <v>0</v>
      </c>
      <c r="I264" s="1082">
        <f>'WP II-I-1.1'!I45</f>
        <v>0</v>
      </c>
      <c r="J264" s="290">
        <f t="shared" si="31"/>
        <v>33548402.460000001</v>
      </c>
      <c r="K264" s="290"/>
      <c r="L264" s="18">
        <f t="shared" si="29"/>
        <v>0</v>
      </c>
      <c r="M264" s="47"/>
      <c r="N264" s="839">
        <f t="shared" si="30"/>
        <v>0</v>
      </c>
    </row>
    <row r="265" spans="2:14" s="386" customFormat="1" ht="16.5">
      <c r="B265" s="17">
        <f t="shared" si="28"/>
        <v>16</v>
      </c>
      <c r="C265" s="1" t="s">
        <v>57</v>
      </c>
      <c r="D265" s="1" t="s">
        <v>58</v>
      </c>
      <c r="E265" s="17"/>
      <c r="F265" s="1083">
        <f>'WP II-I-1.1'!F46</f>
        <v>0</v>
      </c>
      <c r="G265" s="1092">
        <f>'WP II-I-1.1'!G46</f>
        <v>0</v>
      </c>
      <c r="H265" s="1084">
        <f>'WP II-I-1.1'!H46</f>
        <v>0</v>
      </c>
      <c r="I265" s="1085">
        <f>'WP II-I-1.1'!I46</f>
        <v>0</v>
      </c>
      <c r="J265" s="302">
        <f t="shared" si="31"/>
        <v>0</v>
      </c>
      <c r="K265" s="302"/>
      <c r="L265" s="296">
        <f t="shared" si="29"/>
        <v>0</v>
      </c>
      <c r="M265" s="47"/>
      <c r="N265" s="839">
        <f t="shared" si="30"/>
        <v>0</v>
      </c>
    </row>
    <row r="266" spans="2:14" ht="15">
      <c r="B266" s="17">
        <f t="shared" si="28"/>
        <v>17</v>
      </c>
      <c r="C266" s="8"/>
      <c r="D266" s="297" t="s">
        <v>491</v>
      </c>
      <c r="E266" s="20"/>
      <c r="F266" s="896">
        <f>SUM(F256:F265)</f>
        <v>3092206741.48</v>
      </c>
      <c r="G266" s="896">
        <f>SUM(G256:G265)</f>
        <v>97170477.010000005</v>
      </c>
      <c r="H266" s="896">
        <f>SUM(H256:H265)</f>
        <v>0</v>
      </c>
      <c r="I266" s="896">
        <f>SUM(I256:I265)</f>
        <v>0</v>
      </c>
      <c r="J266" s="300">
        <f t="shared" si="31"/>
        <v>3189377218.4900002</v>
      </c>
      <c r="K266" s="300"/>
      <c r="L266" s="22">
        <f t="shared" si="29"/>
        <v>97170477.010000005</v>
      </c>
      <c r="M266" s="67"/>
      <c r="N266" s="839">
        <f t="shared" si="30"/>
        <v>0</v>
      </c>
    </row>
    <row r="267" spans="2:12" ht="15.75" thickBot="1">
      <c r="B267" s="874"/>
      <c r="C267" s="874"/>
      <c r="D267" s="874"/>
      <c r="E267" s="874"/>
      <c r="F267" s="959"/>
      <c r="G267" s="959"/>
      <c r="H267" s="959"/>
      <c r="I267" s="959"/>
      <c r="J267" s="959"/>
      <c r="K267" s="874"/>
      <c r="L267" s="874"/>
    </row>
    <row r="268" spans="2:13" ht="15">
      <c r="B268" s="920" t="str">
        <f>$B$4</f>
        <v>2022 RATE CASE</v>
      </c>
      <c r="C268" s="926"/>
      <c r="D268" s="927"/>
      <c r="E268" s="874"/>
      <c r="F268" s="959"/>
      <c r="G268" s="959"/>
      <c r="H268" s="959"/>
      <c r="I268" s="959"/>
      <c r="J268" s="959"/>
      <c r="K268" s="874"/>
      <c r="L268" s="874"/>
      <c r="M268" s="134" t="str">
        <f>$M$2</f>
        <v xml:space="preserve"> </v>
      </c>
    </row>
    <row r="269" spans="2:13" ht="15">
      <c r="B269" s="917" t="str">
        <f>$B$5</f>
        <v>ONCOR ELECTRIC DELIVERY COMPANY LLC</v>
      </c>
      <c r="C269" s="369"/>
      <c r="D269" s="928"/>
      <c r="E269" s="874"/>
      <c r="F269" s="959"/>
      <c r="G269" s="959"/>
      <c r="H269" s="959"/>
      <c r="I269" s="959"/>
      <c r="J269" s="959"/>
      <c r="K269" s="874"/>
      <c r="L269" s="874"/>
      <c r="M269" s="67"/>
    </row>
    <row r="270" spans="2:13" ht="15">
      <c r="B270" s="406" t="str">
        <f>$B$6</f>
        <v>CONSOLIDATED FUNCTIONALIZED COST OF SERVICE</v>
      </c>
      <c r="C270" s="369"/>
      <c r="D270" s="928"/>
      <c r="E270" s="874"/>
      <c r="F270" s="874"/>
      <c r="G270" s="874"/>
      <c r="H270" s="874"/>
      <c r="I270" s="874"/>
      <c r="J270" s="874"/>
      <c r="K270" s="874"/>
      <c r="L270" s="874"/>
      <c r="M270" s="67"/>
    </row>
    <row r="271" spans="2:13" ht="15">
      <c r="B271" s="406" t="str">
        <f>$B$7</f>
        <v>TEST YEAR ENDING 12/31/2021</v>
      </c>
      <c r="C271" s="369"/>
      <c r="D271" s="928"/>
      <c r="E271" s="874"/>
      <c r="F271" s="874"/>
      <c r="G271" s="874"/>
      <c r="H271" s="874"/>
      <c r="I271" s="874"/>
      <c r="J271" s="874"/>
      <c r="K271" s="874"/>
      <c r="L271" s="874"/>
      <c r="M271" s="67"/>
    </row>
    <row r="272" spans="2:13" ht="15.75">
      <c r="B272" s="406" t="str">
        <f>$B$8</f>
        <v>SPONSOR:  MATTHEW A. TROXLE</v>
      </c>
      <c r="C272" s="840"/>
      <c r="D272" s="921"/>
      <c r="E272" s="67"/>
      <c r="F272" s="67"/>
      <c r="G272" s="67"/>
      <c r="H272" s="67"/>
      <c r="I272" s="67"/>
      <c r="J272" s="67"/>
      <c r="K272" s="67"/>
      <c r="L272" s="67"/>
      <c r="M272" s="67"/>
    </row>
    <row r="273" spans="2:14" ht="15.75" thickBot="1">
      <c r="B273" s="410"/>
      <c r="C273" s="931"/>
      <c r="D273" s="932"/>
      <c r="E273" s="369"/>
      <c r="F273" s="369"/>
      <c r="G273" s="369"/>
      <c r="H273" s="369"/>
      <c r="I273" s="369"/>
      <c r="J273" s="369"/>
      <c r="K273" s="369"/>
      <c r="L273" s="369"/>
      <c r="M273" s="67"/>
      <c r="N273" s="129"/>
    </row>
    <row r="274" spans="2:14" ht="14.25">
      <c r="B274" s="13"/>
      <c r="C274" s="14"/>
      <c r="D274" s="14"/>
      <c r="E274" s="14"/>
      <c r="F274" s="237" t="s">
        <v>6</v>
      </c>
      <c r="G274" s="13" t="s">
        <v>7</v>
      </c>
      <c r="H274" s="13" t="s">
        <v>8</v>
      </c>
      <c r="I274" s="239" t="s">
        <v>9</v>
      </c>
      <c r="J274" s="13" t="s">
        <v>10</v>
      </c>
      <c r="K274" s="17"/>
      <c r="L274" s="139" t="s">
        <v>966</v>
      </c>
      <c r="M274" s="67"/>
      <c r="N274" s="129"/>
    </row>
    <row r="275" spans="2:14" ht="15">
      <c r="B275" s="15" t="s">
        <v>2</v>
      </c>
      <c r="C275" s="15" t="s">
        <v>370</v>
      </c>
      <c r="D275" s="287" t="s">
        <v>574</v>
      </c>
      <c r="E275" s="15" t="s">
        <v>371</v>
      </c>
      <c r="F275" s="242"/>
      <c r="G275" s="15"/>
      <c r="H275" s="15"/>
      <c r="I275" s="15"/>
      <c r="J275" s="15"/>
      <c r="K275" s="17"/>
      <c r="L275" s="97" t="s">
        <v>967</v>
      </c>
      <c r="M275" s="67"/>
      <c r="N275" s="129"/>
    </row>
    <row r="276" spans="2:14" ht="14.25">
      <c r="B276" s="15"/>
      <c r="C276" s="15"/>
      <c r="D276" s="15"/>
      <c r="E276" s="15"/>
      <c r="F276" s="242"/>
      <c r="G276" s="15"/>
      <c r="H276" s="15"/>
      <c r="I276" s="15"/>
      <c r="J276" s="15"/>
      <c r="K276" s="17"/>
      <c r="L276" s="97"/>
      <c r="M276" s="67"/>
      <c r="N276" s="129"/>
    </row>
    <row r="277" spans="2:14" ht="15" thickBot="1">
      <c r="B277" s="16"/>
      <c r="C277" s="16" t="s">
        <v>13</v>
      </c>
      <c r="D277" s="16" t="s">
        <v>14</v>
      </c>
      <c r="E277" s="16" t="s">
        <v>15</v>
      </c>
      <c r="F277" s="16" t="s">
        <v>16</v>
      </c>
      <c r="G277" s="16" t="s">
        <v>17</v>
      </c>
      <c r="H277" s="16" t="s">
        <v>18</v>
      </c>
      <c r="I277" s="16" t="s">
        <v>21</v>
      </c>
      <c r="J277" s="16" t="s">
        <v>22</v>
      </c>
      <c r="K277" s="17"/>
      <c r="L277" s="1125" t="s">
        <v>418</v>
      </c>
      <c r="M277" s="67"/>
      <c r="N277" s="129"/>
    </row>
    <row r="278" spans="2:14" ht="14.25">
      <c r="B278" s="67"/>
      <c r="C278" s="67"/>
      <c r="D278" s="100"/>
      <c r="E278" s="100"/>
      <c r="F278" s="288"/>
      <c r="G278" s="288"/>
      <c r="H278" s="289"/>
      <c r="I278" s="289"/>
      <c r="J278" s="100"/>
      <c r="K278" s="1"/>
      <c r="L278" s="289"/>
      <c r="M278" s="67"/>
      <c r="N278" s="129"/>
    </row>
    <row r="279" spans="2:13" ht="15">
      <c r="B279" s="17">
        <v>1</v>
      </c>
      <c r="C279" s="8" t="s">
        <v>574</v>
      </c>
      <c r="D279" s="8"/>
      <c r="E279" s="20" t="s">
        <v>24</v>
      </c>
      <c r="F279" s="22"/>
      <c r="G279" s="22"/>
      <c r="H279" s="22"/>
      <c r="I279" s="22"/>
      <c r="J279" s="8"/>
      <c r="K279" s="8"/>
      <c r="L279" s="22"/>
      <c r="M279" s="67"/>
    </row>
    <row r="280" spans="2:14" s="386" customFormat="1" ht="14.25">
      <c r="B280" s="17">
        <f t="shared" si="32" ref="B280:B315">B279+1</f>
        <v>2</v>
      </c>
      <c r="C280" s="1" t="s">
        <v>61</v>
      </c>
      <c r="D280" s="1" t="s">
        <v>42</v>
      </c>
      <c r="E280" s="17"/>
      <c r="F280" s="1087">
        <f>'WP II-I-1.1'!F66</f>
        <v>238774.92999999999</v>
      </c>
      <c r="G280" s="1088">
        <f>'WP II-I-1.1'!G66</f>
        <v>9695344.3800000008</v>
      </c>
      <c r="H280" s="1089">
        <f>'WP II-I-1.1'!H66</f>
        <v>0</v>
      </c>
      <c r="I280" s="1090">
        <f>'WP II-I-1.1'!I66</f>
        <v>0</v>
      </c>
      <c r="J280" s="290">
        <f t="shared" si="33" ref="J280:J300">SUM(F280:I280)</f>
        <v>9934119.3100000005</v>
      </c>
      <c r="K280" s="290"/>
      <c r="L280" s="18">
        <f t="shared" si="29"/>
        <v>9695344.3800000008</v>
      </c>
      <c r="M280" s="47"/>
      <c r="N280" s="839">
        <f t="shared" si="34" ref="N280:N300">J280-L280-F280</f>
        <v>-2.9103830456733704E-10</v>
      </c>
    </row>
    <row r="281" spans="2:14" s="386" customFormat="1" ht="14.25">
      <c r="B281" s="17">
        <f t="shared" si="32"/>
        <v>3</v>
      </c>
      <c r="C281" s="1" t="s">
        <v>62</v>
      </c>
      <c r="D281" s="31" t="s">
        <v>44</v>
      </c>
      <c r="E281" s="17"/>
      <c r="F281" s="1081">
        <f>'WP II-I-1.1'!F67</f>
        <v>18051483.75</v>
      </c>
      <c r="G281" s="1091">
        <f>'WP II-I-1.1'!G67</f>
        <v>41745977.75</v>
      </c>
      <c r="H281" s="893">
        <f>'WP II-I-1.1'!H67</f>
        <v>0</v>
      </c>
      <c r="I281" s="1082">
        <f>'WP II-I-1.1'!I67</f>
        <v>0</v>
      </c>
      <c r="J281" s="290">
        <f t="shared" si="33"/>
        <v>59797461.5</v>
      </c>
      <c r="K281" s="290"/>
      <c r="L281" s="18">
        <f t="shared" si="29"/>
        <v>41745977.75</v>
      </c>
      <c r="M281" s="47"/>
      <c r="N281" s="839">
        <f t="shared" si="34"/>
        <v>0</v>
      </c>
    </row>
    <row r="282" spans="2:14" s="386" customFormat="1" ht="14.25">
      <c r="B282" s="17">
        <f t="shared" si="32"/>
        <v>4</v>
      </c>
      <c r="C282" s="1" t="s">
        <v>63</v>
      </c>
      <c r="D282" s="1" t="s">
        <v>46</v>
      </c>
      <c r="E282" s="17"/>
      <c r="F282" s="1081">
        <f>'WP II-I-1.1'!F68</f>
        <v>122722867.50999999</v>
      </c>
      <c r="G282" s="1091">
        <f>'WP II-I-1.1'!G68</f>
        <v>463683928.67000002</v>
      </c>
      <c r="H282" s="893">
        <f>'WP II-I-1.1'!H68</f>
        <v>0</v>
      </c>
      <c r="I282" s="1082">
        <f>'WP II-I-1.1'!I68</f>
        <v>0</v>
      </c>
      <c r="J282" s="290">
        <f t="shared" si="33"/>
        <v>586406796.18000007</v>
      </c>
      <c r="K282" s="290"/>
      <c r="L282" s="18">
        <f t="shared" si="29"/>
        <v>463683928.67000002</v>
      </c>
      <c r="M282" s="47"/>
      <c r="N282" s="839">
        <f t="shared" si="34"/>
        <v>0</v>
      </c>
    </row>
    <row r="283" spans="2:14" s="386" customFormat="1" ht="14.25">
      <c r="B283" s="17">
        <f t="shared" si="32"/>
        <v>5</v>
      </c>
      <c r="C283" s="1" t="s">
        <v>64</v>
      </c>
      <c r="D283" s="1" t="s">
        <v>65</v>
      </c>
      <c r="E283" s="17"/>
      <c r="F283" s="1081">
        <f>'WP II-I-1.1'!F69</f>
        <v>0</v>
      </c>
      <c r="G283" s="1091">
        <f>'WP II-I-1.1'!G69</f>
        <v>0</v>
      </c>
      <c r="H283" s="893">
        <f>'WP II-I-1.1'!H69</f>
        <v>0</v>
      </c>
      <c r="I283" s="1082">
        <f>'WP II-I-1.1'!I69</f>
        <v>0</v>
      </c>
      <c r="J283" s="290">
        <f t="shared" si="33"/>
        <v>0</v>
      </c>
      <c r="K283" s="290"/>
      <c r="L283" s="18">
        <f t="shared" si="29"/>
        <v>0</v>
      </c>
      <c r="M283" s="47"/>
      <c r="N283" s="839">
        <f t="shared" si="34"/>
        <v>0</v>
      </c>
    </row>
    <row r="284" spans="2:14" s="386" customFormat="1" ht="14.25">
      <c r="B284" s="17">
        <f t="shared" si="32"/>
        <v>6</v>
      </c>
      <c r="C284" s="1" t="s">
        <v>380</v>
      </c>
      <c r="D284" s="31" t="s">
        <v>537</v>
      </c>
      <c r="E284" s="17"/>
      <c r="F284" s="1087">
        <f>'WP II-I-1.2'!F45</f>
        <v>0</v>
      </c>
      <c r="G284" s="1088">
        <f>'WP II-I-1.2'!G45</f>
        <v>919027218.5279665</v>
      </c>
      <c r="H284" s="1089">
        <f>'WP II-I-1.2'!H45</f>
        <v>0</v>
      </c>
      <c r="I284" s="1090">
        <f>'WP II-I-1.2'!I45</f>
        <v>0</v>
      </c>
      <c r="J284" s="290">
        <f t="shared" si="33"/>
        <v>919027218.5279665</v>
      </c>
      <c r="K284" s="290"/>
      <c r="L284" s="18">
        <f t="shared" si="29"/>
        <v>919027218.5279665</v>
      </c>
      <c r="M284" s="47"/>
      <c r="N284" s="839">
        <f t="shared" si="34"/>
        <v>0</v>
      </c>
    </row>
    <row r="285" spans="2:14" s="386" customFormat="1" ht="14.25">
      <c r="B285" s="17">
        <f t="shared" si="32"/>
        <v>7</v>
      </c>
      <c r="C285" s="1" t="s">
        <v>382</v>
      </c>
      <c r="D285" s="31" t="s">
        <v>538</v>
      </c>
      <c r="E285" s="17"/>
      <c r="F285" s="1081">
        <f>'WP II-I-1.2'!F46</f>
        <v>0</v>
      </c>
      <c r="G285" s="1091">
        <f>'WP II-I-1.2'!G46</f>
        <v>188692365.2020334</v>
      </c>
      <c r="H285" s="893">
        <f>'WP II-I-1.2'!H46</f>
        <v>0</v>
      </c>
      <c r="I285" s="1082">
        <f>'WP II-I-1.2'!I46</f>
        <v>0</v>
      </c>
      <c r="J285" s="290">
        <f t="shared" si="33"/>
        <v>188692365.2020334</v>
      </c>
      <c r="K285" s="290"/>
      <c r="L285" s="18">
        <f t="shared" si="29"/>
        <v>188692365.2020334</v>
      </c>
      <c r="M285" s="47"/>
      <c r="N285" s="839">
        <f t="shared" si="34"/>
        <v>0</v>
      </c>
    </row>
    <row r="286" spans="2:14" s="386" customFormat="1" ht="14.25">
      <c r="B286" s="17">
        <f t="shared" si="32"/>
        <v>8</v>
      </c>
      <c r="C286" s="1" t="s">
        <v>385</v>
      </c>
      <c r="D286" s="1" t="s">
        <v>539</v>
      </c>
      <c r="E286" s="17"/>
      <c r="F286" s="1081">
        <f>'WP II-I-1.2'!F48</f>
        <v>0</v>
      </c>
      <c r="G286" s="1091">
        <f>'WP II-I-1.2'!G48</f>
        <v>539681426.92537904</v>
      </c>
      <c r="H286" s="893">
        <f>'WP II-I-1.2'!H48</f>
        <v>0</v>
      </c>
      <c r="I286" s="1082">
        <f>'WP II-I-1.2'!I48</f>
        <v>0</v>
      </c>
      <c r="J286" s="290">
        <f t="shared" si="33"/>
        <v>539681426.92537904</v>
      </c>
      <c r="K286" s="290"/>
      <c r="L286" s="18">
        <f t="shared" si="29"/>
        <v>539681426.92537904</v>
      </c>
      <c r="M286" s="47"/>
      <c r="N286" s="839">
        <f t="shared" si="34"/>
        <v>0</v>
      </c>
    </row>
    <row r="287" spans="2:14" s="386" customFormat="1" ht="14.25">
      <c r="B287" s="17">
        <f t="shared" si="32"/>
        <v>9</v>
      </c>
      <c r="C287" s="1" t="s">
        <v>387</v>
      </c>
      <c r="D287" s="1" t="s">
        <v>540</v>
      </c>
      <c r="E287" s="17"/>
      <c r="F287" s="1081">
        <f>'WP II-I-1.2'!F49</f>
        <v>0</v>
      </c>
      <c r="G287" s="1091">
        <f>'WP II-I-1.2'!G49</f>
        <v>95646582.564620957</v>
      </c>
      <c r="H287" s="893">
        <f>'WP II-I-1.2'!H49</f>
        <v>0</v>
      </c>
      <c r="I287" s="1082">
        <f>'WP II-I-1.2'!I49</f>
        <v>0</v>
      </c>
      <c r="J287" s="290">
        <f t="shared" si="33"/>
        <v>95646582.564620957</v>
      </c>
      <c r="K287" s="290"/>
      <c r="L287" s="18">
        <f t="shared" si="29"/>
        <v>95646582.564620957</v>
      </c>
      <c r="M287" s="47"/>
      <c r="N287" s="839">
        <f t="shared" si="34"/>
        <v>0</v>
      </c>
    </row>
    <row r="288" spans="2:14" s="386" customFormat="1" ht="14.25">
      <c r="B288" s="17">
        <f t="shared" si="32"/>
        <v>10</v>
      </c>
      <c r="C288" s="1" t="s">
        <v>390</v>
      </c>
      <c r="D288" s="1" t="s">
        <v>391</v>
      </c>
      <c r="E288" s="17"/>
      <c r="F288" s="1081">
        <f>'WP II-I-1.2'!F51</f>
        <v>0</v>
      </c>
      <c r="G288" s="1091">
        <f>'WP II-I-1.2'!G51</f>
        <v>274541023.13815933</v>
      </c>
      <c r="H288" s="893">
        <f>'WP II-I-1.2'!H51</f>
        <v>0</v>
      </c>
      <c r="I288" s="1082">
        <f>'WP II-I-1.2'!I51</f>
        <v>0</v>
      </c>
      <c r="J288" s="290">
        <f t="shared" si="33"/>
        <v>274541023.13815933</v>
      </c>
      <c r="K288" s="290"/>
      <c r="L288" s="18">
        <f t="shared" si="29"/>
        <v>274541023.13815933</v>
      </c>
      <c r="M288" s="47"/>
      <c r="N288" s="839">
        <f t="shared" si="34"/>
        <v>0</v>
      </c>
    </row>
    <row r="289" spans="2:14" s="386" customFormat="1" ht="14.25">
      <c r="B289" s="17">
        <f t="shared" si="32"/>
        <v>11</v>
      </c>
      <c r="C289" s="1" t="s">
        <v>392</v>
      </c>
      <c r="D289" s="1" t="s">
        <v>393</v>
      </c>
      <c r="E289" s="17"/>
      <c r="F289" s="1081">
        <f>'WP II-I-1.2'!F52</f>
        <v>0</v>
      </c>
      <c r="G289" s="1091">
        <f>'WP II-I-1.2'!G52</f>
        <v>177652501.13184056</v>
      </c>
      <c r="H289" s="893">
        <f>'WP II-I-1.2'!H52</f>
        <v>0</v>
      </c>
      <c r="I289" s="1082">
        <f>'WP II-I-1.2'!I52</f>
        <v>0</v>
      </c>
      <c r="J289" s="290">
        <f t="shared" si="33"/>
        <v>177652501.13184056</v>
      </c>
      <c r="K289" s="290"/>
      <c r="L289" s="18">
        <f t="shared" si="29"/>
        <v>177652501.13184056</v>
      </c>
      <c r="M289" s="47"/>
      <c r="N289" s="839">
        <f t="shared" si="34"/>
        <v>0</v>
      </c>
    </row>
    <row r="290" spans="2:14" s="386" customFormat="1" ht="14.25">
      <c r="B290" s="17">
        <f t="shared" si="32"/>
        <v>12</v>
      </c>
      <c r="C290" s="1" t="s">
        <v>395</v>
      </c>
      <c r="D290" s="31" t="s">
        <v>541</v>
      </c>
      <c r="E290" s="30"/>
      <c r="F290" s="1081">
        <f>'WP II-I-1.2'!F54</f>
        <v>0</v>
      </c>
      <c r="G290" s="1091">
        <f>'WP II-I-1.2'!G54</f>
        <v>468956028.37199891</v>
      </c>
      <c r="H290" s="893">
        <f>'WP II-I-1.2'!H54</f>
        <v>0</v>
      </c>
      <c r="I290" s="1082">
        <f>'WP II-I-1.2'!I54</f>
        <v>0</v>
      </c>
      <c r="J290" s="290">
        <f t="shared" si="33"/>
        <v>468956028.37199891</v>
      </c>
      <c r="K290" s="290"/>
      <c r="L290" s="18">
        <f t="shared" si="29"/>
        <v>468956028.37199891</v>
      </c>
      <c r="M290" s="47"/>
      <c r="N290" s="839">
        <f t="shared" si="34"/>
        <v>0</v>
      </c>
    </row>
    <row r="291" spans="2:14" s="386" customFormat="1" ht="14.25">
      <c r="B291" s="17">
        <f t="shared" si="32"/>
        <v>13</v>
      </c>
      <c r="C291" s="1" t="s">
        <v>397</v>
      </c>
      <c r="D291" s="31" t="s">
        <v>542</v>
      </c>
      <c r="E291" s="30"/>
      <c r="F291" s="1081">
        <f>'WP II-I-1.2'!F55</f>
        <v>0</v>
      </c>
      <c r="G291" s="1091">
        <f>'WP II-I-1.2'!G55</f>
        <v>109085277.37800108</v>
      </c>
      <c r="H291" s="893">
        <f>'WP II-I-1.2'!H55</f>
        <v>0</v>
      </c>
      <c r="I291" s="1082">
        <f>'WP II-I-1.2'!I55</f>
        <v>0</v>
      </c>
      <c r="J291" s="290">
        <f t="shared" si="33"/>
        <v>109085277.37800108</v>
      </c>
      <c r="K291" s="290"/>
      <c r="L291" s="18">
        <f t="shared" si="29"/>
        <v>109085277.37800108</v>
      </c>
      <c r="M291" s="47"/>
      <c r="N291" s="839">
        <f t="shared" si="34"/>
        <v>0</v>
      </c>
    </row>
    <row r="292" spans="2:14" s="386" customFormat="1" ht="14.25">
      <c r="B292" s="17">
        <f t="shared" si="32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081">
        <f>'WP II-I-1.2'!F57</f>
        <v>0</v>
      </c>
      <c r="G292" s="1091">
        <f>'WP II-I-1.2'!G57</f>
        <v>43728535.967337929</v>
      </c>
      <c r="H292" s="893">
        <f>'WP II-I-1.2'!H57</f>
        <v>0</v>
      </c>
      <c r="I292" s="1082">
        <f>'WP II-I-1.2'!I57</f>
        <v>0</v>
      </c>
      <c r="J292" s="290">
        <f t="shared" si="33"/>
        <v>43728535.967337929</v>
      </c>
      <c r="K292" s="290"/>
      <c r="L292" s="18">
        <f t="shared" si="29"/>
        <v>43728535.967337929</v>
      </c>
      <c r="M292" s="47"/>
      <c r="N292" s="839">
        <f t="shared" si="34"/>
        <v>0</v>
      </c>
    </row>
    <row r="293" spans="2:14" s="386" customFormat="1" ht="14.25">
      <c r="B293" s="17">
        <f t="shared" si="32"/>
        <v>15</v>
      </c>
      <c r="C293" s="1" t="s">
        <v>402</v>
      </c>
      <c r="D293" s="1" t="str">
        <f>'WP II-I-1.2'!D40</f>
        <v>Secondary Transformers</v>
      </c>
      <c r="E293" s="17"/>
      <c r="F293" s="1081">
        <f>'WP II-I-1.2'!F58</f>
        <v>0</v>
      </c>
      <c r="G293" s="1091">
        <f>'WP II-I-1.2'!G58</f>
        <v>655156440.1624701</v>
      </c>
      <c r="H293" s="893">
        <f>'WP II-I-1.2'!H58</f>
        <v>0</v>
      </c>
      <c r="I293" s="1082">
        <f>'WP II-I-1.2'!I58</f>
        <v>0</v>
      </c>
      <c r="J293" s="290">
        <f t="shared" si="33"/>
        <v>655156440.1624701</v>
      </c>
      <c r="K293" s="290"/>
      <c r="L293" s="18">
        <f t="shared" si="29"/>
        <v>655156440.1624701</v>
      </c>
      <c r="M293" s="47"/>
      <c r="N293" s="839">
        <f t="shared" si="34"/>
        <v>0</v>
      </c>
    </row>
    <row r="294" spans="2:14" s="386" customFormat="1" ht="14.25">
      <c r="B294" s="17">
        <f t="shared" si="32"/>
        <v>16</v>
      </c>
      <c r="C294" s="1" t="s">
        <v>404</v>
      </c>
      <c r="D294" s="1" t="str">
        <f>'WP II-I-1.2'!D41</f>
        <v>Capacitors</v>
      </c>
      <c r="E294" s="17"/>
      <c r="F294" s="1083">
        <f>'WP II-I-1.2'!F59</f>
        <v>0</v>
      </c>
      <c r="G294" s="1092">
        <f>'WP II-I-1.2'!G59</f>
        <v>44802017.970192015</v>
      </c>
      <c r="H294" s="1084">
        <f>'WP II-I-1.2'!H59</f>
        <v>0</v>
      </c>
      <c r="I294" s="1085">
        <f>'WP II-I-1.2'!I59</f>
        <v>0</v>
      </c>
      <c r="J294" s="290">
        <f t="shared" si="33"/>
        <v>44802017.970192015</v>
      </c>
      <c r="K294" s="290"/>
      <c r="L294" s="18">
        <f t="shared" si="29"/>
        <v>44802017.970192015</v>
      </c>
      <c r="M294" s="47"/>
      <c r="N294" s="839">
        <f t="shared" si="34"/>
        <v>0</v>
      </c>
    </row>
    <row r="295" spans="2:14" s="386" customFormat="1" ht="14.25">
      <c r="B295" s="17">
        <f t="shared" si="32"/>
        <v>17</v>
      </c>
      <c r="C295" s="1" t="s">
        <v>76</v>
      </c>
      <c r="D295" s="31" t="s">
        <v>77</v>
      </c>
      <c r="E295" s="30"/>
      <c r="F295" s="1087">
        <f>'WP II-I-1.1'!F75</f>
        <v>0</v>
      </c>
      <c r="G295" s="1088">
        <f>'WP II-I-1.1'!G75</f>
        <v>1097314112.99</v>
      </c>
      <c r="H295" s="1089">
        <f>'WP II-I-1.1'!H75</f>
        <v>0</v>
      </c>
      <c r="I295" s="1090">
        <f>'WP II-I-1.1'!I75</f>
        <v>0</v>
      </c>
      <c r="J295" s="290">
        <f t="shared" si="33"/>
        <v>1097314112.99</v>
      </c>
      <c r="K295" s="290"/>
      <c r="L295" s="18">
        <f t="shared" si="29"/>
        <v>1097314112.99</v>
      </c>
      <c r="M295" s="47"/>
      <c r="N295" s="839">
        <f t="shared" si="34"/>
        <v>0</v>
      </c>
    </row>
    <row r="296" spans="2:14" s="386" customFormat="1" ht="14.25">
      <c r="B296" s="17">
        <f t="shared" si="32"/>
        <v>18</v>
      </c>
      <c r="C296" s="1" t="s">
        <v>78</v>
      </c>
      <c r="D296" s="1" t="s">
        <v>79</v>
      </c>
      <c r="E296" s="17"/>
      <c r="F296" s="1081">
        <f>'WP II-I-1.1'!F76</f>
        <v>0</v>
      </c>
      <c r="G296" s="1091">
        <f>'WP II-I-1.1'!G76</f>
        <v>0</v>
      </c>
      <c r="H296" s="893">
        <f>'WP II-I-1.1'!H76</f>
        <v>336239857.38</v>
      </c>
      <c r="I296" s="1082">
        <f>'WP II-I-1.1'!I76</f>
        <v>0</v>
      </c>
      <c r="J296" s="290">
        <f t="shared" si="33"/>
        <v>336239857.38</v>
      </c>
      <c r="K296" s="290"/>
      <c r="L296" s="18">
        <f t="shared" si="29"/>
        <v>336239857.38</v>
      </c>
      <c r="M296" s="47"/>
      <c r="N296" s="839">
        <f t="shared" si="34"/>
        <v>0</v>
      </c>
    </row>
    <row r="297" spans="2:14" s="386" customFormat="1" ht="14.25">
      <c r="B297" s="17">
        <f t="shared" si="32"/>
        <v>19</v>
      </c>
      <c r="C297" s="1" t="s">
        <v>80</v>
      </c>
      <c r="D297" s="1" t="s">
        <v>543</v>
      </c>
      <c r="E297" s="17"/>
      <c r="F297" s="1081">
        <f>'WP II-I-1.1'!F77</f>
        <v>0</v>
      </c>
      <c r="G297" s="1091">
        <f>'WP II-I-1.1'!G77</f>
        <v>75069053.349999994</v>
      </c>
      <c r="H297" s="893">
        <f>'WP II-I-1.1'!H77</f>
        <v>0</v>
      </c>
      <c r="I297" s="1082">
        <f>'WP II-I-1.1'!I77</f>
        <v>0</v>
      </c>
      <c r="J297" s="290">
        <f t="shared" si="33"/>
        <v>75069053.349999994</v>
      </c>
      <c r="K297" s="290"/>
      <c r="L297" s="18">
        <f t="shared" si="29"/>
        <v>75069053.349999994</v>
      </c>
      <c r="M297" s="47"/>
      <c r="N297" s="839">
        <f t="shared" si="34"/>
        <v>0</v>
      </c>
    </row>
    <row r="298" spans="2:14" s="386" customFormat="1" ht="14.25">
      <c r="B298" s="17">
        <f t="shared" si="32"/>
        <v>20</v>
      </c>
      <c r="C298" s="1" t="s">
        <v>82</v>
      </c>
      <c r="D298" s="1" t="s">
        <v>544</v>
      </c>
      <c r="E298" s="17"/>
      <c r="F298" s="1081">
        <f>'WP II-I-1.1'!F78</f>
        <v>0</v>
      </c>
      <c r="G298" s="1091">
        <f>'WP II-I-1.1'!G78</f>
        <v>0</v>
      </c>
      <c r="H298" s="893">
        <f>'WP II-I-1.1'!H78</f>
        <v>0</v>
      </c>
      <c r="I298" s="1082">
        <f>'WP II-I-1.1'!I78</f>
        <v>0</v>
      </c>
      <c r="J298" s="290">
        <f t="shared" si="33"/>
        <v>0</v>
      </c>
      <c r="K298" s="290"/>
      <c r="L298" s="18">
        <f t="shared" si="29"/>
        <v>0</v>
      </c>
      <c r="M298" s="47"/>
      <c r="N298" s="839">
        <f t="shared" si="34"/>
        <v>0</v>
      </c>
    </row>
    <row r="299" spans="2:14" s="386" customFormat="1" ht="16.5">
      <c r="B299" s="17">
        <f t="shared" si="32"/>
        <v>21</v>
      </c>
      <c r="C299" s="1" t="s">
        <v>84</v>
      </c>
      <c r="D299" s="1" t="s">
        <v>88</v>
      </c>
      <c r="E299" s="17"/>
      <c r="F299" s="1083">
        <f>'WP II-I-1.1'!F79</f>
        <v>0</v>
      </c>
      <c r="G299" s="1092">
        <f>'WP II-I-1.1'!G79</f>
        <v>372032656.80000001</v>
      </c>
      <c r="H299" s="1084">
        <f>'WP II-I-1.1'!H79</f>
        <v>0</v>
      </c>
      <c r="I299" s="1085">
        <f>'WP II-I-1.1'!I79</f>
        <v>0</v>
      </c>
      <c r="J299" s="302">
        <f t="shared" si="33"/>
        <v>372032656.80000001</v>
      </c>
      <c r="K299" s="302"/>
      <c r="L299" s="296">
        <f t="shared" si="29"/>
        <v>372032656.80000001</v>
      </c>
      <c r="M299" s="47"/>
      <c r="N299" s="839">
        <f t="shared" si="34"/>
        <v>0</v>
      </c>
    </row>
    <row r="300" spans="2:14" ht="15">
      <c r="B300" s="17">
        <f t="shared" si="32"/>
        <v>22</v>
      </c>
      <c r="C300" s="67"/>
      <c r="D300" s="297" t="s">
        <v>491</v>
      </c>
      <c r="E300" s="150"/>
      <c r="F300" s="896">
        <f>SUM(F280:F299)</f>
        <v>141013126.19</v>
      </c>
      <c r="G300" s="896">
        <f>SUM(G280:G299)</f>
        <v>5576510491.2799997</v>
      </c>
      <c r="H300" s="896">
        <f>SUM(H280:H299)</f>
        <v>336239857.38</v>
      </c>
      <c r="I300" s="22">
        <f>SUM(I280:I299)</f>
        <v>0</v>
      </c>
      <c r="J300" s="299">
        <f t="shared" si="33"/>
        <v>6053763474.8499994</v>
      </c>
      <c r="K300" s="300"/>
      <c r="L300" s="22">
        <f t="shared" si="29"/>
        <v>5912750348.6599998</v>
      </c>
      <c r="M300" s="67"/>
      <c r="N300" s="839">
        <f t="shared" si="34"/>
        <v>-4.1723251342773438E-07</v>
      </c>
    </row>
    <row r="301" spans="2:13" ht="14.25">
      <c r="B301" s="17">
        <f t="shared" si="32"/>
        <v>23</v>
      </c>
      <c r="C301" s="67"/>
      <c r="D301" s="1"/>
      <c r="E301" s="17"/>
      <c r="F301" s="19"/>
      <c r="G301" s="19"/>
      <c r="H301" s="19"/>
      <c r="I301" s="1"/>
      <c r="J301" s="1"/>
      <c r="K301" s="1"/>
      <c r="L301" s="1"/>
      <c r="M301" s="67"/>
    </row>
    <row r="302" spans="2:14" ht="15">
      <c r="B302" s="17">
        <f t="shared" si="32"/>
        <v>24</v>
      </c>
      <c r="C302" s="67"/>
      <c r="D302" s="297" t="s">
        <v>568</v>
      </c>
      <c r="E302" s="17"/>
      <c r="F302" s="896">
        <f>SUM(F284:F285)</f>
        <v>0</v>
      </c>
      <c r="G302" s="896">
        <f>SUM(G284:G285)</f>
        <v>1107719583.73</v>
      </c>
      <c r="H302" s="896">
        <f>SUM(H284:H285)</f>
        <v>0</v>
      </c>
      <c r="I302" s="22">
        <f>SUM(I284:I285)</f>
        <v>0</v>
      </c>
      <c r="J302" s="299">
        <f>SUM(F302:I302)</f>
        <v>1107719583.73</v>
      </c>
      <c r="K302" s="300"/>
      <c r="L302" s="22">
        <f t="shared" si="29"/>
        <v>1107719583.73</v>
      </c>
      <c r="M302" s="67"/>
      <c r="N302" s="839">
        <f t="shared" si="35" ref="N302:N306">J302-L302-F302</f>
        <v>0</v>
      </c>
    </row>
    <row r="303" spans="2:14" ht="15">
      <c r="B303" s="17">
        <f t="shared" si="32"/>
        <v>25</v>
      </c>
      <c r="C303" s="67"/>
      <c r="D303" s="297" t="s">
        <v>569</v>
      </c>
      <c r="E303" s="17"/>
      <c r="F303" s="896">
        <f>SUM(F286:F287)</f>
        <v>0</v>
      </c>
      <c r="G303" s="896">
        <f>SUM(G286:G287)</f>
        <v>635328009.49000001</v>
      </c>
      <c r="H303" s="896">
        <f>SUM(H286:H287)</f>
        <v>0</v>
      </c>
      <c r="I303" s="22">
        <f>SUM(I286:I287)</f>
        <v>0</v>
      </c>
      <c r="J303" s="299">
        <f>SUM(F303:I303)</f>
        <v>635328009.49000001</v>
      </c>
      <c r="K303" s="300"/>
      <c r="L303" s="22">
        <f t="shared" si="29"/>
        <v>635328009.49000001</v>
      </c>
      <c r="M303" s="67"/>
      <c r="N303" s="839">
        <f t="shared" si="35"/>
        <v>0</v>
      </c>
    </row>
    <row r="304" spans="2:14" ht="15">
      <c r="B304" s="17">
        <f t="shared" si="32"/>
        <v>26</v>
      </c>
      <c r="C304" s="67"/>
      <c r="D304" s="297" t="s">
        <v>570</v>
      </c>
      <c r="E304" s="17"/>
      <c r="F304" s="896">
        <f>SUM(F288:F289)</f>
        <v>0</v>
      </c>
      <c r="G304" s="896">
        <f>SUM(G288:G289)</f>
        <v>452193524.26999986</v>
      </c>
      <c r="H304" s="896">
        <f>SUM(H288:H289)</f>
        <v>0</v>
      </c>
      <c r="I304" s="22">
        <f>SUM(I288:I289)</f>
        <v>0</v>
      </c>
      <c r="J304" s="299">
        <f>SUM(F304:I304)</f>
        <v>452193524.26999986</v>
      </c>
      <c r="K304" s="300"/>
      <c r="L304" s="22">
        <f t="shared" si="29"/>
        <v>452193524.26999986</v>
      </c>
      <c r="M304" s="67"/>
      <c r="N304" s="839">
        <f t="shared" si="35"/>
        <v>0</v>
      </c>
    </row>
    <row r="305" spans="2:14" ht="15">
      <c r="B305" s="17">
        <f t="shared" si="32"/>
        <v>27</v>
      </c>
      <c r="C305" s="67"/>
      <c r="D305" s="297" t="s">
        <v>571</v>
      </c>
      <c r="E305" s="17"/>
      <c r="F305" s="896">
        <f>SUM(F290:F291)</f>
        <v>0</v>
      </c>
      <c r="G305" s="896">
        <f>SUM(G290:G291)</f>
        <v>578041305.75</v>
      </c>
      <c r="H305" s="896">
        <f>SUM(H290:H291)</f>
        <v>0</v>
      </c>
      <c r="I305" s="22">
        <f>SUM(I290:I291)</f>
        <v>0</v>
      </c>
      <c r="J305" s="299">
        <f>SUM(F305:I305)</f>
        <v>578041305.75</v>
      </c>
      <c r="K305" s="300"/>
      <c r="L305" s="22">
        <f t="shared" si="29"/>
        <v>578041305.75</v>
      </c>
      <c r="M305" s="67"/>
      <c r="N305" s="839">
        <f t="shared" si="35"/>
        <v>0</v>
      </c>
    </row>
    <row r="306" spans="2:14" ht="15">
      <c r="B306" s="17">
        <f t="shared" si="32"/>
        <v>28</v>
      </c>
      <c r="C306" s="67"/>
      <c r="D306" s="297" t="s">
        <v>572</v>
      </c>
      <c r="E306" s="17"/>
      <c r="F306" s="896">
        <f>SUM(F292:F294)</f>
        <v>0</v>
      </c>
      <c r="G306" s="896">
        <f>SUM(G292:G294)</f>
        <v>743686994.10000014</v>
      </c>
      <c r="H306" s="896">
        <f>SUM(H292:H294)</f>
        <v>0</v>
      </c>
      <c r="I306" s="22">
        <f>SUM(I292:I294)</f>
        <v>0</v>
      </c>
      <c r="J306" s="299">
        <f>SUM(F306:I306)</f>
        <v>743686994.10000014</v>
      </c>
      <c r="K306" s="300"/>
      <c r="L306" s="22">
        <f t="shared" si="29"/>
        <v>743686994.10000014</v>
      </c>
      <c r="M306" s="67"/>
      <c r="N306" s="839">
        <f t="shared" si="35"/>
        <v>0</v>
      </c>
    </row>
    <row r="307" spans="2:13" ht="15" thickBot="1">
      <c r="B307" s="17">
        <f t="shared" si="32"/>
        <v>29</v>
      </c>
      <c r="C307" s="67"/>
      <c r="D307" s="1"/>
      <c r="E307" s="17"/>
      <c r="F307" s="19"/>
      <c r="G307" s="19"/>
      <c r="H307" s="19"/>
      <c r="I307" s="1"/>
      <c r="J307" s="1"/>
      <c r="K307" s="1"/>
      <c r="L307" s="1"/>
      <c r="M307" s="67"/>
    </row>
    <row r="308" spans="2:14" ht="15">
      <c r="B308" s="17">
        <f t="shared" si="32"/>
        <v>30</v>
      </c>
      <c r="C308" s="303" t="s">
        <v>575</v>
      </c>
      <c r="D308" s="304"/>
      <c r="E308" s="305" t="s">
        <v>24</v>
      </c>
      <c r="F308" s="306">
        <f>F254+F266+F300</f>
        <v>3332557313.54</v>
      </c>
      <c r="G308" s="306">
        <f>G254+G266+G300</f>
        <v>5787803816.1199999</v>
      </c>
      <c r="H308" s="306">
        <f>H254+H266+H300</f>
        <v>491401280.11000001</v>
      </c>
      <c r="I308" s="306">
        <f>I254+I266+I300</f>
        <v>84146159.569999993</v>
      </c>
      <c r="J308" s="307">
        <f>SUM(F308:I308)</f>
        <v>9695908569.3400002</v>
      </c>
      <c r="K308" s="252"/>
      <c r="L308" s="308">
        <f t="shared" si="29"/>
        <v>6363351255.7999992</v>
      </c>
      <c r="M308" s="67"/>
      <c r="N308" s="839">
        <f t="shared" si="36" ref="N308:N309">J308-L308-F308</f>
        <v>0</v>
      </c>
    </row>
    <row r="309" spans="2:14" ht="15.75" thickBot="1">
      <c r="B309" s="17">
        <f t="shared" si="32"/>
        <v>31</v>
      </c>
      <c r="C309" s="309" t="s">
        <v>576</v>
      </c>
      <c r="D309" s="310"/>
      <c r="E309" s="311" t="s">
        <v>24</v>
      </c>
      <c r="F309" s="312">
        <f>F266+F300</f>
        <v>3233219867.6700001</v>
      </c>
      <c r="G309" s="312">
        <f>G266+G300</f>
        <v>5673680968.29</v>
      </c>
      <c r="H309" s="312">
        <f>H266+H300</f>
        <v>336239857.38</v>
      </c>
      <c r="I309" s="312">
        <f>I266+I300</f>
        <v>0</v>
      </c>
      <c r="J309" s="313">
        <f>SUM(F309:I309)</f>
        <v>9243140693.3399982</v>
      </c>
      <c r="K309" s="252"/>
      <c r="L309" s="314">
        <f t="shared" si="37" ref="L309:L372">SUM(G309:I309)</f>
        <v>6009920825.6700001</v>
      </c>
      <c r="M309" s="67"/>
      <c r="N309" s="839">
        <f t="shared" si="36"/>
        <v>0</v>
      </c>
    </row>
    <row r="310" spans="2:13" ht="15.75" thickBot="1">
      <c r="B310" s="17">
        <f t="shared" si="32"/>
        <v>32</v>
      </c>
      <c r="C310" s="8"/>
      <c r="D310" s="8"/>
      <c r="E310" s="20"/>
      <c r="F310" s="22"/>
      <c r="G310" s="22"/>
      <c r="H310" s="22"/>
      <c r="I310" s="22"/>
      <c r="J310" s="22"/>
      <c r="K310" s="22"/>
      <c r="L310" s="22"/>
      <c r="M310" s="67"/>
    </row>
    <row r="311" spans="2:14" ht="15">
      <c r="B311" s="17">
        <f t="shared" si="32"/>
        <v>33</v>
      </c>
      <c r="C311" s="319" t="s">
        <v>577</v>
      </c>
      <c r="D311" s="304"/>
      <c r="E311" s="320"/>
      <c r="F311" s="306">
        <f>F106-F254</f>
        <v>147968574.68000001</v>
      </c>
      <c r="G311" s="306">
        <f>G106-G254</f>
        <v>209210524.99000001</v>
      </c>
      <c r="H311" s="306">
        <f>H106-H254</f>
        <v>30140290.230000019</v>
      </c>
      <c r="I311" s="306">
        <f>I106-I254</f>
        <v>226263015.17000002</v>
      </c>
      <c r="J311" s="307">
        <f>SUM(F311:I311)</f>
        <v>613582405.07000005</v>
      </c>
      <c r="K311" s="252"/>
      <c r="L311" s="308">
        <f t="shared" si="37"/>
        <v>465613830.39000005</v>
      </c>
      <c r="M311" s="67"/>
      <c r="N311" s="839">
        <f t="shared" si="38" ref="N311:N315">J311-L311-F311</f>
        <v>0</v>
      </c>
    </row>
    <row r="312" spans="2:14" ht="15">
      <c r="B312" s="17">
        <f t="shared" si="32"/>
        <v>34</v>
      </c>
      <c r="C312" s="234" t="s">
        <v>578</v>
      </c>
      <c r="D312" s="286"/>
      <c r="E312" s="321"/>
      <c r="F312" s="322">
        <f>F118-F266</f>
        <v>9544269174.2700005</v>
      </c>
      <c r="G312" s="322">
        <f>G118-G266</f>
        <v>284690173.85000002</v>
      </c>
      <c r="H312" s="322">
        <f>H118-H266</f>
        <v>0</v>
      </c>
      <c r="I312" s="322">
        <f>I118-I266</f>
        <v>0</v>
      </c>
      <c r="J312" s="323">
        <f>SUM(F312:I312)</f>
        <v>9828959348.1200008</v>
      </c>
      <c r="K312" s="22"/>
      <c r="L312" s="324">
        <f t="shared" si="37"/>
        <v>284690173.85000002</v>
      </c>
      <c r="M312" s="67"/>
      <c r="N312" s="839">
        <f t="shared" si="38"/>
        <v>0</v>
      </c>
    </row>
    <row r="313" spans="2:15" ht="15">
      <c r="B313" s="17">
        <f t="shared" si="32"/>
        <v>35</v>
      </c>
      <c r="C313" s="234" t="s">
        <v>579</v>
      </c>
      <c r="D313" s="286"/>
      <c r="E313" s="321"/>
      <c r="F313" s="322">
        <f>F154-F300</f>
        <v>564420426.42999983</v>
      </c>
      <c r="G313" s="322">
        <f>G154-G300</f>
        <v>9042309241.5699997</v>
      </c>
      <c r="H313" s="322">
        <f>H154-H300</f>
        <v>237907625.69000006</v>
      </c>
      <c r="I313" s="322">
        <f>I154-I300</f>
        <v>0</v>
      </c>
      <c r="J313" s="325">
        <f>SUM(F313:I313)</f>
        <v>9844637293.6900005</v>
      </c>
      <c r="K313" s="252"/>
      <c r="L313" s="324">
        <f t="shared" si="37"/>
        <v>9280216867.2600002</v>
      </c>
      <c r="M313" s="67"/>
      <c r="N313" s="839">
        <f t="shared" si="38"/>
        <v>0</v>
      </c>
      <c r="O313" s="370"/>
    </row>
    <row r="314" spans="2:14" ht="15">
      <c r="B314" s="17">
        <f t="shared" si="32"/>
        <v>36</v>
      </c>
      <c r="C314" s="234" t="s">
        <v>580</v>
      </c>
      <c r="D314" s="286"/>
      <c r="E314" s="321"/>
      <c r="F314" s="322">
        <f>SUM(F312:F313)</f>
        <v>10108689600.700001</v>
      </c>
      <c r="G314" s="322">
        <f>SUM(G312:G313)</f>
        <v>9326999415.4200001</v>
      </c>
      <c r="H314" s="322">
        <f>SUM(H312:H313)</f>
        <v>237907625.69000006</v>
      </c>
      <c r="I314" s="322">
        <f>SUM(I312:I313)</f>
        <v>0</v>
      </c>
      <c r="J314" s="325">
        <f>SUM(F314:I314)</f>
        <v>19673596641.810001</v>
      </c>
      <c r="K314" s="252"/>
      <c r="L314" s="324">
        <f t="shared" si="37"/>
        <v>9564907041.1100006</v>
      </c>
      <c r="M314" s="67"/>
      <c r="N314" s="839">
        <f t="shared" si="38"/>
        <v>0</v>
      </c>
    </row>
    <row r="315" spans="2:14" ht="15.75" thickBot="1">
      <c r="B315" s="17">
        <f t="shared" si="32"/>
        <v>37</v>
      </c>
      <c r="C315" s="326" t="s">
        <v>581</v>
      </c>
      <c r="D315" s="310"/>
      <c r="E315" s="327"/>
      <c r="F315" s="312">
        <f>SUM(F311:F313)</f>
        <v>10256658175.380001</v>
      </c>
      <c r="G315" s="312">
        <f>SUM(G311:G313)</f>
        <v>9536209940.4099998</v>
      </c>
      <c r="H315" s="312">
        <f>SUM(H311:H313)</f>
        <v>268047915.92000008</v>
      </c>
      <c r="I315" s="312">
        <f>SUM(I311:I313)</f>
        <v>226263015.17000002</v>
      </c>
      <c r="J315" s="313">
        <f>SUM(F315:I315)</f>
        <v>20287179046.879997</v>
      </c>
      <c r="K315" s="252"/>
      <c r="L315" s="314">
        <f t="shared" si="37"/>
        <v>10030520871.5</v>
      </c>
      <c r="M315" s="67"/>
      <c r="N315" s="839">
        <f t="shared" si="38"/>
        <v>0</v>
      </c>
    </row>
    <row r="316" spans="2:12" ht="14.25">
      <c r="B316" s="67"/>
      <c r="C316" s="67"/>
      <c r="D316" s="67"/>
      <c r="E316" s="67"/>
      <c r="F316" s="67"/>
      <c r="G316" s="67"/>
      <c r="H316" s="67"/>
      <c r="I316" s="67"/>
      <c r="J316" s="67"/>
      <c r="K316" s="47"/>
      <c r="L316" s="47"/>
    </row>
    <row r="317" spans="2:13" ht="15">
      <c r="B317" s="874"/>
      <c r="C317" s="874"/>
      <c r="D317" s="874"/>
      <c r="E317" s="874"/>
      <c r="F317" s="874"/>
      <c r="G317" s="874"/>
      <c r="H317" s="874"/>
      <c r="I317" s="874"/>
      <c r="J317" s="874"/>
      <c r="K317" s="874"/>
      <c r="L317" s="874"/>
      <c r="M317" s="134" t="str">
        <f>$M$2</f>
        <v xml:space="preserve"> </v>
      </c>
    </row>
    <row r="318" spans="2:13" ht="15.75" thickBot="1">
      <c r="B318" s="874"/>
      <c r="C318" s="874"/>
      <c r="D318" s="874"/>
      <c r="E318" s="874"/>
      <c r="F318" s="874"/>
      <c r="G318" s="874"/>
      <c r="H318" s="874"/>
      <c r="I318" s="874"/>
      <c r="J318" s="874"/>
      <c r="K318" s="874"/>
      <c r="L318" s="874"/>
      <c r="M318" s="67"/>
    </row>
    <row r="319" spans="2:12" ht="15">
      <c r="B319" s="920" t="str">
        <f>$B$4</f>
        <v>2022 RATE CASE</v>
      </c>
      <c r="C319" s="926"/>
      <c r="D319" s="927"/>
      <c r="E319" s="874"/>
      <c r="F319" s="874"/>
      <c r="G319" s="874"/>
      <c r="H319" s="874"/>
      <c r="I319" s="874"/>
      <c r="J319" s="874"/>
      <c r="K319" s="874"/>
      <c r="L319" s="874"/>
    </row>
    <row r="320" spans="2:13" ht="15">
      <c r="B320" s="917" t="str">
        <f>$B$5</f>
        <v>ONCOR ELECTRIC DELIVERY COMPANY LLC</v>
      </c>
      <c r="C320" s="369"/>
      <c r="D320" s="928"/>
      <c r="E320" s="874"/>
      <c r="F320" s="874"/>
      <c r="G320" s="874"/>
      <c r="H320" s="874"/>
      <c r="I320" s="874"/>
      <c r="J320" s="874"/>
      <c r="K320" s="874"/>
      <c r="L320" s="874"/>
      <c r="M320" s="67"/>
    </row>
    <row r="321" spans="2:13" ht="15">
      <c r="B321" s="406" t="str">
        <f>$B$6</f>
        <v>CONSOLIDATED FUNCTIONALIZED COST OF SERVICE</v>
      </c>
      <c r="C321" s="369"/>
      <c r="D321" s="928"/>
      <c r="E321" s="874"/>
      <c r="F321" s="874"/>
      <c r="G321" s="874"/>
      <c r="H321" s="874"/>
      <c r="I321" s="874"/>
      <c r="J321" s="874"/>
      <c r="K321" s="874"/>
      <c r="L321" s="874"/>
      <c r="M321" s="67"/>
    </row>
    <row r="322" spans="2:13" ht="15.75">
      <c r="B322" s="406" t="str">
        <f>$B$7</f>
        <v>TEST YEAR ENDING 12/31/2021</v>
      </c>
      <c r="C322" s="840"/>
      <c r="D322" s="921"/>
      <c r="E322" s="67"/>
      <c r="F322" s="67"/>
      <c r="G322" s="67"/>
      <c r="H322" s="67"/>
      <c r="I322" s="67"/>
      <c r="J322" s="67"/>
      <c r="K322" s="67"/>
      <c r="L322" s="67"/>
      <c r="M322" s="67"/>
    </row>
    <row r="323" spans="2:13" ht="15">
      <c r="B323" s="406" t="str">
        <f>$B$8</f>
        <v>SPONSOR:  MATTHEW A. TROXLE</v>
      </c>
      <c r="C323" s="369"/>
      <c r="D323" s="928"/>
      <c r="E323" s="369"/>
      <c r="F323" s="369"/>
      <c r="G323" s="369"/>
      <c r="H323" s="369"/>
      <c r="I323" s="369"/>
      <c r="J323" s="369"/>
      <c r="K323" s="369"/>
      <c r="L323" s="369"/>
      <c r="M323" s="67"/>
    </row>
    <row r="324" spans="2:13" ht="15.75" thickBot="1">
      <c r="B324" s="410"/>
      <c r="C324" s="934"/>
      <c r="D324" s="622"/>
      <c r="F324" s="12"/>
      <c r="G324" s="12"/>
      <c r="H324" s="12"/>
      <c r="I324" s="12"/>
      <c r="J324" s="12"/>
      <c r="K324" s="1"/>
      <c r="L324" s="1"/>
      <c r="M324" s="67"/>
    </row>
    <row r="325" spans="2:13" ht="14.25">
      <c r="B325" s="13"/>
      <c r="C325" s="14"/>
      <c r="D325" s="14"/>
      <c r="E325" s="14"/>
      <c r="F325" s="237" t="s">
        <v>6</v>
      </c>
      <c r="G325" s="13" t="s">
        <v>7</v>
      </c>
      <c r="H325" s="13" t="s">
        <v>8</v>
      </c>
      <c r="I325" s="239" t="s">
        <v>9</v>
      </c>
      <c r="J325" s="13" t="s">
        <v>10</v>
      </c>
      <c r="K325" s="17"/>
      <c r="L325" s="139" t="s">
        <v>966</v>
      </c>
      <c r="M325" s="67"/>
    </row>
    <row r="326" spans="2:13" ht="15">
      <c r="B326" s="15" t="s">
        <v>2</v>
      </c>
      <c r="C326" s="15" t="s">
        <v>370</v>
      </c>
      <c r="D326" s="287" t="s">
        <v>582</v>
      </c>
      <c r="E326" s="15" t="s">
        <v>371</v>
      </c>
      <c r="F326" s="242"/>
      <c r="G326" s="15"/>
      <c r="H326" s="15"/>
      <c r="I326" s="15"/>
      <c r="J326" s="15"/>
      <c r="K326" s="17"/>
      <c r="L326" s="97" t="s">
        <v>967</v>
      </c>
      <c r="M326" s="67"/>
    </row>
    <row r="327" spans="2:13" ht="14.25">
      <c r="B327" s="15"/>
      <c r="C327" s="15"/>
      <c r="D327" s="15"/>
      <c r="E327" s="15"/>
      <c r="F327" s="242"/>
      <c r="G327" s="15"/>
      <c r="H327" s="15"/>
      <c r="I327" s="15"/>
      <c r="J327" s="15"/>
      <c r="K327" s="17"/>
      <c r="L327" s="97"/>
      <c r="M327" s="67"/>
    </row>
    <row r="328" spans="2:13" ht="15" thickBot="1">
      <c r="B328" s="16"/>
      <c r="C328" s="16" t="s">
        <v>13</v>
      </c>
      <c r="D328" s="16" t="s">
        <v>14</v>
      </c>
      <c r="E328" s="16" t="s">
        <v>15</v>
      </c>
      <c r="F328" s="16" t="s">
        <v>16</v>
      </c>
      <c r="G328" s="16" t="s">
        <v>17</v>
      </c>
      <c r="H328" s="16" t="s">
        <v>18</v>
      </c>
      <c r="I328" s="16" t="s">
        <v>21</v>
      </c>
      <c r="J328" s="16" t="s">
        <v>22</v>
      </c>
      <c r="K328" s="17"/>
      <c r="L328" s="1125" t="s">
        <v>418</v>
      </c>
      <c r="M328" s="67"/>
    </row>
    <row r="329" spans="2:13" ht="14.25">
      <c r="B329" s="67"/>
      <c r="C329" s="17"/>
      <c r="D329" s="17"/>
      <c r="E329" s="17"/>
      <c r="F329" s="17"/>
      <c r="G329" s="1"/>
      <c r="H329" s="17"/>
      <c r="I329" s="1"/>
      <c r="J329" s="1"/>
      <c r="K329" s="1"/>
      <c r="L329" s="1"/>
      <c r="M329" s="67"/>
    </row>
    <row r="330" spans="2:13" ht="14.25">
      <c r="B330" s="17"/>
      <c r="C330" s="1"/>
      <c r="D330" s="1"/>
      <c r="E330" s="17"/>
      <c r="F330" s="18"/>
      <c r="G330" s="18"/>
      <c r="H330" s="24"/>
      <c r="I330" s="24"/>
      <c r="J330" s="1"/>
      <c r="K330" s="1"/>
      <c r="L330" s="24"/>
      <c r="M330" s="67"/>
    </row>
    <row r="331" spans="2:13" ht="15">
      <c r="B331" s="17">
        <f t="shared" si="39" ref="B331:B354">B330+1</f>
        <v>1</v>
      </c>
      <c r="C331" s="8" t="s">
        <v>301</v>
      </c>
      <c r="D331" s="1"/>
      <c r="E331" s="20" t="s">
        <v>36</v>
      </c>
      <c r="F331" s="18"/>
      <c r="G331" s="18"/>
      <c r="H331" s="24"/>
      <c r="I331" s="1"/>
      <c r="J331" s="1"/>
      <c r="K331" s="1"/>
      <c r="L331" s="1"/>
      <c r="M331" s="67"/>
    </row>
    <row r="332" spans="2:13" ht="15">
      <c r="B332" s="17">
        <f t="shared" si="39"/>
        <v>2</v>
      </c>
      <c r="C332" s="8" t="s">
        <v>583</v>
      </c>
      <c r="D332" s="8"/>
      <c r="E332" s="20"/>
      <c r="F332" s="8"/>
      <c r="G332" s="8"/>
      <c r="H332" s="24"/>
      <c r="I332" s="8"/>
      <c r="J332" s="8"/>
      <c r="K332" s="8"/>
      <c r="L332" s="8"/>
      <c r="M332" s="67"/>
    </row>
    <row r="333" spans="2:14" s="386" customFormat="1" ht="14.25">
      <c r="B333" s="17">
        <f t="shared" si="39"/>
        <v>3</v>
      </c>
      <c r="C333" s="1" t="s">
        <v>91</v>
      </c>
      <c r="D333" s="1" t="s">
        <v>40</v>
      </c>
      <c r="E333" s="17"/>
      <c r="F333" s="1087">
        <f>'WP II-I-1.1'!F96</f>
        <v>0</v>
      </c>
      <c r="G333" s="1089">
        <f>'WP II-I-1.1'!G96</f>
        <v>0</v>
      </c>
      <c r="H333" s="1089">
        <f>'WP II-I-1.1'!H96</f>
        <v>0</v>
      </c>
      <c r="I333" s="1090">
        <f>'WP II-I-1.1'!I96</f>
        <v>0</v>
      </c>
      <c r="J333" s="290">
        <f t="shared" si="40" ref="J333:J342">SUM(F333:I333)</f>
        <v>0</v>
      </c>
      <c r="K333" s="290"/>
      <c r="L333" s="18">
        <f t="shared" si="37"/>
        <v>0</v>
      </c>
      <c r="M333" s="47"/>
      <c r="N333" s="839">
        <f t="shared" si="41" ref="N333:N354">J333-L333-F333</f>
        <v>0</v>
      </c>
    </row>
    <row r="334" spans="2:14" s="386" customFormat="1" ht="15">
      <c r="B334" s="17">
        <f t="shared" si="39"/>
        <v>4</v>
      </c>
      <c r="C334" s="1" t="s">
        <v>92</v>
      </c>
      <c r="D334" s="1" t="s">
        <v>42</v>
      </c>
      <c r="E334" s="856"/>
      <c r="F334" s="1081">
        <f>'WP II-I-1.1'!F97</f>
        <v>10107.889999999999</v>
      </c>
      <c r="G334" s="893">
        <f>'WP II-I-1.1'!G97</f>
        <v>13158.09</v>
      </c>
      <c r="H334" s="893">
        <f>'WP II-I-1.1'!H97</f>
        <v>558.58000000000004</v>
      </c>
      <c r="I334" s="1082">
        <f>'WP II-I-1.1'!I97</f>
        <v>2.0899999999999999</v>
      </c>
      <c r="J334" s="290">
        <f t="shared" si="40"/>
        <v>23826.650000000001</v>
      </c>
      <c r="K334" s="290"/>
      <c r="L334" s="18">
        <f t="shared" si="37"/>
        <v>13718.76</v>
      </c>
      <c r="M334" s="47"/>
      <c r="N334" s="839">
        <f t="shared" si="41"/>
        <v>0</v>
      </c>
    </row>
    <row r="335" spans="2:14" s="386" customFormat="1" ht="15">
      <c r="B335" s="17">
        <f t="shared" si="39"/>
        <v>5</v>
      </c>
      <c r="C335" s="1" t="s">
        <v>93</v>
      </c>
      <c r="D335" s="1" t="s">
        <v>44</v>
      </c>
      <c r="E335" s="856"/>
      <c r="F335" s="1081">
        <f>'WP II-I-1.1'!F98</f>
        <v>6701895.4199999999</v>
      </c>
      <c r="G335" s="893">
        <f>'WP II-I-1.1'!G98</f>
        <v>11904359.49</v>
      </c>
      <c r="H335" s="893">
        <f>'WP II-I-1.1'!H98</f>
        <v>2097789.6299999999</v>
      </c>
      <c r="I335" s="1082">
        <f>'WP II-I-1.1'!I98</f>
        <v>1141161.6499999999</v>
      </c>
      <c r="J335" s="290">
        <f t="shared" si="40"/>
        <v>21845206.189999998</v>
      </c>
      <c r="K335" s="290"/>
      <c r="L335" s="18">
        <f t="shared" si="37"/>
        <v>15143310.770000001</v>
      </c>
      <c r="M335" s="47"/>
      <c r="N335" s="839">
        <f t="shared" si="41"/>
        <v>0</v>
      </c>
    </row>
    <row r="336" spans="2:14" s="386" customFormat="1" ht="15">
      <c r="B336" s="17">
        <f t="shared" si="39"/>
        <v>6</v>
      </c>
      <c r="C336" s="1" t="s">
        <v>94</v>
      </c>
      <c r="D336" s="1" t="s">
        <v>95</v>
      </c>
      <c r="E336" s="856"/>
      <c r="F336" s="1081">
        <f>'WP II-I-1.1'!F99</f>
        <v>33976470.280000001</v>
      </c>
      <c r="G336" s="893">
        <f>'WP II-I-1.1'!G99</f>
        <v>43244355.240000002</v>
      </c>
      <c r="H336" s="893">
        <f>'WP II-I-1.1'!H99</f>
        <v>37302658.030000001</v>
      </c>
      <c r="I336" s="1082">
        <f>'WP II-I-1.1'!I99</f>
        <v>40970025.210000001</v>
      </c>
      <c r="J336" s="290">
        <f t="shared" si="40"/>
        <v>155493508.76000002</v>
      </c>
      <c r="K336" s="290"/>
      <c r="L336" s="18">
        <f t="shared" si="37"/>
        <v>121517038.48000002</v>
      </c>
      <c r="M336" s="47"/>
      <c r="N336" s="839">
        <f t="shared" si="41"/>
        <v>0</v>
      </c>
    </row>
    <row r="337" spans="2:14" s="386" customFormat="1" ht="15">
      <c r="B337" s="17">
        <f t="shared" si="39"/>
        <v>7</v>
      </c>
      <c r="C337" s="1" t="s">
        <v>96</v>
      </c>
      <c r="D337" s="1" t="s">
        <v>98</v>
      </c>
      <c r="E337" s="856"/>
      <c r="F337" s="1081">
        <f>'WP II-I-1.1'!F100</f>
        <v>1936739.25</v>
      </c>
      <c r="G337" s="893">
        <f>'WP II-I-1.1'!G100</f>
        <v>2889835.1699999999</v>
      </c>
      <c r="H337" s="893">
        <f>'WP II-I-1.1'!H100</f>
        <v>0</v>
      </c>
      <c r="I337" s="1082">
        <f>'WP II-I-1.1'!I100</f>
        <v>0</v>
      </c>
      <c r="J337" s="290">
        <f t="shared" si="40"/>
        <v>4826574.4199999999</v>
      </c>
      <c r="K337" s="290"/>
      <c r="L337" s="18">
        <f t="shared" si="37"/>
        <v>2889835.1699999999</v>
      </c>
      <c r="M337" s="47"/>
      <c r="N337" s="839">
        <f t="shared" si="41"/>
        <v>0</v>
      </c>
    </row>
    <row r="338" spans="2:14" s="386" customFormat="1" ht="15">
      <c r="B338" s="17">
        <f t="shared" si="39"/>
        <v>8</v>
      </c>
      <c r="C338" s="1" t="s">
        <v>99</v>
      </c>
      <c r="D338" s="1" t="s">
        <v>548</v>
      </c>
      <c r="E338" s="856"/>
      <c r="F338" s="1081">
        <f>'WP II-I-1.1'!F101</f>
        <v>237481.10000000001</v>
      </c>
      <c r="G338" s="893">
        <f>'WP II-I-1.1'!G101</f>
        <v>642515.64000000001</v>
      </c>
      <c r="H338" s="893">
        <f>'WP II-I-1.1'!H101</f>
        <v>114472.84</v>
      </c>
      <c r="I338" s="1082">
        <f>'WP II-I-1.1'!I101</f>
        <v>0</v>
      </c>
      <c r="J338" s="290">
        <f t="shared" si="40"/>
        <v>994469.57999999996</v>
      </c>
      <c r="K338" s="290"/>
      <c r="L338" s="18">
        <f t="shared" si="37"/>
        <v>756988.47999999998</v>
      </c>
      <c r="M338" s="47"/>
      <c r="N338" s="839">
        <f t="shared" si="41"/>
        <v>0</v>
      </c>
    </row>
    <row r="339" spans="2:14" s="386" customFormat="1" ht="15">
      <c r="B339" s="17">
        <f t="shared" si="39"/>
        <v>9</v>
      </c>
      <c r="C339" s="1" t="s">
        <v>101</v>
      </c>
      <c r="D339" s="1" t="s">
        <v>549</v>
      </c>
      <c r="E339" s="856"/>
      <c r="F339" s="1081">
        <f>'WP II-I-1.1'!F102</f>
        <v>5850179.9900000002</v>
      </c>
      <c r="G339" s="893">
        <f>'WP II-I-1.1'!G102</f>
        <v>10062139.470000001</v>
      </c>
      <c r="H339" s="893">
        <f>'WP II-I-1.1'!H102</f>
        <v>959169.15000000002</v>
      </c>
      <c r="I339" s="1082">
        <f>'WP II-I-1.1'!I102</f>
        <v>0</v>
      </c>
      <c r="J339" s="290">
        <f t="shared" si="40"/>
        <v>16871488.609999999</v>
      </c>
      <c r="K339" s="290"/>
      <c r="L339" s="18">
        <f t="shared" si="37"/>
        <v>11021308.620000001</v>
      </c>
      <c r="M339" s="47"/>
      <c r="N339" s="839">
        <f t="shared" si="41"/>
        <v>0</v>
      </c>
    </row>
    <row r="340" spans="2:14" s="386" customFormat="1" ht="15">
      <c r="B340" s="17">
        <f t="shared" si="39"/>
        <v>10</v>
      </c>
      <c r="C340" s="1" t="s">
        <v>103</v>
      </c>
      <c r="D340" s="1" t="s">
        <v>104</v>
      </c>
      <c r="E340" s="856"/>
      <c r="F340" s="1081">
        <f>'WP II-I-1.1'!F103</f>
        <v>4825932.71</v>
      </c>
      <c r="G340" s="893">
        <f>'WP II-I-1.1'!G103</f>
        <v>2811643.6499999999</v>
      </c>
      <c r="H340" s="893">
        <f>'WP II-I-1.1'!H103</f>
        <v>592509.96999999997</v>
      </c>
      <c r="I340" s="1082">
        <f>'WP II-I-1.1'!I103</f>
        <v>0</v>
      </c>
      <c r="J340" s="290">
        <f t="shared" si="40"/>
        <v>8230086.3299999991</v>
      </c>
      <c r="K340" s="290"/>
      <c r="L340" s="18">
        <f t="shared" si="37"/>
        <v>3404153.6200000001</v>
      </c>
      <c r="M340" s="47"/>
      <c r="N340" s="839">
        <f t="shared" si="41"/>
        <v>0</v>
      </c>
    </row>
    <row r="341" spans="2:14" s="386" customFormat="1" ht="16.5">
      <c r="B341" s="17">
        <f t="shared" si="39"/>
        <v>11</v>
      </c>
      <c r="C341" s="1" t="s">
        <v>105</v>
      </c>
      <c r="D341" s="1" t="s">
        <v>106</v>
      </c>
      <c r="E341" s="856"/>
      <c r="F341" s="1083">
        <f>'WP II-I-1.1'!F104</f>
        <v>1344996.8899999999</v>
      </c>
      <c r="G341" s="1084">
        <f>'WP II-I-1.1'!G104</f>
        <v>2373053.8799999999</v>
      </c>
      <c r="H341" s="1084">
        <f>'WP II-I-1.1'!H104</f>
        <v>289556.78000000003</v>
      </c>
      <c r="I341" s="1085">
        <f>'WP II-I-1.1'!I104</f>
        <v>0</v>
      </c>
      <c r="J341" s="302">
        <f t="shared" si="40"/>
        <v>4007607.5499999998</v>
      </c>
      <c r="K341" s="302"/>
      <c r="L341" s="296">
        <f t="shared" si="37"/>
        <v>2662610.6600000001</v>
      </c>
      <c r="M341" s="47"/>
      <c r="N341" s="839">
        <f t="shared" si="41"/>
        <v>0</v>
      </c>
    </row>
    <row r="342" spans="2:14" s="386" customFormat="1" ht="15">
      <c r="B342" s="17">
        <f t="shared" si="39"/>
        <v>12</v>
      </c>
      <c r="C342" s="8"/>
      <c r="D342" s="297" t="s">
        <v>491</v>
      </c>
      <c r="E342" s="856"/>
      <c r="F342" s="298">
        <f>SUM(F333:F341)</f>
        <v>54883803.530000009</v>
      </c>
      <c r="G342" s="298">
        <f>SUM(G333:G341)</f>
        <v>73941060.63000001</v>
      </c>
      <c r="H342" s="298">
        <f>SUM(H333:H341)</f>
        <v>41356714.980000004</v>
      </c>
      <c r="I342" s="298">
        <f>SUM(I333:I341)</f>
        <v>42111188.950000003</v>
      </c>
      <c r="J342" s="300">
        <f t="shared" si="40"/>
        <v>212292768.09000003</v>
      </c>
      <c r="K342" s="300"/>
      <c r="L342" s="298">
        <f t="shared" si="37"/>
        <v>157408964.56</v>
      </c>
      <c r="M342" s="47"/>
      <c r="N342" s="839">
        <f t="shared" si="41"/>
        <v>0</v>
      </c>
    </row>
    <row r="343" spans="2:13" ht="15">
      <c r="B343" s="17">
        <f t="shared" si="39"/>
        <v>13</v>
      </c>
      <c r="C343" s="1"/>
      <c r="D343" s="297"/>
      <c r="E343" s="20"/>
      <c r="F343" s="22"/>
      <c r="G343" s="22"/>
      <c r="H343" s="22"/>
      <c r="I343" s="22"/>
      <c r="J343" s="19"/>
      <c r="K343" s="19"/>
      <c r="L343" s="22"/>
      <c r="M343" s="67"/>
    </row>
    <row r="344" spans="2:15" s="386" customFormat="1" ht="15">
      <c r="B344" s="17">
        <f t="shared" si="39"/>
        <v>14</v>
      </c>
      <c r="C344" s="1" t="s">
        <v>107</v>
      </c>
      <c r="D344" s="1" t="s">
        <v>108</v>
      </c>
      <c r="E344" s="856"/>
      <c r="F344" s="1087">
        <f>'WP II-I-1.1'!F105</f>
        <v>11568805.460000001</v>
      </c>
      <c r="G344" s="1089">
        <f>'WP II-I-1.1'!G105</f>
        <v>7510868.3600000003</v>
      </c>
      <c r="H344" s="1089">
        <f>'WP II-I-1.1'!H105</f>
        <v>42151878.130000003</v>
      </c>
      <c r="I344" s="1090">
        <f>'WP II-I-1.1'!I105</f>
        <v>274004.38</v>
      </c>
      <c r="J344" s="290">
        <f>SUM(F344:I344)</f>
        <v>61505556.330000006</v>
      </c>
      <c r="K344" s="290"/>
      <c r="L344" s="18">
        <f t="shared" si="37"/>
        <v>49936750.870000005</v>
      </c>
      <c r="M344" s="47"/>
      <c r="N344" s="839">
        <f t="shared" si="41"/>
        <v>0</v>
      </c>
      <c r="O344" s="839">
        <f>'WP II-I-1.1'!$J$105-J344</f>
        <v>0</v>
      </c>
    </row>
    <row r="345" spans="2:15" s="386" customFormat="1" ht="15">
      <c r="B345" s="17">
        <f t="shared" si="39"/>
        <v>15</v>
      </c>
      <c r="C345" s="1" t="s">
        <v>110</v>
      </c>
      <c r="D345" s="1" t="s">
        <v>550</v>
      </c>
      <c r="E345" s="856"/>
      <c r="F345" s="1081">
        <f>'WP II-I-1.1'!F106</f>
        <v>574284.68999999994</v>
      </c>
      <c r="G345" s="893">
        <f>'WP II-I-1.1'!G106</f>
        <v>565246.04000000004</v>
      </c>
      <c r="H345" s="893">
        <f>'WP II-I-1.1'!H106</f>
        <v>116093.88000000001</v>
      </c>
      <c r="I345" s="1082">
        <f>'WP II-I-1.1'!I106</f>
        <v>0</v>
      </c>
      <c r="J345" s="290">
        <f>SUM(F345:I345)</f>
        <v>1255624.6099999999</v>
      </c>
      <c r="K345" s="290"/>
      <c r="L345" s="18">
        <f t="shared" si="37"/>
        <v>681339.92000000004</v>
      </c>
      <c r="M345" s="47"/>
      <c r="N345" s="839">
        <f t="shared" si="41"/>
        <v>0</v>
      </c>
      <c r="O345" s="839">
        <f>'WP II-I-1.1'!$J$106-J345</f>
        <v>0</v>
      </c>
    </row>
    <row r="346" spans="2:15" s="386" customFormat="1" ht="16.5">
      <c r="B346" s="17">
        <f t="shared" si="39"/>
        <v>16</v>
      </c>
      <c r="C346" s="1" t="s">
        <v>112</v>
      </c>
      <c r="D346" s="1" t="s">
        <v>584</v>
      </c>
      <c r="E346" s="856"/>
      <c r="F346" s="1083">
        <f>'WP II-I-1.1'!F107</f>
        <v>0</v>
      </c>
      <c r="G346" s="1084">
        <f>'WP II-I-1.1'!G107</f>
        <v>0</v>
      </c>
      <c r="H346" s="1084">
        <f>'WP II-I-1.1'!H107</f>
        <v>0</v>
      </c>
      <c r="I346" s="1085">
        <f>'WP II-I-1.1'!I107</f>
        <v>0</v>
      </c>
      <c r="J346" s="302">
        <f>SUM(F346:I346)</f>
        <v>0</v>
      </c>
      <c r="K346" s="302"/>
      <c r="L346" s="296">
        <f t="shared" si="37"/>
        <v>0</v>
      </c>
      <c r="M346" s="47"/>
      <c r="N346" s="839">
        <f t="shared" si="41"/>
        <v>0</v>
      </c>
      <c r="O346" s="839">
        <f>'WP II-I-1.1'!$J$107-J346</f>
        <v>0</v>
      </c>
    </row>
    <row r="347" spans="2:15" ht="15">
      <c r="B347" s="17">
        <f t="shared" si="39"/>
        <v>17</v>
      </c>
      <c r="C347" s="8"/>
      <c r="D347" s="297" t="s">
        <v>491</v>
      </c>
      <c r="E347" s="20"/>
      <c r="F347" s="22">
        <f>SUM(F344:F346)</f>
        <v>12143090.15</v>
      </c>
      <c r="G347" s="22">
        <f>SUM(G344:G346)</f>
        <v>8076114.4000000004</v>
      </c>
      <c r="H347" s="22">
        <f>SUM(H344:H346)</f>
        <v>42267972.010000005</v>
      </c>
      <c r="I347" s="22">
        <f>SUM(I344:I346)</f>
        <v>274004.38</v>
      </c>
      <c r="J347" s="299">
        <f>SUM(F347:I347)</f>
        <v>62761180.940000005</v>
      </c>
      <c r="K347" s="300"/>
      <c r="L347" s="22">
        <f t="shared" si="37"/>
        <v>50618090.790000007</v>
      </c>
      <c r="M347" s="67"/>
      <c r="N347" s="839">
        <f t="shared" si="41"/>
        <v>0</v>
      </c>
      <c r="O347" s="839"/>
    </row>
    <row r="348" spans="2:13" ht="15" thickBot="1">
      <c r="B348" s="17">
        <f t="shared" si="39"/>
        <v>18</v>
      </c>
      <c r="C348" s="1"/>
      <c r="D348" s="1"/>
      <c r="E348" s="17"/>
      <c r="F348" s="18"/>
      <c r="G348" s="18"/>
      <c r="H348" s="24"/>
      <c r="I348" s="1"/>
      <c r="J348" s="1"/>
      <c r="K348" s="1"/>
      <c r="L348" s="1"/>
      <c r="M348" s="67"/>
    </row>
    <row r="349" spans="2:14" ht="15">
      <c r="B349" s="17">
        <f t="shared" si="39"/>
        <v>19</v>
      </c>
      <c r="C349" s="319" t="s">
        <v>585</v>
      </c>
      <c r="D349" s="304"/>
      <c r="E349" s="305"/>
      <c r="F349" s="328">
        <f>+F347+F342</f>
        <v>67026893.680000007</v>
      </c>
      <c r="G349" s="328">
        <f>+G347+G342</f>
        <v>82017175.030000016</v>
      </c>
      <c r="H349" s="328">
        <f>+H347+H342</f>
        <v>83624686.99000001</v>
      </c>
      <c r="I349" s="328">
        <f>+I347+I342</f>
        <v>42385193.330000006</v>
      </c>
      <c r="J349" s="307">
        <f>SUM(F349:I349)</f>
        <v>275053949.03000003</v>
      </c>
      <c r="K349" s="252"/>
      <c r="L349" s="329">
        <f t="shared" si="37"/>
        <v>208027055.35000005</v>
      </c>
      <c r="M349" s="67"/>
      <c r="N349" s="839">
        <f t="shared" si="41"/>
        <v>0</v>
      </c>
    </row>
    <row r="350" spans="2:14" ht="15.75" thickBot="1">
      <c r="B350" s="17">
        <f t="shared" si="39"/>
        <v>20</v>
      </c>
      <c r="C350" s="326" t="s">
        <v>586</v>
      </c>
      <c r="D350" s="310"/>
      <c r="E350" s="327"/>
      <c r="F350" s="312">
        <f>+F214-F349</f>
        <v>247086907.43000001</v>
      </c>
      <c r="G350" s="312">
        <f>+G214-G349</f>
        <v>309452773.04000002</v>
      </c>
      <c r="H350" s="312">
        <f>+H214-H349</f>
        <v>66790795.659999967</v>
      </c>
      <c r="I350" s="312">
        <f>+I214-I349</f>
        <v>59270457.04999999</v>
      </c>
      <c r="J350" s="313">
        <f>SUM(F350:I350)</f>
        <v>682600933.17999995</v>
      </c>
      <c r="K350" s="252"/>
      <c r="L350" s="314">
        <f t="shared" si="37"/>
        <v>435514025.75</v>
      </c>
      <c r="M350" s="67"/>
      <c r="N350" s="839">
        <f t="shared" si="41"/>
        <v>0</v>
      </c>
    </row>
    <row r="351" spans="2:14" ht="15" thickBot="1">
      <c r="B351" s="17">
        <f t="shared" si="39"/>
        <v>21</v>
      </c>
      <c r="C351" s="1"/>
      <c r="D351" s="31"/>
      <c r="E351" s="330"/>
      <c r="F351" s="18"/>
      <c r="G351" s="18"/>
      <c r="H351" s="18"/>
      <c r="I351" s="18"/>
      <c r="J351" s="18"/>
      <c r="K351" s="18"/>
      <c r="L351" s="18"/>
      <c r="M351" s="67"/>
      <c r="N351" s="839"/>
    </row>
    <row r="352" spans="2:14" ht="15.75" thickBot="1">
      <c r="B352" s="17">
        <f t="shared" si="39"/>
        <v>22</v>
      </c>
      <c r="C352" s="284" t="s">
        <v>587</v>
      </c>
      <c r="D352" s="285"/>
      <c r="E352" s="331"/>
      <c r="F352" s="255">
        <f>F350+F315</f>
        <v>10503745082.810001</v>
      </c>
      <c r="G352" s="255">
        <f>G350+G315</f>
        <v>9845662713.4500008</v>
      </c>
      <c r="H352" s="255">
        <f>H350+H315</f>
        <v>334838711.58000004</v>
      </c>
      <c r="I352" s="255">
        <f>I350+I315</f>
        <v>285533472.22000003</v>
      </c>
      <c r="J352" s="256">
        <f>SUM(F352:I352)</f>
        <v>20969779980.060005</v>
      </c>
      <c r="K352" s="252"/>
      <c r="L352" s="257">
        <f t="shared" si="37"/>
        <v>10466034897.25</v>
      </c>
      <c r="M352" s="67"/>
      <c r="N352" s="839">
        <f t="shared" si="41"/>
        <v>0</v>
      </c>
    </row>
    <row r="353" spans="2:14" ht="15.75" thickBot="1">
      <c r="B353" s="17">
        <f t="shared" si="39"/>
        <v>23</v>
      </c>
      <c r="C353" s="8"/>
      <c r="D353" s="8"/>
      <c r="E353" s="297"/>
      <c r="F353" s="22"/>
      <c r="G353" s="22"/>
      <c r="H353" s="22"/>
      <c r="I353" s="22"/>
      <c r="J353" s="22"/>
      <c r="K353" s="22"/>
      <c r="L353" s="22"/>
      <c r="M353" s="67"/>
      <c r="N353" s="839"/>
    </row>
    <row r="354" spans="2:14" ht="15.75" thickBot="1">
      <c r="B354" s="17">
        <f t="shared" si="39"/>
        <v>24</v>
      </c>
      <c r="C354" s="284" t="s">
        <v>588</v>
      </c>
      <c r="D354" s="285"/>
      <c r="E354" s="331"/>
      <c r="F354" s="255">
        <f>F350+F314</f>
        <v>10355776508.130001</v>
      </c>
      <c r="G354" s="255">
        <f>G350+G314</f>
        <v>9636452188.460001</v>
      </c>
      <c r="H354" s="255">
        <f>H350+H314</f>
        <v>304698421.35000002</v>
      </c>
      <c r="I354" s="255">
        <f>I350+I314</f>
        <v>59270457.04999999</v>
      </c>
      <c r="J354" s="256">
        <f>SUM(F354:I354)</f>
        <v>20356197574.990002</v>
      </c>
      <c r="K354" s="252"/>
      <c r="L354" s="257">
        <f t="shared" si="37"/>
        <v>10000421066.860001</v>
      </c>
      <c r="M354" s="67"/>
      <c r="N354" s="839">
        <f t="shared" si="41"/>
        <v>0</v>
      </c>
    </row>
    <row r="355" spans="2:13" ht="14.25">
      <c r="B355" s="67"/>
      <c r="C355" s="67"/>
      <c r="D355" s="67"/>
      <c r="E355" s="67"/>
      <c r="F355" s="67"/>
      <c r="G355" s="67"/>
      <c r="H355" s="67"/>
      <c r="I355" s="67"/>
      <c r="J355" s="67"/>
      <c r="K355" s="47"/>
      <c r="L355" s="47"/>
      <c r="M355" s="67"/>
    </row>
    <row r="356" spans="2:13" ht="15">
      <c r="B356" s="874"/>
      <c r="C356" s="874"/>
      <c r="D356" s="874"/>
      <c r="E356" s="874"/>
      <c r="F356" s="874"/>
      <c r="G356" s="874"/>
      <c r="H356" s="874"/>
      <c r="I356" s="874"/>
      <c r="J356" s="874"/>
      <c r="K356" s="874"/>
      <c r="L356" s="874"/>
      <c r="M356" s="134" t="str">
        <f>$M$2</f>
        <v xml:space="preserve"> </v>
      </c>
    </row>
    <row r="357" spans="2:13" ht="15.75" thickBot="1">
      <c r="B357" s="874"/>
      <c r="C357" s="874"/>
      <c r="D357" s="874"/>
      <c r="E357" s="874"/>
      <c r="F357" s="874"/>
      <c r="G357" s="874"/>
      <c r="H357" s="874"/>
      <c r="I357" s="874"/>
      <c r="J357" s="874"/>
      <c r="K357" s="874"/>
      <c r="L357" s="874"/>
      <c r="M357" s="67"/>
    </row>
    <row r="358" spans="2:12" ht="15">
      <c r="B358" s="920" t="str">
        <f>$B$4</f>
        <v>2022 RATE CASE</v>
      </c>
      <c r="C358" s="926"/>
      <c r="D358" s="927"/>
      <c r="E358" s="874"/>
      <c r="F358" s="874"/>
      <c r="G358" s="874"/>
      <c r="H358" s="874"/>
      <c r="I358" s="874"/>
      <c r="J358" s="874"/>
      <c r="K358" s="874"/>
      <c r="L358" s="874"/>
    </row>
    <row r="359" spans="2:13" ht="15">
      <c r="B359" s="917" t="str">
        <f>$B$5</f>
        <v>ONCOR ELECTRIC DELIVERY COMPANY LLC</v>
      </c>
      <c r="C359" s="369"/>
      <c r="D359" s="928"/>
      <c r="E359" s="874"/>
      <c r="F359" s="874"/>
      <c r="G359" s="874"/>
      <c r="H359" s="874"/>
      <c r="I359" s="874"/>
      <c r="J359" s="874"/>
      <c r="K359" s="874"/>
      <c r="L359" s="874"/>
      <c r="M359" s="67"/>
    </row>
    <row r="360" spans="2:13" ht="15">
      <c r="B360" s="406" t="str">
        <f>$B$6</f>
        <v>CONSOLIDATED FUNCTIONALIZED COST OF SERVICE</v>
      </c>
      <c r="C360" s="369"/>
      <c r="D360" s="928"/>
      <c r="E360" s="874"/>
      <c r="F360" s="874"/>
      <c r="G360" s="874"/>
      <c r="H360" s="874"/>
      <c r="I360" s="874"/>
      <c r="J360" s="874"/>
      <c r="K360" s="874"/>
      <c r="L360" s="874"/>
      <c r="M360" s="67"/>
    </row>
    <row r="361" spans="2:13" ht="15">
      <c r="B361" s="406" t="str">
        <f>$B$7</f>
        <v>TEST YEAR ENDING 12/31/2021</v>
      </c>
      <c r="C361" s="369"/>
      <c r="D361" s="928"/>
      <c r="E361" s="369"/>
      <c r="F361" s="369"/>
      <c r="G361" s="369"/>
      <c r="H361" s="369"/>
      <c r="I361" s="369"/>
      <c r="J361" s="369"/>
      <c r="K361" s="369"/>
      <c r="L361" s="369"/>
      <c r="M361" s="67"/>
    </row>
    <row r="362" spans="2:13" ht="15">
      <c r="B362" s="406" t="str">
        <f>$B$8</f>
        <v>SPONSOR:  MATTHEW A. TROXLE</v>
      </c>
      <c r="C362" s="369"/>
      <c r="D362" s="928"/>
      <c r="E362" s="369"/>
      <c r="F362" s="369"/>
      <c r="G362" s="369"/>
      <c r="H362" s="369"/>
      <c r="I362" s="369"/>
      <c r="J362" s="369"/>
      <c r="K362" s="369"/>
      <c r="L362" s="369"/>
      <c r="M362" s="67"/>
    </row>
    <row r="363" spans="2:13" ht="15.75" thickBot="1">
      <c r="B363" s="410"/>
      <c r="C363" s="931"/>
      <c r="D363" s="932"/>
      <c r="E363" s="369"/>
      <c r="F363" s="369"/>
      <c r="G363" s="369"/>
      <c r="H363" s="369"/>
      <c r="I363" s="369"/>
      <c r="J363" s="369"/>
      <c r="K363" s="369"/>
      <c r="L363" s="369"/>
      <c r="M363" s="67"/>
    </row>
    <row r="364" spans="2:13" ht="14.25">
      <c r="B364" s="13"/>
      <c r="C364" s="14"/>
      <c r="D364" s="14"/>
      <c r="E364" s="14"/>
      <c r="F364" s="237" t="s">
        <v>6</v>
      </c>
      <c r="G364" s="13" t="s">
        <v>7</v>
      </c>
      <c r="H364" s="13" t="s">
        <v>8</v>
      </c>
      <c r="I364" s="239" t="s">
        <v>9</v>
      </c>
      <c r="J364" s="13" t="s">
        <v>10</v>
      </c>
      <c r="K364" s="17"/>
      <c r="L364" s="139" t="s">
        <v>966</v>
      </c>
      <c r="M364" s="67"/>
    </row>
    <row r="365" spans="2:13" ht="15">
      <c r="B365" s="15" t="s">
        <v>2</v>
      </c>
      <c r="C365" s="15" t="s">
        <v>370</v>
      </c>
      <c r="D365" s="287" t="s">
        <v>118</v>
      </c>
      <c r="E365" s="15" t="s">
        <v>371</v>
      </c>
      <c r="F365" s="242"/>
      <c r="G365" s="15"/>
      <c r="H365" s="15"/>
      <c r="I365" s="15"/>
      <c r="J365" s="15"/>
      <c r="K365" s="17"/>
      <c r="L365" s="97" t="s">
        <v>967</v>
      </c>
      <c r="M365" s="67"/>
    </row>
    <row r="366" spans="2:13" ht="14.25">
      <c r="B366" s="15"/>
      <c r="C366" s="15"/>
      <c r="D366" s="15"/>
      <c r="E366" s="15"/>
      <c r="F366" s="242"/>
      <c r="G366" s="15"/>
      <c r="H366" s="15"/>
      <c r="I366" s="15"/>
      <c r="J366" s="15"/>
      <c r="K366" s="17"/>
      <c r="L366" s="97"/>
      <c r="M366" s="67"/>
    </row>
    <row r="367" spans="2:13" ht="15" thickBot="1">
      <c r="B367" s="16"/>
      <c r="C367" s="16" t="s">
        <v>13</v>
      </c>
      <c r="D367" s="16" t="s">
        <v>14</v>
      </c>
      <c r="E367" s="16" t="s">
        <v>15</v>
      </c>
      <c r="F367" s="16" t="s">
        <v>16</v>
      </c>
      <c r="G367" s="16" t="s">
        <v>17</v>
      </c>
      <c r="H367" s="16" t="s">
        <v>18</v>
      </c>
      <c r="I367" s="16" t="s">
        <v>21</v>
      </c>
      <c r="J367" s="16" t="s">
        <v>22</v>
      </c>
      <c r="K367" s="17"/>
      <c r="L367" s="1125" t="s">
        <v>418</v>
      </c>
      <c r="M367" s="67"/>
    </row>
    <row r="368" spans="2:13" ht="14.25">
      <c r="B368" s="67"/>
      <c r="C368" s="333"/>
      <c r="D368" s="333"/>
      <c r="E368" s="333"/>
      <c r="F368" s="333"/>
      <c r="G368" s="333"/>
      <c r="H368" s="333"/>
      <c r="I368" s="43"/>
      <c r="J368" s="43"/>
      <c r="K368" s="43"/>
      <c r="L368" s="43"/>
      <c r="M368" s="67"/>
    </row>
    <row r="369" spans="2:13" ht="15">
      <c r="B369" s="17">
        <f t="shared" si="42" ref="B369:B374">B368+1</f>
        <v>1</v>
      </c>
      <c r="C369" s="334" t="s">
        <v>115</v>
      </c>
      <c r="D369" s="36"/>
      <c r="E369" s="37"/>
      <c r="F369" s="39"/>
      <c r="G369" s="36"/>
      <c r="H369" s="36"/>
      <c r="I369" s="36"/>
      <c r="J369" s="36"/>
      <c r="K369" s="36"/>
      <c r="L369" s="36"/>
      <c r="M369" s="67"/>
    </row>
    <row r="370" spans="2:13" ht="15">
      <c r="B370" s="17">
        <f t="shared" si="42"/>
        <v>2</v>
      </c>
      <c r="C370" s="334"/>
      <c r="D370" s="43"/>
      <c r="E370" s="263"/>
      <c r="F370" s="263"/>
      <c r="G370" s="43"/>
      <c r="H370" s="43"/>
      <c r="I370" s="43"/>
      <c r="J370" s="43"/>
      <c r="K370" s="43"/>
      <c r="L370" s="43"/>
      <c r="M370" s="67"/>
    </row>
    <row r="371" spans="2:15" s="386" customFormat="1" ht="16.5">
      <c r="B371" s="17">
        <f t="shared" si="42"/>
        <v>3</v>
      </c>
      <c r="C371" s="43" t="s">
        <v>589</v>
      </c>
      <c r="D371" s="43" t="s">
        <v>118</v>
      </c>
      <c r="E371" s="38" t="s">
        <v>119</v>
      </c>
      <c r="F371" s="1093">
        <f>'WP II-I-1.1'!F112</f>
        <v>21469068.16</v>
      </c>
      <c r="G371" s="1094">
        <f>'WP II-I-1.1'!G112</f>
        <v>1745979.3400000001</v>
      </c>
      <c r="H371" s="1094">
        <f>'WP II-I-1.1'!H112</f>
        <v>0</v>
      </c>
      <c r="I371" s="1095">
        <f>'WP II-I-1.1'!I112</f>
        <v>0</v>
      </c>
      <c r="J371" s="302">
        <f>SUM(F371:I371)</f>
        <v>23215047.5</v>
      </c>
      <c r="K371" s="302"/>
      <c r="L371" s="296">
        <f t="shared" si="37"/>
        <v>1745979.3400000001</v>
      </c>
      <c r="M371" s="47"/>
      <c r="N371" s="839">
        <f t="shared" si="43" ref="N371:N374">J371-L371-F371</f>
        <v>0</v>
      </c>
      <c r="O371" s="839">
        <f>'WP II-I-1.1'!$J$112-J371</f>
        <v>0</v>
      </c>
    </row>
    <row r="372" spans="2:14" ht="15">
      <c r="B372" s="17">
        <f t="shared" si="42"/>
        <v>4</v>
      </c>
      <c r="C372" s="36"/>
      <c r="D372" s="44" t="s">
        <v>491</v>
      </c>
      <c r="E372" s="39"/>
      <c r="F372" s="39">
        <f>+F371</f>
        <v>21469068.16</v>
      </c>
      <c r="G372" s="39">
        <f>+G371</f>
        <v>1745979.3400000001</v>
      </c>
      <c r="H372" s="39">
        <f>+H371</f>
        <v>0</v>
      </c>
      <c r="I372" s="39">
        <f>+I371</f>
        <v>0</v>
      </c>
      <c r="J372" s="299">
        <f>SUM(F372:I372)</f>
        <v>23215047.5</v>
      </c>
      <c r="K372" s="300"/>
      <c r="L372" s="898">
        <f t="shared" si="37"/>
        <v>1745979.3400000001</v>
      </c>
      <c r="M372" s="67"/>
      <c r="N372" s="839">
        <f t="shared" si="43"/>
        <v>0</v>
      </c>
    </row>
    <row r="373" spans="2:13" ht="15" thickBot="1">
      <c r="B373" s="17">
        <f t="shared" si="42"/>
        <v>5</v>
      </c>
      <c r="C373" s="43"/>
      <c r="D373" s="43"/>
      <c r="E373" s="263"/>
      <c r="F373" s="263"/>
      <c r="G373" s="43"/>
      <c r="H373" s="43"/>
      <c r="I373" s="43"/>
      <c r="J373" s="43"/>
      <c r="K373" s="43"/>
      <c r="L373" s="43"/>
      <c r="M373" s="67"/>
    </row>
    <row r="374" spans="2:14" ht="15.75" thickBot="1">
      <c r="B374" s="17">
        <f t="shared" si="42"/>
        <v>6</v>
      </c>
      <c r="C374" s="335" t="s">
        <v>590</v>
      </c>
      <c r="D374" s="336"/>
      <c r="E374" s="337" t="s">
        <v>119</v>
      </c>
      <c r="F374" s="278">
        <f>+F372</f>
        <v>21469068.16</v>
      </c>
      <c r="G374" s="278">
        <f>+G372</f>
        <v>1745979.3400000001</v>
      </c>
      <c r="H374" s="278">
        <f>+H372</f>
        <v>0</v>
      </c>
      <c r="I374" s="278">
        <f>+I372</f>
        <v>0</v>
      </c>
      <c r="J374" s="256">
        <f>SUM(F374:I374)</f>
        <v>23215047.5</v>
      </c>
      <c r="K374" s="252"/>
      <c r="L374" s="280">
        <f t="shared" si="44" ref="L374:L421">SUM(G374:I374)</f>
        <v>1745979.3400000001</v>
      </c>
      <c r="M374" s="67"/>
      <c r="N374" s="839">
        <f t="shared" si="43"/>
        <v>0</v>
      </c>
    </row>
    <row r="375" spans="2:13" ht="14.25">
      <c r="B375" s="67"/>
      <c r="C375" s="67"/>
      <c r="D375" s="67"/>
      <c r="E375" s="67"/>
      <c r="F375" s="67"/>
      <c r="G375" s="67"/>
      <c r="H375" s="67"/>
      <c r="I375" s="67"/>
      <c r="J375" s="67"/>
      <c r="K375" s="47"/>
      <c r="L375" s="47"/>
      <c r="M375" s="67"/>
    </row>
    <row r="376" spans="2:13" ht="15">
      <c r="B376" s="874"/>
      <c r="C376" s="874"/>
      <c r="D376" s="874"/>
      <c r="E376" s="874"/>
      <c r="F376" s="874"/>
      <c r="G376" s="874"/>
      <c r="H376" s="874"/>
      <c r="I376" s="874"/>
      <c r="J376" s="874"/>
      <c r="K376" s="874"/>
      <c r="L376" s="874"/>
      <c r="M376" s="134" t="str">
        <f>$M$2</f>
        <v xml:space="preserve"> </v>
      </c>
    </row>
    <row r="377" spans="2:13" ht="15.75" thickBot="1">
      <c r="B377" s="874"/>
      <c r="C377" s="874"/>
      <c r="D377" s="874"/>
      <c r="E377" s="874"/>
      <c r="F377" s="874"/>
      <c r="G377" s="874"/>
      <c r="H377" s="874"/>
      <c r="I377" s="874"/>
      <c r="J377" s="874"/>
      <c r="K377" s="874"/>
      <c r="L377" s="874"/>
      <c r="M377" s="67"/>
    </row>
    <row r="378" spans="2:12" ht="15">
      <c r="B378" s="920" t="str">
        <f>$B$4</f>
        <v>2022 RATE CASE</v>
      </c>
      <c r="C378" s="926"/>
      <c r="D378" s="927"/>
      <c r="E378" s="874"/>
      <c r="F378" s="874"/>
      <c r="G378" s="874"/>
      <c r="H378" s="874"/>
      <c r="I378" s="874"/>
      <c r="J378" s="874"/>
      <c r="K378" s="874"/>
      <c r="L378" s="874"/>
    </row>
    <row r="379" spans="2:13" ht="15">
      <c r="B379" s="917" t="str">
        <f>$B$5</f>
        <v>ONCOR ELECTRIC DELIVERY COMPANY LLC</v>
      </c>
      <c r="C379" s="369"/>
      <c r="D379" s="928"/>
      <c r="E379" s="874"/>
      <c r="F379" s="874"/>
      <c r="G379" s="874"/>
      <c r="H379" s="874"/>
      <c r="I379" s="874"/>
      <c r="J379" s="874"/>
      <c r="K379" s="874"/>
      <c r="L379" s="874"/>
      <c r="M379" s="67"/>
    </row>
    <row r="380" spans="2:13" ht="15">
      <c r="B380" s="406" t="str">
        <f>$B$6</f>
        <v>CONSOLIDATED FUNCTIONALIZED COST OF SERVICE</v>
      </c>
      <c r="C380" s="369"/>
      <c r="D380" s="928"/>
      <c r="E380" s="874"/>
      <c r="F380" s="874"/>
      <c r="G380" s="874"/>
      <c r="H380" s="874"/>
      <c r="I380" s="874"/>
      <c r="J380" s="874"/>
      <c r="K380" s="874"/>
      <c r="L380" s="874"/>
      <c r="M380" s="67"/>
    </row>
    <row r="381" spans="2:13" ht="15">
      <c r="B381" s="406" t="str">
        <f>$B$7</f>
        <v>TEST YEAR ENDING 12/31/2021</v>
      </c>
      <c r="C381" s="369"/>
      <c r="D381" s="928"/>
      <c r="E381" s="369"/>
      <c r="F381" s="369"/>
      <c r="G381" s="369"/>
      <c r="H381" s="369"/>
      <c r="I381" s="369"/>
      <c r="J381" s="369"/>
      <c r="K381" s="369"/>
      <c r="L381" s="369"/>
      <c r="M381" s="67"/>
    </row>
    <row r="382" spans="2:13" ht="15">
      <c r="B382" s="406" t="str">
        <f>$B$8</f>
        <v>SPONSOR:  MATTHEW A. TROXLE</v>
      </c>
      <c r="C382" s="369"/>
      <c r="D382" s="928"/>
      <c r="E382" s="369"/>
      <c r="F382" s="369"/>
      <c r="G382" s="369"/>
      <c r="H382" s="369"/>
      <c r="I382" s="369"/>
      <c r="J382" s="369"/>
      <c r="K382" s="369"/>
      <c r="L382" s="369"/>
      <c r="M382" s="67"/>
    </row>
    <row r="383" spans="2:13" ht="15.75" thickBot="1">
      <c r="B383" s="410"/>
      <c r="C383" s="931"/>
      <c r="D383" s="932"/>
      <c r="E383" s="369"/>
      <c r="F383" s="369"/>
      <c r="G383" s="369"/>
      <c r="H383" s="369"/>
      <c r="I383" s="369"/>
      <c r="J383" s="369"/>
      <c r="K383" s="369"/>
      <c r="L383" s="369"/>
      <c r="M383" s="67"/>
    </row>
    <row r="384" spans="2:13" ht="14.25">
      <c r="B384" s="13"/>
      <c r="C384" s="14"/>
      <c r="D384" s="14"/>
      <c r="E384" s="14"/>
      <c r="F384" s="237" t="s">
        <v>6</v>
      </c>
      <c r="G384" s="13" t="s">
        <v>7</v>
      </c>
      <c r="H384" s="13" t="s">
        <v>8</v>
      </c>
      <c r="I384" s="239" t="s">
        <v>9</v>
      </c>
      <c r="J384" s="13" t="s">
        <v>10</v>
      </c>
      <c r="K384" s="17"/>
      <c r="L384" s="139" t="s">
        <v>966</v>
      </c>
      <c r="M384" s="67"/>
    </row>
    <row r="385" spans="2:13" ht="15">
      <c r="B385" s="15" t="s">
        <v>2</v>
      </c>
      <c r="C385" s="15" t="s">
        <v>370</v>
      </c>
      <c r="D385" s="287" t="s">
        <v>591</v>
      </c>
      <c r="E385" s="15" t="s">
        <v>371</v>
      </c>
      <c r="F385" s="242"/>
      <c r="G385" s="15"/>
      <c r="H385" s="15"/>
      <c r="I385" s="15"/>
      <c r="J385" s="15"/>
      <c r="K385" s="17"/>
      <c r="L385" s="97" t="s">
        <v>967</v>
      </c>
      <c r="M385" s="67"/>
    </row>
    <row r="386" spans="2:13" ht="14.25">
      <c r="B386" s="15"/>
      <c r="C386" s="15"/>
      <c r="D386" s="15"/>
      <c r="E386" s="15"/>
      <c r="F386" s="242"/>
      <c r="G386" s="15"/>
      <c r="H386" s="15"/>
      <c r="I386" s="15"/>
      <c r="J386" s="15"/>
      <c r="K386" s="17"/>
      <c r="L386" s="97"/>
      <c r="M386" s="67"/>
    </row>
    <row r="387" spans="2:13" ht="15" thickBot="1">
      <c r="B387" s="16"/>
      <c r="C387" s="16" t="s">
        <v>13</v>
      </c>
      <c r="D387" s="16" t="s">
        <v>14</v>
      </c>
      <c r="E387" s="16" t="s">
        <v>15</v>
      </c>
      <c r="F387" s="16" t="s">
        <v>16</v>
      </c>
      <c r="G387" s="16" t="s">
        <v>17</v>
      </c>
      <c r="H387" s="16" t="s">
        <v>18</v>
      </c>
      <c r="I387" s="16" t="s">
        <v>21</v>
      </c>
      <c r="J387" s="16" t="s">
        <v>22</v>
      </c>
      <c r="K387" s="17"/>
      <c r="L387" s="1125" t="s">
        <v>418</v>
      </c>
      <c r="M387" s="67"/>
    </row>
    <row r="388" spans="2:13" ht="14.25">
      <c r="B388" s="67"/>
      <c r="C388" s="333"/>
      <c r="D388" s="333"/>
      <c r="E388" s="333"/>
      <c r="F388" s="333"/>
      <c r="G388" s="333"/>
      <c r="H388" s="333"/>
      <c r="I388" s="43"/>
      <c r="J388" s="43"/>
      <c r="K388" s="43"/>
      <c r="L388" s="43"/>
      <c r="M388" s="67"/>
    </row>
    <row r="389" spans="2:13" ht="15">
      <c r="B389" s="17">
        <f t="shared" si="45" ref="B389:B399">B388+1</f>
        <v>1</v>
      </c>
      <c r="C389" s="334" t="s">
        <v>115</v>
      </c>
      <c r="D389" s="36"/>
      <c r="E389" s="37"/>
      <c r="F389" s="338"/>
      <c r="G389" s="44"/>
      <c r="H389" s="44"/>
      <c r="I389" s="44"/>
      <c r="J389" s="44"/>
      <c r="K389" s="44"/>
      <c r="L389" s="44"/>
      <c r="M389" s="67"/>
    </row>
    <row r="390" spans="2:13" ht="15">
      <c r="B390" s="17">
        <f t="shared" si="45"/>
        <v>2</v>
      </c>
      <c r="C390" s="334"/>
      <c r="D390" s="43"/>
      <c r="E390" s="263"/>
      <c r="F390" s="339"/>
      <c r="G390" s="340"/>
      <c r="H390" s="340"/>
      <c r="I390" s="340"/>
      <c r="J390" s="340"/>
      <c r="K390" s="340"/>
      <c r="L390" s="340"/>
      <c r="M390" s="67"/>
    </row>
    <row r="391" spans="2:14" ht="15">
      <c r="B391" s="17">
        <f t="shared" si="45"/>
        <v>3</v>
      </c>
      <c r="C391" s="43"/>
      <c r="D391" s="43" t="s">
        <v>143</v>
      </c>
      <c r="E391" s="37" t="s">
        <v>523</v>
      </c>
      <c r="F391" s="1157">
        <v>0</v>
      </c>
      <c r="G391" s="1158">
        <v>0</v>
      </c>
      <c r="H391" s="1158">
        <v>0</v>
      </c>
      <c r="I391" s="1159">
        <v>0</v>
      </c>
      <c r="J391" s="290">
        <f>SUM(F391:I391)</f>
        <v>0</v>
      </c>
      <c r="K391" s="290"/>
      <c r="L391" s="18">
        <f t="shared" si="44"/>
        <v>0</v>
      </c>
      <c r="M391" s="67"/>
      <c r="N391" s="839">
        <f t="shared" si="46" ref="N391:N399">J391-L391-F391</f>
        <v>0</v>
      </c>
    </row>
    <row r="392" spans="2:14" ht="15">
      <c r="B392" s="17">
        <f t="shared" si="45"/>
        <v>4</v>
      </c>
      <c r="C392" s="43"/>
      <c r="D392" s="43" t="s">
        <v>592</v>
      </c>
      <c r="E392" s="37"/>
      <c r="F392" s="1160">
        <v>0</v>
      </c>
      <c r="G392" s="27">
        <v>0</v>
      </c>
      <c r="H392" s="27">
        <v>0</v>
      </c>
      <c r="I392" s="1161">
        <v>0</v>
      </c>
      <c r="J392" s="290">
        <f>SUM(F392:I392)</f>
        <v>0</v>
      </c>
      <c r="K392" s="290"/>
      <c r="L392" s="18">
        <f t="shared" si="44"/>
        <v>0</v>
      </c>
      <c r="M392" s="67"/>
      <c r="N392" s="839">
        <f t="shared" si="46"/>
        <v>0</v>
      </c>
    </row>
    <row r="393" spans="2:14" ht="15">
      <c r="B393" s="17">
        <f t="shared" si="45"/>
        <v>5</v>
      </c>
      <c r="C393" s="43"/>
      <c r="D393" s="43" t="s">
        <v>593</v>
      </c>
      <c r="E393" s="37"/>
      <c r="F393" s="1162">
        <v>0</v>
      </c>
      <c r="G393" s="1163">
        <v>0</v>
      </c>
      <c r="H393" s="1163">
        <v>0</v>
      </c>
      <c r="I393" s="1164">
        <v>0</v>
      </c>
      <c r="J393" s="290">
        <f>SUM(F393:I393)</f>
        <v>0</v>
      </c>
      <c r="K393" s="290"/>
      <c r="L393" s="18">
        <f t="shared" si="44"/>
        <v>0</v>
      </c>
      <c r="M393" s="67"/>
      <c r="N393" s="839">
        <f t="shared" si="46"/>
        <v>0</v>
      </c>
    </row>
    <row r="394" spans="2:14" ht="15.75" thickBot="1">
      <c r="B394" s="17">
        <f t="shared" si="45"/>
        <v>6</v>
      </c>
      <c r="C394" s="43"/>
      <c r="D394" s="43"/>
      <c r="E394" s="37"/>
      <c r="F394" s="27"/>
      <c r="G394" s="27"/>
      <c r="H394" s="27"/>
      <c r="I394" s="27"/>
      <c r="J394" s="118"/>
      <c r="K394" s="290"/>
      <c r="L394" s="18"/>
      <c r="M394" s="67"/>
      <c r="N394" s="839"/>
    </row>
    <row r="395" spans="2:14" ht="15.75" thickBot="1">
      <c r="B395" s="17">
        <f t="shared" si="45"/>
        <v>7</v>
      </c>
      <c r="C395" s="341" t="s">
        <v>594</v>
      </c>
      <c r="D395" s="336"/>
      <c r="E395" s="337" t="s">
        <v>523</v>
      </c>
      <c r="F395" s="342">
        <f>SUM(F391:F393)</f>
        <v>0</v>
      </c>
      <c r="G395" s="342">
        <f>SUM(G391:G393)</f>
        <v>0</v>
      </c>
      <c r="H395" s="342">
        <f>SUM(H391:H393)</f>
        <v>0</v>
      </c>
      <c r="I395" s="342">
        <f>SUM(I391:I393)</f>
        <v>0</v>
      </c>
      <c r="J395" s="256">
        <f>SUM(F395:I395)</f>
        <v>0</v>
      </c>
      <c r="K395" s="252"/>
      <c r="L395" s="343">
        <f t="shared" si="44"/>
        <v>0</v>
      </c>
      <c r="M395" s="67"/>
      <c r="N395" s="839">
        <f t="shared" si="46"/>
        <v>0</v>
      </c>
    </row>
    <row r="396" spans="2:14" ht="14.25">
      <c r="B396" s="17">
        <f t="shared" si="45"/>
        <v>8</v>
      </c>
      <c r="C396" s="43"/>
      <c r="D396" s="43"/>
      <c r="E396" s="263"/>
      <c r="F396" s="339"/>
      <c r="G396" s="340"/>
      <c r="H396" s="340"/>
      <c r="I396" s="340"/>
      <c r="J396" s="344"/>
      <c r="K396" s="344"/>
      <c r="L396" s="340"/>
      <c r="M396" s="67"/>
      <c r="N396" s="839"/>
    </row>
    <row r="397" spans="2:14" s="386" customFormat="1" ht="15">
      <c r="B397" s="17">
        <f t="shared" si="45"/>
        <v>9</v>
      </c>
      <c r="C397" s="36" t="s">
        <v>595</v>
      </c>
      <c r="D397" s="44"/>
      <c r="E397" s="37" t="s">
        <v>130</v>
      </c>
      <c r="F397" s="1165">
        <f>-'WP II-I-1.1'!F120</f>
        <v>-1082782264.5000002</v>
      </c>
      <c r="G397" s="1166">
        <f>-'WP II-I-1.1'!G120</f>
        <v>-1132059195.6699996</v>
      </c>
      <c r="H397" s="1166">
        <f>-'WP II-I-1.1'!H120</f>
        <v>-36656474.20000001</v>
      </c>
      <c r="I397" s="1167">
        <f>-'WP II-I-1.1'!I120</f>
        <v>-85810289.089999706</v>
      </c>
      <c r="J397" s="300">
        <f>SUM(F397:I397)</f>
        <v>-2337308223.4599996</v>
      </c>
      <c r="K397" s="300"/>
      <c r="L397" s="895">
        <f t="shared" si="44"/>
        <v>-1254525958.9599993</v>
      </c>
      <c r="M397" s="147"/>
      <c r="N397" s="839">
        <f t="shared" si="46"/>
        <v>0</v>
      </c>
    </row>
    <row r="398" spans="2:14" ht="15" thickBot="1">
      <c r="B398" s="17">
        <f t="shared" si="45"/>
        <v>10</v>
      </c>
      <c r="C398" s="43"/>
      <c r="D398" s="43"/>
      <c r="E398" s="263"/>
      <c r="F398" s="339"/>
      <c r="G398" s="340"/>
      <c r="H398" s="340"/>
      <c r="I398" s="340"/>
      <c r="J398" s="340"/>
      <c r="K398" s="340"/>
      <c r="L398" s="340"/>
      <c r="M398" s="67"/>
      <c r="N398" s="839"/>
    </row>
    <row r="399" spans="2:14" ht="15.75" thickBot="1">
      <c r="B399" s="17">
        <f t="shared" si="45"/>
        <v>11</v>
      </c>
      <c r="C399" s="341" t="s">
        <v>596</v>
      </c>
      <c r="D399" s="336"/>
      <c r="E399" s="337"/>
      <c r="F399" s="342">
        <f>+F397+F395</f>
        <v>-1082782264.5000002</v>
      </c>
      <c r="G399" s="342">
        <f>+G397+G395</f>
        <v>-1132059195.6699996</v>
      </c>
      <c r="H399" s="342">
        <f>+H397+H395</f>
        <v>-36656474.20000001</v>
      </c>
      <c r="I399" s="342">
        <f>+I397+I395</f>
        <v>-85810289.089999706</v>
      </c>
      <c r="J399" s="256">
        <f>SUM(F399:I399)</f>
        <v>-2337308223.4599996</v>
      </c>
      <c r="K399" s="252"/>
      <c r="L399" s="343">
        <f t="shared" si="44"/>
        <v>-1254525958.9599993</v>
      </c>
      <c r="M399" s="67"/>
      <c r="N399" s="839">
        <f t="shared" si="46"/>
        <v>0</v>
      </c>
    </row>
    <row r="400" spans="2:13" ht="14.25">
      <c r="B400" s="67"/>
      <c r="C400" s="67"/>
      <c r="D400" s="67"/>
      <c r="E400" s="67"/>
      <c r="F400" s="283"/>
      <c r="G400" s="67"/>
      <c r="H400" s="67"/>
      <c r="I400" s="118"/>
      <c r="J400" s="67"/>
      <c r="K400" s="47"/>
      <c r="L400" s="290"/>
      <c r="M400" s="67"/>
    </row>
    <row r="401" spans="2:13" ht="15">
      <c r="B401" s="874"/>
      <c r="C401" s="874"/>
      <c r="D401" s="874"/>
      <c r="E401" s="874"/>
      <c r="F401" s="874"/>
      <c r="G401" s="874"/>
      <c r="H401" s="874"/>
      <c r="I401" s="874"/>
      <c r="J401" s="874"/>
      <c r="K401" s="874"/>
      <c r="L401" s="874"/>
      <c r="M401" s="134" t="str">
        <f>$M$2</f>
        <v xml:space="preserve"> </v>
      </c>
    </row>
    <row r="402" spans="2:13" ht="15.75" thickBot="1">
      <c r="B402" s="874"/>
      <c r="C402" s="874"/>
      <c r="D402" s="874"/>
      <c r="E402" s="874"/>
      <c r="F402" s="874"/>
      <c r="G402" s="874"/>
      <c r="H402" s="874"/>
      <c r="I402" s="874"/>
      <c r="J402" s="874"/>
      <c r="K402" s="874"/>
      <c r="L402" s="874"/>
      <c r="M402" s="67"/>
    </row>
    <row r="403" spans="2:12" ht="15">
      <c r="B403" s="920" t="str">
        <f>$B$4</f>
        <v>2022 RATE CASE</v>
      </c>
      <c r="C403" s="926"/>
      <c r="D403" s="927"/>
      <c r="E403" s="874"/>
      <c r="F403" s="874"/>
      <c r="G403" s="874"/>
      <c r="H403" s="874"/>
      <c r="I403" s="874"/>
      <c r="J403" s="874"/>
      <c r="K403" s="874"/>
      <c r="L403" s="874"/>
    </row>
    <row r="404" spans="2:13" ht="15">
      <c r="B404" s="917" t="str">
        <f>$B$5</f>
        <v>ONCOR ELECTRIC DELIVERY COMPANY LLC</v>
      </c>
      <c r="C404" s="369"/>
      <c r="D404" s="928"/>
      <c r="E404" s="874"/>
      <c r="F404" s="874"/>
      <c r="G404" s="874"/>
      <c r="H404" s="874"/>
      <c r="I404" s="874"/>
      <c r="J404" s="874"/>
      <c r="K404" s="874"/>
      <c r="L404" s="874"/>
      <c r="M404" s="67"/>
    </row>
    <row r="405" spans="2:13" ht="15">
      <c r="B405" s="406" t="str">
        <f>$B$6</f>
        <v>CONSOLIDATED FUNCTIONALIZED COST OF SERVICE</v>
      </c>
      <c r="C405" s="369"/>
      <c r="D405" s="928"/>
      <c r="E405" s="874"/>
      <c r="F405" s="874"/>
      <c r="G405" s="874"/>
      <c r="H405" s="874"/>
      <c r="I405" s="874"/>
      <c r="J405" s="874"/>
      <c r="K405" s="874"/>
      <c r="L405" s="874"/>
      <c r="M405" s="67"/>
    </row>
    <row r="406" spans="2:13" ht="15">
      <c r="B406" s="406" t="str">
        <f>$B$7</f>
        <v>TEST YEAR ENDING 12/31/2021</v>
      </c>
      <c r="C406" s="369"/>
      <c r="D406" s="928"/>
      <c r="E406" s="369"/>
      <c r="F406" s="369"/>
      <c r="G406" s="369"/>
      <c r="H406" s="369"/>
      <c r="I406" s="369"/>
      <c r="J406" s="369"/>
      <c r="K406" s="369"/>
      <c r="L406" s="369"/>
      <c r="M406" s="67"/>
    </row>
    <row r="407" spans="2:13" ht="15">
      <c r="B407" s="406" t="str">
        <f>$B$8</f>
        <v>SPONSOR:  MATTHEW A. TROXLE</v>
      </c>
      <c r="C407" s="369"/>
      <c r="D407" s="928"/>
      <c r="E407" s="369"/>
      <c r="F407" s="369"/>
      <c r="G407" s="369"/>
      <c r="H407" s="369"/>
      <c r="I407" s="369"/>
      <c r="J407" s="369"/>
      <c r="K407" s="369"/>
      <c r="L407" s="369"/>
      <c r="M407" s="67"/>
    </row>
    <row r="408" spans="2:13" ht="15.75" thickBot="1">
      <c r="B408" s="410"/>
      <c r="C408" s="931"/>
      <c r="D408" s="932"/>
      <c r="E408" s="369"/>
      <c r="F408" s="369"/>
      <c r="G408" s="369"/>
      <c r="H408" s="369"/>
      <c r="I408" s="369"/>
      <c r="J408" s="369"/>
      <c r="K408" s="369"/>
      <c r="L408" s="369"/>
      <c r="M408" s="67"/>
    </row>
    <row r="409" spans="2:13" ht="14.25">
      <c r="B409" s="13"/>
      <c r="C409" s="14"/>
      <c r="D409" s="14"/>
      <c r="E409" s="14"/>
      <c r="F409" s="237" t="s">
        <v>6</v>
      </c>
      <c r="G409" s="13" t="s">
        <v>7</v>
      </c>
      <c r="H409" s="13" t="s">
        <v>8</v>
      </c>
      <c r="I409" s="239" t="s">
        <v>9</v>
      </c>
      <c r="J409" s="13" t="s">
        <v>10</v>
      </c>
      <c r="K409" s="17"/>
      <c r="L409" s="139" t="s">
        <v>966</v>
      </c>
      <c r="M409" s="67"/>
    </row>
    <row r="410" spans="2:13" ht="15">
      <c r="B410" s="15" t="s">
        <v>2</v>
      </c>
      <c r="C410" s="15" t="s">
        <v>370</v>
      </c>
      <c r="D410" s="287" t="s">
        <v>597</v>
      </c>
      <c r="E410" s="15" t="s">
        <v>371</v>
      </c>
      <c r="F410" s="242"/>
      <c r="G410" s="15"/>
      <c r="H410" s="15"/>
      <c r="I410" s="15"/>
      <c r="J410" s="15"/>
      <c r="K410" s="17"/>
      <c r="L410" s="97" t="s">
        <v>967</v>
      </c>
      <c r="M410" s="67"/>
    </row>
    <row r="411" spans="2:13" ht="14.25">
      <c r="B411" s="15"/>
      <c r="C411" s="15"/>
      <c r="D411" s="15"/>
      <c r="E411" s="15"/>
      <c r="F411" s="242"/>
      <c r="G411" s="15"/>
      <c r="H411" s="15"/>
      <c r="I411" s="15"/>
      <c r="J411" s="15"/>
      <c r="K411" s="17"/>
      <c r="L411" s="97"/>
      <c r="M411" s="67"/>
    </row>
    <row r="412" spans="2:13" ht="15" thickBot="1">
      <c r="B412" s="16"/>
      <c r="C412" s="16" t="s">
        <v>13</v>
      </c>
      <c r="D412" s="16" t="s">
        <v>14</v>
      </c>
      <c r="E412" s="16" t="s">
        <v>15</v>
      </c>
      <c r="F412" s="16" t="s">
        <v>16</v>
      </c>
      <c r="G412" s="16" t="s">
        <v>17</v>
      </c>
      <c r="H412" s="16" t="s">
        <v>18</v>
      </c>
      <c r="I412" s="16" t="s">
        <v>21</v>
      </c>
      <c r="J412" s="16" t="s">
        <v>22</v>
      </c>
      <c r="K412" s="17"/>
      <c r="L412" s="1125" t="s">
        <v>418</v>
      </c>
      <c r="M412" s="67"/>
    </row>
    <row r="413" spans="2:13" ht="15">
      <c r="B413" s="67"/>
      <c r="C413" s="35"/>
      <c r="D413" s="43"/>
      <c r="E413" s="263"/>
      <c r="F413" s="346"/>
      <c r="G413" s="346"/>
      <c r="H413" s="347"/>
      <c r="I413" s="43"/>
      <c r="J413" s="43"/>
      <c r="K413" s="43"/>
      <c r="L413" s="43"/>
      <c r="M413" s="67"/>
    </row>
    <row r="414" spans="2:13" ht="15">
      <c r="B414" s="17">
        <f t="shared" si="47" ref="B414:B421">B413+1</f>
        <v>1</v>
      </c>
      <c r="C414" s="334" t="s">
        <v>115</v>
      </c>
      <c r="D414" s="43"/>
      <c r="E414" s="263"/>
      <c r="F414" s="346"/>
      <c r="G414" s="346"/>
      <c r="H414" s="347"/>
      <c r="I414" s="43"/>
      <c r="J414" s="43"/>
      <c r="K414" s="43"/>
      <c r="L414" s="43"/>
      <c r="M414" s="67"/>
    </row>
    <row r="415" spans="2:13" ht="15">
      <c r="B415" s="17">
        <f t="shared" si="47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43"/>
      <c r="L415" s="43"/>
      <c r="M415" s="67"/>
    </row>
    <row r="416" spans="2:13" ht="15">
      <c r="B416" s="17">
        <f t="shared" si="47"/>
        <v>3</v>
      </c>
      <c r="C416" s="43"/>
      <c r="D416" s="36" t="s">
        <v>597</v>
      </c>
      <c r="E416" s="37" t="s">
        <v>121</v>
      </c>
      <c r="F416" s="43"/>
      <c r="G416" s="43"/>
      <c r="H416" s="43"/>
      <c r="I416" s="43"/>
      <c r="J416" s="43"/>
      <c r="K416" s="43"/>
      <c r="L416" s="43"/>
      <c r="M416" s="67"/>
    </row>
    <row r="417" spans="2:15" s="386" customFormat="1" ht="14.25">
      <c r="B417" s="17">
        <f t="shared" si="47"/>
        <v>4</v>
      </c>
      <c r="C417" s="43">
        <v>154</v>
      </c>
      <c r="D417" s="43" t="s">
        <v>599</v>
      </c>
      <c r="E417" s="43"/>
      <c r="F417" s="1087">
        <f>'WP II-I-1.1'!F113</f>
        <v>70696776.709999993</v>
      </c>
      <c r="G417" s="1089">
        <f>'WP II-I-1.1'!G113</f>
        <v>64325002.539999999</v>
      </c>
      <c r="H417" s="1089">
        <f>'WP II-I-1.1'!H113</f>
        <v>91069.330000000002</v>
      </c>
      <c r="I417" s="1090">
        <f>'WP II-I-1.1'!I113</f>
        <v>0</v>
      </c>
      <c r="J417" s="290">
        <f>SUM(F417:I417)</f>
        <v>135112848.58000001</v>
      </c>
      <c r="K417" s="290"/>
      <c r="L417" s="18">
        <f t="shared" si="44"/>
        <v>64416071.869999997</v>
      </c>
      <c r="M417" s="47"/>
      <c r="N417" s="839">
        <f t="shared" si="48" ref="N417:N441">J417-L417-F417</f>
        <v>0</v>
      </c>
      <c r="O417" s="839">
        <f>'WP II-I-1.1'!$J$113-L417-F417</f>
        <v>0</v>
      </c>
    </row>
    <row r="418" spans="2:15" s="386" customFormat="1" ht="16.5">
      <c r="B418" s="17">
        <f t="shared" si="47"/>
        <v>5</v>
      </c>
      <c r="C418" s="43">
        <v>163</v>
      </c>
      <c r="D418" s="43" t="s">
        <v>600</v>
      </c>
      <c r="E418" s="263"/>
      <c r="F418" s="1083">
        <f>'WP II-I-1.1'!F114</f>
        <v>6545776.4100000001</v>
      </c>
      <c r="G418" s="1084">
        <f>'WP II-I-1.1'!G114</f>
        <v>10365401.869999999</v>
      </c>
      <c r="H418" s="1084">
        <f>'WP II-I-1.1'!H114</f>
        <v>14714</v>
      </c>
      <c r="I418" s="1085">
        <f>'WP II-I-1.1'!I114</f>
        <v>0</v>
      </c>
      <c r="J418" s="302">
        <f>SUM(F418:I418)</f>
        <v>16925892.280000001</v>
      </c>
      <c r="K418" s="302"/>
      <c r="L418" s="296">
        <f t="shared" si="44"/>
        <v>10380115.869999999</v>
      </c>
      <c r="M418" s="47"/>
      <c r="N418" s="839">
        <f t="shared" si="48"/>
        <v>0</v>
      </c>
      <c r="O418" s="839">
        <f>'WP II-I-1.1'!$J$114-L418-F418</f>
        <v>0</v>
      </c>
    </row>
    <row r="419" spans="2:14" ht="15">
      <c r="B419" s="17">
        <f t="shared" si="47"/>
        <v>6</v>
      </c>
      <c r="C419" s="36"/>
      <c r="D419" s="44" t="s">
        <v>491</v>
      </c>
      <c r="E419" s="39"/>
      <c r="F419" s="898">
        <f>SUM(F417:F418)</f>
        <v>77242553.11999999</v>
      </c>
      <c r="G419" s="898">
        <f>SUM(G417:G418)</f>
        <v>74690404.409999996</v>
      </c>
      <c r="H419" s="898">
        <f>SUM(H417:H418)</f>
        <v>105783.33</v>
      </c>
      <c r="I419" s="898">
        <f>SUM(I417:I418)</f>
        <v>0</v>
      </c>
      <c r="J419" s="300">
        <f>SUM(F419:I419)</f>
        <v>152038740.85999998</v>
      </c>
      <c r="K419" s="300"/>
      <c r="L419" s="39">
        <f t="shared" si="44"/>
        <v>74796187.739999995</v>
      </c>
      <c r="M419" s="67"/>
      <c r="N419" s="839">
        <f t="shared" si="48"/>
        <v>0</v>
      </c>
    </row>
    <row r="420" spans="2:14" ht="15" thickBot="1">
      <c r="B420" s="17">
        <f t="shared" si="47"/>
        <v>7</v>
      </c>
      <c r="C420" s="43"/>
      <c r="D420" s="340"/>
      <c r="E420" s="263"/>
      <c r="F420" s="263"/>
      <c r="G420" s="43"/>
      <c r="H420" s="43"/>
      <c r="I420" s="43"/>
      <c r="J420" s="43"/>
      <c r="K420" s="43"/>
      <c r="L420" s="43"/>
      <c r="M420" s="67"/>
      <c r="N420" s="839"/>
    </row>
    <row r="421" spans="2:14" ht="15.75" thickBot="1">
      <c r="B421" s="17">
        <f t="shared" si="47"/>
        <v>8</v>
      </c>
      <c r="C421" s="335" t="s">
        <v>601</v>
      </c>
      <c r="D421" s="336"/>
      <c r="E421" s="337" t="s">
        <v>121</v>
      </c>
      <c r="F421" s="278">
        <f>F419</f>
        <v>77242553.11999999</v>
      </c>
      <c r="G421" s="278">
        <f>G419</f>
        <v>74690404.409999996</v>
      </c>
      <c r="H421" s="278">
        <f>H419</f>
        <v>105783.33</v>
      </c>
      <c r="I421" s="278">
        <f>I419</f>
        <v>0</v>
      </c>
      <c r="J421" s="256">
        <f>SUM(F421:I421)</f>
        <v>152038740.85999998</v>
      </c>
      <c r="K421" s="252"/>
      <c r="L421" s="280">
        <f t="shared" si="44"/>
        <v>74796187.739999995</v>
      </c>
      <c r="M421" s="67"/>
      <c r="N421" s="839">
        <f t="shared" si="48"/>
        <v>0</v>
      </c>
    </row>
    <row r="422" spans="2:14" ht="14.25">
      <c r="B422" s="67"/>
      <c r="C422" s="67"/>
      <c r="D422" s="67"/>
      <c r="E422" s="67"/>
      <c r="F422" s="67"/>
      <c r="G422" s="67"/>
      <c r="H422" s="67"/>
      <c r="I422" s="67"/>
      <c r="J422" s="67"/>
      <c r="K422" s="47"/>
      <c r="L422" s="47"/>
      <c r="M422" s="67"/>
      <c r="N422" s="839"/>
    </row>
    <row r="423" spans="2:14" ht="15">
      <c r="B423" s="874"/>
      <c r="C423" s="874"/>
      <c r="D423" s="874"/>
      <c r="E423" s="874"/>
      <c r="F423" s="874"/>
      <c r="G423" s="874"/>
      <c r="H423" s="874"/>
      <c r="I423" s="874"/>
      <c r="J423" s="874"/>
      <c r="K423" s="874"/>
      <c r="L423" s="874"/>
      <c r="M423" s="134" t="str">
        <f>$M$2</f>
        <v xml:space="preserve"> </v>
      </c>
      <c r="N423" s="839"/>
    </row>
    <row r="424" spans="2:14" ht="15.75" thickBot="1">
      <c r="B424" s="874"/>
      <c r="C424" s="874"/>
      <c r="D424" s="874"/>
      <c r="E424" s="874"/>
      <c r="F424" s="874"/>
      <c r="G424" s="874"/>
      <c r="H424" s="874"/>
      <c r="I424" s="874"/>
      <c r="J424" s="874"/>
      <c r="K424" s="874"/>
      <c r="L424" s="874"/>
      <c r="M424" s="67"/>
      <c r="N424" s="839"/>
    </row>
    <row r="425" spans="2:14" ht="15">
      <c r="B425" s="920" t="str">
        <f>$B$4</f>
        <v>2022 RATE CASE</v>
      </c>
      <c r="C425" s="926"/>
      <c r="D425" s="927"/>
      <c r="E425" s="874"/>
      <c r="F425" s="874"/>
      <c r="G425" s="874"/>
      <c r="H425" s="874"/>
      <c r="I425" s="874"/>
      <c r="J425" s="874"/>
      <c r="K425" s="874"/>
      <c r="L425" s="874"/>
      <c r="N425" s="839"/>
    </row>
    <row r="426" spans="2:14" ht="15">
      <c r="B426" s="917" t="str">
        <f>$B$5</f>
        <v>ONCOR ELECTRIC DELIVERY COMPANY LLC</v>
      </c>
      <c r="C426" s="369"/>
      <c r="D426" s="928"/>
      <c r="E426" s="874"/>
      <c r="F426" s="874"/>
      <c r="G426" s="874"/>
      <c r="H426" s="874"/>
      <c r="I426" s="874"/>
      <c r="J426" s="874"/>
      <c r="K426" s="874"/>
      <c r="L426" s="874"/>
      <c r="M426" s="67"/>
      <c r="N426" s="839"/>
    </row>
    <row r="427" spans="2:14" ht="15">
      <c r="B427" s="406" t="str">
        <f>$B$6</f>
        <v>CONSOLIDATED FUNCTIONALIZED COST OF SERVICE</v>
      </c>
      <c r="C427" s="369"/>
      <c r="D427" s="928"/>
      <c r="E427" s="874"/>
      <c r="F427" s="874"/>
      <c r="G427" s="874"/>
      <c r="H427" s="874"/>
      <c r="I427" s="874"/>
      <c r="J427" s="874"/>
      <c r="K427" s="874"/>
      <c r="L427" s="874"/>
      <c r="M427" s="67"/>
      <c r="N427" s="839"/>
    </row>
    <row r="428" spans="2:14" ht="15">
      <c r="B428" s="406" t="str">
        <f>$B$7</f>
        <v>TEST YEAR ENDING 12/31/2021</v>
      </c>
      <c r="C428" s="369"/>
      <c r="D428" s="928"/>
      <c r="E428" s="369"/>
      <c r="F428" s="369"/>
      <c r="G428" s="369"/>
      <c r="H428" s="369"/>
      <c r="I428" s="369"/>
      <c r="J428" s="369"/>
      <c r="K428" s="369"/>
      <c r="L428" s="369"/>
      <c r="M428" s="67"/>
      <c r="N428" s="839"/>
    </row>
    <row r="429" spans="2:14" ht="15">
      <c r="B429" s="406" t="str">
        <f>$B$8</f>
        <v>SPONSOR:  MATTHEW A. TROXLE</v>
      </c>
      <c r="C429" s="369"/>
      <c r="D429" s="928"/>
      <c r="E429" s="369"/>
      <c r="F429" s="369"/>
      <c r="G429" s="369"/>
      <c r="H429" s="369"/>
      <c r="I429" s="369"/>
      <c r="J429" s="369"/>
      <c r="K429" s="369"/>
      <c r="L429" s="369"/>
      <c r="M429" s="67"/>
      <c r="N429" s="839"/>
    </row>
    <row r="430" spans="2:14" ht="15.75" thickBot="1">
      <c r="B430" s="410"/>
      <c r="C430" s="931"/>
      <c r="D430" s="932"/>
      <c r="E430" s="369"/>
      <c r="F430" s="369"/>
      <c r="G430" s="369"/>
      <c r="H430" s="369"/>
      <c r="I430" s="369"/>
      <c r="J430" s="369"/>
      <c r="K430" s="369"/>
      <c r="L430" s="369"/>
      <c r="M430" s="67"/>
      <c r="N430" s="839"/>
    </row>
    <row r="431" spans="2:14" ht="14.25">
      <c r="B431" s="13"/>
      <c r="C431" s="14"/>
      <c r="D431" s="14"/>
      <c r="E431" s="14"/>
      <c r="F431" s="237" t="s">
        <v>6</v>
      </c>
      <c r="G431" s="13" t="s">
        <v>7</v>
      </c>
      <c r="H431" s="13" t="s">
        <v>8</v>
      </c>
      <c r="I431" s="239" t="s">
        <v>9</v>
      </c>
      <c r="J431" s="13" t="s">
        <v>10</v>
      </c>
      <c r="K431" s="17"/>
      <c r="L431" s="139" t="s">
        <v>966</v>
      </c>
      <c r="M431" s="67"/>
      <c r="N431" s="839"/>
    </row>
    <row r="432" spans="2:14" ht="15">
      <c r="B432" s="15" t="s">
        <v>2</v>
      </c>
      <c r="C432" s="15" t="s">
        <v>370</v>
      </c>
      <c r="D432" s="287" t="s">
        <v>123</v>
      </c>
      <c r="E432" s="15" t="s">
        <v>371</v>
      </c>
      <c r="F432" s="242"/>
      <c r="G432" s="15"/>
      <c r="H432" s="15"/>
      <c r="I432" s="15"/>
      <c r="J432" s="15"/>
      <c r="K432" s="17"/>
      <c r="L432" s="97" t="s">
        <v>967</v>
      </c>
      <c r="M432" s="67"/>
      <c r="N432" s="839"/>
    </row>
    <row r="433" spans="2:14" ht="14.25">
      <c r="B433" s="15"/>
      <c r="C433" s="15"/>
      <c r="D433" s="15"/>
      <c r="E433" s="15"/>
      <c r="F433" s="242"/>
      <c r="G433" s="15"/>
      <c r="H433" s="15"/>
      <c r="I433" s="15"/>
      <c r="J433" s="15"/>
      <c r="K433" s="17"/>
      <c r="L433" s="97"/>
      <c r="M433" s="67"/>
      <c r="N433" s="839"/>
    </row>
    <row r="434" spans="2:14" ht="15" thickBot="1">
      <c r="B434" s="16"/>
      <c r="C434" s="16" t="s">
        <v>13</v>
      </c>
      <c r="D434" s="16" t="s">
        <v>14</v>
      </c>
      <c r="E434" s="16" t="s">
        <v>15</v>
      </c>
      <c r="F434" s="16" t="s">
        <v>16</v>
      </c>
      <c r="G434" s="16" t="s">
        <v>17</v>
      </c>
      <c r="H434" s="16" t="s">
        <v>18</v>
      </c>
      <c r="I434" s="16" t="s">
        <v>21</v>
      </c>
      <c r="J434" s="16" t="s">
        <v>22</v>
      </c>
      <c r="K434" s="17"/>
      <c r="L434" s="1125" t="s">
        <v>418</v>
      </c>
      <c r="M434" s="67"/>
      <c r="N434" s="839"/>
    </row>
    <row r="435" spans="2:14" ht="14.25">
      <c r="B435" s="67"/>
      <c r="C435" s="333"/>
      <c r="D435" s="333"/>
      <c r="E435" s="333"/>
      <c r="F435" s="333"/>
      <c r="G435" s="333"/>
      <c r="H435" s="333"/>
      <c r="I435" s="43"/>
      <c r="J435" s="43"/>
      <c r="K435" s="43"/>
      <c r="L435" s="43"/>
      <c r="M435" s="67"/>
      <c r="N435" s="839"/>
    </row>
    <row r="436" spans="2:14" ht="15">
      <c r="B436" s="17">
        <f t="shared" si="49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67"/>
      <c r="N436" s="839"/>
    </row>
    <row r="437" spans="2:14" ht="15">
      <c r="B437" s="17">
        <f t="shared" si="49"/>
        <v>2</v>
      </c>
      <c r="C437" s="348" t="s">
        <v>598</v>
      </c>
      <c r="D437" s="36"/>
      <c r="E437" s="37" t="s">
        <v>124</v>
      </c>
      <c r="F437" s="349"/>
      <c r="G437" s="349"/>
      <c r="H437" s="349"/>
      <c r="I437" s="349"/>
      <c r="J437" s="36"/>
      <c r="K437" s="36"/>
      <c r="L437" s="350"/>
      <c r="M437" s="67"/>
      <c r="N437" s="839"/>
    </row>
    <row r="438" spans="2:15" s="386" customFormat="1" ht="16.5">
      <c r="B438" s="17">
        <f t="shared" si="49"/>
        <v>3</v>
      </c>
      <c r="C438" s="43"/>
      <c r="D438" s="43" t="s">
        <v>123</v>
      </c>
      <c r="E438" s="43"/>
      <c r="F438" s="1093">
        <f>'WP II-I-1.1'!F115</f>
        <v>-56535861.520000003</v>
      </c>
      <c r="G438" s="1094">
        <f>'WP II-I-1.1'!G115</f>
        <v>-16695371.95999999</v>
      </c>
      <c r="H438" s="1094">
        <f>'WP II-I-1.1'!H115</f>
        <v>273938.61000000028</v>
      </c>
      <c r="I438" s="1095">
        <f>'WP II-I-1.1'!I115</f>
        <v>141339.77999998356</v>
      </c>
      <c r="J438" s="302">
        <f>SUM(F438:I438)</f>
        <v>-72815955.090000004</v>
      </c>
      <c r="K438" s="302"/>
      <c r="L438" s="296">
        <f t="shared" si="50" ref="L438:L485">SUM(G438:I438)</f>
        <v>-16280093.570000006</v>
      </c>
      <c r="M438" s="47"/>
      <c r="N438" s="839">
        <f t="shared" si="51" ref="N438">J438-L438-F438</f>
        <v>0</v>
      </c>
      <c r="O438" s="839">
        <f>'WP II-I-1.1'!$J$115-L438-F438</f>
        <v>0</v>
      </c>
    </row>
    <row r="439" spans="2:14" ht="15">
      <c r="B439" s="17">
        <f t="shared" si="49"/>
        <v>4</v>
      </c>
      <c r="C439" s="36"/>
      <c r="D439" s="44" t="s">
        <v>491</v>
      </c>
      <c r="E439" s="39"/>
      <c r="F439" s="898">
        <f>+F438</f>
        <v>-56535861.520000003</v>
      </c>
      <c r="G439" s="898">
        <f>+G438</f>
        <v>-16695371.95999999</v>
      </c>
      <c r="H439" s="898">
        <f>+H438</f>
        <v>273938.61000000028</v>
      </c>
      <c r="I439" s="898">
        <f>+I438</f>
        <v>141339.77999998356</v>
      </c>
      <c r="J439" s="300">
        <f>SUM(F439:I439)</f>
        <v>-72815955.090000004</v>
      </c>
      <c r="K439" s="300"/>
      <c r="L439" s="898">
        <f t="shared" si="50"/>
        <v>-16280093.570000006</v>
      </c>
      <c r="M439" s="67"/>
      <c r="N439" s="839">
        <f t="shared" si="48"/>
        <v>0</v>
      </c>
    </row>
    <row r="440" spans="2:14" ht="15" thickBot="1">
      <c r="B440" s="17">
        <f t="shared" si="49"/>
        <v>5</v>
      </c>
      <c r="C440" s="43"/>
      <c r="D440" s="340"/>
      <c r="E440" s="263"/>
      <c r="F440" s="263"/>
      <c r="G440" s="43"/>
      <c r="H440" s="43"/>
      <c r="I440" s="43"/>
      <c r="J440" s="43"/>
      <c r="K440" s="43"/>
      <c r="L440" s="43"/>
      <c r="M440" s="67"/>
      <c r="N440" s="839"/>
    </row>
    <row r="441" spans="2:14" ht="15.75" thickBot="1">
      <c r="B441" s="17">
        <f t="shared" si="49"/>
        <v>6</v>
      </c>
      <c r="C441" s="335" t="s">
        <v>602</v>
      </c>
      <c r="D441" s="336"/>
      <c r="E441" s="337" t="s">
        <v>124</v>
      </c>
      <c r="F441" s="278">
        <f>+F439</f>
        <v>-56535861.520000003</v>
      </c>
      <c r="G441" s="278">
        <f>+G439</f>
        <v>-16695371.95999999</v>
      </c>
      <c r="H441" s="278">
        <f>+H439</f>
        <v>273938.61000000028</v>
      </c>
      <c r="I441" s="278">
        <f>+I439</f>
        <v>141339.77999998356</v>
      </c>
      <c r="J441" s="256">
        <f>SUM(F441:I441)</f>
        <v>-72815955.090000004</v>
      </c>
      <c r="K441" s="252"/>
      <c r="L441" s="280">
        <f t="shared" si="50"/>
        <v>-16280093.570000006</v>
      </c>
      <c r="M441" s="67"/>
      <c r="N441" s="839">
        <f t="shared" si="48"/>
        <v>0</v>
      </c>
    </row>
    <row r="442" spans="2:13" ht="14.25">
      <c r="B442" s="67"/>
      <c r="C442" s="67"/>
      <c r="D442" s="67"/>
      <c r="E442" s="67"/>
      <c r="F442" s="67"/>
      <c r="G442" s="67"/>
      <c r="H442" s="67"/>
      <c r="I442" s="67"/>
      <c r="J442" s="67"/>
      <c r="K442" s="47"/>
      <c r="L442" s="47"/>
      <c r="M442" s="67"/>
    </row>
    <row r="443" spans="2:13" ht="15">
      <c r="B443" s="874"/>
      <c r="C443" s="874"/>
      <c r="D443" s="874"/>
      <c r="E443" s="874"/>
      <c r="F443" s="874"/>
      <c r="G443" s="874"/>
      <c r="H443" s="874"/>
      <c r="I443" s="874"/>
      <c r="J443" s="874"/>
      <c r="K443" s="874"/>
      <c r="L443" s="874"/>
      <c r="M443" s="134" t="str">
        <f>$M$2</f>
        <v xml:space="preserve"> </v>
      </c>
    </row>
    <row r="444" spans="2:13" ht="15.75" thickBot="1">
      <c r="B444" s="874"/>
      <c r="C444" s="874"/>
      <c r="D444" s="874"/>
      <c r="E444" s="874"/>
      <c r="F444" s="874"/>
      <c r="G444" s="874"/>
      <c r="H444" s="874"/>
      <c r="I444" s="874"/>
      <c r="J444" s="874"/>
      <c r="K444" s="874"/>
      <c r="L444" s="874"/>
      <c r="M444" s="67"/>
    </row>
    <row r="445" spans="2:12" ht="15">
      <c r="B445" s="920" t="str">
        <f>$B$4</f>
        <v>2022 RATE CASE</v>
      </c>
      <c r="C445" s="926"/>
      <c r="D445" s="927"/>
      <c r="E445" s="874"/>
      <c r="F445" s="874"/>
      <c r="G445" s="874"/>
      <c r="H445" s="874"/>
      <c r="I445" s="874"/>
      <c r="J445" s="874"/>
      <c r="K445" s="874"/>
      <c r="L445" s="874"/>
    </row>
    <row r="446" spans="2:13" ht="15">
      <c r="B446" s="917" t="str">
        <f>$B$5</f>
        <v>ONCOR ELECTRIC DELIVERY COMPANY LLC</v>
      </c>
      <c r="C446" s="369"/>
      <c r="D446" s="928"/>
      <c r="E446" s="874"/>
      <c r="F446" s="874"/>
      <c r="G446" s="874"/>
      <c r="H446" s="874"/>
      <c r="I446" s="874"/>
      <c r="J446" s="874"/>
      <c r="K446" s="874"/>
      <c r="L446" s="874"/>
      <c r="M446" s="67"/>
    </row>
    <row r="447" spans="2:13" ht="15">
      <c r="B447" s="406" t="str">
        <f>$B$6</f>
        <v>CONSOLIDATED FUNCTIONALIZED COST OF SERVICE</v>
      </c>
      <c r="C447" s="369"/>
      <c r="D447" s="928"/>
      <c r="E447" s="874"/>
      <c r="F447" s="874"/>
      <c r="G447" s="874"/>
      <c r="H447" s="874"/>
      <c r="I447" s="874"/>
      <c r="J447" s="874"/>
      <c r="K447" s="874"/>
      <c r="L447" s="874"/>
      <c r="M447" s="67"/>
    </row>
    <row r="448" spans="2:13" ht="15">
      <c r="B448" s="406" t="str">
        <f>$B$7</f>
        <v>TEST YEAR ENDING 12/31/2021</v>
      </c>
      <c r="C448" s="369"/>
      <c r="D448" s="928"/>
      <c r="E448" s="369"/>
      <c r="F448" s="369"/>
      <c r="G448" s="369"/>
      <c r="H448" s="369"/>
      <c r="I448" s="369"/>
      <c r="J448" s="369"/>
      <c r="K448" s="369"/>
      <c r="L448" s="369"/>
      <c r="M448" s="67"/>
    </row>
    <row r="449" spans="2:13" ht="15">
      <c r="B449" s="406" t="str">
        <f>$B$8</f>
        <v>SPONSOR:  MATTHEW A. TROXLE</v>
      </c>
      <c r="C449" s="369"/>
      <c r="D449" s="928"/>
      <c r="E449" s="369"/>
      <c r="F449" s="369"/>
      <c r="G449" s="369"/>
      <c r="H449" s="369"/>
      <c r="I449" s="369"/>
      <c r="J449" s="369"/>
      <c r="K449" s="369"/>
      <c r="L449" s="369"/>
      <c r="M449" s="67"/>
    </row>
    <row r="450" spans="2:13" ht="15.75" thickBot="1">
      <c r="B450" s="410"/>
      <c r="C450" s="931"/>
      <c r="D450" s="932"/>
      <c r="E450" s="369"/>
      <c r="F450" s="369"/>
      <c r="G450" s="369"/>
      <c r="H450" s="369"/>
      <c r="I450" s="369"/>
      <c r="J450" s="369"/>
      <c r="K450" s="369"/>
      <c r="L450" s="369"/>
      <c r="M450" s="67"/>
    </row>
    <row r="451" spans="2:13" ht="14.25">
      <c r="B451" s="13"/>
      <c r="C451" s="14"/>
      <c r="D451" s="14"/>
      <c r="E451" s="14"/>
      <c r="F451" s="237" t="s">
        <v>6</v>
      </c>
      <c r="G451" s="13" t="s">
        <v>7</v>
      </c>
      <c r="H451" s="13" t="s">
        <v>8</v>
      </c>
      <c r="I451" s="239" t="s">
        <v>9</v>
      </c>
      <c r="J451" s="13" t="s">
        <v>10</v>
      </c>
      <c r="K451" s="17"/>
      <c r="L451" s="139" t="s">
        <v>966</v>
      </c>
      <c r="M451" s="67"/>
    </row>
    <row r="452" spans="2:13" ht="15">
      <c r="B452" s="15" t="s">
        <v>2</v>
      </c>
      <c r="C452" s="15" t="s">
        <v>370</v>
      </c>
      <c r="D452" s="287" t="s">
        <v>125</v>
      </c>
      <c r="E452" s="15" t="s">
        <v>371</v>
      </c>
      <c r="F452" s="242"/>
      <c r="G452" s="15"/>
      <c r="H452" s="15"/>
      <c r="I452" s="15"/>
      <c r="J452" s="15"/>
      <c r="K452" s="17"/>
      <c r="L452" s="97" t="s">
        <v>967</v>
      </c>
      <c r="M452" s="67"/>
    </row>
    <row r="453" spans="2:13" ht="14.25">
      <c r="B453" s="15"/>
      <c r="C453" s="15"/>
      <c r="D453" s="15"/>
      <c r="E453" s="15"/>
      <c r="F453" s="242"/>
      <c r="G453" s="15"/>
      <c r="H453" s="15"/>
      <c r="I453" s="15"/>
      <c r="J453" s="15"/>
      <c r="K453" s="17"/>
      <c r="L453" s="97"/>
      <c r="M453" s="67"/>
    </row>
    <row r="454" spans="2:13" ht="15" thickBot="1">
      <c r="B454" s="16"/>
      <c r="C454" s="16" t="s">
        <v>13</v>
      </c>
      <c r="D454" s="16" t="s">
        <v>14</v>
      </c>
      <c r="E454" s="16" t="s">
        <v>15</v>
      </c>
      <c r="F454" s="16" t="s">
        <v>16</v>
      </c>
      <c r="G454" s="16" t="s">
        <v>17</v>
      </c>
      <c r="H454" s="16" t="s">
        <v>18</v>
      </c>
      <c r="I454" s="16" t="s">
        <v>21</v>
      </c>
      <c r="J454" s="16" t="s">
        <v>22</v>
      </c>
      <c r="K454" s="17"/>
      <c r="L454" s="1125" t="s">
        <v>418</v>
      </c>
      <c r="M454" s="67"/>
    </row>
    <row r="455" spans="2:13" ht="14.25">
      <c r="B455" s="67"/>
      <c r="C455" s="333"/>
      <c r="D455" s="333"/>
      <c r="E455" s="333"/>
      <c r="F455" s="333"/>
      <c r="G455" s="333"/>
      <c r="H455" s="333"/>
      <c r="I455" s="43"/>
      <c r="J455" s="43"/>
      <c r="K455" s="43"/>
      <c r="L455" s="43"/>
      <c r="M455" s="67"/>
    </row>
    <row r="456" spans="2:13" ht="15">
      <c r="B456" s="17">
        <f t="shared" si="52" ref="B456:B464">B455+1</f>
        <v>1</v>
      </c>
      <c r="C456" s="334" t="s">
        <v>115</v>
      </c>
      <c r="D456" s="36"/>
      <c r="E456" s="37"/>
      <c r="F456" s="39"/>
      <c r="G456" s="36"/>
      <c r="H456" s="36"/>
      <c r="I456" s="36"/>
      <c r="J456" s="36"/>
      <c r="K456" s="36"/>
      <c r="L456" s="36"/>
      <c r="M456" s="67"/>
    </row>
    <row r="457" spans="2:13" ht="15">
      <c r="B457" s="17">
        <f t="shared" si="52"/>
        <v>2</v>
      </c>
      <c r="C457" s="348" t="s">
        <v>598</v>
      </c>
      <c r="D457" s="44"/>
      <c r="E457" s="263"/>
      <c r="F457" s="263"/>
      <c r="G457" s="43"/>
      <c r="H457" s="43"/>
      <c r="I457" s="43"/>
      <c r="J457" s="43"/>
      <c r="K457" s="43"/>
      <c r="L457" s="43"/>
      <c r="M457" s="67"/>
    </row>
    <row r="458" spans="2:13" ht="15">
      <c r="B458" s="17">
        <f t="shared" si="52"/>
        <v>3</v>
      </c>
      <c r="C458" s="36">
        <v>165</v>
      </c>
      <c r="D458" s="348" t="s">
        <v>125</v>
      </c>
      <c r="E458" s="37" t="s">
        <v>126</v>
      </c>
      <c r="F458" s="39"/>
      <c r="G458" s="36"/>
      <c r="H458" s="36"/>
      <c r="I458" s="36"/>
      <c r="J458" s="36"/>
      <c r="K458" s="36"/>
      <c r="L458" s="36"/>
      <c r="M458" s="67"/>
    </row>
    <row r="459" spans="2:15" s="386" customFormat="1" ht="16.5">
      <c r="B459" s="17">
        <f t="shared" si="52"/>
        <v>4</v>
      </c>
      <c r="C459" s="43"/>
      <c r="D459" s="43" t="s">
        <v>125</v>
      </c>
      <c r="E459" s="351"/>
      <c r="F459" s="1093">
        <f>'WP II-I-1.1'!F116</f>
        <v>10576723.424615383</v>
      </c>
      <c r="G459" s="1094">
        <f>'WP II-I-1.1'!G116</f>
        <v>100121671.99538463</v>
      </c>
      <c r="H459" s="1094">
        <f>'WP II-I-1.1'!H116</f>
        <v>3524809.17076923</v>
      </c>
      <c r="I459" s="1095">
        <f>'WP II-I-1.1'!I116</f>
        <v>930191.56999999855</v>
      </c>
      <c r="J459" s="302">
        <f>SUM(F459:I459)</f>
        <v>115153396.16076924</v>
      </c>
      <c r="K459" s="302"/>
      <c r="L459" s="296">
        <f t="shared" si="50"/>
        <v>104576672.73615386</v>
      </c>
      <c r="M459" s="47"/>
      <c r="N459" s="839">
        <f t="shared" si="53" ref="N459:N464">J459-L459-F459</f>
        <v>0</v>
      </c>
      <c r="O459" s="839">
        <f>'WP II-I-1.1'!$J$116-L459-F459</f>
        <v>0</v>
      </c>
    </row>
    <row r="460" spans="2:14" ht="15">
      <c r="B460" s="17">
        <f t="shared" si="52"/>
        <v>5</v>
      </c>
      <c r="C460" s="36"/>
      <c r="D460" s="44" t="s">
        <v>491</v>
      </c>
      <c r="E460" s="352"/>
      <c r="F460" s="898">
        <f>SUM(F459:F459)</f>
        <v>10576723.424615383</v>
      </c>
      <c r="G460" s="898">
        <f>SUM(G459:G459)</f>
        <v>100121671.99538463</v>
      </c>
      <c r="H460" s="898">
        <f>SUM(H459:H459)</f>
        <v>3524809.17076923</v>
      </c>
      <c r="I460" s="898">
        <f>SUM(I459:I459)</f>
        <v>930191.56999999855</v>
      </c>
      <c r="J460" s="300">
        <f>SUM(F460:I460)</f>
        <v>115153396.16076924</v>
      </c>
      <c r="K460" s="300"/>
      <c r="L460" s="898">
        <f t="shared" si="50"/>
        <v>104576672.73615386</v>
      </c>
      <c r="M460" s="67"/>
      <c r="N460" s="839">
        <f t="shared" si="53"/>
        <v>0</v>
      </c>
    </row>
    <row r="461" spans="2:13" ht="15.75" thickBot="1">
      <c r="B461" s="17">
        <f t="shared" si="52"/>
        <v>6</v>
      </c>
      <c r="C461" s="36"/>
      <c r="D461" s="44"/>
      <c r="E461" s="352"/>
      <c r="F461" s="353"/>
      <c r="G461" s="353"/>
      <c r="H461" s="353"/>
      <c r="I461" s="353"/>
      <c r="J461" s="353"/>
      <c r="K461" s="353"/>
      <c r="L461" s="354"/>
      <c r="M461" s="67"/>
    </row>
    <row r="462" spans="2:14" ht="15.75" thickBot="1">
      <c r="B462" s="17">
        <f t="shared" si="52"/>
        <v>7</v>
      </c>
      <c r="C462" s="341" t="s">
        <v>603</v>
      </c>
      <c r="D462" s="336"/>
      <c r="E462" s="337" t="s">
        <v>126</v>
      </c>
      <c r="F462" s="278">
        <f>+F460</f>
        <v>10576723.424615383</v>
      </c>
      <c r="G462" s="278">
        <f>+G460</f>
        <v>100121671.99538463</v>
      </c>
      <c r="H462" s="278">
        <f>+H460</f>
        <v>3524809.17076923</v>
      </c>
      <c r="I462" s="278">
        <f>+I460</f>
        <v>930191.56999999855</v>
      </c>
      <c r="J462" s="256">
        <f>SUM(F462:I462)</f>
        <v>115153396.16076924</v>
      </c>
      <c r="K462" s="252"/>
      <c r="L462" s="280">
        <f t="shared" si="50"/>
        <v>104576672.73615386</v>
      </c>
      <c r="M462" s="67"/>
      <c r="N462" s="839">
        <f t="shared" si="53"/>
        <v>0</v>
      </c>
    </row>
    <row r="463" spans="2:13" ht="15" thickBot="1">
      <c r="B463" s="17">
        <f t="shared" si="52"/>
        <v>8</v>
      </c>
      <c r="C463" s="43"/>
      <c r="D463" s="340"/>
      <c r="E463" s="351"/>
      <c r="F463" s="263"/>
      <c r="G463" s="263"/>
      <c r="H463" s="263"/>
      <c r="I463" s="263"/>
      <c r="J463" s="263"/>
      <c r="K463" s="263"/>
      <c r="L463" s="263"/>
      <c r="M463" s="67"/>
    </row>
    <row r="464" spans="2:14" ht="15.75" thickBot="1">
      <c r="B464" s="17">
        <f t="shared" si="52"/>
        <v>9</v>
      </c>
      <c r="C464" s="341" t="s">
        <v>604</v>
      </c>
      <c r="D464" s="336"/>
      <c r="E464" s="337" t="s">
        <v>605</v>
      </c>
      <c r="F464" s="278">
        <f>+F462+F441+F421</f>
        <v>31283415.02461537</v>
      </c>
      <c r="G464" s="278">
        <f>+G462+G441+G421</f>
        <v>158116704.44538462</v>
      </c>
      <c r="H464" s="278">
        <f>+H462+H441+H421</f>
        <v>3904531.1107692304</v>
      </c>
      <c r="I464" s="278">
        <f>+I462+I441+I421</f>
        <v>1071531.3499999822</v>
      </c>
      <c r="J464" s="256">
        <f>SUM(F464:I464)</f>
        <v>194376181.93076924</v>
      </c>
      <c r="K464" s="252"/>
      <c r="L464" s="280">
        <f t="shared" si="50"/>
        <v>163092766.90615386</v>
      </c>
      <c r="M464" s="67"/>
      <c r="N464" s="839">
        <f t="shared" si="53"/>
        <v>0</v>
      </c>
    </row>
    <row r="465" spans="2:13" ht="14.25">
      <c r="B465" s="67"/>
      <c r="C465" s="67"/>
      <c r="D465" s="67"/>
      <c r="E465" s="67"/>
      <c r="F465" s="67"/>
      <c r="G465" s="67"/>
      <c r="H465" s="67"/>
      <c r="I465" s="67"/>
      <c r="J465" s="67"/>
      <c r="K465" s="47"/>
      <c r="L465" s="47"/>
      <c r="M465" s="67"/>
    </row>
    <row r="466" spans="2:13" ht="15">
      <c r="B466" s="874"/>
      <c r="C466" s="874"/>
      <c r="D466" s="874"/>
      <c r="E466" s="874"/>
      <c r="F466" s="874"/>
      <c r="G466" s="874"/>
      <c r="H466" s="874"/>
      <c r="I466" s="874"/>
      <c r="J466" s="874"/>
      <c r="K466" s="874"/>
      <c r="L466" s="874"/>
      <c r="M466" s="134" t="str">
        <f>$M$2</f>
        <v xml:space="preserve"> </v>
      </c>
    </row>
    <row r="467" spans="2:13" ht="15.75" thickBot="1">
      <c r="B467" s="874"/>
      <c r="C467" s="874"/>
      <c r="D467" s="874"/>
      <c r="E467" s="874"/>
      <c r="F467" s="874"/>
      <c r="G467" s="874"/>
      <c r="H467" s="874"/>
      <c r="I467" s="874"/>
      <c r="J467" s="874"/>
      <c r="K467" s="874"/>
      <c r="L467" s="874"/>
      <c r="M467" s="67"/>
    </row>
    <row r="468" spans="2:12" ht="15">
      <c r="B468" s="920" t="str">
        <f>$B$4</f>
        <v>2022 RATE CASE</v>
      </c>
      <c r="C468" s="926"/>
      <c r="D468" s="927"/>
      <c r="E468" s="874"/>
      <c r="F468" s="874"/>
      <c r="G468" s="874"/>
      <c r="H468" s="874"/>
      <c r="I468" s="874"/>
      <c r="J468" s="874"/>
      <c r="K468" s="874"/>
      <c r="L468" s="874"/>
    </row>
    <row r="469" spans="2:13" ht="15">
      <c r="B469" s="917" t="str">
        <f>$B$5</f>
        <v>ONCOR ELECTRIC DELIVERY COMPANY LLC</v>
      </c>
      <c r="C469" s="369"/>
      <c r="D469" s="928"/>
      <c r="E469" s="874"/>
      <c r="F469" s="874"/>
      <c r="G469" s="874"/>
      <c r="H469" s="874"/>
      <c r="I469" s="874"/>
      <c r="J469" s="874"/>
      <c r="K469" s="874"/>
      <c r="L469" s="874"/>
      <c r="M469" s="67"/>
    </row>
    <row r="470" spans="2:13" ht="15">
      <c r="B470" s="406" t="str">
        <f>$B$6</f>
        <v>CONSOLIDATED FUNCTIONALIZED COST OF SERVICE</v>
      </c>
      <c r="C470" s="369"/>
      <c r="D470" s="928"/>
      <c r="E470" s="874"/>
      <c r="F470" s="874"/>
      <c r="G470" s="874"/>
      <c r="H470" s="874"/>
      <c r="I470" s="874"/>
      <c r="J470" s="874"/>
      <c r="K470" s="874"/>
      <c r="L470" s="874"/>
      <c r="M470" s="67"/>
    </row>
    <row r="471" spans="2:13" ht="15">
      <c r="B471" s="406" t="str">
        <f>$B$7</f>
        <v>TEST YEAR ENDING 12/31/2021</v>
      </c>
      <c r="C471" s="369"/>
      <c r="D471" s="928"/>
      <c r="E471" s="369"/>
      <c r="F471" s="369"/>
      <c r="G471" s="369"/>
      <c r="H471" s="369"/>
      <c r="I471" s="369"/>
      <c r="J471" s="369"/>
      <c r="K471" s="369"/>
      <c r="L471" s="369"/>
      <c r="M471" s="67"/>
    </row>
    <row r="472" spans="2:13" ht="15">
      <c r="B472" s="406" t="str">
        <f>$B$8</f>
        <v>SPONSOR:  MATTHEW A. TROXLE</v>
      </c>
      <c r="C472" s="369"/>
      <c r="D472" s="928"/>
      <c r="E472" s="369"/>
      <c r="F472" s="369"/>
      <c r="G472" s="369"/>
      <c r="H472" s="369"/>
      <c r="I472" s="369"/>
      <c r="J472" s="369"/>
      <c r="K472" s="369"/>
      <c r="L472" s="369"/>
      <c r="M472" s="67"/>
    </row>
    <row r="473" spans="2:13" ht="15.75" thickBot="1">
      <c r="B473" s="410"/>
      <c r="C473" s="931"/>
      <c r="D473" s="932"/>
      <c r="E473" s="369"/>
      <c r="F473" s="369"/>
      <c r="G473" s="369"/>
      <c r="H473" s="369"/>
      <c r="I473" s="369"/>
      <c r="J473" s="369"/>
      <c r="K473" s="369"/>
      <c r="L473" s="369"/>
      <c r="M473" s="67"/>
    </row>
    <row r="474" spans="2:13" ht="14.25">
      <c r="B474" s="13"/>
      <c r="C474" s="14"/>
      <c r="D474" s="14"/>
      <c r="E474" s="14"/>
      <c r="F474" s="237" t="s">
        <v>6</v>
      </c>
      <c r="G474" s="13" t="s">
        <v>7</v>
      </c>
      <c r="H474" s="13" t="s">
        <v>8</v>
      </c>
      <c r="I474" s="239" t="s">
        <v>9</v>
      </c>
      <c r="J474" s="13" t="s">
        <v>10</v>
      </c>
      <c r="K474" s="17"/>
      <c r="L474" s="139" t="s">
        <v>966</v>
      </c>
      <c r="M474" s="67"/>
    </row>
    <row r="475" spans="2:13" ht="15">
      <c r="B475" s="15" t="s">
        <v>2</v>
      </c>
      <c r="C475" s="15" t="s">
        <v>370</v>
      </c>
      <c r="D475" s="287" t="s">
        <v>127</v>
      </c>
      <c r="E475" s="15" t="s">
        <v>371</v>
      </c>
      <c r="F475" s="242"/>
      <c r="G475" s="15"/>
      <c r="H475" s="15"/>
      <c r="I475" s="15"/>
      <c r="J475" s="15"/>
      <c r="K475" s="17"/>
      <c r="L475" s="97" t="s">
        <v>967</v>
      </c>
      <c r="M475" s="67"/>
    </row>
    <row r="476" spans="2:13" ht="14.25">
      <c r="B476" s="15"/>
      <c r="C476" s="15"/>
      <c r="D476" s="15"/>
      <c r="E476" s="15"/>
      <c r="F476" s="242"/>
      <c r="G476" s="15"/>
      <c r="H476" s="15"/>
      <c r="I476" s="15"/>
      <c r="J476" s="15"/>
      <c r="K476" s="17"/>
      <c r="L476" s="97"/>
      <c r="M476" s="67"/>
    </row>
    <row r="477" spans="2:13" ht="15" thickBot="1">
      <c r="B477" s="16"/>
      <c r="C477" s="16" t="s">
        <v>13</v>
      </c>
      <c r="D477" s="16" t="s">
        <v>14</v>
      </c>
      <c r="E477" s="16" t="s">
        <v>15</v>
      </c>
      <c r="F477" s="16" t="s">
        <v>16</v>
      </c>
      <c r="G477" s="16" t="s">
        <v>17</v>
      </c>
      <c r="H477" s="16" t="s">
        <v>18</v>
      </c>
      <c r="I477" s="16" t="s">
        <v>21</v>
      </c>
      <c r="J477" s="16" t="s">
        <v>22</v>
      </c>
      <c r="K477" s="17"/>
      <c r="L477" s="1125" t="s">
        <v>418</v>
      </c>
      <c r="M477" s="67"/>
    </row>
    <row r="478" spans="2:13" ht="14.25">
      <c r="B478" s="67"/>
      <c r="C478" s="333"/>
      <c r="D478" s="333"/>
      <c r="E478" s="333"/>
      <c r="F478" s="333"/>
      <c r="G478" s="333"/>
      <c r="H478" s="333"/>
      <c r="I478" s="43"/>
      <c r="J478" s="43"/>
      <c r="K478" s="43"/>
      <c r="L478" s="43"/>
      <c r="M478" s="67"/>
    </row>
    <row r="479" spans="2:13" ht="17.25" customHeight="1">
      <c r="B479" s="17">
        <f t="shared" si="54" ref="B479:B485">B478+1</f>
        <v>1</v>
      </c>
      <c r="C479" s="334" t="s">
        <v>606</v>
      </c>
      <c r="D479" s="36"/>
      <c r="E479" s="37" t="s">
        <v>128</v>
      </c>
      <c r="F479" s="39"/>
      <c r="G479" s="36"/>
      <c r="H479" s="36"/>
      <c r="I479" s="36"/>
      <c r="J479" s="36"/>
      <c r="K479" s="36"/>
      <c r="L479" s="36"/>
      <c r="M479" s="67"/>
    </row>
    <row r="480" spans="2:15" s="386" customFormat="1" ht="16.5">
      <c r="B480" s="17">
        <f t="shared" si="54"/>
        <v>2</v>
      </c>
      <c r="C480" s="334"/>
      <c r="D480" s="691" t="s">
        <v>999</v>
      </c>
      <c r="E480" s="263"/>
      <c r="F480" s="1168">
        <f>'WP II-I-1.1'!F117</f>
        <v>24173334.859999999</v>
      </c>
      <c r="G480" s="1168">
        <f>'WP II-I-1.1'!G117</f>
        <v>-2266260.54</v>
      </c>
      <c r="H480" s="1168">
        <f>'WP II-I-1.1'!H117</f>
        <v>0</v>
      </c>
      <c r="I480" s="1168">
        <f>'WP II-I-1.1'!I117</f>
        <v>0</v>
      </c>
      <c r="J480" s="302">
        <f>SUM(F480:I480)</f>
        <v>21907074.32</v>
      </c>
      <c r="K480" s="43"/>
      <c r="L480" s="893">
        <f t="shared" si="50"/>
        <v>-2266260.54</v>
      </c>
      <c r="M480" s="47"/>
      <c r="N480" s="839">
        <f t="shared" si="55" ref="N480:N483">J480-L480-F480</f>
        <v>0</v>
      </c>
      <c r="O480" s="839">
        <f>'WP II-I-1.1'!$J$117-L480-F480</f>
        <v>0</v>
      </c>
    </row>
    <row r="481" spans="2:14" s="386" customFormat="1" ht="16.5">
      <c r="B481" s="17">
        <f t="shared" si="54"/>
        <v>3</v>
      </c>
      <c r="C481" s="43"/>
      <c r="D481" s="43" t="s">
        <v>607</v>
      </c>
      <c r="E481" s="37"/>
      <c r="F481" s="1169">
        <f>'WP II-I-1.1'!F118</f>
        <v>0</v>
      </c>
      <c r="G481" s="1169">
        <f>'WP II-I-1.1'!G118</f>
        <v>-162100</v>
      </c>
      <c r="H481" s="1169">
        <f>'WP II-I-1.1'!H118</f>
        <v>0</v>
      </c>
      <c r="I481" s="1169">
        <f>'WP II-I-1.1'!I118</f>
        <v>0</v>
      </c>
      <c r="J481" s="302">
        <f>SUM(F481:I481)</f>
        <v>-162100</v>
      </c>
      <c r="K481" s="302"/>
      <c r="L481" s="893">
        <f t="shared" si="50"/>
        <v>-162100</v>
      </c>
      <c r="M481" s="47"/>
      <c r="N481" s="839">
        <f t="shared" si="55"/>
        <v>0</v>
      </c>
    </row>
    <row r="482" spans="2:14" s="386" customFormat="1" ht="16.5">
      <c r="B482" s="17">
        <v>4</v>
      </c>
      <c r="C482" s="43"/>
      <c r="D482" s="691" t="s">
        <v>1257</v>
      </c>
      <c r="E482" s="37"/>
      <c r="F482" s="1169">
        <f>'WP II-I-1.1'!F119</f>
        <v>0</v>
      </c>
      <c r="G482" s="1169">
        <f>'WP II-I-1.1'!G119</f>
        <v>0</v>
      </c>
      <c r="H482" s="1169">
        <f>'WP II-I-1.1'!H119</f>
        <v>-668323.90000000002</v>
      </c>
      <c r="I482" s="1169">
        <f>'WP II-I-1.1'!I119</f>
        <v>0</v>
      </c>
      <c r="J482" s="302">
        <f>SUM(F482:I482)</f>
        <v>-668323.90000000002</v>
      </c>
      <c r="K482" s="302"/>
      <c r="L482" s="296">
        <f t="shared" si="50"/>
        <v>-668323.90000000002</v>
      </c>
      <c r="M482" s="47"/>
      <c r="N482" s="839">
        <f t="shared" si="55"/>
        <v>0</v>
      </c>
    </row>
    <row r="483" spans="2:14" ht="15">
      <c r="B483" s="17">
        <v>5</v>
      </c>
      <c r="C483" s="36"/>
      <c r="D483" s="44" t="s">
        <v>491</v>
      </c>
      <c r="E483" s="352"/>
      <c r="F483" s="898">
        <f>SUM(F480:F482)</f>
        <v>24173334.859999999</v>
      </c>
      <c r="G483" s="898">
        <f>SUM(G480:G482)</f>
        <v>-2428360.54</v>
      </c>
      <c r="H483" s="898">
        <f>SUM(H480:H482)</f>
        <v>-668323.90000000002</v>
      </c>
      <c r="I483" s="898">
        <f>SUM(I480:I482)</f>
        <v>0</v>
      </c>
      <c r="J483" s="775">
        <f>SUM(F483:I483)</f>
        <v>21076650.420000002</v>
      </c>
      <c r="K483" s="300"/>
      <c r="L483" s="898">
        <f t="shared" si="50"/>
        <v>-3096684.4399999999</v>
      </c>
      <c r="M483" s="67"/>
      <c r="N483" s="839">
        <f t="shared" si="55"/>
        <v>0</v>
      </c>
    </row>
    <row r="484" spans="2:13" ht="15.75" thickBot="1">
      <c r="B484" s="17">
        <v>6</v>
      </c>
      <c r="C484" s="36"/>
      <c r="D484" s="44"/>
      <c r="E484" s="37"/>
      <c r="F484" s="39"/>
      <c r="G484" s="39"/>
      <c r="H484" s="39"/>
      <c r="I484" s="39"/>
      <c r="J484" s="36"/>
      <c r="K484" s="36"/>
      <c r="L484" s="39"/>
      <c r="M484" s="67"/>
    </row>
    <row r="485" spans="2:14" ht="15.75" thickBot="1">
      <c r="B485" s="17">
        <f t="shared" si="54"/>
        <v>7</v>
      </c>
      <c r="C485" s="341" t="s">
        <v>608</v>
      </c>
      <c r="D485" s="336"/>
      <c r="E485" s="337"/>
      <c r="F485" s="278">
        <f>+F483+F464+F421+F399+F374</f>
        <v>-928613893.33538496</v>
      </c>
      <c r="G485" s="278">
        <f>+G483+G464+G421+G399+G374</f>
        <v>-899934468.01461494</v>
      </c>
      <c r="H485" s="278">
        <f>+H483+H464+H421+H399+H374</f>
        <v>-33314483.65923078</v>
      </c>
      <c r="I485" s="278">
        <f>+I483+I464+I421+I399+I374</f>
        <v>-84738757.739999726</v>
      </c>
      <c r="J485" s="256">
        <f>SUM(F485:I485)</f>
        <v>-1946601602.7492304</v>
      </c>
      <c r="K485" s="252"/>
      <c r="L485" s="280">
        <f t="shared" si="50"/>
        <v>-1017987709.4138455</v>
      </c>
      <c r="M485" s="67"/>
      <c r="N485" s="839">
        <f t="shared" si="56" ref="N485">J485-L485-F485</f>
        <v>0</v>
      </c>
    </row>
    <row r="486" spans="2:13" ht="14.25">
      <c r="B486" s="67"/>
      <c r="C486" s="67"/>
      <c r="D486" s="67"/>
      <c r="E486" s="67"/>
      <c r="F486" s="67"/>
      <c r="G486" s="67"/>
      <c r="H486" s="67"/>
      <c r="I486" s="67"/>
      <c r="J486" s="67"/>
      <c r="K486" s="47"/>
      <c r="L486" s="47"/>
      <c r="M486" s="67"/>
    </row>
    <row r="487" spans="2:13" ht="15">
      <c r="B487" s="874"/>
      <c r="C487" s="874"/>
      <c r="D487" s="874"/>
      <c r="E487" s="874"/>
      <c r="F487" s="874"/>
      <c r="G487" s="874"/>
      <c r="H487" s="874"/>
      <c r="I487" s="874"/>
      <c r="J487" s="874"/>
      <c r="K487" s="874"/>
      <c r="L487" s="874"/>
      <c r="M487" s="134" t="str">
        <f>$M$2</f>
        <v xml:space="preserve"> </v>
      </c>
    </row>
    <row r="488" spans="2:13" ht="15.75" thickBot="1">
      <c r="B488" s="874"/>
      <c r="C488" s="874"/>
      <c r="D488" s="874"/>
      <c r="E488" s="874"/>
      <c r="F488" s="874"/>
      <c r="G488" s="874"/>
      <c r="H488" s="874"/>
      <c r="I488" s="874"/>
      <c r="J488" s="874"/>
      <c r="K488" s="874"/>
      <c r="L488" s="874"/>
      <c r="M488" s="67"/>
    </row>
    <row r="489" spans="2:12" ht="15">
      <c r="B489" s="920" t="str">
        <f>$B$4</f>
        <v>2022 RATE CASE</v>
      </c>
      <c r="C489" s="926"/>
      <c r="D489" s="927"/>
      <c r="E489" s="874"/>
      <c r="F489" s="874"/>
      <c r="G489" s="874"/>
      <c r="H489" s="874"/>
      <c r="I489" s="874"/>
      <c r="J489" s="874"/>
      <c r="K489" s="874"/>
      <c r="L489" s="874"/>
    </row>
    <row r="490" spans="2:13" ht="15">
      <c r="B490" s="917" t="str">
        <f>$B$5</f>
        <v>ONCOR ELECTRIC DELIVERY COMPANY LLC</v>
      </c>
      <c r="C490" s="369"/>
      <c r="D490" s="928"/>
      <c r="E490" s="874"/>
      <c r="F490" s="874"/>
      <c r="G490" s="874"/>
      <c r="H490" s="874"/>
      <c r="I490" s="874"/>
      <c r="J490" s="874"/>
      <c r="K490" s="874"/>
      <c r="L490" s="874"/>
      <c r="M490" s="67"/>
    </row>
    <row r="491" spans="2:13" ht="15">
      <c r="B491" s="406" t="str">
        <f>$B$6</f>
        <v>CONSOLIDATED FUNCTIONALIZED COST OF SERVICE</v>
      </c>
      <c r="C491" s="369"/>
      <c r="D491" s="928"/>
      <c r="E491" s="874"/>
      <c r="F491" s="874"/>
      <c r="G491" s="874"/>
      <c r="H491" s="874"/>
      <c r="I491" s="874"/>
      <c r="J491" s="874"/>
      <c r="K491" s="874"/>
      <c r="L491" s="874"/>
      <c r="M491" s="67"/>
    </row>
    <row r="492" spans="2:13" ht="15">
      <c r="B492" s="406" t="str">
        <f>$B$7</f>
        <v>TEST YEAR ENDING 12/31/2021</v>
      </c>
      <c r="C492" s="369"/>
      <c r="D492" s="928"/>
      <c r="E492" s="369"/>
      <c r="F492" s="369"/>
      <c r="G492" s="369"/>
      <c r="H492" s="369"/>
      <c r="I492" s="369"/>
      <c r="J492" s="369"/>
      <c r="K492" s="369"/>
      <c r="L492" s="369"/>
      <c r="M492" s="67"/>
    </row>
    <row r="493" spans="2:13" ht="15">
      <c r="B493" s="406" t="str">
        <f>$B$8</f>
        <v>SPONSOR:  MATTHEW A. TROXLE</v>
      </c>
      <c r="C493" s="369"/>
      <c r="D493" s="928"/>
      <c r="E493" s="369"/>
      <c r="F493" s="369"/>
      <c r="G493" s="369"/>
      <c r="H493" s="369"/>
      <c r="I493" s="369"/>
      <c r="J493" s="369"/>
      <c r="K493" s="369"/>
      <c r="L493" s="369"/>
      <c r="M493" s="67"/>
    </row>
    <row r="494" spans="2:13" ht="15.75" thickBot="1">
      <c r="B494" s="410"/>
      <c r="C494" s="931"/>
      <c r="D494" s="932"/>
      <c r="E494" s="369"/>
      <c r="F494" s="369"/>
      <c r="G494" s="369"/>
      <c r="H494" s="369"/>
      <c r="I494" s="369"/>
      <c r="J494" s="369"/>
      <c r="K494" s="369"/>
      <c r="L494" s="369"/>
      <c r="M494" s="67"/>
    </row>
    <row r="495" spans="2:13" ht="14.25">
      <c r="B495" s="13"/>
      <c r="C495" s="14"/>
      <c r="D495" s="14"/>
      <c r="E495" s="14"/>
      <c r="F495" s="237" t="s">
        <v>6</v>
      </c>
      <c r="G495" s="13" t="s">
        <v>7</v>
      </c>
      <c r="H495" s="13" t="s">
        <v>8</v>
      </c>
      <c r="I495" s="239" t="s">
        <v>9</v>
      </c>
      <c r="J495" s="13" t="s">
        <v>10</v>
      </c>
      <c r="K495" s="17"/>
      <c r="L495" s="139" t="s">
        <v>966</v>
      </c>
      <c r="M495" s="67"/>
    </row>
    <row r="496" spans="2:13" ht="15">
      <c r="B496" s="15" t="s">
        <v>2</v>
      </c>
      <c r="C496" s="15" t="s">
        <v>370</v>
      </c>
      <c r="D496" s="287" t="s">
        <v>609</v>
      </c>
      <c r="E496" s="15" t="s">
        <v>371</v>
      </c>
      <c r="F496" s="242"/>
      <c r="G496" s="15"/>
      <c r="H496" s="15"/>
      <c r="I496" s="15"/>
      <c r="J496" s="15"/>
      <c r="K496" s="17"/>
      <c r="L496" s="97" t="s">
        <v>967</v>
      </c>
      <c r="M496" s="67"/>
    </row>
    <row r="497" spans="2:13" ht="14.25">
      <c r="B497" s="15"/>
      <c r="C497" s="15"/>
      <c r="D497" s="15"/>
      <c r="E497" s="15"/>
      <c r="F497" s="242"/>
      <c r="G497" s="15"/>
      <c r="H497" s="15"/>
      <c r="I497" s="15"/>
      <c r="J497" s="15"/>
      <c r="K497" s="17"/>
      <c r="L497" s="97"/>
      <c r="M497" s="67"/>
    </row>
    <row r="498" spans="2:13" ht="15" thickBot="1">
      <c r="B498" s="16"/>
      <c r="C498" s="16" t="s">
        <v>13</v>
      </c>
      <c r="D498" s="16" t="s">
        <v>14</v>
      </c>
      <c r="E498" s="16" t="s">
        <v>15</v>
      </c>
      <c r="F498" s="16" t="s">
        <v>16</v>
      </c>
      <c r="G498" s="16" t="s">
        <v>17</v>
      </c>
      <c r="H498" s="16" t="s">
        <v>18</v>
      </c>
      <c r="I498" s="16" t="s">
        <v>21</v>
      </c>
      <c r="J498" s="16" t="s">
        <v>22</v>
      </c>
      <c r="K498" s="17"/>
      <c r="L498" s="1125" t="s">
        <v>418</v>
      </c>
      <c r="M498" s="67"/>
    </row>
    <row r="499" spans="2:13" s="386" customFormat="1" ht="14.25">
      <c r="B499" s="47"/>
      <c r="C499" s="333"/>
      <c r="D499" s="333"/>
      <c r="E499" s="333"/>
      <c r="F499" s="333"/>
      <c r="G499" s="333"/>
      <c r="H499" s="333"/>
      <c r="I499" s="43"/>
      <c r="J499" s="43"/>
      <c r="K499" s="43"/>
      <c r="L499" s="43"/>
      <c r="M499" s="47"/>
    </row>
    <row r="500" spans="2:13" s="386" customFormat="1" ht="15">
      <c r="B500" s="17">
        <f t="shared" si="57" ref="B500:B552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7"/>
    </row>
    <row r="501" spans="2:13" s="386" customFormat="1" ht="15">
      <c r="B501" s="17">
        <f t="shared" si="57"/>
        <v>2</v>
      </c>
      <c r="C501" s="36" t="s">
        <v>610</v>
      </c>
      <c r="D501" s="44"/>
      <c r="E501" s="897" t="s">
        <v>132</v>
      </c>
      <c r="F501" s="914"/>
      <c r="G501" s="914"/>
      <c r="H501" s="898"/>
      <c r="I501" s="36"/>
      <c r="J501" s="36"/>
      <c r="K501" s="36"/>
      <c r="L501" s="36"/>
      <c r="M501" s="47"/>
    </row>
    <row r="502" spans="2:13" s="386" customFormat="1" ht="15">
      <c r="B502" s="17">
        <f t="shared" si="57"/>
        <v>3</v>
      </c>
      <c r="C502" s="36" t="s">
        <v>611</v>
      </c>
      <c r="D502" s="44"/>
      <c r="E502" s="897"/>
      <c r="F502" s="914"/>
      <c r="G502" s="914"/>
      <c r="H502" s="898"/>
      <c r="I502" s="36"/>
      <c r="J502" s="36"/>
      <c r="K502" s="36"/>
      <c r="L502" s="36"/>
      <c r="M502" s="47"/>
    </row>
    <row r="503" spans="2:14" s="386" customFormat="1" ht="14.25">
      <c r="B503" s="17">
        <f t="shared" si="57"/>
        <v>4</v>
      </c>
      <c r="C503" s="1138">
        <v>189</v>
      </c>
      <c r="D503" s="386" t="s">
        <v>1210</v>
      </c>
      <c r="F503" s="1087">
        <f>'WP II-I-1.1'!F123</f>
        <v>0</v>
      </c>
      <c r="G503" s="1089">
        <f>'WP II-I-1.1'!G123</f>
        <v>0</v>
      </c>
      <c r="H503" s="1089">
        <f>'WP II-I-1.1'!H123</f>
        <v>0</v>
      </c>
      <c r="I503" s="1090">
        <f>'WP II-I-1.1'!I123</f>
        <v>0</v>
      </c>
      <c r="J503" s="290">
        <f t="shared" si="58" ref="J503:J521">SUM(F503:I503)</f>
        <v>0</v>
      </c>
      <c r="K503" s="290"/>
      <c r="L503" s="18">
        <f t="shared" si="59" ref="L503:L574">SUM(G503:I503)</f>
        <v>0</v>
      </c>
      <c r="M503" s="47"/>
      <c r="N503" s="839">
        <f t="shared" si="60" ref="N503:N521">J503-L503-F503</f>
        <v>0</v>
      </c>
    </row>
    <row r="504" spans="2:14" s="386" customFormat="1" ht="14.25">
      <c r="B504" s="17">
        <f t="shared" si="57"/>
        <v>5</v>
      </c>
      <c r="C504" s="1138">
        <v>182</v>
      </c>
      <c r="D504" s="386" t="s">
        <v>1211</v>
      </c>
      <c r="F504" s="1081">
        <f>'WP II-I-1.1'!F124</f>
        <v>1518897.72</v>
      </c>
      <c r="G504" s="893">
        <f>'WP II-I-1.1'!G124</f>
        <v>0</v>
      </c>
      <c r="H504" s="893">
        <f>'WP II-I-1.1'!H124</f>
        <v>0</v>
      </c>
      <c r="I504" s="1082">
        <f>'WP II-I-1.1'!I124</f>
        <v>0</v>
      </c>
      <c r="J504" s="290">
        <f t="shared" si="58"/>
        <v>1518897.72</v>
      </c>
      <c r="K504" s="290"/>
      <c r="L504" s="18">
        <f t="shared" si="59"/>
        <v>0</v>
      </c>
      <c r="M504" s="47"/>
      <c r="N504" s="839">
        <f t="shared" si="60"/>
        <v>0</v>
      </c>
    </row>
    <row r="505" spans="2:14" s="386" customFormat="1" ht="14.25">
      <c r="B505" s="17">
        <f t="shared" si="57"/>
        <v>6</v>
      </c>
      <c r="C505" s="1138">
        <v>182</v>
      </c>
      <c r="D505" s="386" t="s">
        <v>1359</v>
      </c>
      <c r="F505" s="1081">
        <f>'WP II-I-1.1'!F125</f>
        <v>0</v>
      </c>
      <c r="G505" s="893">
        <f>'WP II-I-1.1'!G125</f>
        <v>26088</v>
      </c>
      <c r="H505" s="893">
        <f>'WP II-I-1.1'!H125</f>
        <v>0</v>
      </c>
      <c r="I505" s="1082">
        <f>'WP II-I-1.1'!I125</f>
        <v>0</v>
      </c>
      <c r="J505" s="290">
        <f t="shared" si="58"/>
        <v>26088</v>
      </c>
      <c r="K505" s="290"/>
      <c r="L505" s="18">
        <f t="shared" si="59"/>
        <v>26088</v>
      </c>
      <c r="M505" s="47"/>
      <c r="N505" s="839">
        <f t="shared" si="60"/>
        <v>0</v>
      </c>
    </row>
    <row r="506" spans="2:14" s="386" customFormat="1" ht="14.25">
      <c r="B506" s="17">
        <f t="shared" si="57"/>
        <v>7</v>
      </c>
      <c r="C506" s="1138">
        <v>182</v>
      </c>
      <c r="D506" s="386" t="s">
        <v>1213</v>
      </c>
      <c r="F506" s="1081">
        <f>'WP II-I-1.1'!F126</f>
        <v>3006612.8700000001</v>
      </c>
      <c r="G506" s="893">
        <f>'WP II-I-1.1'!G126</f>
        <v>28752061.66</v>
      </c>
      <c r="H506" s="893">
        <f>'WP II-I-1.1'!H126</f>
        <v>1579203.8999999999</v>
      </c>
      <c r="I506" s="1082">
        <f>'WP II-I-1.1'!I126</f>
        <v>1280747.8899999992</v>
      </c>
      <c r="J506" s="290">
        <f t="shared" si="58"/>
        <v>34618626.32</v>
      </c>
      <c r="K506" s="290"/>
      <c r="L506" s="18">
        <f t="shared" si="59"/>
        <v>31612013.449999999</v>
      </c>
      <c r="M506" s="47"/>
      <c r="N506" s="839">
        <f t="shared" si="60"/>
        <v>0</v>
      </c>
    </row>
    <row r="507" spans="2:14" s="386" customFormat="1" ht="14.25">
      <c r="B507" s="17">
        <f t="shared" si="57"/>
        <v>8</v>
      </c>
      <c r="C507" s="40">
        <v>182</v>
      </c>
      <c r="D507" s="43" t="s">
        <v>135</v>
      </c>
      <c r="E507" s="43"/>
      <c r="F507" s="1081">
        <f>'WP II-I-1.1'!F127</f>
        <v>36117771</v>
      </c>
      <c r="G507" s="893">
        <f>'WP II-I-1.1'!G127</f>
        <v>105257009.84</v>
      </c>
      <c r="H507" s="893">
        <f>'WP II-I-1.1'!H127</f>
        <v>25202869.899999999</v>
      </c>
      <c r="I507" s="1082">
        <f>'WP II-I-1.1'!I127</f>
        <v>6400179.7299999967</v>
      </c>
      <c r="J507" s="290">
        <f t="shared" si="58"/>
        <v>172977830.47</v>
      </c>
      <c r="K507" s="290"/>
      <c r="L507" s="18">
        <f t="shared" si="59"/>
        <v>136860059.47</v>
      </c>
      <c r="M507" s="47"/>
      <c r="N507" s="839">
        <f t="shared" si="60"/>
        <v>0</v>
      </c>
    </row>
    <row r="508" spans="2:14" s="386" customFormat="1" ht="14.25">
      <c r="B508" s="17">
        <f t="shared" si="57"/>
        <v>9</v>
      </c>
      <c r="C508" s="40">
        <v>182</v>
      </c>
      <c r="D508" s="43" t="s">
        <v>136</v>
      </c>
      <c r="E508" s="43"/>
      <c r="F508" s="1081">
        <f>'WP II-I-1.1'!F128</f>
        <v>-3840349.6800000002</v>
      </c>
      <c r="G508" s="893">
        <f>'WP II-I-1.1'!G128</f>
        <v>-10594886.380000001</v>
      </c>
      <c r="H508" s="893">
        <f>'WP II-I-1.1'!H128</f>
        <v>-2888676.04</v>
      </c>
      <c r="I508" s="1082">
        <f>'WP II-I-1.1'!I128</f>
        <v>-116244.11999999825</v>
      </c>
      <c r="J508" s="290">
        <f t="shared" si="58"/>
        <v>-17440156.219999999</v>
      </c>
      <c r="K508" s="290"/>
      <c r="L508" s="18">
        <f t="shared" si="59"/>
        <v>-13599806.539999999</v>
      </c>
      <c r="M508" s="47"/>
      <c r="N508" s="839">
        <f t="shared" si="60"/>
        <v>0</v>
      </c>
    </row>
    <row r="509" spans="2:14" s="386" customFormat="1" ht="14.25">
      <c r="B509" s="17">
        <f t="shared" si="57"/>
        <v>10</v>
      </c>
      <c r="C509" s="40">
        <v>182</v>
      </c>
      <c r="D509" s="43" t="s">
        <v>137</v>
      </c>
      <c r="E509" s="43"/>
      <c r="F509" s="1081">
        <f>'WP II-I-1.1'!F129</f>
        <v>3928761.9500000002</v>
      </c>
      <c r="G509" s="893">
        <f>'WP II-I-1.1'!G129</f>
        <v>11449481.08</v>
      </c>
      <c r="H509" s="893">
        <f>'WP II-I-1.1'!H129</f>
        <v>2741478.0499999998</v>
      </c>
      <c r="I509" s="1082">
        <f>'WP II-I-1.1'!I129</f>
        <v>696188.65999999922</v>
      </c>
      <c r="J509" s="290">
        <f t="shared" si="58"/>
        <v>18815909.740000002</v>
      </c>
      <c r="K509" s="290"/>
      <c r="L509" s="18">
        <f t="shared" si="59"/>
        <v>14887147.789999999</v>
      </c>
      <c r="M509" s="47"/>
      <c r="N509" s="839">
        <f t="shared" si="60"/>
        <v>0</v>
      </c>
    </row>
    <row r="510" spans="2:14" s="386" customFormat="1" ht="14.25">
      <c r="B510" s="17">
        <f t="shared" si="57"/>
        <v>11</v>
      </c>
      <c r="C510" s="40">
        <v>182</v>
      </c>
      <c r="D510" s="43" t="s">
        <v>1360</v>
      </c>
      <c r="F510" s="1081">
        <f>'WP II-I-1.1'!F130</f>
        <v>0</v>
      </c>
      <c r="G510" s="893">
        <f>'WP II-I-1.1'!G130</f>
        <v>0</v>
      </c>
      <c r="H510" s="893">
        <f>'WP II-I-1.1'!H130</f>
        <v>0</v>
      </c>
      <c r="I510" s="1082">
        <f>'WP II-I-1.1'!I130</f>
        <v>0</v>
      </c>
      <c r="J510" s="290">
        <f t="shared" si="58"/>
        <v>0</v>
      </c>
      <c r="K510" s="290"/>
      <c r="L510" s="18">
        <f t="shared" si="59"/>
        <v>0</v>
      </c>
      <c r="M510" s="47"/>
      <c r="N510" s="839">
        <f t="shared" si="60"/>
        <v>0</v>
      </c>
    </row>
    <row r="511" spans="2:14" s="386" customFormat="1" ht="14.25">
      <c r="B511" s="17">
        <f t="shared" si="57"/>
        <v>12</v>
      </c>
      <c r="C511" s="40">
        <v>182</v>
      </c>
      <c r="D511" s="43" t="s">
        <v>1361</v>
      </c>
      <c r="F511" s="1081">
        <f>'WP II-I-1.1'!F131</f>
        <v>0</v>
      </c>
      <c r="G511" s="893">
        <f>'WP II-I-1.1'!G131</f>
        <v>0</v>
      </c>
      <c r="H511" s="893">
        <f>'WP II-I-1.1'!H131</f>
        <v>0</v>
      </c>
      <c r="I511" s="1082">
        <f>'WP II-I-1.1'!I131</f>
        <v>0</v>
      </c>
      <c r="J511" s="290">
        <f t="shared" si="58"/>
        <v>0</v>
      </c>
      <c r="K511" s="290"/>
      <c r="L511" s="18">
        <f t="shared" si="59"/>
        <v>0</v>
      </c>
      <c r="M511" s="47"/>
      <c r="N511" s="839">
        <f t="shared" si="60"/>
        <v>0</v>
      </c>
    </row>
    <row r="512" spans="2:14" s="386" customFormat="1" ht="14.25">
      <c r="B512" s="17">
        <f t="shared" si="57"/>
        <v>13</v>
      </c>
      <c r="C512" s="1138">
        <v>182</v>
      </c>
      <c r="D512" s="386" t="s">
        <v>1362</v>
      </c>
      <c r="F512" s="1081">
        <f>'WP II-I-1.1'!F132</f>
        <v>0</v>
      </c>
      <c r="G512" s="893">
        <f>'WP II-I-1.1'!G132</f>
        <v>0</v>
      </c>
      <c r="H512" s="893">
        <f>'WP II-I-1.1'!H132</f>
        <v>0</v>
      </c>
      <c r="I512" s="1082">
        <f>'WP II-I-1.1'!I132</f>
        <v>0</v>
      </c>
      <c r="J512" s="290">
        <f t="shared" si="58"/>
        <v>0</v>
      </c>
      <c r="K512" s="290"/>
      <c r="L512" s="18">
        <f t="shared" si="59"/>
        <v>0</v>
      </c>
      <c r="M512" s="47"/>
      <c r="N512" s="839">
        <f t="shared" si="60"/>
        <v>0</v>
      </c>
    </row>
    <row r="513" spans="2:14" s="386" customFormat="1" ht="14.25">
      <c r="B513" s="17">
        <f t="shared" si="57"/>
        <v>14</v>
      </c>
      <c r="C513" s="1138">
        <v>186</v>
      </c>
      <c r="D513" s="386" t="s">
        <v>1335</v>
      </c>
      <c r="F513" s="1081">
        <f>'WP II-I-1.1'!F133</f>
        <v>0</v>
      </c>
      <c r="G513" s="893">
        <f>'WP II-I-1.1'!G133</f>
        <v>0</v>
      </c>
      <c r="H513" s="893">
        <f>'WP II-I-1.1'!H133</f>
        <v>80079.689999999973</v>
      </c>
      <c r="I513" s="1082">
        <f>'WP II-I-1.1'!I133</f>
        <v>0</v>
      </c>
      <c r="J513" s="290">
        <f t="shared" si="58"/>
        <v>80079.689999999973</v>
      </c>
      <c r="K513" s="290"/>
      <c r="L513" s="18">
        <f t="shared" si="59"/>
        <v>80079.689999999973</v>
      </c>
      <c r="M513" s="47"/>
      <c r="N513" s="839">
        <f t="shared" si="60"/>
        <v>0</v>
      </c>
    </row>
    <row r="514" spans="2:14" s="386" customFormat="1" ht="14.25">
      <c r="B514" s="17">
        <f t="shared" si="57"/>
        <v>15</v>
      </c>
      <c r="C514" s="40">
        <v>186</v>
      </c>
      <c r="D514" s="43" t="s">
        <v>1216</v>
      </c>
      <c r="F514" s="1081">
        <f>'WP II-I-1.1'!F134</f>
        <v>0</v>
      </c>
      <c r="G514" s="893">
        <f>'WP II-I-1.1'!G134</f>
        <v>0</v>
      </c>
      <c r="H514" s="893">
        <f>'WP II-I-1.1'!H134</f>
        <v>0</v>
      </c>
      <c r="I514" s="1082">
        <f>'WP II-I-1.1'!I134</f>
        <v>0</v>
      </c>
      <c r="J514" s="290">
        <f t="shared" si="58"/>
        <v>0</v>
      </c>
      <c r="K514" s="290"/>
      <c r="L514" s="18">
        <f t="shared" si="59"/>
        <v>0</v>
      </c>
      <c r="M514" s="47"/>
      <c r="N514" s="839">
        <f t="shared" si="60"/>
        <v>0</v>
      </c>
    </row>
    <row r="515" spans="2:14" s="386" customFormat="1" ht="14.25">
      <c r="B515" s="17">
        <f t="shared" si="57"/>
        <v>16</v>
      </c>
      <c r="C515" s="1118">
        <v>186</v>
      </c>
      <c r="D515" s="386" t="s">
        <v>1217</v>
      </c>
      <c r="F515" s="1081">
        <f>'WP II-I-1.1'!F135</f>
        <v>0</v>
      </c>
      <c r="G515" s="893">
        <f>'WP II-I-1.1'!G135</f>
        <v>178482.85000000001</v>
      </c>
      <c r="H515" s="893">
        <f>'WP II-I-1.1'!H135</f>
        <v>0</v>
      </c>
      <c r="I515" s="1082">
        <f>'WP II-I-1.1'!I135</f>
        <v>0</v>
      </c>
      <c r="J515" s="290">
        <f t="shared" si="58"/>
        <v>178482.85000000001</v>
      </c>
      <c r="K515" s="290"/>
      <c r="L515" s="18">
        <f t="shared" si="59"/>
        <v>178482.85000000001</v>
      </c>
      <c r="M515" s="47"/>
      <c r="N515" s="839">
        <f t="shared" si="60"/>
        <v>0</v>
      </c>
    </row>
    <row r="516" spans="2:14" s="386" customFormat="1" ht="14.25">
      <c r="B516" s="17">
        <f t="shared" si="57"/>
        <v>17</v>
      </c>
      <c r="C516" s="1118">
        <v>186</v>
      </c>
      <c r="D516" s="386" t="s">
        <v>1218</v>
      </c>
      <c r="F516" s="1081">
        <f>'WP II-I-1.1'!F136</f>
        <v>0</v>
      </c>
      <c r="G516" s="893">
        <f>'WP II-I-1.1'!G136</f>
        <v>304615.98999999999</v>
      </c>
      <c r="H516" s="893">
        <f>'WP II-I-1.1'!H136</f>
        <v>0</v>
      </c>
      <c r="I516" s="1082">
        <f>'WP II-I-1.1'!I136</f>
        <v>0</v>
      </c>
      <c r="J516" s="290">
        <f t="shared" si="58"/>
        <v>304615.98999999999</v>
      </c>
      <c r="K516" s="290"/>
      <c r="L516" s="18">
        <f t="shared" si="59"/>
        <v>304615.98999999999</v>
      </c>
      <c r="M516" s="47"/>
      <c r="N516" s="839">
        <f t="shared" si="60"/>
        <v>0</v>
      </c>
    </row>
    <row r="517" spans="2:14" s="386" customFormat="1" ht="14.25">
      <c r="B517" s="17">
        <f t="shared" si="57"/>
        <v>18</v>
      </c>
      <c r="C517" s="1118">
        <v>186</v>
      </c>
      <c r="D517" s="386" t="s">
        <v>1219</v>
      </c>
      <c r="F517" s="1081">
        <f>'WP II-I-1.1'!F137</f>
        <v>0</v>
      </c>
      <c r="G517" s="893">
        <f>'WP II-I-1.1'!G137</f>
        <v>167728.14000000001</v>
      </c>
      <c r="H517" s="893">
        <f>'WP II-I-1.1'!H137</f>
        <v>0</v>
      </c>
      <c r="I517" s="1082">
        <f>'WP II-I-1.1'!I137</f>
        <v>0</v>
      </c>
      <c r="J517" s="290">
        <f t="shared" si="58"/>
        <v>167728.14000000001</v>
      </c>
      <c r="K517" s="290"/>
      <c r="L517" s="18">
        <f t="shared" si="59"/>
        <v>167728.14000000001</v>
      </c>
      <c r="M517" s="47"/>
      <c r="N517" s="839">
        <f t="shared" si="60"/>
        <v>0</v>
      </c>
    </row>
    <row r="518" spans="2:14" s="386" customFormat="1" ht="14.25">
      <c r="B518" s="17">
        <f t="shared" si="57"/>
        <v>19</v>
      </c>
      <c r="C518" s="1118">
        <v>186</v>
      </c>
      <c r="D518" s="386" t="s">
        <v>1363</v>
      </c>
      <c r="F518" s="1081">
        <f>'WP II-I-1.1'!F138</f>
        <v>0</v>
      </c>
      <c r="G518" s="893">
        <f>'WP II-I-1.1'!G138</f>
        <v>215521.45999999999</v>
      </c>
      <c r="H518" s="893">
        <f>'WP II-I-1.1'!H138</f>
        <v>0</v>
      </c>
      <c r="I518" s="1082">
        <f>'WP II-I-1.1'!I138</f>
        <v>0</v>
      </c>
      <c r="J518" s="290">
        <f t="shared" si="58"/>
        <v>215521.45999999999</v>
      </c>
      <c r="K518" s="290"/>
      <c r="L518" s="18">
        <f t="shared" si="59"/>
        <v>215521.45999999999</v>
      </c>
      <c r="M518" s="47"/>
      <c r="N518" s="839">
        <f t="shared" si="60"/>
        <v>0</v>
      </c>
    </row>
    <row r="519" spans="2:14" s="386" customFormat="1" ht="14.25">
      <c r="B519" s="17">
        <f t="shared" si="57"/>
        <v>20</v>
      </c>
      <c r="C519" s="1118">
        <v>186</v>
      </c>
      <c r="D519" s="386" t="s">
        <v>1364</v>
      </c>
      <c r="F519" s="1081">
        <f>'WP II-I-1.1'!F139</f>
        <v>0</v>
      </c>
      <c r="G519" s="893">
        <f>'WP II-I-1.1'!G139</f>
        <v>586172.70000000007</v>
      </c>
      <c r="H519" s="893">
        <f>'WP II-I-1.1'!H139</f>
        <v>0</v>
      </c>
      <c r="I519" s="1082">
        <f>'WP II-I-1.1'!I139</f>
        <v>0</v>
      </c>
      <c r="J519" s="290">
        <f t="shared" si="58"/>
        <v>586172.70000000007</v>
      </c>
      <c r="K519" s="290"/>
      <c r="L519" s="18">
        <f t="shared" si="59"/>
        <v>586172.70000000007</v>
      </c>
      <c r="M519" s="47"/>
      <c r="N519" s="839">
        <f t="shared" si="60"/>
        <v>0</v>
      </c>
    </row>
    <row r="520" spans="2:14" s="386" customFormat="1" ht="14.25">
      <c r="B520" s="17">
        <f t="shared" si="57"/>
        <v>21</v>
      </c>
      <c r="C520" s="1118">
        <v>186</v>
      </c>
      <c r="D520" s="386" t="s">
        <v>1221</v>
      </c>
      <c r="F520" s="1081">
        <f>'WP II-I-1.1'!F140</f>
        <v>0</v>
      </c>
      <c r="G520" s="893">
        <f>'WP II-I-1.1'!G140</f>
        <v>334785.03000000003</v>
      </c>
      <c r="H520" s="893">
        <f>'WP II-I-1.1'!H140</f>
        <v>0</v>
      </c>
      <c r="I520" s="1082">
        <f>'WP II-I-1.1'!I140</f>
        <v>0</v>
      </c>
      <c r="J520" s="290">
        <f t="shared" si="58"/>
        <v>334785.03000000003</v>
      </c>
      <c r="K520" s="290"/>
      <c r="L520" s="18">
        <f t="shared" si="59"/>
        <v>334785.03000000003</v>
      </c>
      <c r="M520" s="47"/>
      <c r="N520" s="839">
        <f t="shared" si="60"/>
        <v>0</v>
      </c>
    </row>
    <row r="521" spans="2:14" s="386" customFormat="1" ht="14.25">
      <c r="B521" s="17">
        <f t="shared" si="57"/>
        <v>22</v>
      </c>
      <c r="C521" s="1118">
        <v>186</v>
      </c>
      <c r="D521" s="386" t="s">
        <v>1222</v>
      </c>
      <c r="F521" s="1081">
        <f>'WP II-I-1.1'!F141</f>
        <v>0</v>
      </c>
      <c r="G521" s="893">
        <f>'WP II-I-1.1'!G141</f>
        <v>6700000</v>
      </c>
      <c r="H521" s="893">
        <f>'WP II-I-1.1'!H141</f>
        <v>0</v>
      </c>
      <c r="I521" s="1082">
        <f>'WP II-I-1.1'!I141</f>
        <v>0</v>
      </c>
      <c r="J521" s="290">
        <f t="shared" si="58"/>
        <v>6700000</v>
      </c>
      <c r="K521" s="290"/>
      <c r="L521" s="18">
        <f t="shared" si="59"/>
        <v>6700000</v>
      </c>
      <c r="M521" s="47"/>
      <c r="N521" s="839">
        <f t="shared" si="60"/>
        <v>0</v>
      </c>
    </row>
    <row r="522" spans="2:14" s="386" customFormat="1" ht="14.25">
      <c r="B522" s="17">
        <f t="shared" si="57"/>
        <v>23</v>
      </c>
      <c r="C522" s="1118">
        <v>182</v>
      </c>
      <c r="D522" s="386" t="s">
        <v>1223</v>
      </c>
      <c r="F522" s="1081">
        <f>'WP II-I-1.1'!F142</f>
        <v>0</v>
      </c>
      <c r="G522" s="893">
        <f>'WP II-I-1.1'!G142</f>
        <v>75267069.370000005</v>
      </c>
      <c r="H522" s="893">
        <f>'WP II-I-1.1'!H142</f>
        <v>0</v>
      </c>
      <c r="I522" s="1082">
        <f>'WP II-I-1.1'!I142</f>
        <v>0</v>
      </c>
      <c r="J522" s="290">
        <f t="shared" si="61" ref="J522:J534">SUM(F522:I522)</f>
        <v>75267069.370000005</v>
      </c>
      <c r="K522" s="290"/>
      <c r="L522" s="18">
        <f t="shared" si="59"/>
        <v>75267069.370000005</v>
      </c>
      <c r="M522" s="47"/>
      <c r="N522" s="839">
        <f t="shared" si="62" ref="N522:N534">J522-L522-F522</f>
        <v>0</v>
      </c>
    </row>
    <row r="523" spans="2:14" s="386" customFormat="1" ht="14.25">
      <c r="B523" s="17">
        <f t="shared" si="57"/>
        <v>24</v>
      </c>
      <c r="C523" s="1118">
        <v>182</v>
      </c>
      <c r="D523" s="386" t="s">
        <v>1224</v>
      </c>
      <c r="F523" s="1081">
        <f>'WP II-I-1.1'!F143</f>
        <v>0</v>
      </c>
      <c r="G523" s="893">
        <f>'WP II-I-1.1'!G143</f>
        <v>627362.98999999999</v>
      </c>
      <c r="H523" s="893">
        <f>'WP II-I-1.1'!H143</f>
        <v>0</v>
      </c>
      <c r="I523" s="1082">
        <f>'WP II-I-1.1'!I143</f>
        <v>0</v>
      </c>
      <c r="J523" s="290">
        <f t="shared" si="61"/>
        <v>627362.98999999999</v>
      </c>
      <c r="K523" s="290"/>
      <c r="L523" s="18">
        <f t="shared" si="59"/>
        <v>627362.98999999999</v>
      </c>
      <c r="M523" s="47"/>
      <c r="N523" s="839">
        <f t="shared" si="62"/>
        <v>0</v>
      </c>
    </row>
    <row r="524" spans="2:14" s="386" customFormat="1" ht="14.25">
      <c r="B524" s="17">
        <f t="shared" si="57"/>
        <v>25</v>
      </c>
      <c r="C524" s="1118">
        <v>182</v>
      </c>
      <c r="D524" s="386" t="s">
        <v>1225</v>
      </c>
      <c r="F524" s="1081">
        <f>'WP II-I-1.1'!F144</f>
        <v>1716330.0800000001</v>
      </c>
      <c r="G524" s="893">
        <f>'WP II-I-1.1'!G144</f>
        <v>0</v>
      </c>
      <c r="H524" s="893">
        <f>'WP II-I-1.1'!H144</f>
        <v>0</v>
      </c>
      <c r="I524" s="1082">
        <f>'WP II-I-1.1'!I144</f>
        <v>0</v>
      </c>
      <c r="J524" s="290">
        <f t="shared" si="61"/>
        <v>1716330.0800000001</v>
      </c>
      <c r="K524" s="290"/>
      <c r="L524" s="18">
        <f t="shared" si="59"/>
        <v>0</v>
      </c>
      <c r="M524" s="47"/>
      <c r="N524" s="839">
        <f t="shared" si="62"/>
        <v>0</v>
      </c>
    </row>
    <row r="525" spans="2:14" s="386" customFormat="1" ht="14.25">
      <c r="B525" s="17">
        <f t="shared" si="57"/>
        <v>26</v>
      </c>
      <c r="C525" s="1119">
        <v>182</v>
      </c>
      <c r="D525" s="43" t="s">
        <v>1226</v>
      </c>
      <c r="E525" s="43"/>
      <c r="F525" s="1081">
        <f>'WP II-I-1.1'!F145</f>
        <v>6900192.4100000001</v>
      </c>
      <c r="G525" s="893">
        <f>'WP II-I-1.1'!G145</f>
        <v>613207.77999999933</v>
      </c>
      <c r="H525" s="893">
        <f>'WP II-I-1.1'!H145</f>
        <v>0</v>
      </c>
      <c r="I525" s="1082">
        <f>'WP II-I-1.1'!I145</f>
        <v>0</v>
      </c>
      <c r="J525" s="290">
        <f t="shared" si="61"/>
        <v>7513400.1899999995</v>
      </c>
      <c r="K525" s="290"/>
      <c r="L525" s="18">
        <f t="shared" si="59"/>
        <v>613207.77999999933</v>
      </c>
      <c r="M525" s="47"/>
      <c r="N525" s="839">
        <f t="shared" si="62"/>
        <v>0</v>
      </c>
    </row>
    <row r="526" spans="2:14" s="386" customFormat="1" ht="14.25">
      <c r="B526" s="17">
        <f t="shared" si="57"/>
        <v>27</v>
      </c>
      <c r="C526" s="40">
        <v>182</v>
      </c>
      <c r="D526" s="43" t="s">
        <v>992</v>
      </c>
      <c r="E526" s="43"/>
      <c r="F526" s="1081">
        <f>'WP II-I-1.1'!F146</f>
        <v>0</v>
      </c>
      <c r="G526" s="893">
        <f>'WP II-I-1.1'!G146</f>
        <v>0</v>
      </c>
      <c r="H526" s="893">
        <f>'WP II-I-1.1'!H146</f>
        <v>0</v>
      </c>
      <c r="I526" s="1082">
        <f>'WP II-I-1.1'!I146</f>
        <v>8358753.9900000002</v>
      </c>
      <c r="J526" s="24">
        <f t="shared" si="61"/>
        <v>8358753.9900000002</v>
      </c>
      <c r="K526" s="290"/>
      <c r="L526" s="18">
        <f t="shared" si="59"/>
        <v>8358753.9900000002</v>
      </c>
      <c r="M526" s="47"/>
      <c r="N526" s="839">
        <f t="shared" si="62"/>
        <v>0</v>
      </c>
    </row>
    <row r="527" spans="2:14" s="386" customFormat="1" ht="14.25">
      <c r="B527" s="17">
        <f t="shared" si="57"/>
        <v>28</v>
      </c>
      <c r="C527" s="40">
        <v>182</v>
      </c>
      <c r="D527" s="43" t="s">
        <v>993</v>
      </c>
      <c r="E527" s="43"/>
      <c r="F527" s="1081">
        <f>'WP II-I-1.1'!F147</f>
        <v>0</v>
      </c>
      <c r="G527" s="893">
        <f>'WP II-I-1.1'!G147</f>
        <v>0</v>
      </c>
      <c r="H527" s="893">
        <f>'WP II-I-1.1'!H147</f>
        <v>59200.770000000004</v>
      </c>
      <c r="I527" s="1082">
        <f>'WP II-I-1.1'!I147</f>
        <v>0</v>
      </c>
      <c r="J527" s="290">
        <f t="shared" si="61"/>
        <v>59200.770000000004</v>
      </c>
      <c r="K527" s="290"/>
      <c r="L527" s="18">
        <f t="shared" si="59"/>
        <v>59200.770000000004</v>
      </c>
      <c r="M527" s="47"/>
      <c r="N527" s="839">
        <f t="shared" si="62"/>
        <v>0</v>
      </c>
    </row>
    <row r="528" spans="2:14" s="386" customFormat="1" ht="14.25">
      <c r="B528" s="17">
        <f t="shared" si="57"/>
        <v>29</v>
      </c>
      <c r="C528" s="40">
        <v>182</v>
      </c>
      <c r="D528" s="43" t="s">
        <v>140</v>
      </c>
      <c r="E528" s="43"/>
      <c r="F528" s="1081">
        <f>'WP II-I-1.1'!F148</f>
        <v>0</v>
      </c>
      <c r="G528" s="893">
        <f>'WP II-I-1.1'!G148</f>
        <v>0</v>
      </c>
      <c r="H528" s="893">
        <f>'WP II-I-1.1'!H148</f>
        <v>524869.04000000004</v>
      </c>
      <c r="I528" s="1082">
        <f>'WP II-I-1.1'!I148</f>
        <v>0</v>
      </c>
      <c r="J528" s="290">
        <f t="shared" si="61"/>
        <v>524869.04000000004</v>
      </c>
      <c r="K528" s="290"/>
      <c r="L528" s="18">
        <f t="shared" si="59"/>
        <v>524869.04000000004</v>
      </c>
      <c r="M528" s="47"/>
      <c r="N528" s="839">
        <f t="shared" si="62"/>
        <v>0</v>
      </c>
    </row>
    <row r="529" spans="2:14" s="386" customFormat="1" ht="14.25">
      <c r="B529" s="17">
        <f t="shared" si="57"/>
        <v>30</v>
      </c>
      <c r="C529" s="40">
        <v>182</v>
      </c>
      <c r="D529" s="43" t="s">
        <v>994</v>
      </c>
      <c r="E529" s="43"/>
      <c r="F529" s="1081">
        <f>'WP II-I-1.1'!F149</f>
        <v>0</v>
      </c>
      <c r="G529" s="893">
        <f>'WP II-I-1.1'!G149</f>
        <v>0</v>
      </c>
      <c r="H529" s="893">
        <f>'WP II-I-1.1'!H149</f>
        <v>127299791.38</v>
      </c>
      <c r="I529" s="1082">
        <f>'WP II-I-1.1'!I149</f>
        <v>0</v>
      </c>
      <c r="J529" s="290">
        <f t="shared" si="61"/>
        <v>127299791.38</v>
      </c>
      <c r="K529" s="290"/>
      <c r="L529" s="18">
        <f t="shared" si="59"/>
        <v>127299791.38</v>
      </c>
      <c r="M529" s="47"/>
      <c r="N529" s="839">
        <f t="shared" si="62"/>
        <v>0</v>
      </c>
    </row>
    <row r="530" spans="2:17" s="386" customFormat="1" ht="14.25">
      <c r="B530" s="17">
        <f t="shared" si="57"/>
        <v>31</v>
      </c>
      <c r="C530" s="40">
        <v>182</v>
      </c>
      <c r="D530" s="43" t="s">
        <v>139</v>
      </c>
      <c r="E530" s="43"/>
      <c r="F530" s="1081">
        <f>'WP II-I-1.1'!F150</f>
        <v>0</v>
      </c>
      <c r="G530" s="893">
        <f>'WP II-I-1.1'!G150</f>
        <v>0</v>
      </c>
      <c r="H530" s="893">
        <f>'WP II-I-1.1'!H150</f>
        <v>0</v>
      </c>
      <c r="I530" s="1082">
        <f>'WP II-I-1.1'!I150</f>
        <v>0</v>
      </c>
      <c r="J530" s="290">
        <f t="shared" si="61"/>
        <v>0</v>
      </c>
      <c r="K530" s="290"/>
      <c r="L530" s="18">
        <f t="shared" si="59"/>
        <v>0</v>
      </c>
      <c r="M530" s="47"/>
      <c r="N530" s="839">
        <f t="shared" si="62"/>
        <v>0</v>
      </c>
      <c r="O530" s="839">
        <f>'WP II-I-1.1'!$J150-L530-F530</f>
        <v>0</v>
      </c>
      <c r="P530" s="1126"/>
      <c r="Q530" s="1126"/>
    </row>
    <row r="531" spans="2:17" s="386" customFormat="1" ht="14.25">
      <c r="B531" s="17">
        <f t="shared" si="57"/>
        <v>32</v>
      </c>
      <c r="C531" s="690">
        <v>182</v>
      </c>
      <c r="D531" s="691" t="s">
        <v>1227</v>
      </c>
      <c r="E531" s="691"/>
      <c r="F531" s="1081">
        <f>'WP II-I-1.1'!F151</f>
        <v>0</v>
      </c>
      <c r="G531" s="893">
        <f>'WP II-I-1.1'!G151</f>
        <v>0</v>
      </c>
      <c r="H531" s="893">
        <f>'WP II-I-1.1'!H151</f>
        <v>0</v>
      </c>
      <c r="I531" s="1082">
        <f>'WP II-I-1.1'!I151</f>
        <v>0</v>
      </c>
      <c r="J531" s="290">
        <f t="shared" si="61"/>
        <v>0</v>
      </c>
      <c r="K531" s="290"/>
      <c r="L531" s="18">
        <f t="shared" si="59"/>
        <v>0</v>
      </c>
      <c r="M531" s="47"/>
      <c r="N531" s="839">
        <f t="shared" si="62"/>
        <v>0</v>
      </c>
      <c r="O531" s="839">
        <f>'WP II-I-1.1'!$J151-L531-F531</f>
        <v>0</v>
      </c>
      <c r="P531" s="1133"/>
      <c r="Q531" s="1133"/>
    </row>
    <row r="532" spans="2:17" s="386" customFormat="1" ht="14.25">
      <c r="B532" s="17">
        <f t="shared" si="57"/>
        <v>33</v>
      </c>
      <c r="C532" s="690">
        <v>186</v>
      </c>
      <c r="D532" s="691" t="s">
        <v>1228</v>
      </c>
      <c r="E532" s="691"/>
      <c r="F532" s="1081">
        <f>'WP II-I-1.1'!F152</f>
        <v>0</v>
      </c>
      <c r="G532" s="893">
        <f>'WP II-I-1.1'!G152</f>
        <v>0</v>
      </c>
      <c r="H532" s="893">
        <f>'WP II-I-1.1'!H152</f>
        <v>0</v>
      </c>
      <c r="I532" s="1082">
        <f>'WP II-I-1.1'!I152</f>
        <v>0</v>
      </c>
      <c r="J532" s="290">
        <f t="shared" si="61"/>
        <v>0</v>
      </c>
      <c r="K532" s="290"/>
      <c r="L532" s="18">
        <f t="shared" si="59"/>
        <v>0</v>
      </c>
      <c r="M532" s="47"/>
      <c r="N532" s="839">
        <f t="shared" si="62"/>
        <v>0</v>
      </c>
      <c r="O532" s="839">
        <f>'WP II-I-1.1'!$J152-L532-F532</f>
        <v>0</v>
      </c>
      <c r="P532" s="1133"/>
      <c r="Q532" s="1133"/>
    </row>
    <row r="533" spans="2:17" s="386" customFormat="1" ht="14.25">
      <c r="B533" s="17">
        <f t="shared" si="57"/>
        <v>34</v>
      </c>
      <c r="C533" s="40">
        <v>186</v>
      </c>
      <c r="D533" s="43" t="s">
        <v>995</v>
      </c>
      <c r="E533" s="43"/>
      <c r="F533" s="1081">
        <f>'WP II-I-1.1'!F153</f>
        <v>1332943.5700000001</v>
      </c>
      <c r="G533" s="893">
        <f>'WP II-I-1.1'!G153</f>
        <v>221954256.47</v>
      </c>
      <c r="H533" s="893">
        <f>'WP II-I-1.1'!H153</f>
        <v>0</v>
      </c>
      <c r="I533" s="1082">
        <f>'WP II-I-1.1'!I153</f>
        <v>0</v>
      </c>
      <c r="J533" s="290">
        <f t="shared" si="61"/>
        <v>223287200.03999999</v>
      </c>
      <c r="K533" s="290"/>
      <c r="L533" s="18">
        <f t="shared" si="59"/>
        <v>221954256.47</v>
      </c>
      <c r="M533" s="47"/>
      <c r="N533" s="839">
        <f t="shared" si="62"/>
        <v>-7.2177499532699585E-09</v>
      </c>
      <c r="O533" s="839">
        <f>'WP II-I-1.1'!$J153-L533-F533</f>
        <v>-7.2177499532699585E-09</v>
      </c>
      <c r="P533" s="1126"/>
      <c r="Q533" s="1126"/>
    </row>
    <row r="534" spans="2:17" s="386" customFormat="1" ht="16.5">
      <c r="B534" s="17">
        <f t="shared" si="57"/>
        <v>35</v>
      </c>
      <c r="C534" s="40">
        <v>186</v>
      </c>
      <c r="D534" s="43" t="s">
        <v>996</v>
      </c>
      <c r="E534" s="43"/>
      <c r="F534" s="1083">
        <f>'WP II-I-1.1'!F154</f>
        <v>24454561.810000002</v>
      </c>
      <c r="G534" s="1084">
        <f>'WP II-I-1.1'!G154</f>
        <v>340803895.18000001</v>
      </c>
      <c r="H534" s="1084">
        <f>'WP II-I-1.1'!H154</f>
        <v>0</v>
      </c>
      <c r="I534" s="1085">
        <f>'WP II-I-1.1'!I154</f>
        <v>0</v>
      </c>
      <c r="J534" s="290">
        <f t="shared" si="61"/>
        <v>365258456.99000001</v>
      </c>
      <c r="K534" s="302"/>
      <c r="L534" s="1127">
        <f t="shared" si="59"/>
        <v>340803895.18000001</v>
      </c>
      <c r="M534" s="47"/>
      <c r="N534" s="839">
        <f t="shared" si="62"/>
        <v>0</v>
      </c>
      <c r="O534" s="839">
        <f>'WP II-I-1.1'!$J154-L534-F534</f>
        <v>0</v>
      </c>
      <c r="P534" s="1126"/>
      <c r="Q534" s="1126"/>
    </row>
    <row r="535" spans="2:14" ht="15">
      <c r="B535" s="17">
        <f t="shared" si="57"/>
        <v>36</v>
      </c>
      <c r="C535" s="36"/>
      <c r="D535" s="44" t="s">
        <v>612</v>
      </c>
      <c r="E535" s="897"/>
      <c r="F535" s="898">
        <f>SUM(F503:F534)</f>
        <v>75135721.730000019</v>
      </c>
      <c r="G535" s="898">
        <f>SUM(G503:G534)</f>
        <v>782642852.16000009</v>
      </c>
      <c r="H535" s="898">
        <f>SUM(H503:H534)</f>
        <v>154598816.69</v>
      </c>
      <c r="I535" s="898">
        <f>SUM(I503:I534)</f>
        <v>16619626.149999997</v>
      </c>
      <c r="J535" s="898">
        <f>SUM(F535:I535)</f>
        <v>1028997016.7300001</v>
      </c>
      <c r="K535" s="39"/>
      <c r="L535" s="39">
        <f t="shared" si="59"/>
        <v>953861295.00000012</v>
      </c>
      <c r="M535" s="133"/>
      <c r="N535" s="345"/>
    </row>
    <row r="536" spans="2:13" ht="15">
      <c r="B536" s="17">
        <f t="shared" si="57"/>
        <v>37</v>
      </c>
      <c r="C536" s="43"/>
      <c r="D536" s="44"/>
      <c r="E536" s="897"/>
      <c r="F536" s="263"/>
      <c r="G536" s="263"/>
      <c r="H536" s="263"/>
      <c r="I536" s="263"/>
      <c r="J536" s="290"/>
      <c r="K536" s="290"/>
      <c r="L536" s="263"/>
      <c r="M536" s="67"/>
    </row>
    <row r="537" spans="2:13" ht="15">
      <c r="B537" s="17">
        <f t="shared" si="57"/>
        <v>38</v>
      </c>
      <c r="C537" s="36" t="s">
        <v>141</v>
      </c>
      <c r="D537" s="43"/>
      <c r="E537" s="897"/>
      <c r="F537" s="18"/>
      <c r="G537" s="18"/>
      <c r="H537" s="18"/>
      <c r="I537" s="18"/>
      <c r="J537" s="290"/>
      <c r="K537" s="290"/>
      <c r="L537" s="18"/>
      <c r="M537" s="67"/>
    </row>
    <row r="538" spans="2:15" ht="14.25">
      <c r="B538" s="17">
        <f t="shared" si="57"/>
        <v>39</v>
      </c>
      <c r="C538" s="1138">
        <v>254</v>
      </c>
      <c r="D538" s="1386" t="s">
        <v>1367</v>
      </c>
      <c r="F538" s="1170">
        <f>'WP II-I-1.1'!F156</f>
        <v>0</v>
      </c>
      <c r="G538" s="1171">
        <f>'WP II-I-1.1'!G156</f>
        <v>0</v>
      </c>
      <c r="H538" s="1171">
        <f>'WP II-I-1.1'!H156</f>
        <v>0</v>
      </c>
      <c r="I538" s="1172">
        <f>'WP II-I-1.1'!I156</f>
        <v>0</v>
      </c>
      <c r="J538" s="290">
        <f t="shared" si="63" ref="J538:J542">SUM(F538:I538)</f>
        <v>0</v>
      </c>
      <c r="K538" s="290"/>
      <c r="L538" s="18">
        <f t="shared" si="59"/>
        <v>0</v>
      </c>
      <c r="M538" s="67"/>
      <c r="N538" s="839">
        <f t="shared" si="64" ref="N538:N552">J538-L538-F538</f>
        <v>0</v>
      </c>
      <c r="O538" s="839">
        <f>'WP II-I-1.1'!$J156-L538-F538</f>
        <v>0</v>
      </c>
    </row>
    <row r="539" spans="2:15" s="386" customFormat="1" ht="14.25">
      <c r="B539" s="17">
        <f t="shared" si="57"/>
        <v>40</v>
      </c>
      <c r="C539" s="1138" t="s">
        <v>1229</v>
      </c>
      <c r="D539" s="1386" t="s">
        <v>997</v>
      </c>
      <c r="F539" s="1173">
        <f>'WP II-I-1.1'!F157</f>
        <v>0</v>
      </c>
      <c r="G539" s="18">
        <f>'WP II-I-1.1'!G157</f>
        <v>0</v>
      </c>
      <c r="H539" s="18">
        <f>'WP II-I-1.1'!H157</f>
        <v>0</v>
      </c>
      <c r="I539" s="1174">
        <f>'WP II-I-1.1'!I157</f>
        <v>0</v>
      </c>
      <c r="J539" s="290">
        <f t="shared" si="63"/>
        <v>0</v>
      </c>
      <c r="K539" s="290"/>
      <c r="L539" s="18">
        <f t="shared" si="59"/>
        <v>0</v>
      </c>
      <c r="M539" s="47"/>
      <c r="N539" s="839">
        <f t="shared" si="64"/>
        <v>0</v>
      </c>
      <c r="O539" s="839">
        <f>'WP II-I-1.1'!$J157-L539-F539</f>
        <v>0</v>
      </c>
    </row>
    <row r="540" spans="2:15" s="386" customFormat="1" ht="14.25">
      <c r="B540" s="17">
        <f t="shared" si="57"/>
        <v>41</v>
      </c>
      <c r="C540" s="1138">
        <v>254</v>
      </c>
      <c r="D540" s="1386" t="s">
        <v>1368</v>
      </c>
      <c r="F540" s="1173">
        <f>'WP II-I-1.1'!F158</f>
        <v>-163118.13000000001</v>
      </c>
      <c r="G540" s="18">
        <f>'WP II-I-1.1'!G158</f>
        <v>-13373824.789999999</v>
      </c>
      <c r="H540" s="18">
        <f>'WP II-I-1.1'!H158</f>
        <v>0</v>
      </c>
      <c r="I540" s="1174">
        <f>'WP II-I-1.1'!I158</f>
        <v>0</v>
      </c>
      <c r="J540" s="290">
        <f t="shared" si="65" ref="J540">SUM(F540:I540)</f>
        <v>-13536942.92</v>
      </c>
      <c r="K540" s="290"/>
      <c r="L540" s="18">
        <f t="shared" si="66" ref="L540">SUM(G540:I540)</f>
        <v>-13373824.789999999</v>
      </c>
      <c r="M540" s="47"/>
      <c r="N540" s="839"/>
      <c r="O540" s="839"/>
    </row>
    <row r="541" spans="2:15" s="386" customFormat="1" ht="14.25">
      <c r="B541" s="17">
        <f t="shared" si="57"/>
        <v>42</v>
      </c>
      <c r="C541" s="1138">
        <v>254</v>
      </c>
      <c r="D541" s="1387" t="s">
        <v>1230</v>
      </c>
      <c r="E541" s="1137"/>
      <c r="F541" s="1173">
        <f>'WP II-I-1.1'!F159</f>
        <v>0</v>
      </c>
      <c r="G541" s="18">
        <f>'WP II-I-1.1'!G159</f>
        <v>0</v>
      </c>
      <c r="H541" s="18">
        <f>'WP II-I-1.1'!H159</f>
        <v>0</v>
      </c>
      <c r="I541" s="1174">
        <f>'WP II-I-1.1'!I159</f>
        <v>0</v>
      </c>
      <c r="J541" s="290">
        <f t="shared" si="63"/>
        <v>0</v>
      </c>
      <c r="K541" s="290"/>
      <c r="L541" s="18">
        <f t="shared" si="59"/>
        <v>0</v>
      </c>
      <c r="M541" s="47"/>
      <c r="N541" s="839">
        <f t="shared" si="64"/>
        <v>0</v>
      </c>
      <c r="O541" s="839">
        <f>'WP II-I-1.1'!$J159-L541-F541</f>
        <v>0</v>
      </c>
    </row>
    <row r="542" spans="2:15" s="386" customFormat="1" ht="14.25">
      <c r="B542" s="17">
        <f t="shared" si="57"/>
        <v>43</v>
      </c>
      <c r="C542" s="1119">
        <v>254</v>
      </c>
      <c r="D542" s="1385" t="s">
        <v>1231</v>
      </c>
      <c r="E542" s="1137"/>
      <c r="F542" s="1173">
        <f>'WP II-I-1.1'!F160</f>
        <v>0</v>
      </c>
      <c r="G542" s="18">
        <f>'WP II-I-1.1'!G160</f>
        <v>0</v>
      </c>
      <c r="H542" s="18">
        <f>'WP II-I-1.1'!H160</f>
        <v>0</v>
      </c>
      <c r="I542" s="1174">
        <f>'WP II-I-1.1'!I160</f>
        <v>0</v>
      </c>
      <c r="J542" s="290">
        <f t="shared" si="63"/>
        <v>0</v>
      </c>
      <c r="K542" s="290"/>
      <c r="L542" s="18">
        <f t="shared" si="59"/>
        <v>0</v>
      </c>
      <c r="M542" s="47"/>
      <c r="N542" s="839">
        <f t="shared" si="64"/>
        <v>0</v>
      </c>
      <c r="O542" s="839">
        <f>'WP II-I-1.1'!$J160-L542-F542</f>
        <v>0</v>
      </c>
    </row>
    <row r="543" spans="2:15" s="386" customFormat="1" ht="14.25">
      <c r="B543" s="17">
        <f t="shared" si="57"/>
        <v>44</v>
      </c>
      <c r="C543" s="1119">
        <v>254</v>
      </c>
      <c r="D543" s="1385" t="s">
        <v>1232</v>
      </c>
      <c r="E543" s="904"/>
      <c r="F543" s="1152">
        <f>'WP II-I-1.1'!F161</f>
        <v>0</v>
      </c>
      <c r="G543" s="893">
        <f>'WP II-I-1.1'!G161</f>
        <v>81644.489999999743</v>
      </c>
      <c r="H543" s="291">
        <f>'WP II-I-1.1'!H161</f>
        <v>0</v>
      </c>
      <c r="I543" s="1153">
        <f>'WP II-I-1.1'!I161</f>
        <v>0</v>
      </c>
      <c r="J543" s="290">
        <f t="shared" si="67" ref="J543:J550">SUM(F543:I543)</f>
        <v>81644.489999999743</v>
      </c>
      <c r="K543" s="290"/>
      <c r="L543" s="18">
        <f t="shared" si="59"/>
        <v>81644.489999999743</v>
      </c>
      <c r="M543" s="47"/>
      <c r="N543" s="839">
        <f t="shared" si="64"/>
        <v>0</v>
      </c>
      <c r="O543" s="839">
        <f>'WP II-I-1.1'!$J161-L543-F543</f>
        <v>0</v>
      </c>
    </row>
    <row r="544" spans="2:15" s="386" customFormat="1" ht="14.25">
      <c r="B544" s="17">
        <f t="shared" si="57"/>
        <v>45</v>
      </c>
      <c r="C544" s="1119">
        <v>254</v>
      </c>
      <c r="D544" s="1385" t="s">
        <v>1233</v>
      </c>
      <c r="E544" s="1137"/>
      <c r="F544" s="1152">
        <f>'WP II-I-1.1'!F162</f>
        <v>0</v>
      </c>
      <c r="G544" s="893">
        <f>'WP II-I-1.1'!G162</f>
        <v>2368303.2899999991</v>
      </c>
      <c r="H544" s="291">
        <f>'WP II-I-1.1'!H162</f>
        <v>0</v>
      </c>
      <c r="I544" s="1153">
        <f>'WP II-I-1.1'!I162</f>
        <v>0</v>
      </c>
      <c r="J544" s="290">
        <f t="shared" si="67"/>
        <v>2368303.2899999991</v>
      </c>
      <c r="K544" s="290"/>
      <c r="L544" s="18">
        <f t="shared" si="59"/>
        <v>2368303.2899999991</v>
      </c>
      <c r="M544" s="47"/>
      <c r="N544" s="839">
        <f t="shared" si="64"/>
        <v>0</v>
      </c>
      <c r="O544" s="839">
        <f>'WP II-I-1.1'!$J162-L544-F544</f>
        <v>0</v>
      </c>
    </row>
    <row r="545" spans="2:15" s="386" customFormat="1" ht="14.25">
      <c r="B545" s="17">
        <f t="shared" si="57"/>
        <v>46</v>
      </c>
      <c r="C545" s="1119">
        <v>254</v>
      </c>
      <c r="D545" s="1385" t="s">
        <v>1234</v>
      </c>
      <c r="E545" s="1137"/>
      <c r="F545" s="1152">
        <f>'WP II-I-1.1'!F163</f>
        <v>0</v>
      </c>
      <c r="G545" s="291">
        <f>'WP II-I-1.1'!G163</f>
        <v>0</v>
      </c>
      <c r="H545" s="291">
        <f>'WP II-I-1.1'!H163</f>
        <v>0</v>
      </c>
      <c r="I545" s="1153">
        <f>'WP II-I-1.1'!I163</f>
        <v>0</v>
      </c>
      <c r="J545" s="290">
        <f t="shared" si="67"/>
        <v>0</v>
      </c>
      <c r="K545" s="290"/>
      <c r="L545" s="18">
        <f t="shared" si="59"/>
        <v>0</v>
      </c>
      <c r="M545" s="47"/>
      <c r="N545" s="839">
        <f t="shared" si="64"/>
        <v>0</v>
      </c>
      <c r="O545" s="839">
        <f>'WP II-I-1.1'!$J163-L545-F545</f>
        <v>0</v>
      </c>
    </row>
    <row r="546" spans="2:15" s="386" customFormat="1" ht="13.5" customHeight="1">
      <c r="B546" s="17">
        <f t="shared" si="57"/>
        <v>47</v>
      </c>
      <c r="C546" s="1118">
        <v>254</v>
      </c>
      <c r="D546" s="1387" t="s">
        <v>1235</v>
      </c>
      <c r="E546" s="1137"/>
      <c r="F546" s="1152">
        <f>'WP II-I-1.1'!F164</f>
        <v>0</v>
      </c>
      <c r="G546" s="893">
        <f>'WP II-I-1.1'!G164</f>
        <v>-254178.24000000002</v>
      </c>
      <c r="H546" s="291">
        <f>'WP II-I-1.1'!H164</f>
        <v>0</v>
      </c>
      <c r="I546" s="1153">
        <f>'WP II-I-1.1'!I164</f>
        <v>0</v>
      </c>
      <c r="J546" s="290">
        <f t="shared" si="67"/>
        <v>-254178.24000000002</v>
      </c>
      <c r="K546" s="290"/>
      <c r="L546" s="18">
        <f t="shared" si="59"/>
        <v>-254178.24000000002</v>
      </c>
      <c r="M546" s="47"/>
      <c r="N546" s="839">
        <f t="shared" si="64"/>
        <v>0</v>
      </c>
      <c r="O546" s="839">
        <f>'WP II-I-1.1'!$J164-L546-F546</f>
        <v>0</v>
      </c>
    </row>
    <row r="547" spans="2:15" s="386" customFormat="1" ht="14.25">
      <c r="B547" s="17">
        <f t="shared" si="57"/>
        <v>48</v>
      </c>
      <c r="C547" s="1138">
        <v>254</v>
      </c>
      <c r="D547" s="1386" t="s">
        <v>1372</v>
      </c>
      <c r="E547" s="1137"/>
      <c r="F547" s="1081">
        <f>'WP II-I-1.1'!F165</f>
        <v>-8651530.9000000004</v>
      </c>
      <c r="G547" s="893">
        <f>'WP II-I-1.1'!G165</f>
        <v>-23868135.579999998</v>
      </c>
      <c r="H547" s="893">
        <f>'WP II-I-1.1'!H165</f>
        <v>-6507602.71</v>
      </c>
      <c r="I547" s="1082">
        <f>'WP II-I-1.1'!I165</f>
        <v>-261874.48999999999</v>
      </c>
      <c r="J547" s="290">
        <f t="shared" si="68" ref="J547">SUM(F547:I547)</f>
        <v>-39289143.68</v>
      </c>
      <c r="K547" s="290"/>
      <c r="L547" s="18">
        <f t="shared" si="69" ref="L547">SUM(G547:I547)</f>
        <v>-30637612.779999997</v>
      </c>
      <c r="M547" s="47"/>
      <c r="N547" s="839"/>
      <c r="O547" s="839"/>
    </row>
    <row r="548" spans="2:15" s="386" customFormat="1" ht="14.25">
      <c r="B548" s="17">
        <f t="shared" si="57"/>
        <v>49</v>
      </c>
      <c r="C548" s="1119">
        <v>257</v>
      </c>
      <c r="D548" s="1388" t="s">
        <v>1236</v>
      </c>
      <c r="E548" s="1137"/>
      <c r="F548" s="1152">
        <f>'WP II-I-1.1'!F166</f>
        <v>0</v>
      </c>
      <c r="G548" s="291">
        <f>'WP II-I-1.1'!G166</f>
        <v>0</v>
      </c>
      <c r="H548" s="291">
        <f>'WP II-I-1.1'!H166</f>
        <v>0</v>
      </c>
      <c r="I548" s="1153">
        <f>'WP II-I-1.1'!I166</f>
        <v>0</v>
      </c>
      <c r="J548" s="290">
        <f t="shared" si="67"/>
        <v>0</v>
      </c>
      <c r="K548" s="290"/>
      <c r="L548" s="18">
        <f t="shared" si="59"/>
        <v>0</v>
      </c>
      <c r="M548" s="47"/>
      <c r="N548" s="839">
        <f t="shared" si="64"/>
        <v>0</v>
      </c>
      <c r="O548" s="839">
        <f>'WP II-I-1.1'!$J166-L548-F548</f>
        <v>0</v>
      </c>
    </row>
    <row r="549" spans="2:15" s="386" customFormat="1" ht="16.5">
      <c r="B549" s="17">
        <f t="shared" si="57"/>
        <v>50</v>
      </c>
      <c r="C549" s="43"/>
      <c r="D549" s="43"/>
      <c r="F549" s="292">
        <f>'WP II-I-1.1'!F166</f>
        <v>0</v>
      </c>
      <c r="G549" s="293">
        <f>'WP II-I-1.1'!G166</f>
        <v>0</v>
      </c>
      <c r="H549" s="293">
        <f>'WP II-I-1.1'!H166</f>
        <v>0</v>
      </c>
      <c r="I549" s="294">
        <f>'WP II-I-1.1'!I166</f>
        <v>0</v>
      </c>
      <c r="J549" s="302">
        <f t="shared" si="67"/>
        <v>0</v>
      </c>
      <c r="K549" s="302"/>
      <c r="L549" s="296">
        <f t="shared" si="59"/>
        <v>0</v>
      </c>
      <c r="M549" s="47"/>
      <c r="N549" s="839">
        <f t="shared" si="64"/>
        <v>0</v>
      </c>
      <c r="O549" s="839">
        <f>'WP II-I-1.1'!$J167-L549-F549</f>
        <v>0</v>
      </c>
    </row>
    <row r="550" spans="2:14" s="386" customFormat="1" ht="15.75" customHeight="1">
      <c r="B550" s="17">
        <f t="shared" si="57"/>
        <v>51</v>
      </c>
      <c r="C550" s="36"/>
      <c r="D550" s="44" t="s">
        <v>613</v>
      </c>
      <c r="F550" s="39">
        <f>SUM(F538:F549)</f>
        <v>-8814649.0300000012</v>
      </c>
      <c r="G550" s="898">
        <f>SUM(G538:G549)</f>
        <v>-35046190.829999998</v>
      </c>
      <c r="H550" s="898">
        <f>SUM(H538:H549)</f>
        <v>-6507602.71</v>
      </c>
      <c r="I550" s="898">
        <f>SUM(I538:I549)</f>
        <v>-261874.48999999999</v>
      </c>
      <c r="J550" s="300">
        <f t="shared" si="67"/>
        <v>-50630317.060000002</v>
      </c>
      <c r="K550" s="300"/>
      <c r="L550" s="39">
        <f t="shared" si="59"/>
        <v>-41815668.030000001</v>
      </c>
      <c r="M550" s="147"/>
      <c r="N550" s="839">
        <f t="shared" si="64"/>
        <v>0</v>
      </c>
    </row>
    <row r="551" spans="2:13" ht="15.75" thickBot="1">
      <c r="B551" s="17">
        <f t="shared" si="57"/>
        <v>52</v>
      </c>
      <c r="C551" s="43"/>
      <c r="D551" s="44"/>
      <c r="E551" s="37"/>
      <c r="F551" s="263"/>
      <c r="G551" s="263"/>
      <c r="H551" s="263"/>
      <c r="I551" s="263"/>
      <c r="J551" s="118"/>
      <c r="K551" s="290"/>
      <c r="L551" s="263"/>
      <c r="M551" s="67"/>
    </row>
    <row r="552" spans="2:14" ht="15.75" thickBot="1">
      <c r="B552" s="17">
        <f t="shared" si="57"/>
        <v>53</v>
      </c>
      <c r="C552" s="356" t="s">
        <v>614</v>
      </c>
      <c r="D552" s="278"/>
      <c r="E552" s="337" t="s">
        <v>132</v>
      </c>
      <c r="F552" s="278">
        <f>F535+F550</f>
        <v>66321072.700000018</v>
      </c>
      <c r="G552" s="278">
        <f>G535+G550</f>
        <v>747596661.33000004</v>
      </c>
      <c r="H552" s="278">
        <f>H535+H550</f>
        <v>148091213.97999999</v>
      </c>
      <c r="I552" s="278">
        <f>I535+I550</f>
        <v>16357751.659999996</v>
      </c>
      <c r="J552" s="279">
        <f>SUM(F552:I552)</f>
        <v>978366699.67000008</v>
      </c>
      <c r="K552" s="39"/>
      <c r="L552" s="280">
        <f t="shared" si="59"/>
        <v>912045626.97000003</v>
      </c>
      <c r="M552" s="36"/>
      <c r="N552" s="839">
        <f t="shared" si="64"/>
        <v>0</v>
      </c>
    </row>
    <row r="553" spans="2:13" ht="15">
      <c r="B553" s="17"/>
      <c r="C553" s="43"/>
      <c r="D553" s="44"/>
      <c r="E553" s="37"/>
      <c r="F553" s="263"/>
      <c r="G553" s="263"/>
      <c r="H553" s="263"/>
      <c r="I553" s="263"/>
      <c r="J553" s="118"/>
      <c r="K553" s="290"/>
      <c r="L553" s="263"/>
      <c r="M553" s="67"/>
    </row>
    <row r="554" spans="2:13" ht="15">
      <c r="B554" s="874"/>
      <c r="C554" s="874"/>
      <c r="D554" s="874"/>
      <c r="E554" s="874"/>
      <c r="F554" s="874"/>
      <c r="G554" s="874"/>
      <c r="H554" s="874"/>
      <c r="I554" s="874"/>
      <c r="J554" s="874"/>
      <c r="K554" s="874"/>
      <c r="L554" s="874"/>
      <c r="M554" s="134" t="str">
        <f>$M$2</f>
        <v xml:space="preserve"> </v>
      </c>
    </row>
    <row r="555" spans="2:13" ht="15.75" thickBot="1">
      <c r="B555" s="874"/>
      <c r="C555" s="874"/>
      <c r="D555" s="874"/>
      <c r="E555" s="874"/>
      <c r="F555" s="874"/>
      <c r="G555" s="874"/>
      <c r="H555" s="874"/>
      <c r="I555" s="874"/>
      <c r="J555" s="874"/>
      <c r="K555" s="874"/>
      <c r="L555" s="874"/>
      <c r="M555" s="67"/>
    </row>
    <row r="556" spans="2:12" ht="15">
      <c r="B556" s="920" t="str">
        <f>$B$4</f>
        <v>2022 RATE CASE</v>
      </c>
      <c r="C556" s="926"/>
      <c r="D556" s="927"/>
      <c r="E556" s="874"/>
      <c r="F556" s="874"/>
      <c r="G556" s="874"/>
      <c r="H556" s="874"/>
      <c r="I556" s="874"/>
      <c r="J556" s="874"/>
      <c r="K556" s="874"/>
      <c r="L556" s="874"/>
    </row>
    <row r="557" spans="2:13" ht="15">
      <c r="B557" s="917" t="str">
        <f>$B$5</f>
        <v>ONCOR ELECTRIC DELIVERY COMPANY LLC</v>
      </c>
      <c r="C557" s="369"/>
      <c r="D557" s="928"/>
      <c r="E557" s="874"/>
      <c r="F557" s="874"/>
      <c r="G557" s="874"/>
      <c r="H557" s="874"/>
      <c r="I557" s="874"/>
      <c r="J557" s="874"/>
      <c r="K557" s="874"/>
      <c r="L557" s="874"/>
      <c r="M557" s="67"/>
    </row>
    <row r="558" spans="2:13" ht="15">
      <c r="B558" s="406" t="str">
        <f>$B$6</f>
        <v>CONSOLIDATED FUNCTIONALIZED COST OF SERVICE</v>
      </c>
      <c r="C558" s="369"/>
      <c r="D558" s="928"/>
      <c r="E558" s="874"/>
      <c r="F558" s="874"/>
      <c r="G558" s="874"/>
      <c r="H558" s="874"/>
      <c r="I558" s="874"/>
      <c r="J558" s="874"/>
      <c r="K558" s="874"/>
      <c r="L558" s="874"/>
      <c r="M558" s="67"/>
    </row>
    <row r="559" spans="2:13" ht="15">
      <c r="B559" s="406" t="str">
        <f>$B$7</f>
        <v>TEST YEAR ENDING 12/31/2021</v>
      </c>
      <c r="C559" s="369"/>
      <c r="D559" s="928"/>
      <c r="E559" s="369"/>
      <c r="F559" s="369"/>
      <c r="G559" s="369"/>
      <c r="H559" s="369"/>
      <c r="I559" s="369"/>
      <c r="J559" s="369"/>
      <c r="K559" s="369"/>
      <c r="L559" s="369"/>
      <c r="M559" s="67"/>
    </row>
    <row r="560" spans="2:13" ht="15">
      <c r="B560" s="406" t="str">
        <f>$B$8</f>
        <v>SPONSOR:  MATTHEW A. TROXLE</v>
      </c>
      <c r="C560" s="369"/>
      <c r="D560" s="928"/>
      <c r="E560" s="369"/>
      <c r="F560" s="369"/>
      <c r="G560" s="369"/>
      <c r="H560" s="369"/>
      <c r="I560" s="369"/>
      <c r="J560" s="369"/>
      <c r="K560" s="369"/>
      <c r="L560" s="369"/>
      <c r="M560" s="67"/>
    </row>
    <row r="561" spans="2:13" ht="15.75" thickBot="1">
      <c r="B561" s="410"/>
      <c r="C561" s="931"/>
      <c r="D561" s="932"/>
      <c r="E561" s="369"/>
      <c r="F561" s="369"/>
      <c r="G561" s="369"/>
      <c r="H561" s="369"/>
      <c r="I561" s="369"/>
      <c r="J561" s="369"/>
      <c r="K561" s="369"/>
      <c r="L561" s="369"/>
      <c r="M561" s="67"/>
    </row>
    <row r="562" spans="2:13" ht="14.25">
      <c r="B562" s="13"/>
      <c r="C562" s="14"/>
      <c r="D562" s="238"/>
      <c r="E562" s="238"/>
      <c r="F562" s="237" t="s">
        <v>6</v>
      </c>
      <c r="G562" s="13" t="s">
        <v>7</v>
      </c>
      <c r="H562" s="13" t="s">
        <v>8</v>
      </c>
      <c r="I562" s="239" t="s">
        <v>9</v>
      </c>
      <c r="J562" s="13" t="s">
        <v>10</v>
      </c>
      <c r="K562" s="17"/>
      <c r="L562" s="139" t="s">
        <v>966</v>
      </c>
      <c r="M562" s="67"/>
    </row>
    <row r="563" spans="2:13" ht="15">
      <c r="B563" s="15" t="s">
        <v>2</v>
      </c>
      <c r="C563" s="15" t="s">
        <v>370</v>
      </c>
      <c r="D563" s="241" t="s">
        <v>615</v>
      </c>
      <c r="E563" s="242" t="s">
        <v>371</v>
      </c>
      <c r="F563" s="242"/>
      <c r="G563" s="15"/>
      <c r="H563" s="15"/>
      <c r="I563" s="15"/>
      <c r="J563" s="15"/>
      <c r="K563" s="17"/>
      <c r="L563" s="97" t="s">
        <v>967</v>
      </c>
      <c r="M563" s="67"/>
    </row>
    <row r="564" spans="2:13" ht="14.25">
      <c r="B564" s="15"/>
      <c r="C564" s="15"/>
      <c r="D564" s="242"/>
      <c r="E564" s="242"/>
      <c r="F564" s="242"/>
      <c r="G564" s="15"/>
      <c r="H564" s="15"/>
      <c r="I564" s="15"/>
      <c r="J564" s="15"/>
      <c r="K564" s="17"/>
      <c r="L564" s="97"/>
      <c r="M564" s="67"/>
    </row>
    <row r="565" spans="2:13" ht="15" thickBot="1">
      <c r="B565" s="16"/>
      <c r="C565" s="16" t="s">
        <v>13</v>
      </c>
      <c r="D565" s="245" t="s">
        <v>14</v>
      </c>
      <c r="E565" s="245" t="s">
        <v>15</v>
      </c>
      <c r="F565" s="16" t="s">
        <v>16</v>
      </c>
      <c r="G565" s="16" t="s">
        <v>17</v>
      </c>
      <c r="H565" s="16" t="s">
        <v>18</v>
      </c>
      <c r="I565" s="16" t="s">
        <v>21</v>
      </c>
      <c r="J565" s="16" t="s">
        <v>22</v>
      </c>
      <c r="K565" s="17"/>
      <c r="L565" s="1125" t="s">
        <v>418</v>
      </c>
      <c r="M565" s="67"/>
    </row>
    <row r="566" spans="2:13" ht="14.25">
      <c r="B566" s="67"/>
      <c r="C566" s="43"/>
      <c r="D566" s="43"/>
      <c r="E566" s="333"/>
      <c r="F566" s="333"/>
      <c r="G566" s="333"/>
      <c r="H566" s="333"/>
      <c r="I566" s="43"/>
      <c r="J566" s="43"/>
      <c r="K566" s="43"/>
      <c r="L566" s="43"/>
      <c r="M566" s="67"/>
    </row>
    <row r="567" spans="2:14" ht="15">
      <c r="B567" s="17">
        <f>B553+1</f>
        <v>1</v>
      </c>
      <c r="C567" s="36" t="s">
        <v>146</v>
      </c>
      <c r="D567" s="43"/>
      <c r="E567" s="897" t="s">
        <v>132</v>
      </c>
      <c r="F567" s="346"/>
      <c r="G567" s="346"/>
      <c r="H567" s="346"/>
      <c r="I567" s="346"/>
      <c r="J567" s="43"/>
      <c r="K567" s="43"/>
      <c r="L567" s="346"/>
      <c r="M567" s="43"/>
      <c r="N567" s="359"/>
    </row>
    <row r="568" spans="2:15" s="386" customFormat="1" ht="14.25">
      <c r="B568" s="17">
        <f t="shared" si="70" ref="B568:B577">B567+1</f>
        <v>2</v>
      </c>
      <c r="C568" s="43">
        <v>182</v>
      </c>
      <c r="D568" s="43" t="s">
        <v>147</v>
      </c>
      <c r="E568" s="358"/>
      <c r="F568" s="1149">
        <f>'WP II-I-1.1'!F170</f>
        <v>0</v>
      </c>
      <c r="G568" s="1150">
        <f>'WP II-I-1.1'!G170</f>
        <v>0</v>
      </c>
      <c r="H568" s="1150">
        <f>'WP II-I-1.1'!H170</f>
        <v>0</v>
      </c>
      <c r="I568" s="1151">
        <f>'WP II-I-1.1'!I170</f>
        <v>0</v>
      </c>
      <c r="J568" s="290">
        <f t="shared" si="71" ref="J568:J574">SUM(F568:I568)</f>
        <v>0</v>
      </c>
      <c r="K568" s="290"/>
      <c r="L568" s="18">
        <f t="shared" si="59"/>
        <v>0</v>
      </c>
      <c r="M568" s="43"/>
      <c r="N568" s="839">
        <f t="shared" si="72" ref="N568:N574">J568-L568-F568</f>
        <v>0</v>
      </c>
      <c r="O568" s="839">
        <f>'WP II-I-1.1'!$J170-L568-F568</f>
        <v>0</v>
      </c>
    </row>
    <row r="569" spans="2:15" s="386" customFormat="1" ht="14.25">
      <c r="B569" s="17">
        <f t="shared" si="70"/>
        <v>3</v>
      </c>
      <c r="C569" s="43">
        <v>182</v>
      </c>
      <c r="D569" s="43" t="s">
        <v>148</v>
      </c>
      <c r="E569" s="358"/>
      <c r="F569" s="1152">
        <f>'WP II-I-1.1'!F171</f>
        <v>0</v>
      </c>
      <c r="G569" s="291">
        <f>'WP II-I-1.1'!G171</f>
        <v>0</v>
      </c>
      <c r="H569" s="291">
        <f>'WP II-I-1.1'!H171</f>
        <v>0</v>
      </c>
      <c r="I569" s="1153">
        <f>'WP II-I-1.1'!I171</f>
        <v>0</v>
      </c>
      <c r="J569" s="290">
        <f t="shared" si="71"/>
        <v>0</v>
      </c>
      <c r="K569" s="290"/>
      <c r="L569" s="18">
        <f t="shared" si="59"/>
        <v>0</v>
      </c>
      <c r="M569" s="43"/>
      <c r="N569" s="839">
        <f t="shared" si="72"/>
        <v>0</v>
      </c>
      <c r="O569" s="839">
        <f>'WP II-I-1.1'!$J171-L569-F569</f>
        <v>0</v>
      </c>
    </row>
    <row r="570" spans="2:15" s="386" customFormat="1" ht="14.25">
      <c r="B570" s="17">
        <f t="shared" si="70"/>
        <v>4</v>
      </c>
      <c r="C570" s="43">
        <v>182</v>
      </c>
      <c r="D570" s="43" t="s">
        <v>149</v>
      </c>
      <c r="E570" s="358"/>
      <c r="F570" s="1152">
        <f>'WP II-I-1.1'!F172</f>
        <v>0</v>
      </c>
      <c r="G570" s="291">
        <f>'WP II-I-1.1'!G172</f>
        <v>0</v>
      </c>
      <c r="H570" s="291">
        <f>'WP II-I-1.1'!H172</f>
        <v>0</v>
      </c>
      <c r="I570" s="1153">
        <f>'WP II-I-1.1'!I172</f>
        <v>0</v>
      </c>
      <c r="J570" s="290">
        <f t="shared" si="71"/>
        <v>0</v>
      </c>
      <c r="K570" s="290"/>
      <c r="L570" s="18">
        <f t="shared" si="59"/>
        <v>0</v>
      </c>
      <c r="M570" s="43"/>
      <c r="N570" s="839">
        <f t="shared" si="72"/>
        <v>0</v>
      </c>
      <c r="O570" s="839">
        <f>'WP II-I-1.1'!$J172-L570-F570</f>
        <v>0</v>
      </c>
    </row>
    <row r="571" spans="2:15" s="386" customFormat="1" ht="14.25">
      <c r="B571" s="17">
        <f t="shared" si="70"/>
        <v>5</v>
      </c>
      <c r="C571" s="43">
        <v>182</v>
      </c>
      <c r="D571" s="43" t="s">
        <v>150</v>
      </c>
      <c r="E571" s="358"/>
      <c r="F571" s="1081">
        <f>'WP II-I-1.1'!F173</f>
        <v>0</v>
      </c>
      <c r="G571" s="893">
        <f>'WP II-I-1.1'!G173</f>
        <v>0</v>
      </c>
      <c r="H571" s="893">
        <f>'WP II-I-1.1'!H173</f>
        <v>0</v>
      </c>
      <c r="I571" s="1082">
        <f>'WP II-I-1.1'!I173</f>
        <v>0</v>
      </c>
      <c r="J571" s="290">
        <f t="shared" si="71"/>
        <v>0</v>
      </c>
      <c r="K571" s="290"/>
      <c r="L571" s="18">
        <f t="shared" si="59"/>
        <v>0</v>
      </c>
      <c r="M571" s="43"/>
      <c r="N571" s="839">
        <f t="shared" si="72"/>
        <v>0</v>
      </c>
      <c r="O571" s="839">
        <f>'WP II-I-1.1'!$J173-L571-F571</f>
        <v>0</v>
      </c>
    </row>
    <row r="572" spans="2:15" ht="14.25">
      <c r="B572" s="17">
        <f t="shared" si="70"/>
        <v>6</v>
      </c>
      <c r="C572" s="43">
        <v>182</v>
      </c>
      <c r="D572" s="703" t="s">
        <v>1237</v>
      </c>
      <c r="E572" s="358"/>
      <c r="F572" s="1081">
        <f>'WP II-I-1.1'!F174</f>
        <v>29836853.179999996</v>
      </c>
      <c r="G572" s="893">
        <f>'WP II-I-1.1'!G174</f>
        <v>56462358.469999991</v>
      </c>
      <c r="H572" s="893">
        <f>'WP II-I-1.1'!H174</f>
        <v>16213241.1</v>
      </c>
      <c r="I572" s="1082">
        <f>'WP II-I-1.1'!I174</f>
        <v>5700190.7600000147</v>
      </c>
      <c r="J572" s="290">
        <f t="shared" si="71"/>
        <v>108212643.51000001</v>
      </c>
      <c r="K572" s="290"/>
      <c r="L572" s="18">
        <f t="shared" si="59"/>
        <v>78375790.330000013</v>
      </c>
      <c r="M572" s="43"/>
      <c r="N572" s="839">
        <f t="shared" si="72"/>
        <v>0</v>
      </c>
      <c r="O572" s="839">
        <f>'WP II-I-1.1'!$J174-L572-F572</f>
        <v>0</v>
      </c>
    </row>
    <row r="573" spans="2:15" ht="16.5">
      <c r="B573" s="17">
        <f t="shared" si="70"/>
        <v>7</v>
      </c>
      <c r="C573" s="43">
        <v>182</v>
      </c>
      <c r="D573" s="703" t="s">
        <v>1238</v>
      </c>
      <c r="E573" s="358"/>
      <c r="F573" s="1083">
        <f>'WP II-I-1.1'!F175</f>
        <v>0</v>
      </c>
      <c r="G573" s="1084">
        <f>'WP II-I-1.1'!G175</f>
        <v>0</v>
      </c>
      <c r="H573" s="1084">
        <f>'WP II-I-1.1'!H175</f>
        <v>0</v>
      </c>
      <c r="I573" s="1085">
        <f>'WP II-I-1.1'!I175</f>
        <v>0</v>
      </c>
      <c r="J573" s="302">
        <f t="shared" si="71"/>
        <v>0</v>
      </c>
      <c r="K573" s="302"/>
      <c r="L573" s="296">
        <f t="shared" si="59"/>
        <v>0</v>
      </c>
      <c r="M573" s="43"/>
      <c r="N573" s="839">
        <f t="shared" si="72"/>
        <v>0</v>
      </c>
      <c r="O573" s="839">
        <f>'WP II-I-1.1'!$J175-L573-F573</f>
        <v>0</v>
      </c>
    </row>
    <row r="574" spans="2:14" ht="15">
      <c r="B574" s="17">
        <f t="shared" si="70"/>
        <v>8</v>
      </c>
      <c r="C574" s="35"/>
      <c r="D574" s="44" t="s">
        <v>616</v>
      </c>
      <c r="E574" s="897"/>
      <c r="F574" s="895">
        <f>SUM(F568:F573)</f>
        <v>29836853.179999996</v>
      </c>
      <c r="G574" s="895">
        <f>SUM(G568:G573)</f>
        <v>56462358.469999991</v>
      </c>
      <c r="H574" s="895">
        <f>SUM(H568:H573)</f>
        <v>16213241.1</v>
      </c>
      <c r="I574" s="895">
        <f>SUM(I568:I573)</f>
        <v>5700190.7600000147</v>
      </c>
      <c r="J574" s="290">
        <f t="shared" si="71"/>
        <v>108212643.51000001</v>
      </c>
      <c r="K574" s="290"/>
      <c r="L574" s="21">
        <f t="shared" si="59"/>
        <v>78375790.330000013</v>
      </c>
      <c r="M574" s="36"/>
      <c r="N574" s="839">
        <f t="shared" si="72"/>
        <v>0</v>
      </c>
    </row>
    <row r="575" spans="2:14" ht="15">
      <c r="B575" s="17">
        <f t="shared" si="70"/>
        <v>9</v>
      </c>
      <c r="C575" s="35"/>
      <c r="D575" s="44"/>
      <c r="E575" s="897"/>
      <c r="F575" s="895"/>
      <c r="G575" s="895"/>
      <c r="H575" s="895"/>
      <c r="I575" s="895"/>
      <c r="J575" s="290"/>
      <c r="K575" s="290"/>
      <c r="L575" s="21"/>
      <c r="M575" s="36"/>
      <c r="N575" s="357"/>
    </row>
    <row r="576" spans="2:14" ht="15">
      <c r="B576" s="17">
        <f t="shared" si="70"/>
        <v>10</v>
      </c>
      <c r="C576" s="36" t="s">
        <v>153</v>
      </c>
      <c r="D576" s="43"/>
      <c r="E576" s="897" t="s">
        <v>132</v>
      </c>
      <c r="F576" s="904"/>
      <c r="G576" s="904"/>
      <c r="H576" s="904"/>
      <c r="I576" s="904"/>
      <c r="J576" s="263"/>
      <c r="K576" s="263"/>
      <c r="L576" s="263"/>
      <c r="M576" s="43"/>
      <c r="N576" s="359"/>
    </row>
    <row r="577" spans="2:15" s="386" customFormat="1" ht="14.25">
      <c r="B577" s="17">
        <f t="shared" si="70"/>
        <v>11</v>
      </c>
      <c r="C577" s="43">
        <v>254</v>
      </c>
      <c r="D577" s="43" t="s">
        <v>154</v>
      </c>
      <c r="E577" s="358"/>
      <c r="F577" s="1087">
        <f>'WP II-I-1.1'!F179</f>
        <v>0</v>
      </c>
      <c r="G577" s="1089">
        <f>'WP II-I-1.1'!G179</f>
        <v>0</v>
      </c>
      <c r="H577" s="1089">
        <f>'WP II-I-1.1'!H179</f>
        <v>0</v>
      </c>
      <c r="I577" s="1090">
        <f>'WP II-I-1.1'!I179</f>
        <v>0</v>
      </c>
      <c r="J577" s="290">
        <f>SUM(F577:I577)</f>
        <v>0</v>
      </c>
      <c r="K577" s="290"/>
      <c r="L577" s="18">
        <f t="shared" si="73" ref="L577">SUM(G577:I577)</f>
        <v>0</v>
      </c>
      <c r="M577" s="43"/>
      <c r="N577" s="839">
        <f t="shared" si="74" ref="N577">J577-L577-F577</f>
        <v>0</v>
      </c>
      <c r="O577" s="839">
        <f>'WP II-I-1.1'!$J179-L577-F577</f>
        <v>0</v>
      </c>
    </row>
    <row r="578" spans="2:15" s="386" customFormat="1" ht="14.25">
      <c r="B578" s="17">
        <f>B577+1</f>
        <v>12</v>
      </c>
      <c r="C578" s="43">
        <v>254</v>
      </c>
      <c r="D578" s="43" t="s">
        <v>1239</v>
      </c>
      <c r="E578" s="358"/>
      <c r="F578" s="1081">
        <f>'WP II-I-1.1'!F180</f>
        <v>-10576090.020000001</v>
      </c>
      <c r="G578" s="893">
        <f>'WP II-I-1.1'!G180</f>
        <v>-67515629.090000004</v>
      </c>
      <c r="H578" s="893">
        <f>'WP II-I-1.1'!H180</f>
        <v>-25833188.59</v>
      </c>
      <c r="I578" s="1082">
        <f>'WP II-I-1.1'!I180</f>
        <v>-1945062.2999999982</v>
      </c>
      <c r="J578" s="290">
        <f t="shared" si="75" ref="J578:J586">SUM(F578:I578)</f>
        <v>-105869970</v>
      </c>
      <c r="K578" s="290"/>
      <c r="L578" s="18">
        <f t="shared" si="76" ref="L578:L586">SUM(G578:I578)</f>
        <v>-95293879.980000004</v>
      </c>
      <c r="M578" s="43"/>
      <c r="N578" s="839">
        <f t="shared" si="77" ref="N578:N595">J578-L578-F578</f>
        <v>0</v>
      </c>
      <c r="O578" s="839">
        <f>'WP II-I-1.1'!$J180-L578-F578</f>
        <v>0</v>
      </c>
    </row>
    <row r="579" spans="2:15" s="386" customFormat="1" ht="14.25">
      <c r="B579" s="17">
        <f t="shared" si="78" ref="B579:B599">B578+1</f>
        <v>13</v>
      </c>
      <c r="C579" s="43">
        <v>254</v>
      </c>
      <c r="D579" s="43" t="s">
        <v>1240</v>
      </c>
      <c r="E579" s="358"/>
      <c r="F579" s="1081">
        <f>'WP II-I-1.1'!F181</f>
        <v>0</v>
      </c>
      <c r="G579" s="893">
        <f>'WP II-I-1.1'!G181</f>
        <v>0</v>
      </c>
      <c r="H579" s="893">
        <f>'WP II-I-1.1'!H181</f>
        <v>0</v>
      </c>
      <c r="I579" s="1082">
        <f>'WP II-I-1.1'!I181</f>
        <v>0</v>
      </c>
      <c r="J579" s="290">
        <f t="shared" si="75"/>
        <v>0</v>
      </c>
      <c r="K579" s="290"/>
      <c r="L579" s="18">
        <f t="shared" si="76"/>
        <v>0</v>
      </c>
      <c r="M579" s="43"/>
      <c r="N579" s="839">
        <f t="shared" si="77"/>
        <v>0</v>
      </c>
      <c r="O579" s="839">
        <f>'WP II-I-1.1'!$J181-L579-F579</f>
        <v>0</v>
      </c>
    </row>
    <row r="580" spans="2:15" s="386" customFormat="1" ht="14.25">
      <c r="B580" s="17">
        <f t="shared" si="78"/>
        <v>14</v>
      </c>
      <c r="C580" s="43">
        <v>254</v>
      </c>
      <c r="D580" s="43" t="s">
        <v>1241</v>
      </c>
      <c r="E580" s="358"/>
      <c r="F580" s="1081">
        <f>'WP II-I-1.1'!F182</f>
        <v>-471200313.38</v>
      </c>
      <c r="G580" s="893">
        <f>'WP II-I-1.1'!G182</f>
        <v>-462439966.73000002</v>
      </c>
      <c r="H580" s="893">
        <f>'WP II-I-1.1'!H182</f>
        <v>-15727006.609999999</v>
      </c>
      <c r="I580" s="1082">
        <f>'WP II-I-1.1'!I182</f>
        <v>-13411193.226812735</v>
      </c>
      <c r="J580" s="290">
        <f t="shared" si="75"/>
        <v>-962778479.94681275</v>
      </c>
      <c r="K580" s="290"/>
      <c r="L580" s="18">
        <f t="shared" si="76"/>
        <v>-491578166.56681275</v>
      </c>
      <c r="M580" s="43"/>
      <c r="N580" s="839">
        <f t="shared" si="77"/>
        <v>0</v>
      </c>
      <c r="O580" s="839">
        <f>'WP II-I-1.1'!$J182-L580-F580</f>
        <v>0</v>
      </c>
    </row>
    <row r="581" spans="2:15" s="386" customFormat="1" ht="14.25">
      <c r="B581" s="17">
        <f t="shared" si="78"/>
        <v>15</v>
      </c>
      <c r="C581" s="43">
        <v>254</v>
      </c>
      <c r="D581" s="43" t="s">
        <v>1242</v>
      </c>
      <c r="E581" s="358"/>
      <c r="F581" s="1081">
        <f>'WP II-I-1.1'!F183</f>
        <v>0</v>
      </c>
      <c r="G581" s="893">
        <f>'WP II-I-1.1'!G183</f>
        <v>0</v>
      </c>
      <c r="H581" s="893">
        <f>'WP II-I-1.1'!H183</f>
        <v>0</v>
      </c>
      <c r="I581" s="1082">
        <f>'WP II-I-1.1'!I183</f>
        <v>0</v>
      </c>
      <c r="J581" s="290">
        <f t="shared" si="75"/>
        <v>0</v>
      </c>
      <c r="K581" s="290"/>
      <c r="L581" s="18">
        <f t="shared" si="76"/>
        <v>0</v>
      </c>
      <c r="M581" s="43"/>
      <c r="N581" s="839">
        <f t="shared" si="77"/>
        <v>0</v>
      </c>
      <c r="O581" s="839">
        <f>'WP II-I-1.1'!$J183-L581-F581</f>
        <v>0</v>
      </c>
    </row>
    <row r="582" spans="2:15" s="386" customFormat="1" ht="14.25">
      <c r="B582" s="17">
        <f t="shared" si="78"/>
        <v>16</v>
      </c>
      <c r="C582" s="43">
        <v>254</v>
      </c>
      <c r="D582" s="43" t="s">
        <v>1244</v>
      </c>
      <c r="E582" s="358"/>
      <c r="F582" s="1081">
        <f>'WP II-I-1.1'!F184</f>
        <v>-85081001.849999979</v>
      </c>
      <c r="G582" s="893">
        <f>'WP II-I-1.1'!G184</f>
        <v>-91968029.510000005</v>
      </c>
      <c r="H582" s="893">
        <f>'WP II-I-1.1'!H184</f>
        <v>-3127718</v>
      </c>
      <c r="I582" s="1082">
        <f>'WP II-I-1.1'!I184</f>
        <v>-2667159.3099999968</v>
      </c>
      <c r="J582" s="290">
        <f t="shared" si="75"/>
        <v>-182843908.66999999</v>
      </c>
      <c r="K582" s="290"/>
      <c r="L582" s="18">
        <f t="shared" si="76"/>
        <v>-97762906.820000008</v>
      </c>
      <c r="M582" s="43"/>
      <c r="N582" s="839">
        <f t="shared" si="77"/>
        <v>0</v>
      </c>
      <c r="O582" s="839">
        <f>'WP II-I-1.1'!$J184-L582-F582</f>
        <v>0</v>
      </c>
    </row>
    <row r="583" spans="2:15" s="386" customFormat="1" ht="14.25">
      <c r="B583" s="17">
        <f t="shared" si="78"/>
        <v>17</v>
      </c>
      <c r="C583" s="43">
        <v>254</v>
      </c>
      <c r="D583" s="43" t="s">
        <v>1245</v>
      </c>
      <c r="E583" s="358"/>
      <c r="F583" s="1081">
        <f>'WP II-I-1.1'!F185</f>
        <v>-217543.25000000023</v>
      </c>
      <c r="G583" s="893">
        <f>'WP II-I-1.1'!G185</f>
        <v>8384714.2699999996</v>
      </c>
      <c r="H583" s="893">
        <f>'WP II-I-1.1'!H185</f>
        <v>285153.67999999999</v>
      </c>
      <c r="I583" s="1082">
        <f>'WP II-I-1.1'!I185</f>
        <v>243164.58999999956</v>
      </c>
      <c r="J583" s="290">
        <f t="shared" si="75"/>
        <v>8695489.2899999991</v>
      </c>
      <c r="K583" s="290"/>
      <c r="L583" s="18">
        <f t="shared" si="76"/>
        <v>8913032.5399999991</v>
      </c>
      <c r="M583" s="43"/>
      <c r="N583" s="839">
        <f t="shared" si="77"/>
        <v>2.3283064365386963E-10</v>
      </c>
      <c r="O583" s="839">
        <f>'WP II-I-1.1'!$J185-L583-F583</f>
        <v>2.3283064365386963E-10</v>
      </c>
    </row>
    <row r="584" spans="2:15" s="386" customFormat="1" ht="14.25">
      <c r="B584" s="17">
        <f t="shared" si="78"/>
        <v>18</v>
      </c>
      <c r="C584" s="43">
        <v>254</v>
      </c>
      <c r="D584" s="43" t="s">
        <v>1246</v>
      </c>
      <c r="E584" s="358"/>
      <c r="F584" s="1081">
        <f>'WP II-I-1.1'!F186</f>
        <v>0</v>
      </c>
      <c r="G584" s="893">
        <f>'WP II-I-1.1'!G186</f>
        <v>0</v>
      </c>
      <c r="H584" s="893">
        <f>'WP II-I-1.1'!H186</f>
        <v>0</v>
      </c>
      <c r="I584" s="1082">
        <f>'WP II-I-1.1'!I186</f>
        <v>0</v>
      </c>
      <c r="J584" s="290">
        <f t="shared" si="75"/>
        <v>0</v>
      </c>
      <c r="K584" s="290"/>
      <c r="L584" s="18">
        <f t="shared" si="76"/>
        <v>0</v>
      </c>
      <c r="M584" s="43"/>
      <c r="N584" s="839">
        <f t="shared" si="77"/>
        <v>0</v>
      </c>
      <c r="O584" s="839">
        <f>'WP II-I-1.1'!$J186-L584-F584</f>
        <v>0</v>
      </c>
    </row>
    <row r="585" spans="2:15" s="386" customFormat="1" ht="14.25">
      <c r="B585" s="17">
        <f t="shared" si="78"/>
        <v>19</v>
      </c>
      <c r="C585" s="43">
        <v>254</v>
      </c>
      <c r="D585" s="43" t="s">
        <v>155</v>
      </c>
      <c r="E585" s="358"/>
      <c r="F585" s="1081">
        <f>'WP II-I-1.1'!F187</f>
        <v>0</v>
      </c>
      <c r="G585" s="893">
        <f>'WP II-I-1.1'!G187</f>
        <v>0</v>
      </c>
      <c r="H585" s="893">
        <f>'WP II-I-1.1'!H187</f>
        <v>0</v>
      </c>
      <c r="I585" s="1082">
        <f>'WP II-I-1.1'!I187</f>
        <v>0</v>
      </c>
      <c r="J585" s="290">
        <f t="shared" si="75"/>
        <v>0</v>
      </c>
      <c r="K585" s="290"/>
      <c r="L585" s="18">
        <f t="shared" si="76"/>
        <v>0</v>
      </c>
      <c r="M585" s="43"/>
      <c r="N585" s="839">
        <f t="shared" si="77"/>
        <v>0</v>
      </c>
      <c r="O585" s="839">
        <f>'WP II-I-1.1'!$J187-L585-F585</f>
        <v>0</v>
      </c>
    </row>
    <row r="586" spans="2:15" s="386" customFormat="1" ht="14.25">
      <c r="B586" s="17">
        <f t="shared" si="78"/>
        <v>20</v>
      </c>
      <c r="C586" s="43">
        <v>254</v>
      </c>
      <c r="D586" s="43" t="s">
        <v>156</v>
      </c>
      <c r="E586" s="358"/>
      <c r="F586" s="1083">
        <f>'WP II-I-1.1'!F188</f>
        <v>0</v>
      </c>
      <c r="G586" s="1084">
        <f>'WP II-I-1.1'!G188</f>
        <v>0</v>
      </c>
      <c r="H586" s="1084">
        <f>'WP II-I-1.1'!H188</f>
        <v>0</v>
      </c>
      <c r="I586" s="1085">
        <f>'WP II-I-1.1'!I188</f>
        <v>0</v>
      </c>
      <c r="J586" s="290">
        <f t="shared" si="75"/>
        <v>0</v>
      </c>
      <c r="K586" s="290"/>
      <c r="L586" s="18">
        <f t="shared" si="76"/>
        <v>0</v>
      </c>
      <c r="M586" s="43"/>
      <c r="N586" s="839">
        <f t="shared" si="77"/>
        <v>0</v>
      </c>
      <c r="O586" s="839">
        <f>'WP II-I-1.1'!$J188-L586-F586</f>
        <v>0</v>
      </c>
    </row>
    <row r="587" spans="2:14" ht="15">
      <c r="B587" s="17">
        <f t="shared" si="78"/>
        <v>21</v>
      </c>
      <c r="C587" s="35"/>
      <c r="D587" s="44" t="s">
        <v>617</v>
      </c>
      <c r="E587" s="897"/>
      <c r="F587" s="895">
        <f>SUM(F577:F586)</f>
        <v>-567074948.5</v>
      </c>
      <c r="G587" s="895">
        <f>SUM(G577:G586)</f>
        <v>-613538911.06000006</v>
      </c>
      <c r="H587" s="895">
        <f>SUM(H577:H586)</f>
        <v>-44402759.520000003</v>
      </c>
      <c r="I587" s="895">
        <f>SUM(I577:I586)</f>
        <v>-17780250.246812731</v>
      </c>
      <c r="J587" s="895">
        <f>SUM(F587:I587)</f>
        <v>-1242796869.3268127</v>
      </c>
      <c r="K587" s="21"/>
      <c r="L587" s="21">
        <f t="shared" si="79" ref="L587:L640">SUM(G587:I587)</f>
        <v>-675721920.82681274</v>
      </c>
      <c r="M587" s="36"/>
      <c r="N587" s="839">
        <f t="shared" si="77"/>
        <v>0</v>
      </c>
    </row>
    <row r="588" spans="2:14" ht="15.75" thickBot="1">
      <c r="B588" s="17">
        <f t="shared" si="78"/>
        <v>22</v>
      </c>
      <c r="C588" s="35"/>
      <c r="D588" s="43"/>
      <c r="E588" s="358"/>
      <c r="F588" s="346"/>
      <c r="G588" s="346"/>
      <c r="H588" s="346"/>
      <c r="I588" s="346"/>
      <c r="J588" s="43"/>
      <c r="K588" s="43"/>
      <c r="L588" s="346"/>
      <c r="M588" s="43"/>
      <c r="N588" s="359"/>
    </row>
    <row r="589" spans="2:14" ht="15.75" thickBot="1">
      <c r="B589" s="17">
        <f t="shared" si="78"/>
        <v>23</v>
      </c>
      <c r="C589" s="356" t="s">
        <v>618</v>
      </c>
      <c r="D589" s="278"/>
      <c r="E589" s="337" t="s">
        <v>132</v>
      </c>
      <c r="F589" s="278">
        <f>F574+F587</f>
        <v>-537238095.32000005</v>
      </c>
      <c r="G589" s="278">
        <f>G574+G587</f>
        <v>-557076552.59000003</v>
      </c>
      <c r="H589" s="278">
        <f>H574+H587</f>
        <v>-28189518.420000002</v>
      </c>
      <c r="I589" s="278">
        <f>I574+I587</f>
        <v>-12080059.486812716</v>
      </c>
      <c r="J589" s="279">
        <f>SUM(F589:I589)</f>
        <v>-1134584225.816813</v>
      </c>
      <c r="K589" s="39"/>
      <c r="L589" s="280">
        <f t="shared" si="79"/>
        <v>-597346130.4968127</v>
      </c>
      <c r="M589" s="36"/>
      <c r="N589" s="839">
        <f t="shared" si="77"/>
        <v>0</v>
      </c>
    </row>
    <row r="590" spans="2:14" ht="15.75" thickBot="1">
      <c r="B590" s="17">
        <f t="shared" si="78"/>
        <v>24</v>
      </c>
      <c r="C590" s="46"/>
      <c r="D590" s="36"/>
      <c r="E590" s="37"/>
      <c r="F590" s="39"/>
      <c r="G590" s="39"/>
      <c r="H590" s="39"/>
      <c r="I590" s="39"/>
      <c r="J590" s="43"/>
      <c r="K590" s="43"/>
      <c r="L590" s="898"/>
      <c r="M590" s="36"/>
      <c r="N590" s="357"/>
    </row>
    <row r="591" spans="2:14" ht="15.75" thickBot="1">
      <c r="B591" s="17">
        <f t="shared" si="78"/>
        <v>25</v>
      </c>
      <c r="C591" s="335" t="s">
        <v>619</v>
      </c>
      <c r="D591" s="336"/>
      <c r="E591" s="336"/>
      <c r="F591" s="360">
        <f>F552+F589</f>
        <v>-470917022.62</v>
      </c>
      <c r="G591" s="360">
        <f>G552+G589</f>
        <v>190520108.74000001</v>
      </c>
      <c r="H591" s="360">
        <f>H552+H589</f>
        <v>119901695.55999999</v>
      </c>
      <c r="I591" s="360">
        <f>I552+I589</f>
        <v>4277692.1731872801</v>
      </c>
      <c r="J591" s="361">
        <f>SUM(F591:I591)</f>
        <v>-156217526.14681271</v>
      </c>
      <c r="K591" s="21"/>
      <c r="L591" s="1175">
        <f t="shared" si="79"/>
        <v>314699496.47318727</v>
      </c>
      <c r="M591" s="36"/>
      <c r="N591" s="839">
        <f t="shared" si="77"/>
        <v>0</v>
      </c>
    </row>
    <row r="592" spans="2:14" ht="15.75" thickBot="1">
      <c r="B592" s="17">
        <f t="shared" si="78"/>
        <v>26</v>
      </c>
      <c r="C592" s="362"/>
      <c r="D592" s="362"/>
      <c r="E592" s="362"/>
      <c r="F592" s="362"/>
      <c r="G592" s="362"/>
      <c r="H592" s="362"/>
      <c r="I592" s="362"/>
      <c r="J592" s="362"/>
      <c r="K592" s="36"/>
      <c r="L592" s="362"/>
      <c r="M592" s="36"/>
      <c r="N592" s="357"/>
    </row>
    <row r="593" spans="2:14" ht="15.75" thickBot="1">
      <c r="B593" s="17">
        <f t="shared" si="78"/>
        <v>27</v>
      </c>
      <c r="C593" s="341" t="s">
        <v>620</v>
      </c>
      <c r="D593" s="336"/>
      <c r="E593" s="337" t="s">
        <v>621</v>
      </c>
      <c r="F593" s="278">
        <f>F591+F483+F462+F441+F421+F374</f>
        <v>-393991204.57538456</v>
      </c>
      <c r="G593" s="278">
        <f>G591+G483+G462+G441+G421+G374</f>
        <v>347954431.98538464</v>
      </c>
      <c r="H593" s="278">
        <f>H591+H483+H462+H441+H421+H374</f>
        <v>123137902.77076921</v>
      </c>
      <c r="I593" s="278">
        <f>I591+I483+I462+I441+I421+I374</f>
        <v>5349223.523187262</v>
      </c>
      <c r="J593" s="279">
        <f>SUM(F593:I593)</f>
        <v>82450353.703956559</v>
      </c>
      <c r="K593" s="39"/>
      <c r="L593" s="280">
        <f t="shared" si="79"/>
        <v>476441558.2793411</v>
      </c>
      <c r="M593" s="133"/>
      <c r="N593" s="839">
        <f t="shared" si="77"/>
        <v>0</v>
      </c>
    </row>
    <row r="594" spans="2:13" ht="15.75" thickBot="1">
      <c r="B594" s="17">
        <f t="shared" si="78"/>
        <v>28</v>
      </c>
      <c r="C594" s="36"/>
      <c r="D594" s="36"/>
      <c r="E594" s="363"/>
      <c r="F594" s="39"/>
      <c r="G594" s="39"/>
      <c r="H594" s="39"/>
      <c r="I594" s="39"/>
      <c r="J594" s="39"/>
      <c r="K594" s="39"/>
      <c r="L594" s="39"/>
      <c r="M594" s="67"/>
    </row>
    <row r="595" spans="2:14" ht="15.75" thickBot="1">
      <c r="B595" s="17">
        <f t="shared" si="78"/>
        <v>29</v>
      </c>
      <c r="C595" s="341" t="s">
        <v>622</v>
      </c>
      <c r="D595" s="336"/>
      <c r="E595" s="337" t="s">
        <v>623</v>
      </c>
      <c r="F595" s="278">
        <f>F352+F593+F397</f>
        <v>9026971613.7346172</v>
      </c>
      <c r="G595" s="278">
        <f>G352+G593+G397</f>
        <v>9061557949.7653847</v>
      </c>
      <c r="H595" s="278">
        <f>H352+H593+H397</f>
        <v>421320140.15076929</v>
      </c>
      <c r="I595" s="278">
        <f>I352+I593+I397</f>
        <v>205072406.6531876</v>
      </c>
      <c r="J595" s="279">
        <f>SUM(F595:I595)</f>
        <v>18714922110.303955</v>
      </c>
      <c r="K595" s="39"/>
      <c r="L595" s="280">
        <f t="shared" si="79"/>
        <v>9687950496.5693417</v>
      </c>
      <c r="M595" s="133"/>
      <c r="N595" s="839">
        <f t="shared" si="77"/>
        <v>0</v>
      </c>
    </row>
    <row r="596" spans="2:13" ht="14.25">
      <c r="B596" s="17">
        <f t="shared" si="78"/>
        <v>30</v>
      </c>
      <c r="C596" s="43"/>
      <c r="D596" s="43"/>
      <c r="E596" s="263"/>
      <c r="F596" s="263"/>
      <c r="G596" s="43"/>
      <c r="H596" s="43"/>
      <c r="I596" s="43"/>
      <c r="J596" s="43"/>
      <c r="K596" s="43"/>
      <c r="L596" s="43"/>
      <c r="M596" s="67"/>
    </row>
    <row r="597" spans="2:13" ht="15">
      <c r="B597" s="17">
        <f t="shared" si="78"/>
        <v>31</v>
      </c>
      <c r="C597" s="364" t="s">
        <v>157</v>
      </c>
      <c r="D597" s="365"/>
      <c r="E597" s="36"/>
      <c r="F597" s="1096">
        <f>'WP II-I-1.1'!F190</f>
        <v>0.070499999999999993</v>
      </c>
      <c r="G597" s="1097">
        <f>'WP II-I-1.1'!G190</f>
        <v>0.070499999999999993</v>
      </c>
      <c r="H597" s="1097">
        <f>'WP II-I-1.1'!H190</f>
        <v>0.070499999999999993</v>
      </c>
      <c r="I597" s="1098">
        <f>'WP II-I-1.1'!I190</f>
        <v>0.070499999999999993</v>
      </c>
      <c r="J597" s="282">
        <f>J599/J595</f>
        <v>0.070500000000000007</v>
      </c>
      <c r="K597" s="282"/>
      <c r="L597" s="282">
        <f>L599/L595</f>
        <v>0.070499999999999993</v>
      </c>
      <c r="M597" s="67"/>
    </row>
    <row r="598" spans="2:13" ht="15" thickBot="1">
      <c r="B598" s="17">
        <f t="shared" si="78"/>
        <v>32</v>
      </c>
      <c r="C598" s="1"/>
      <c r="D598" s="263"/>
      <c r="E598" s="263"/>
      <c r="F598" s="12"/>
      <c r="G598" s="12"/>
      <c r="H598" s="12"/>
      <c r="I598" s="12"/>
      <c r="J598" s="12"/>
      <c r="K598" s="1"/>
      <c r="L598" s="1"/>
      <c r="M598" s="67"/>
    </row>
    <row r="599" spans="2:14" ht="15.75" thickBot="1">
      <c r="B599" s="17">
        <f t="shared" si="78"/>
        <v>33</v>
      </c>
      <c r="C599" s="341" t="s">
        <v>624</v>
      </c>
      <c r="D599" s="336"/>
      <c r="E599" s="337"/>
      <c r="F599" s="278">
        <f>+F595*F597</f>
        <v>636401498.7682904</v>
      </c>
      <c r="G599" s="278">
        <f>+G595*G597</f>
        <v>638839835.45845962</v>
      </c>
      <c r="H599" s="278">
        <f>+H595*H597</f>
        <v>29703069.880629234</v>
      </c>
      <c r="I599" s="278">
        <f>+I595*I597</f>
        <v>14457604.669049725</v>
      </c>
      <c r="J599" s="256">
        <f>SUM(F599:I599)</f>
        <v>1319402008.7764289</v>
      </c>
      <c r="K599" s="252"/>
      <c r="L599" s="280">
        <f t="shared" si="79"/>
        <v>683000510.00813854</v>
      </c>
      <c r="M599" s="67"/>
      <c r="N599" s="839">
        <f t="shared" si="80" ref="N599">J599-L599-F599</f>
        <v>0</v>
      </c>
    </row>
    <row r="600" spans="2:13" ht="14.25">
      <c r="B600" s="67"/>
      <c r="C600" s="67"/>
      <c r="D600" s="67"/>
      <c r="E600" s="67"/>
      <c r="F600" s="392"/>
      <c r="G600" s="392"/>
      <c r="H600" s="392"/>
      <c r="I600" s="392"/>
      <c r="J600" s="392"/>
      <c r="K600" s="47"/>
      <c r="L600" s="47"/>
      <c r="M600" s="67"/>
    </row>
    <row r="601" spans="2:13" ht="15">
      <c r="B601" s="874"/>
      <c r="C601" s="874"/>
      <c r="D601" s="874"/>
      <c r="E601" s="874"/>
      <c r="F601" s="1128"/>
      <c r="G601" s="1128"/>
      <c r="H601" s="1128"/>
      <c r="I601" s="1128"/>
      <c r="J601" s="1128"/>
      <c r="K601" s="874"/>
      <c r="L601" s="874"/>
      <c r="M601" s="134" t="str">
        <f>$M$2</f>
        <v xml:space="preserve"> </v>
      </c>
    </row>
    <row r="602" spans="2:13" ht="15.75" thickBot="1">
      <c r="B602" s="874"/>
      <c r="C602" s="874"/>
      <c r="D602" s="874"/>
      <c r="E602" s="874"/>
      <c r="F602" s="1128"/>
      <c r="G602" s="1128"/>
      <c r="H602" s="1128"/>
      <c r="I602" s="1128"/>
      <c r="J602" s="1128"/>
      <c r="K602" s="874"/>
      <c r="L602" s="874"/>
      <c r="M602" s="67"/>
    </row>
    <row r="603" spans="2:12" ht="15">
      <c r="B603" s="920" t="str">
        <f>$B$4</f>
        <v>2022 RATE CASE</v>
      </c>
      <c r="C603" s="926"/>
      <c r="D603" s="927"/>
      <c r="E603" s="874"/>
      <c r="F603" s="874"/>
      <c r="G603" s="874"/>
      <c r="H603" s="874"/>
      <c r="I603" s="874"/>
      <c r="J603" s="874"/>
      <c r="K603" s="874"/>
      <c r="L603" s="874"/>
    </row>
    <row r="604" spans="2:13" ht="15">
      <c r="B604" s="917" t="str">
        <f>$B$5</f>
        <v>ONCOR ELECTRIC DELIVERY COMPANY LLC</v>
      </c>
      <c r="C604" s="369"/>
      <c r="D604" s="928"/>
      <c r="E604" s="874"/>
      <c r="F604" s="874"/>
      <c r="G604" s="874"/>
      <c r="H604" s="874"/>
      <c r="I604" s="874"/>
      <c r="J604" s="874"/>
      <c r="K604" s="874"/>
      <c r="L604" s="874"/>
      <c r="M604" s="67"/>
    </row>
    <row r="605" spans="2:13" ht="15">
      <c r="B605" s="406" t="str">
        <f>$B$6</f>
        <v>CONSOLIDATED FUNCTIONALIZED COST OF SERVICE</v>
      </c>
      <c r="C605" s="369"/>
      <c r="D605" s="928"/>
      <c r="E605" s="874"/>
      <c r="F605" s="874"/>
      <c r="G605" s="874"/>
      <c r="H605" s="874"/>
      <c r="I605" s="874"/>
      <c r="J605" s="874"/>
      <c r="K605" s="874"/>
      <c r="L605" s="874"/>
      <c r="M605" s="67"/>
    </row>
    <row r="606" spans="2:13" ht="15">
      <c r="B606" s="406" t="str">
        <f>$B$7</f>
        <v>TEST YEAR ENDING 12/31/2021</v>
      </c>
      <c r="C606" s="369"/>
      <c r="D606" s="928"/>
      <c r="E606" s="369"/>
      <c r="F606" s="369"/>
      <c r="G606" s="369"/>
      <c r="H606" s="369"/>
      <c r="I606" s="369"/>
      <c r="J606" s="369"/>
      <c r="K606" s="369"/>
      <c r="L606" s="369"/>
      <c r="M606" s="67"/>
    </row>
    <row r="607" spans="2:13" ht="15">
      <c r="B607" s="406" t="str">
        <f>$B$8</f>
        <v>SPONSOR:  MATTHEW A. TROXLE</v>
      </c>
      <c r="C607" s="369"/>
      <c r="D607" s="928"/>
      <c r="E607" s="369"/>
      <c r="F607" s="369"/>
      <c r="G607" s="369"/>
      <c r="H607" s="369"/>
      <c r="I607" s="369"/>
      <c r="J607" s="369"/>
      <c r="K607" s="369"/>
      <c r="L607" s="369"/>
      <c r="M607" s="67"/>
    </row>
    <row r="608" spans="2:13" ht="15.75" thickBot="1">
      <c r="B608" s="410"/>
      <c r="C608" s="931"/>
      <c r="D608" s="932"/>
      <c r="E608" s="369"/>
      <c r="F608" s="369"/>
      <c r="G608" s="369"/>
      <c r="H608" s="369"/>
      <c r="I608" s="369"/>
      <c r="J608" s="369"/>
      <c r="K608" s="369"/>
      <c r="L608" s="369"/>
      <c r="M608" s="67"/>
    </row>
    <row r="609" spans="2:13" ht="14.25">
      <c r="B609" s="13"/>
      <c r="C609" s="14"/>
      <c r="D609" s="14"/>
      <c r="E609" s="14"/>
      <c r="F609" s="237" t="s">
        <v>6</v>
      </c>
      <c r="G609" s="13" t="s">
        <v>7</v>
      </c>
      <c r="H609" s="13" t="s">
        <v>8</v>
      </c>
      <c r="I609" s="239" t="s">
        <v>9</v>
      </c>
      <c r="J609" s="13" t="s">
        <v>10</v>
      </c>
      <c r="K609" s="17"/>
      <c r="L609" s="139" t="s">
        <v>966</v>
      </c>
      <c r="M609" s="67"/>
    </row>
    <row r="610" spans="2:13" ht="15">
      <c r="B610" s="15" t="s">
        <v>2</v>
      </c>
      <c r="C610" s="15" t="s">
        <v>370</v>
      </c>
      <c r="D610" s="287" t="s">
        <v>625</v>
      </c>
      <c r="E610" s="15" t="s">
        <v>371</v>
      </c>
      <c r="F610" s="242"/>
      <c r="G610" s="15"/>
      <c r="H610" s="15"/>
      <c r="I610" s="15"/>
      <c r="J610" s="15"/>
      <c r="K610" s="17"/>
      <c r="L610" s="97" t="s">
        <v>967</v>
      </c>
      <c r="M610" s="67"/>
    </row>
    <row r="611" spans="2:13" ht="14.25">
      <c r="B611" s="15"/>
      <c r="C611" s="15"/>
      <c r="D611" s="15"/>
      <c r="E611" s="15"/>
      <c r="F611" s="242"/>
      <c r="G611" s="15"/>
      <c r="H611" s="15"/>
      <c r="I611" s="15"/>
      <c r="J611" s="15"/>
      <c r="K611" s="17"/>
      <c r="L611" s="97"/>
      <c r="M611" s="67"/>
    </row>
    <row r="612" spans="2:13" ht="15" thickBot="1">
      <c r="B612" s="16"/>
      <c r="C612" s="16" t="s">
        <v>13</v>
      </c>
      <c r="D612" s="16" t="s">
        <v>14</v>
      </c>
      <c r="E612" s="16" t="s">
        <v>15</v>
      </c>
      <c r="F612" s="16" t="s">
        <v>16</v>
      </c>
      <c r="G612" s="16" t="s">
        <v>17</v>
      </c>
      <c r="H612" s="16" t="s">
        <v>18</v>
      </c>
      <c r="I612" s="16" t="s">
        <v>21</v>
      </c>
      <c r="J612" s="16" t="s">
        <v>22</v>
      </c>
      <c r="K612" s="17"/>
      <c r="L612" s="1125" t="s">
        <v>418</v>
      </c>
      <c r="M612" s="67"/>
    </row>
    <row r="613" spans="2:13" ht="14.25">
      <c r="B613" s="47"/>
      <c r="C613" s="333"/>
      <c r="D613" s="333"/>
      <c r="E613" s="333"/>
      <c r="F613" s="333"/>
      <c r="G613" s="333"/>
      <c r="H613" s="333"/>
      <c r="I613" s="43"/>
      <c r="J613" s="43"/>
      <c r="K613" s="43"/>
      <c r="L613" s="43"/>
      <c r="M613" s="67"/>
    </row>
    <row r="614" spans="2:13" ht="15">
      <c r="B614" s="17">
        <f t="shared" si="81" ref="B614:B640">B613+1</f>
        <v>1</v>
      </c>
      <c r="C614" s="8" t="s">
        <v>625</v>
      </c>
      <c r="D614" s="8"/>
      <c r="E614" s="20"/>
      <c r="F614" s="8"/>
      <c r="G614" s="8"/>
      <c r="H614" s="8"/>
      <c r="I614" s="8"/>
      <c r="J614" s="8"/>
      <c r="K614" s="8"/>
      <c r="L614" s="8"/>
      <c r="M614" s="67"/>
    </row>
    <row r="615" spans="2:13" ht="15">
      <c r="B615" s="17">
        <f t="shared" si="81"/>
        <v>2</v>
      </c>
      <c r="C615" s="8"/>
      <c r="D615" s="8"/>
      <c r="E615" s="20"/>
      <c r="F615" s="8"/>
      <c r="G615" s="8"/>
      <c r="H615" s="8"/>
      <c r="I615" s="8"/>
      <c r="J615" s="8"/>
      <c r="K615" s="8"/>
      <c r="L615" s="8"/>
      <c r="M615" s="67"/>
    </row>
    <row r="616" spans="2:13" ht="15">
      <c r="B616" s="17">
        <f t="shared" si="81"/>
        <v>3</v>
      </c>
      <c r="C616" s="8"/>
      <c r="D616" s="366" t="s">
        <v>626</v>
      </c>
      <c r="E616" s="20" t="s">
        <v>160</v>
      </c>
      <c r="F616" s="8"/>
      <c r="G616" s="8"/>
      <c r="H616" s="8"/>
      <c r="I616" s="8"/>
      <c r="J616" s="8"/>
      <c r="K616" s="8"/>
      <c r="L616" s="8"/>
      <c r="M616" s="67"/>
    </row>
    <row r="617" spans="2:14" s="386" customFormat="1" ht="14.25">
      <c r="B617" s="17">
        <f t="shared" si="81"/>
        <v>4</v>
      </c>
      <c r="C617" s="28" t="s">
        <v>161</v>
      </c>
      <c r="D617" s="1" t="s">
        <v>162</v>
      </c>
      <c r="E617" s="17"/>
      <c r="F617" s="1087">
        <f>'WP II-I-1.1'!F194</f>
        <v>4337269.9799999995</v>
      </c>
      <c r="G617" s="1089">
        <f>'WP II-I-1.1'!G194</f>
        <v>46904.709999999999</v>
      </c>
      <c r="H617" s="1089">
        <f>'WP II-I-1.1'!H194</f>
        <v>1929.49</v>
      </c>
      <c r="I617" s="1090">
        <f>'WP II-I-1.1'!I194</f>
        <v>0</v>
      </c>
      <c r="J617" s="24">
        <f t="shared" si="82" ref="J617:J625">SUM(F617:I617)</f>
        <v>4386104.1799999997</v>
      </c>
      <c r="K617" s="24"/>
      <c r="L617" s="18">
        <f t="shared" si="79"/>
        <v>48834.199999999997</v>
      </c>
      <c r="M617" s="47"/>
      <c r="N617" s="839">
        <f t="shared" si="83" ref="N617:N680">J617-L617-F617</f>
        <v>0</v>
      </c>
    </row>
    <row r="618" spans="2:14" s="386" customFormat="1" ht="14.25">
      <c r="B618" s="17">
        <f t="shared" si="81"/>
        <v>5</v>
      </c>
      <c r="C618" s="1" t="s">
        <v>163</v>
      </c>
      <c r="D618" s="1" t="s">
        <v>164</v>
      </c>
      <c r="E618" s="17"/>
      <c r="F618" s="1081">
        <f>'WP II-I-1.1'!F195</f>
        <v>20654844.43</v>
      </c>
      <c r="G618" s="893">
        <f>'WP II-I-1.1'!G195</f>
        <v>0</v>
      </c>
      <c r="H618" s="893">
        <f>'WP II-I-1.1'!H195</f>
        <v>0</v>
      </c>
      <c r="I618" s="1082">
        <f>'WP II-I-1.1'!I195</f>
        <v>0</v>
      </c>
      <c r="J618" s="24">
        <f t="shared" si="82"/>
        <v>20654844.43</v>
      </c>
      <c r="K618" s="24"/>
      <c r="L618" s="18">
        <f t="shared" si="79"/>
        <v>0</v>
      </c>
      <c r="M618" s="47"/>
      <c r="N618" s="839">
        <f t="shared" si="83"/>
        <v>0</v>
      </c>
    </row>
    <row r="619" spans="2:14" s="386" customFormat="1" ht="14.25">
      <c r="B619" s="17">
        <f t="shared" si="81"/>
        <v>6</v>
      </c>
      <c r="C619" s="1" t="s">
        <v>165</v>
      </c>
      <c r="D619" s="1" t="s">
        <v>166</v>
      </c>
      <c r="E619" s="17"/>
      <c r="F619" s="1081">
        <f>'WP II-I-1.1'!F196</f>
        <v>2343139.5499999998</v>
      </c>
      <c r="G619" s="893">
        <f>'WP II-I-1.1'!G196</f>
        <v>522283.20000000001</v>
      </c>
      <c r="H619" s="893">
        <f>'WP II-I-1.1'!H196</f>
        <v>0</v>
      </c>
      <c r="I619" s="1082">
        <f>'WP II-I-1.1'!I196</f>
        <v>0</v>
      </c>
      <c r="J619" s="24">
        <f t="shared" si="82"/>
        <v>2865422.75</v>
      </c>
      <c r="K619" s="24"/>
      <c r="L619" s="18">
        <f t="shared" si="79"/>
        <v>522283.20000000001</v>
      </c>
      <c r="M619" s="47"/>
      <c r="N619" s="839">
        <f t="shared" si="83"/>
        <v>0</v>
      </c>
    </row>
    <row r="620" spans="2:14" s="386" customFormat="1" ht="14.25">
      <c r="B620" s="17">
        <f t="shared" si="81"/>
        <v>7</v>
      </c>
      <c r="C620" s="1" t="s">
        <v>167</v>
      </c>
      <c r="D620" s="1" t="s">
        <v>168</v>
      </c>
      <c r="E620" s="17"/>
      <c r="F620" s="1081">
        <f>'WP II-I-1.1'!F197</f>
        <v>6797120.5800000001</v>
      </c>
      <c r="G620" s="893">
        <f>'WP II-I-1.1'!G197</f>
        <v>0</v>
      </c>
      <c r="H620" s="893">
        <f>'WP II-I-1.1'!H197</f>
        <v>0</v>
      </c>
      <c r="I620" s="1082">
        <f>'WP II-I-1.1'!I197</f>
        <v>0</v>
      </c>
      <c r="J620" s="24">
        <f t="shared" si="82"/>
        <v>6797120.5800000001</v>
      </c>
      <c r="K620" s="24"/>
      <c r="L620" s="18">
        <f t="shared" si="79"/>
        <v>0</v>
      </c>
      <c r="M620" s="47"/>
      <c r="N620" s="839">
        <f t="shared" si="83"/>
        <v>0</v>
      </c>
    </row>
    <row r="621" spans="2:14" s="386" customFormat="1" ht="14.25">
      <c r="B621" s="17">
        <f t="shared" si="81"/>
        <v>8</v>
      </c>
      <c r="C621" s="1" t="s">
        <v>169</v>
      </c>
      <c r="D621" s="1" t="s">
        <v>170</v>
      </c>
      <c r="E621" s="17"/>
      <c r="F621" s="1081">
        <f>'WP II-I-1.1'!F198</f>
        <v>2674.8600000000001</v>
      </c>
      <c r="G621" s="893">
        <f>'WP II-I-1.1'!G198</f>
        <v>0</v>
      </c>
      <c r="H621" s="893">
        <f>'WP II-I-1.1'!H198</f>
        <v>0</v>
      </c>
      <c r="I621" s="1082">
        <f>'WP II-I-1.1'!I198</f>
        <v>0</v>
      </c>
      <c r="J621" s="24">
        <f t="shared" si="82"/>
        <v>2674.8600000000001</v>
      </c>
      <c r="K621" s="24"/>
      <c r="L621" s="18">
        <f t="shared" si="79"/>
        <v>0</v>
      </c>
      <c r="M621" s="47"/>
      <c r="N621" s="839">
        <f t="shared" si="83"/>
        <v>0</v>
      </c>
    </row>
    <row r="622" spans="2:14" s="386" customFormat="1" ht="15">
      <c r="B622" s="17">
        <f t="shared" si="81"/>
        <v>9</v>
      </c>
      <c r="C622" s="1" t="s">
        <v>171</v>
      </c>
      <c r="D622" s="1" t="s">
        <v>172</v>
      </c>
      <c r="E622" s="17"/>
      <c r="F622" s="1081">
        <f>'WP II-I-1.1'!F199</f>
        <v>0</v>
      </c>
      <c r="G622" s="893">
        <f>'WP II-I-1.1'!G199</f>
        <v>1652522021.4399998</v>
      </c>
      <c r="H622" s="893">
        <f>'WP II-I-1.1'!H199</f>
        <v>0</v>
      </c>
      <c r="I622" s="1082">
        <f>'WP II-I-1.1'!I199</f>
        <v>0</v>
      </c>
      <c r="J622" s="24">
        <f t="shared" si="82"/>
        <v>1652522021.4399998</v>
      </c>
      <c r="K622" s="24"/>
      <c r="L622" s="18">
        <f t="shared" si="79"/>
        <v>1652522021.4399998</v>
      </c>
      <c r="M622" s="612"/>
      <c r="N622" s="839">
        <f t="shared" si="83"/>
        <v>0</v>
      </c>
    </row>
    <row r="623" spans="2:14" s="386" customFormat="1" ht="14.25">
      <c r="B623" s="17">
        <f t="shared" si="81"/>
        <v>10</v>
      </c>
      <c r="C623" s="1" t="s">
        <v>173</v>
      </c>
      <c r="D623" s="31" t="s">
        <v>174</v>
      </c>
      <c r="E623" s="17"/>
      <c r="F623" s="1081">
        <f>'WP II-I-1.1'!F200</f>
        <v>59368005.240000002</v>
      </c>
      <c r="G623" s="893">
        <f>'WP II-I-1.1'!G200</f>
        <v>271783.87</v>
      </c>
      <c r="H623" s="893">
        <f>'WP II-I-1.1'!H200</f>
        <v>0</v>
      </c>
      <c r="I623" s="1082">
        <f>'WP II-I-1.1'!I200</f>
        <v>0</v>
      </c>
      <c r="J623" s="24">
        <f t="shared" si="82"/>
        <v>59639789.109999999</v>
      </c>
      <c r="K623" s="24"/>
      <c r="L623" s="18">
        <f t="shared" si="79"/>
        <v>271783.87</v>
      </c>
      <c r="M623" s="47"/>
      <c r="N623" s="839">
        <f t="shared" si="83"/>
        <v>0</v>
      </c>
    </row>
    <row r="624" spans="2:14" s="386" customFormat="1" ht="16.5">
      <c r="B624" s="17">
        <f t="shared" si="81"/>
        <v>11</v>
      </c>
      <c r="C624" s="1" t="s">
        <v>175</v>
      </c>
      <c r="D624" s="1" t="s">
        <v>176</v>
      </c>
      <c r="E624" s="17"/>
      <c r="F624" s="1083">
        <f>'WP II-I-1.1'!F201</f>
        <v>193255.28</v>
      </c>
      <c r="G624" s="1084">
        <f>'WP II-I-1.1'!G201</f>
        <v>0</v>
      </c>
      <c r="H624" s="1084">
        <f>'WP II-I-1.1'!H201</f>
        <v>0</v>
      </c>
      <c r="I624" s="1085">
        <f>'WP II-I-1.1'!I201</f>
        <v>0</v>
      </c>
      <c r="J624" s="266">
        <f t="shared" si="82"/>
        <v>193255.28</v>
      </c>
      <c r="K624" s="266"/>
      <c r="L624" s="296">
        <f t="shared" si="79"/>
        <v>0</v>
      </c>
      <c r="M624" s="47"/>
      <c r="N624" s="839">
        <f t="shared" si="83"/>
        <v>0</v>
      </c>
    </row>
    <row r="625" spans="2:14" ht="15">
      <c r="B625" s="17">
        <f t="shared" si="81"/>
        <v>12</v>
      </c>
      <c r="C625" s="8"/>
      <c r="D625" s="297" t="s">
        <v>491</v>
      </c>
      <c r="E625" s="20"/>
      <c r="F625" s="22">
        <f>SUM(F617:F624)</f>
        <v>93696309.920000002</v>
      </c>
      <c r="G625" s="22">
        <f>SUM(G617:G624)</f>
        <v>1653362993.2199998</v>
      </c>
      <c r="H625" s="22">
        <f>SUM(H617:H624)</f>
        <v>1929.49</v>
      </c>
      <c r="I625" s="22">
        <f>SUM(I617:I624)</f>
        <v>0</v>
      </c>
      <c r="J625" s="299">
        <f t="shared" si="82"/>
        <v>1747061232.6299999</v>
      </c>
      <c r="K625" s="300"/>
      <c r="L625" s="22">
        <f t="shared" si="79"/>
        <v>1653364922.7099998</v>
      </c>
      <c r="M625" s="67"/>
      <c r="N625" s="839">
        <f t="shared" si="83"/>
        <v>0</v>
      </c>
    </row>
    <row r="626" spans="2:14" ht="15">
      <c r="B626" s="17">
        <f t="shared" si="81"/>
        <v>13</v>
      </c>
      <c r="C626" s="8"/>
      <c r="D626" s="20"/>
      <c r="E626" s="20"/>
      <c r="F626" s="22"/>
      <c r="G626" s="22"/>
      <c r="H626" s="22"/>
      <c r="I626" s="22"/>
      <c r="J626" s="8"/>
      <c r="K626" s="8"/>
      <c r="L626" s="22"/>
      <c r="M626" s="67"/>
      <c r="N626" s="839">
        <f t="shared" si="83"/>
        <v>0</v>
      </c>
    </row>
    <row r="627" spans="2:14" ht="15">
      <c r="B627" s="17">
        <f t="shared" si="81"/>
        <v>14</v>
      </c>
      <c r="C627" s="8"/>
      <c r="D627" s="297" t="s">
        <v>627</v>
      </c>
      <c r="E627" s="20"/>
      <c r="F627" s="22">
        <f>F625-F622</f>
        <v>93696309.920000002</v>
      </c>
      <c r="G627" s="22">
        <f>G625-G622</f>
        <v>840971.77999997139</v>
      </c>
      <c r="H627" s="22">
        <f>H625-H622</f>
        <v>1929.49</v>
      </c>
      <c r="I627" s="22">
        <f>I625-I622</f>
        <v>0</v>
      </c>
      <c r="J627" s="299">
        <f>SUM(F627:I627)</f>
        <v>94539211.189999968</v>
      </c>
      <c r="K627" s="300"/>
      <c r="L627" s="22">
        <f t="shared" si="79"/>
        <v>842901.26999997138</v>
      </c>
      <c r="M627" s="67"/>
      <c r="N627" s="839">
        <f t="shared" si="83"/>
        <v>0</v>
      </c>
    </row>
    <row r="628" spans="2:14" ht="15">
      <c r="B628" s="17">
        <f t="shared" si="81"/>
        <v>15</v>
      </c>
      <c r="C628" s="8"/>
      <c r="D628" s="20"/>
      <c r="E628" s="20"/>
      <c r="F628" s="22"/>
      <c r="G628" s="22"/>
      <c r="H628" s="22"/>
      <c r="I628" s="22"/>
      <c r="J628" s="8"/>
      <c r="K628" s="8"/>
      <c r="L628" s="22"/>
      <c r="M628" s="67"/>
      <c r="N628" s="839">
        <f t="shared" si="83"/>
        <v>0</v>
      </c>
    </row>
    <row r="629" spans="2:14" ht="15">
      <c r="B629" s="17">
        <f t="shared" si="81"/>
        <v>16</v>
      </c>
      <c r="C629" s="8"/>
      <c r="D629" s="366" t="s">
        <v>628</v>
      </c>
      <c r="E629" s="20" t="s">
        <v>160</v>
      </c>
      <c r="F629" s="22"/>
      <c r="G629" s="22"/>
      <c r="H629" s="22"/>
      <c r="I629" s="22"/>
      <c r="J629" s="8"/>
      <c r="K629" s="8"/>
      <c r="L629" s="22"/>
      <c r="M629" s="67"/>
      <c r="N629" s="839">
        <f t="shared" si="83"/>
        <v>0</v>
      </c>
    </row>
    <row r="630" spans="2:14" s="386" customFormat="1" ht="14.25">
      <c r="B630" s="17">
        <f t="shared" si="81"/>
        <v>17</v>
      </c>
      <c r="C630" s="1" t="s">
        <v>178</v>
      </c>
      <c r="D630" s="1" t="s">
        <v>179</v>
      </c>
      <c r="E630" s="17"/>
      <c r="F630" s="1087">
        <f>'WP II-I-1.1'!F203</f>
        <v>524192.23999999999</v>
      </c>
      <c r="G630" s="1089">
        <f>'WP II-I-1.1'!G203</f>
        <v>85793.720000000001</v>
      </c>
      <c r="H630" s="1089">
        <f>'WP II-I-1.1'!H203</f>
        <v>291.72000000000003</v>
      </c>
      <c r="I630" s="1090">
        <f>'WP II-I-1.1'!I203</f>
        <v>0</v>
      </c>
      <c r="J630" s="290">
        <f t="shared" si="84" ref="J630:J636">SUM(F630:I630)</f>
        <v>610277.67999999993</v>
      </c>
      <c r="K630" s="290"/>
      <c r="L630" s="18">
        <f t="shared" si="79"/>
        <v>86085.440000000002</v>
      </c>
      <c r="M630" s="47"/>
      <c r="N630" s="839">
        <f t="shared" si="83"/>
        <v>0</v>
      </c>
    </row>
    <row r="631" spans="2:14" s="386" customFormat="1" ht="14.25">
      <c r="B631" s="17">
        <f t="shared" si="81"/>
        <v>18</v>
      </c>
      <c r="C631" s="1" t="s">
        <v>180</v>
      </c>
      <c r="D631" s="31" t="s">
        <v>181</v>
      </c>
      <c r="E631" s="17"/>
      <c r="F631" s="1081">
        <f>'WP II-I-1.1'!F204</f>
        <v>51813.760000000002</v>
      </c>
      <c r="G631" s="893">
        <f>'WP II-I-1.1'!G204</f>
        <v>24.050000000000001</v>
      </c>
      <c r="H631" s="893">
        <f>'WP II-I-1.1'!H204</f>
        <v>0</v>
      </c>
      <c r="I631" s="1082">
        <f>'WP II-I-1.1'!I204</f>
        <v>0</v>
      </c>
      <c r="J631" s="290">
        <f t="shared" si="84"/>
        <v>51837.810000000005</v>
      </c>
      <c r="K631" s="290"/>
      <c r="L631" s="18">
        <f t="shared" si="79"/>
        <v>24.050000000000001</v>
      </c>
      <c r="M631" s="47"/>
      <c r="N631" s="839">
        <f t="shared" si="83"/>
        <v>0</v>
      </c>
    </row>
    <row r="632" spans="2:14" s="386" customFormat="1" ht="14.25">
      <c r="B632" s="17">
        <f t="shared" si="81"/>
        <v>19</v>
      </c>
      <c r="C632" s="1" t="s">
        <v>182</v>
      </c>
      <c r="D632" s="1" t="s">
        <v>183</v>
      </c>
      <c r="E632" s="17"/>
      <c r="F632" s="1081">
        <f>'WP II-I-1.1'!F205</f>
        <v>8408898.6799999997</v>
      </c>
      <c r="G632" s="893">
        <f>'WP II-I-1.1'!G205</f>
        <v>179023.23999999999</v>
      </c>
      <c r="H632" s="893">
        <f>'WP II-I-1.1'!H205</f>
        <v>0</v>
      </c>
      <c r="I632" s="1082">
        <f>'WP II-I-1.1'!I205</f>
        <v>0</v>
      </c>
      <c r="J632" s="290">
        <f t="shared" si="84"/>
        <v>8587921.9199999999</v>
      </c>
      <c r="K632" s="290"/>
      <c r="L632" s="18">
        <f t="shared" si="79"/>
        <v>179023.23999999999</v>
      </c>
      <c r="M632" s="47"/>
      <c r="N632" s="839">
        <f t="shared" si="83"/>
        <v>0</v>
      </c>
    </row>
    <row r="633" spans="2:14" s="386" customFormat="1" ht="14.25">
      <c r="B633" s="17">
        <f t="shared" si="81"/>
        <v>20</v>
      </c>
      <c r="C633" s="1" t="s">
        <v>184</v>
      </c>
      <c r="D633" s="1" t="s">
        <v>185</v>
      </c>
      <c r="E633" s="17"/>
      <c r="F633" s="1081">
        <f>'WP II-I-1.1'!F206</f>
        <v>22536330</v>
      </c>
      <c r="G633" s="893">
        <f>'WP II-I-1.1'!G206</f>
        <v>4628.7399999999998</v>
      </c>
      <c r="H633" s="893">
        <f>'WP II-I-1.1'!H206</f>
        <v>0</v>
      </c>
      <c r="I633" s="1082">
        <f>'WP II-I-1.1'!I206</f>
        <v>0</v>
      </c>
      <c r="J633" s="290">
        <f t="shared" si="84"/>
        <v>22540958.739999998</v>
      </c>
      <c r="K633" s="290"/>
      <c r="L633" s="18">
        <f t="shared" si="79"/>
        <v>4628.7399999999998</v>
      </c>
      <c r="M633" s="47"/>
      <c r="N633" s="839">
        <f t="shared" si="83"/>
        <v>0</v>
      </c>
    </row>
    <row r="634" spans="2:14" s="386" customFormat="1" ht="14.25">
      <c r="B634" s="17">
        <f t="shared" si="81"/>
        <v>21</v>
      </c>
      <c r="C634" s="1" t="s">
        <v>186</v>
      </c>
      <c r="D634" s="31" t="s">
        <v>187</v>
      </c>
      <c r="E634" s="17"/>
      <c r="F634" s="1081">
        <f>'WP II-I-1.1'!F207</f>
        <v>80.010000000000005</v>
      </c>
      <c r="G634" s="893">
        <f>'WP II-I-1.1'!G207</f>
        <v>79.019999999999996</v>
      </c>
      <c r="H634" s="893">
        <f>'WP II-I-1.1'!H207</f>
        <v>0</v>
      </c>
      <c r="I634" s="1082">
        <f>'WP II-I-1.1'!I207</f>
        <v>0</v>
      </c>
      <c r="J634" s="290">
        <f t="shared" si="84"/>
        <v>159.03</v>
      </c>
      <c r="K634" s="290"/>
      <c r="L634" s="18">
        <f t="shared" si="79"/>
        <v>79.019999999999996</v>
      </c>
      <c r="M634" s="47"/>
      <c r="N634" s="839">
        <f t="shared" si="83"/>
        <v>0</v>
      </c>
    </row>
    <row r="635" spans="2:14" s="386" customFormat="1" ht="16.5">
      <c r="B635" s="17">
        <f t="shared" si="81"/>
        <v>22</v>
      </c>
      <c r="C635" s="1" t="s">
        <v>188</v>
      </c>
      <c r="D635" s="31" t="s">
        <v>189</v>
      </c>
      <c r="E635" s="17"/>
      <c r="F635" s="1083">
        <f>'WP II-I-1.1'!F208</f>
        <v>1701271.3499999999</v>
      </c>
      <c r="G635" s="1084">
        <f>'WP II-I-1.1'!G208</f>
        <v>35239.690000000002</v>
      </c>
      <c r="H635" s="1084">
        <f>'WP II-I-1.1'!H208</f>
        <v>0</v>
      </c>
      <c r="I635" s="1085">
        <f>'WP II-I-1.1'!I208</f>
        <v>0</v>
      </c>
      <c r="J635" s="302">
        <f t="shared" si="84"/>
        <v>1736511.0399999998</v>
      </c>
      <c r="K635" s="302"/>
      <c r="L635" s="296">
        <f t="shared" si="79"/>
        <v>35239.690000000002</v>
      </c>
      <c r="M635" s="47"/>
      <c r="N635" s="839">
        <f t="shared" si="83"/>
        <v>0</v>
      </c>
    </row>
    <row r="636" spans="2:14" s="386" customFormat="1" ht="15">
      <c r="B636" s="17">
        <f t="shared" si="81"/>
        <v>23</v>
      </c>
      <c r="C636" s="8"/>
      <c r="D636" s="297" t="s">
        <v>491</v>
      </c>
      <c r="E636" s="856"/>
      <c r="F636" s="22">
        <f>SUM(F630:F635)</f>
        <v>33222586.040000003</v>
      </c>
      <c r="G636" s="22">
        <f>SUM(G630:G635)</f>
        <v>304788.46000000002</v>
      </c>
      <c r="H636" s="22">
        <f>SUM(H630:H635)</f>
        <v>291.72000000000003</v>
      </c>
      <c r="I636" s="22">
        <f>SUM(I630:I635)</f>
        <v>0</v>
      </c>
      <c r="J636" s="300">
        <f t="shared" si="84"/>
        <v>33527666.220000003</v>
      </c>
      <c r="K636" s="300"/>
      <c r="L636" s="22">
        <f t="shared" si="79"/>
        <v>305080.17999999999</v>
      </c>
      <c r="M636" s="47"/>
      <c r="N636" s="839">
        <f t="shared" si="83"/>
        <v>0</v>
      </c>
    </row>
    <row r="637" spans="2:14" ht="15.75" thickBot="1">
      <c r="B637" s="17">
        <f t="shared" si="81"/>
        <v>24</v>
      </c>
      <c r="C637" s="8"/>
      <c r="D637" s="297"/>
      <c r="E637" s="20"/>
      <c r="F637" s="22"/>
      <c r="G637" s="22"/>
      <c r="H637" s="22"/>
      <c r="I637" s="22"/>
      <c r="J637" s="8"/>
      <c r="K637" s="8"/>
      <c r="L637" s="22"/>
      <c r="M637" s="67"/>
      <c r="N637" s="839">
        <f t="shared" si="83"/>
        <v>0</v>
      </c>
    </row>
    <row r="638" spans="2:14" ht="15.75" thickBot="1">
      <c r="B638" s="17">
        <f t="shared" si="81"/>
        <v>25</v>
      </c>
      <c r="C638" s="284" t="s">
        <v>629</v>
      </c>
      <c r="D638" s="285"/>
      <c r="E638" s="285"/>
      <c r="F638" s="903">
        <f>+F636+F625</f>
        <v>126918895.96000001</v>
      </c>
      <c r="G638" s="903">
        <f>+G636+G625</f>
        <v>1653667781.6799998</v>
      </c>
      <c r="H638" s="903">
        <f>+H636+H625</f>
        <v>2221.21</v>
      </c>
      <c r="I638" s="903">
        <f>+I636+I625</f>
        <v>0</v>
      </c>
      <c r="J638" s="380">
        <f>SUM(F638:I638)</f>
        <v>1780588898.8499999</v>
      </c>
      <c r="K638" s="252"/>
      <c r="L638" s="896">
        <f t="shared" si="79"/>
        <v>1653670002.8899999</v>
      </c>
      <c r="M638" s="67"/>
      <c r="N638" s="839">
        <f t="shared" si="83"/>
        <v>0</v>
      </c>
    </row>
    <row r="639" spans="2:14" ht="15.75" thickBot="1">
      <c r="B639" s="17">
        <f t="shared" si="81"/>
        <v>26</v>
      </c>
      <c r="C639" s="8"/>
      <c r="D639" s="8"/>
      <c r="E639" s="20"/>
      <c r="F639" s="896"/>
      <c r="G639" s="896"/>
      <c r="H639" s="896"/>
      <c r="I639" s="896"/>
      <c r="J639" s="896"/>
      <c r="K639" s="8"/>
      <c r="L639" s="8"/>
      <c r="M639" s="67"/>
      <c r="N639" s="839">
        <f t="shared" si="83"/>
        <v>0</v>
      </c>
    </row>
    <row r="640" spans="2:14" ht="15.75" thickBot="1">
      <c r="B640" s="17">
        <f t="shared" si="81"/>
        <v>27</v>
      </c>
      <c r="C640" s="284" t="s">
        <v>630</v>
      </c>
      <c r="D640" s="285"/>
      <c r="E640" s="285"/>
      <c r="F640" s="903">
        <f>F638-F622</f>
        <v>126918895.96000001</v>
      </c>
      <c r="G640" s="903">
        <f>G638-G622</f>
        <v>1145760.2400000095</v>
      </c>
      <c r="H640" s="903">
        <f>H638-H622</f>
        <v>2221.21</v>
      </c>
      <c r="I640" s="903">
        <f>I638-I622</f>
        <v>0</v>
      </c>
      <c r="J640" s="380">
        <f>SUM(F640:I640)</f>
        <v>128066877.41000001</v>
      </c>
      <c r="K640" s="252"/>
      <c r="L640" s="896">
        <f t="shared" si="79"/>
        <v>1147981.4500000095</v>
      </c>
      <c r="M640" s="67"/>
      <c r="N640" s="839">
        <f t="shared" si="83"/>
        <v>0</v>
      </c>
    </row>
    <row r="641" spans="2:14" ht="15">
      <c r="B641" s="17"/>
      <c r="C641" s="8"/>
      <c r="D641" s="8"/>
      <c r="E641" s="20"/>
      <c r="F641" s="22"/>
      <c r="G641" s="22"/>
      <c r="H641" s="22"/>
      <c r="I641" s="8"/>
      <c r="J641" s="8"/>
      <c r="K641" s="8"/>
      <c r="L641" s="8"/>
      <c r="M641" s="67"/>
      <c r="N641" s="839">
        <f t="shared" si="83"/>
        <v>0</v>
      </c>
    </row>
    <row r="642" spans="2:14" ht="15">
      <c r="B642" s="874"/>
      <c r="C642" s="874"/>
      <c r="D642" s="874"/>
      <c r="E642" s="874"/>
      <c r="F642" s="874"/>
      <c r="G642" s="874"/>
      <c r="H642" s="874"/>
      <c r="I642" s="874"/>
      <c r="J642" s="874"/>
      <c r="K642" s="874"/>
      <c r="L642" s="874"/>
      <c r="M642" s="134" t="str">
        <f>$M$2</f>
        <v xml:space="preserve"> </v>
      </c>
      <c r="N642" s="839">
        <f t="shared" si="83"/>
        <v>0</v>
      </c>
    </row>
    <row r="643" spans="2:14" ht="15.75" thickBot="1">
      <c r="B643" s="874"/>
      <c r="C643" s="874"/>
      <c r="D643" s="874"/>
      <c r="E643" s="874"/>
      <c r="F643" s="874"/>
      <c r="G643" s="874"/>
      <c r="H643" s="874"/>
      <c r="I643" s="874"/>
      <c r="J643" s="874"/>
      <c r="K643" s="874"/>
      <c r="L643" s="874"/>
      <c r="M643" s="67"/>
      <c r="N643" s="839">
        <f t="shared" si="83"/>
        <v>0</v>
      </c>
    </row>
    <row r="644" spans="2:14" ht="15">
      <c r="B644" s="920" t="str">
        <f>$B$4</f>
        <v>2022 RATE CASE</v>
      </c>
      <c r="C644" s="926"/>
      <c r="D644" s="927"/>
      <c r="E644" s="874"/>
      <c r="F644" s="874"/>
      <c r="G644" s="874"/>
      <c r="H644" s="874"/>
      <c r="I644" s="874"/>
      <c r="J644" s="874"/>
      <c r="K644" s="874"/>
      <c r="L644" s="874"/>
      <c r="N644" s="839">
        <f t="shared" si="83"/>
        <v>0</v>
      </c>
    </row>
    <row r="645" spans="2:14" ht="15">
      <c r="B645" s="917" t="str">
        <f>$B$5</f>
        <v>ONCOR ELECTRIC DELIVERY COMPANY LLC</v>
      </c>
      <c r="C645" s="369"/>
      <c r="D645" s="928"/>
      <c r="E645" s="874"/>
      <c r="F645" s="874"/>
      <c r="G645" s="874"/>
      <c r="H645" s="874"/>
      <c r="I645" s="874"/>
      <c r="J645" s="874"/>
      <c r="K645" s="874"/>
      <c r="L645" s="874"/>
      <c r="M645" s="67"/>
      <c r="N645" s="839">
        <f t="shared" si="83"/>
        <v>0</v>
      </c>
    </row>
    <row r="646" spans="2:14" ht="15">
      <c r="B646" s="406" t="str">
        <f>$B$6</f>
        <v>CONSOLIDATED FUNCTIONALIZED COST OF SERVICE</v>
      </c>
      <c r="C646" s="369"/>
      <c r="D646" s="928"/>
      <c r="E646" s="874"/>
      <c r="F646" s="874"/>
      <c r="G646" s="874"/>
      <c r="H646" s="874"/>
      <c r="I646" s="874"/>
      <c r="J646" s="874"/>
      <c r="K646" s="874"/>
      <c r="L646" s="874"/>
      <c r="M646" s="67"/>
      <c r="N646" s="839">
        <f t="shared" si="83"/>
        <v>0</v>
      </c>
    </row>
    <row r="647" spans="2:14" ht="15">
      <c r="B647" s="406" t="str">
        <f>$B$7</f>
        <v>TEST YEAR ENDING 12/31/2021</v>
      </c>
      <c r="C647" s="369"/>
      <c r="D647" s="928"/>
      <c r="E647" s="369"/>
      <c r="F647" s="369"/>
      <c r="G647" s="369"/>
      <c r="H647" s="369"/>
      <c r="I647" s="369"/>
      <c r="J647" s="369"/>
      <c r="K647" s="369"/>
      <c r="L647" s="369"/>
      <c r="M647" s="67"/>
      <c r="N647" s="839">
        <f t="shared" si="83"/>
        <v>0</v>
      </c>
    </row>
    <row r="648" spans="2:14" ht="15">
      <c r="B648" s="406" t="str">
        <f>$B$8</f>
        <v>SPONSOR:  MATTHEW A. TROXLE</v>
      </c>
      <c r="C648" s="369"/>
      <c r="D648" s="928"/>
      <c r="E648" s="369"/>
      <c r="F648" s="369"/>
      <c r="G648" s="369"/>
      <c r="H648" s="369"/>
      <c r="I648" s="369"/>
      <c r="J648" s="369"/>
      <c r="K648" s="369"/>
      <c r="L648" s="369"/>
      <c r="M648" s="67"/>
      <c r="N648" s="839">
        <f t="shared" si="83"/>
        <v>0</v>
      </c>
    </row>
    <row r="649" spans="2:14" ht="15.75" thickBot="1">
      <c r="B649" s="410"/>
      <c r="C649" s="931"/>
      <c r="D649" s="932"/>
      <c r="E649" s="369"/>
      <c r="F649" s="369"/>
      <c r="G649" s="369"/>
      <c r="H649" s="369"/>
      <c r="I649" s="369"/>
      <c r="J649" s="369"/>
      <c r="K649" s="369"/>
      <c r="L649" s="369"/>
      <c r="M649" s="67"/>
      <c r="N649" s="839"/>
    </row>
    <row r="650" spans="2:14" ht="14.25">
      <c r="B650" s="13"/>
      <c r="C650" s="14"/>
      <c r="D650" s="14"/>
      <c r="E650" s="14"/>
      <c r="F650" s="237" t="s">
        <v>6</v>
      </c>
      <c r="G650" s="13" t="s">
        <v>7</v>
      </c>
      <c r="H650" s="13" t="s">
        <v>8</v>
      </c>
      <c r="I650" s="239" t="s">
        <v>9</v>
      </c>
      <c r="J650" s="13" t="s">
        <v>10</v>
      </c>
      <c r="K650" s="17"/>
      <c r="L650" s="139" t="s">
        <v>966</v>
      </c>
      <c r="M650" s="67"/>
      <c r="N650" s="839"/>
    </row>
    <row r="651" spans="2:14" ht="15">
      <c r="B651" s="15" t="s">
        <v>2</v>
      </c>
      <c r="C651" s="15" t="s">
        <v>370</v>
      </c>
      <c r="D651" s="287" t="s">
        <v>631</v>
      </c>
      <c r="E651" s="15" t="s">
        <v>371</v>
      </c>
      <c r="F651" s="242"/>
      <c r="G651" s="15"/>
      <c r="H651" s="15"/>
      <c r="I651" s="15"/>
      <c r="J651" s="15"/>
      <c r="K651" s="17"/>
      <c r="L651" s="97" t="s">
        <v>967</v>
      </c>
      <c r="M651" s="67"/>
      <c r="N651" s="839"/>
    </row>
    <row r="652" spans="2:14" ht="14.25">
      <c r="B652" s="15"/>
      <c r="C652" s="15"/>
      <c r="D652" s="15"/>
      <c r="E652" s="15"/>
      <c r="F652" s="242"/>
      <c r="G652" s="15"/>
      <c r="H652" s="15"/>
      <c r="I652" s="15"/>
      <c r="J652" s="15"/>
      <c r="K652" s="17"/>
      <c r="L652" s="97"/>
      <c r="M652" s="67"/>
      <c r="N652" s="839"/>
    </row>
    <row r="653" spans="2:14" ht="15" thickBot="1">
      <c r="B653" s="16"/>
      <c r="C653" s="16" t="s">
        <v>13</v>
      </c>
      <c r="D653" s="16" t="s">
        <v>14</v>
      </c>
      <c r="E653" s="16" t="s">
        <v>15</v>
      </c>
      <c r="F653" s="16" t="s">
        <v>16</v>
      </c>
      <c r="G653" s="16" t="s">
        <v>17</v>
      </c>
      <c r="H653" s="16" t="s">
        <v>18</v>
      </c>
      <c r="I653" s="16" t="s">
        <v>21</v>
      </c>
      <c r="J653" s="16" t="s">
        <v>22</v>
      </c>
      <c r="K653" s="17"/>
      <c r="L653" s="1125" t="s">
        <v>418</v>
      </c>
      <c r="M653" s="67"/>
      <c r="N653" s="839"/>
    </row>
    <row r="654" spans="2:14" ht="14.25">
      <c r="B654" s="47"/>
      <c r="C654" s="333"/>
      <c r="D654" s="333"/>
      <c r="E654" s="333"/>
      <c r="F654" s="333"/>
      <c r="G654" s="333"/>
      <c r="H654" s="333"/>
      <c r="I654" s="43"/>
      <c r="J654" s="43"/>
      <c r="K654" s="43"/>
      <c r="L654" s="43"/>
      <c r="M654" s="67"/>
      <c r="N654" s="839"/>
    </row>
    <row r="655" spans="2:14" ht="15">
      <c r="B655" s="17">
        <f t="shared" si="85" ref="B655:B686">B654+1</f>
        <v>1</v>
      </c>
      <c r="C655" s="8" t="s">
        <v>631</v>
      </c>
      <c r="D655" s="8"/>
      <c r="E655" s="20"/>
      <c r="F655" s="8"/>
      <c r="G655" s="8"/>
      <c r="H655" s="8"/>
      <c r="I655" s="8"/>
      <c r="J655" s="8"/>
      <c r="K655" s="8"/>
      <c r="L655" s="8"/>
      <c r="M655" s="67"/>
      <c r="N655" s="839">
        <f t="shared" si="83"/>
        <v>0</v>
      </c>
    </row>
    <row r="656" spans="2:14" ht="15">
      <c r="B656" s="17">
        <f t="shared" si="85"/>
        <v>2</v>
      </c>
      <c r="C656" s="8"/>
      <c r="D656" s="366" t="s">
        <v>626</v>
      </c>
      <c r="E656" s="20" t="s">
        <v>160</v>
      </c>
      <c r="F656" s="8"/>
      <c r="G656" s="8"/>
      <c r="H656" s="8"/>
      <c r="I656" s="8"/>
      <c r="J656" s="8"/>
      <c r="K656" s="8"/>
      <c r="L656" s="8"/>
      <c r="M656" s="67"/>
      <c r="N656" s="839">
        <f t="shared" si="83"/>
        <v>0</v>
      </c>
    </row>
    <row r="657" spans="2:14" s="386" customFormat="1" ht="14.25">
      <c r="B657" s="17">
        <f t="shared" si="85"/>
        <v>3</v>
      </c>
      <c r="C657" s="1" t="s">
        <v>191</v>
      </c>
      <c r="D657" s="28" t="s">
        <v>162</v>
      </c>
      <c r="E657" s="47"/>
      <c r="F657" s="1087">
        <f>'WP II-I-1.1'!F210</f>
        <v>-2246.0900000000001</v>
      </c>
      <c r="G657" s="1089">
        <f>'WP II-I-1.1'!G210</f>
        <v>7329102.46</v>
      </c>
      <c r="H657" s="1089">
        <f>'WP II-I-1.1'!H210</f>
        <v>580269.81000000006</v>
      </c>
      <c r="I657" s="1090">
        <f>'WP II-I-1.1'!I210</f>
        <v>18446.310000000001</v>
      </c>
      <c r="J657" s="290">
        <f t="shared" si="86" ref="J657:J667">SUM(F657:I657)</f>
        <v>7925572.4899999993</v>
      </c>
      <c r="K657" s="290"/>
      <c r="L657" s="18">
        <f t="shared" si="87" ref="L657:L713">SUM(G657:I657)</f>
        <v>7927818.5799999991</v>
      </c>
      <c r="M657" s="47"/>
      <c r="N657" s="839">
        <f t="shared" si="83"/>
        <v>1.4915713109076023E-10</v>
      </c>
    </row>
    <row r="658" spans="2:14" s="386" customFormat="1" ht="14.25">
      <c r="B658" s="17">
        <f t="shared" si="85"/>
        <v>4</v>
      </c>
      <c r="C658" s="1" t="s">
        <v>192</v>
      </c>
      <c r="D658" s="1" t="s">
        <v>193</v>
      </c>
      <c r="E658" s="19"/>
      <c r="F658" s="1081">
        <f>'WP II-I-1.1'!F211</f>
        <v>0</v>
      </c>
      <c r="G658" s="893">
        <f>'WP II-I-1.1'!G211</f>
        <v>9635578.4299999997</v>
      </c>
      <c r="H658" s="893">
        <f>'WP II-I-1.1'!H211</f>
        <v>0</v>
      </c>
      <c r="I658" s="1082">
        <f>'WP II-I-1.1'!I211</f>
        <v>0</v>
      </c>
      <c r="J658" s="290">
        <f t="shared" si="86"/>
        <v>9635578.4299999997</v>
      </c>
      <c r="K658" s="290"/>
      <c r="L658" s="18">
        <f t="shared" si="87"/>
        <v>9635578.4299999997</v>
      </c>
      <c r="M658" s="47"/>
      <c r="N658" s="839">
        <f t="shared" si="83"/>
        <v>0</v>
      </c>
    </row>
    <row r="659" spans="2:14" s="386" customFormat="1" ht="14.25">
      <c r="B659" s="17">
        <f t="shared" si="85"/>
        <v>5</v>
      </c>
      <c r="C659" s="1" t="s">
        <v>194</v>
      </c>
      <c r="D659" s="1" t="s">
        <v>166</v>
      </c>
      <c r="E659" s="19"/>
      <c r="F659" s="1081">
        <f>'WP II-I-1.1'!F212</f>
        <v>199381.69</v>
      </c>
      <c r="G659" s="893">
        <f>'WP II-I-1.1'!G212</f>
        <v>3847591.3799999999</v>
      </c>
      <c r="H659" s="893">
        <f>'WP II-I-1.1'!H212</f>
        <v>0</v>
      </c>
      <c r="I659" s="1082">
        <f>'WP II-I-1.1'!I212</f>
        <v>0</v>
      </c>
      <c r="J659" s="290">
        <f t="shared" si="86"/>
        <v>4046973.0699999998</v>
      </c>
      <c r="K659" s="290"/>
      <c r="L659" s="18">
        <f t="shared" si="87"/>
        <v>3847591.3799999999</v>
      </c>
      <c r="M659" s="47"/>
      <c r="N659" s="839">
        <f t="shared" si="83"/>
        <v>0</v>
      </c>
    </row>
    <row r="660" spans="2:14" s="386" customFormat="1" ht="14.25">
      <c r="B660" s="17">
        <f t="shared" si="85"/>
        <v>6</v>
      </c>
      <c r="C660" s="1" t="s">
        <v>195</v>
      </c>
      <c r="D660" s="1" t="s">
        <v>168</v>
      </c>
      <c r="E660" s="19"/>
      <c r="F660" s="1081">
        <f>'WP II-I-1.1'!F213</f>
        <v>202.09999999999999</v>
      </c>
      <c r="G660" s="893">
        <f>'WP II-I-1.1'!G213</f>
        <v>13740291.68</v>
      </c>
      <c r="H660" s="893">
        <f>'WP II-I-1.1'!H213</f>
        <v>92030.289999999994</v>
      </c>
      <c r="I660" s="1082">
        <f>'WP II-I-1.1'!I213</f>
        <v>0</v>
      </c>
      <c r="J660" s="290">
        <f t="shared" si="86"/>
        <v>13832524.069999998</v>
      </c>
      <c r="K660" s="290"/>
      <c r="L660" s="18">
        <f t="shared" si="87"/>
        <v>13832321.969999999</v>
      </c>
      <c r="M660" s="47"/>
      <c r="N660" s="839">
        <f t="shared" si="83"/>
        <v>-3.7252334550430533E-10</v>
      </c>
    </row>
    <row r="661" spans="2:14" s="386" customFormat="1" ht="14.25">
      <c r="B661" s="17">
        <f t="shared" si="85"/>
        <v>7</v>
      </c>
      <c r="C661" s="1" t="s">
        <v>196</v>
      </c>
      <c r="D661" s="1" t="s">
        <v>170</v>
      </c>
      <c r="E661" s="19"/>
      <c r="F661" s="1081">
        <f>'WP II-I-1.1'!F214</f>
        <v>0</v>
      </c>
      <c r="G661" s="893">
        <f>'WP II-I-1.1'!G214</f>
        <v>10071135.370000001</v>
      </c>
      <c r="H661" s="893">
        <f>'WP II-I-1.1'!H214</f>
        <v>7711.7299999999996</v>
      </c>
      <c r="I661" s="1082">
        <f>'WP II-I-1.1'!I214</f>
        <v>0</v>
      </c>
      <c r="J661" s="290">
        <f t="shared" si="86"/>
        <v>10078847.100000002</v>
      </c>
      <c r="K661" s="290"/>
      <c r="L661" s="18">
        <f t="shared" si="87"/>
        <v>10078847.100000002</v>
      </c>
      <c r="M661" s="47"/>
      <c r="N661" s="839">
        <f t="shared" si="83"/>
        <v>0</v>
      </c>
    </row>
    <row r="662" spans="2:14" s="386" customFormat="1" ht="14.25">
      <c r="B662" s="17">
        <f t="shared" si="85"/>
        <v>8</v>
      </c>
      <c r="C662" s="1" t="s">
        <v>197</v>
      </c>
      <c r="D662" s="1" t="s">
        <v>198</v>
      </c>
      <c r="E662" s="19"/>
      <c r="F662" s="1081">
        <f>'WP II-I-1.1'!F215</f>
        <v>0</v>
      </c>
      <c r="G662" s="893">
        <f>'WP II-I-1.1'!G215</f>
        <v>826.62</v>
      </c>
      <c r="H662" s="893">
        <f>'WP II-I-1.1'!H215</f>
        <v>0</v>
      </c>
      <c r="I662" s="1082">
        <f>'WP II-I-1.1'!I215</f>
        <v>0</v>
      </c>
      <c r="J662" s="290">
        <f t="shared" si="86"/>
        <v>826.62</v>
      </c>
      <c r="K662" s="290"/>
      <c r="L662" s="18">
        <f t="shared" si="87"/>
        <v>826.62</v>
      </c>
      <c r="M662" s="47"/>
      <c r="N662" s="839">
        <f t="shared" si="83"/>
        <v>0</v>
      </c>
    </row>
    <row r="663" spans="2:14" s="386" customFormat="1" ht="14.25">
      <c r="B663" s="17">
        <f t="shared" si="85"/>
        <v>9</v>
      </c>
      <c r="C663" s="1" t="s">
        <v>199</v>
      </c>
      <c r="D663" s="1" t="s">
        <v>200</v>
      </c>
      <c r="E663" s="19"/>
      <c r="F663" s="1081">
        <f>'WP II-I-1.1'!F216</f>
        <v>0</v>
      </c>
      <c r="G663" s="893">
        <f>'WP II-I-1.1'!G216</f>
        <v>0</v>
      </c>
      <c r="H663" s="893">
        <f>'WP II-I-1.1'!H216</f>
        <v>28413340.77</v>
      </c>
      <c r="I663" s="1082">
        <f>'WP II-I-1.1'!I216</f>
        <v>0</v>
      </c>
      <c r="J663" s="290">
        <f t="shared" si="86"/>
        <v>28413340.77</v>
      </c>
      <c r="K663" s="290"/>
      <c r="L663" s="18">
        <f t="shared" si="87"/>
        <v>28413340.77</v>
      </c>
      <c r="M663" s="47"/>
      <c r="N663" s="839">
        <f t="shared" si="83"/>
        <v>0</v>
      </c>
    </row>
    <row r="664" spans="2:14" s="386" customFormat="1" ht="14.25">
      <c r="B664" s="17">
        <f t="shared" si="85"/>
        <v>10</v>
      </c>
      <c r="C664" s="1" t="s">
        <v>201</v>
      </c>
      <c r="D664" s="1" t="s">
        <v>202</v>
      </c>
      <c r="E664" s="19"/>
      <c r="F664" s="1081">
        <f>'WP II-I-1.1'!F217</f>
        <v>0</v>
      </c>
      <c r="G664" s="893">
        <f>'WP II-I-1.1'!G217</f>
        <v>1638488.73</v>
      </c>
      <c r="H664" s="893">
        <f>'WP II-I-1.1'!H217</f>
        <v>1344.8599999999999</v>
      </c>
      <c r="I664" s="1082">
        <f>'WP II-I-1.1'!I217</f>
        <v>0</v>
      </c>
      <c r="J664" s="290">
        <f t="shared" si="86"/>
        <v>1639833.5900000001</v>
      </c>
      <c r="K664" s="290"/>
      <c r="L664" s="18">
        <f t="shared" si="87"/>
        <v>1639833.5900000001</v>
      </c>
      <c r="M664" s="47"/>
      <c r="N664" s="839">
        <f t="shared" si="83"/>
        <v>0</v>
      </c>
    </row>
    <row r="665" spans="2:14" s="386" customFormat="1" ht="14.25">
      <c r="B665" s="17">
        <f t="shared" si="85"/>
        <v>11</v>
      </c>
      <c r="C665" s="1" t="s">
        <v>203</v>
      </c>
      <c r="D665" s="1" t="s">
        <v>204</v>
      </c>
      <c r="E665" s="19"/>
      <c r="F665" s="1081">
        <f>'WP II-I-1.1'!F218</f>
        <v>210598.25</v>
      </c>
      <c r="G665" s="893">
        <f>'WP II-I-1.1'!G218</f>
        <v>100499344.2</v>
      </c>
      <c r="H665" s="893">
        <f>'WP II-I-1.1'!H218</f>
        <v>3498684.9199999999</v>
      </c>
      <c r="I665" s="1082">
        <f>'WP II-I-1.1'!I218</f>
        <v>324704.41999999998</v>
      </c>
      <c r="J665" s="290">
        <f t="shared" si="86"/>
        <v>104533331.79000001</v>
      </c>
      <c r="K665" s="290"/>
      <c r="L665" s="18">
        <f t="shared" si="87"/>
        <v>104322733.54000001</v>
      </c>
      <c r="M665" s="47"/>
      <c r="N665" s="839">
        <f t="shared" si="83"/>
        <v>0</v>
      </c>
    </row>
    <row r="666" spans="2:14" s="386" customFormat="1" ht="16.5">
      <c r="B666" s="17">
        <f t="shared" si="85"/>
        <v>12</v>
      </c>
      <c r="C666" s="1" t="s">
        <v>205</v>
      </c>
      <c r="D666" s="1" t="s">
        <v>206</v>
      </c>
      <c r="E666" s="19"/>
      <c r="F666" s="1083">
        <f>'WP II-I-1.1'!F219</f>
        <v>0</v>
      </c>
      <c r="G666" s="1084">
        <f>'WP II-I-1.1'!G219</f>
        <v>731384.02000000002</v>
      </c>
      <c r="H666" s="1084">
        <f>'WP II-I-1.1'!H219</f>
        <v>0</v>
      </c>
      <c r="I666" s="1085">
        <f>'WP II-I-1.1'!I219</f>
        <v>0</v>
      </c>
      <c r="J666" s="302">
        <f t="shared" si="86"/>
        <v>731384.02000000002</v>
      </c>
      <c r="K666" s="302"/>
      <c r="L666" s="296">
        <f t="shared" si="87"/>
        <v>731384.02000000002</v>
      </c>
      <c r="M666" s="47"/>
      <c r="N666" s="839">
        <f t="shared" si="83"/>
        <v>0</v>
      </c>
    </row>
    <row r="667" spans="2:14" ht="15">
      <c r="B667" s="17">
        <f t="shared" si="85"/>
        <v>13</v>
      </c>
      <c r="C667" s="8"/>
      <c r="D667" s="297" t="s">
        <v>632</v>
      </c>
      <c r="E667" s="20"/>
      <c r="F667" s="22">
        <f>SUM(F657:F666)</f>
        <v>407935.95000000001</v>
      </c>
      <c r="G667" s="22">
        <f>SUM(G657:G666)</f>
        <v>147493742.89000002</v>
      </c>
      <c r="H667" s="22">
        <f>SUM(H657:H666)</f>
        <v>32593382.380000003</v>
      </c>
      <c r="I667" s="22">
        <f>SUM(I657:I666)</f>
        <v>343150.72999999998</v>
      </c>
      <c r="J667" s="299">
        <f t="shared" si="86"/>
        <v>180838211.94999999</v>
      </c>
      <c r="K667" s="300"/>
      <c r="L667" s="22">
        <f t="shared" si="87"/>
        <v>180430276</v>
      </c>
      <c r="M667" s="67"/>
      <c r="N667" s="839">
        <f t="shared" si="83"/>
        <v>-1.1932570487260819E-08</v>
      </c>
    </row>
    <row r="668" spans="2:14" ht="15">
      <c r="B668" s="17">
        <f t="shared" si="85"/>
        <v>14</v>
      </c>
      <c r="C668" s="8"/>
      <c r="D668" s="297"/>
      <c r="E668" s="20"/>
      <c r="F668" s="22"/>
      <c r="G668" s="22"/>
      <c r="H668" s="22"/>
      <c r="I668" s="22"/>
      <c r="J668" s="299"/>
      <c r="K668" s="300"/>
      <c r="L668" s="22">
        <f t="shared" si="87"/>
        <v>0</v>
      </c>
      <c r="M668" s="67"/>
      <c r="N668" s="839">
        <f t="shared" si="83"/>
        <v>0</v>
      </c>
    </row>
    <row r="669" spans="2:14" ht="15">
      <c r="B669" s="17">
        <f t="shared" si="85"/>
        <v>15</v>
      </c>
      <c r="C669" s="8"/>
      <c r="D669" s="297" t="s">
        <v>633</v>
      </c>
      <c r="E669" s="20"/>
      <c r="F669" s="22">
        <f>SUM(F658:F664)+F666</f>
        <v>199583.79000000001</v>
      </c>
      <c r="G669" s="22">
        <f>SUM(G658:G664)+G666</f>
        <v>39665296.229999997</v>
      </c>
      <c r="H669" s="22">
        <f>SUM(H658:H664)+H666</f>
        <v>28514427.649999999</v>
      </c>
      <c r="I669" s="22">
        <f>SUM(I658:I664)+I666</f>
        <v>0</v>
      </c>
      <c r="J669" s="299">
        <f>SUM(F669:I669)</f>
        <v>68379307.669999987</v>
      </c>
      <c r="K669" s="300"/>
      <c r="L669" s="22">
        <f t="shared" si="87"/>
        <v>68179723.879999995</v>
      </c>
      <c r="M669" s="67"/>
      <c r="N669" s="839">
        <f t="shared" si="83"/>
        <v>-8.3527993410825729E-09</v>
      </c>
    </row>
    <row r="670" spans="2:14" ht="14.25">
      <c r="B670" s="17">
        <f t="shared" si="85"/>
        <v>16</v>
      </c>
      <c r="C670" s="1"/>
      <c r="D670" s="30"/>
      <c r="E670" s="17"/>
      <c r="F670" s="19"/>
      <c r="G670" s="19"/>
      <c r="H670" s="19"/>
      <c r="I670" s="19"/>
      <c r="J670" s="1"/>
      <c r="K670" s="1"/>
      <c r="L670" s="19">
        <f t="shared" si="87"/>
        <v>0</v>
      </c>
      <c r="M670" s="67"/>
      <c r="N670" s="839">
        <f t="shared" si="83"/>
        <v>0</v>
      </c>
    </row>
    <row r="671" spans="2:14" ht="15">
      <c r="B671" s="17">
        <f t="shared" si="85"/>
        <v>17</v>
      </c>
      <c r="C671" s="366"/>
      <c r="D671" s="8"/>
      <c r="E671" s="20"/>
      <c r="F671" s="22"/>
      <c r="G671" s="22"/>
      <c r="H671" s="22"/>
      <c r="I671" s="22"/>
      <c r="J671" s="8"/>
      <c r="K671" s="8"/>
      <c r="L671" s="22">
        <f t="shared" si="87"/>
        <v>0</v>
      </c>
      <c r="M671" s="67"/>
      <c r="N671" s="839">
        <f t="shared" si="83"/>
        <v>0</v>
      </c>
    </row>
    <row r="672" spans="2:14" ht="15">
      <c r="B672" s="17">
        <f t="shared" si="85"/>
        <v>18</v>
      </c>
      <c r="C672" s="8"/>
      <c r="D672" s="366" t="s">
        <v>628</v>
      </c>
      <c r="E672" s="20" t="s">
        <v>160</v>
      </c>
      <c r="F672" s="22"/>
      <c r="G672" s="22"/>
      <c r="H672" s="22"/>
      <c r="I672" s="22"/>
      <c r="J672" s="8"/>
      <c r="K672" s="8"/>
      <c r="L672" s="22">
        <f t="shared" si="87"/>
        <v>0</v>
      </c>
      <c r="M672" s="67"/>
      <c r="N672" s="839">
        <f t="shared" si="83"/>
        <v>0</v>
      </c>
    </row>
    <row r="673" spans="2:14" s="386" customFormat="1" ht="14.25">
      <c r="B673" s="17">
        <f t="shared" si="85"/>
        <v>19</v>
      </c>
      <c r="C673" s="1" t="s">
        <v>208</v>
      </c>
      <c r="D673" s="1" t="s">
        <v>179</v>
      </c>
      <c r="E673" s="17"/>
      <c r="F673" s="1087">
        <f>'WP II-I-1.1'!F221</f>
        <v>18143.079999999998</v>
      </c>
      <c r="G673" s="1089">
        <f>'WP II-I-1.1'!G221</f>
        <v>2100731.52</v>
      </c>
      <c r="H673" s="1089">
        <f>'WP II-I-1.1'!H221</f>
        <v>732702.13</v>
      </c>
      <c r="I673" s="1090">
        <f>'WP II-I-1.1'!I221</f>
        <v>0</v>
      </c>
      <c r="J673" s="290">
        <f t="shared" si="88" ref="J673:J682">SUM(F673:I673)</f>
        <v>2851576.73</v>
      </c>
      <c r="K673" s="290"/>
      <c r="L673" s="18">
        <f t="shared" si="87"/>
        <v>2833433.6499999999</v>
      </c>
      <c r="M673" s="47"/>
      <c r="N673" s="839">
        <f t="shared" si="83"/>
        <v>7.6397554948925972E-11</v>
      </c>
    </row>
    <row r="674" spans="2:14" s="386" customFormat="1" ht="14.25">
      <c r="B674" s="17">
        <f t="shared" si="85"/>
        <v>20</v>
      </c>
      <c r="C674" s="1" t="s">
        <v>209</v>
      </c>
      <c r="D674" s="31" t="s">
        <v>181</v>
      </c>
      <c r="E674" s="17"/>
      <c r="F674" s="1081">
        <f>'WP II-I-1.1'!F222</f>
        <v>287.17000000000002</v>
      </c>
      <c r="G674" s="893">
        <f>'WP II-I-1.1'!G222</f>
        <v>5772.4399999999996</v>
      </c>
      <c r="H674" s="893">
        <f>'WP II-I-1.1'!H222</f>
        <v>0</v>
      </c>
      <c r="I674" s="1082">
        <f>'WP II-I-1.1'!I222</f>
        <v>0</v>
      </c>
      <c r="J674" s="290">
        <f t="shared" si="88"/>
        <v>6059.6099999999997</v>
      </c>
      <c r="K674" s="290"/>
      <c r="L674" s="18">
        <f t="shared" si="87"/>
        <v>5772.4399999999996</v>
      </c>
      <c r="M674" s="47"/>
      <c r="N674" s="839">
        <f t="shared" si="83"/>
        <v>0</v>
      </c>
    </row>
    <row r="675" spans="2:14" s="386" customFormat="1" ht="14.25">
      <c r="B675" s="17">
        <f t="shared" si="85"/>
        <v>21</v>
      </c>
      <c r="C675" s="1" t="s">
        <v>210</v>
      </c>
      <c r="D675" s="1" t="s">
        <v>183</v>
      </c>
      <c r="E675" s="17"/>
      <c r="F675" s="1081">
        <f>'WP II-I-1.1'!F223</f>
        <v>406239.72000000003</v>
      </c>
      <c r="G675" s="893">
        <f>'WP II-I-1.1'!G223</f>
        <v>9278485.1099999994</v>
      </c>
      <c r="H675" s="893">
        <f>'WP II-I-1.1'!H223</f>
        <v>0</v>
      </c>
      <c r="I675" s="1082">
        <f>'WP II-I-1.1'!I223</f>
        <v>0</v>
      </c>
      <c r="J675" s="290">
        <f t="shared" si="88"/>
        <v>9684724.8300000001</v>
      </c>
      <c r="K675" s="290"/>
      <c r="L675" s="18">
        <f t="shared" si="87"/>
        <v>9278485.1099999994</v>
      </c>
      <c r="M675" s="47"/>
      <c r="N675" s="839">
        <f t="shared" si="83"/>
        <v>6.4028427004814148E-10</v>
      </c>
    </row>
    <row r="676" spans="2:14" s="386" customFormat="1" ht="14.25">
      <c r="B676" s="17">
        <f t="shared" si="85"/>
        <v>22</v>
      </c>
      <c r="C676" s="1" t="s">
        <v>211</v>
      </c>
      <c r="D676" s="31" t="s">
        <v>185</v>
      </c>
      <c r="E676" s="17"/>
      <c r="F676" s="1081">
        <f>'WP II-I-1.1'!F224</f>
        <v>1417.54</v>
      </c>
      <c r="G676" s="893">
        <f>'WP II-I-1.1'!G224</f>
        <v>111767839.16000001</v>
      </c>
      <c r="H676" s="893">
        <f>'WP II-I-1.1'!H224</f>
        <v>174493.46000000002</v>
      </c>
      <c r="I676" s="1082">
        <f>'WP II-I-1.1'!I224</f>
        <v>0</v>
      </c>
      <c r="J676" s="290">
        <f t="shared" si="88"/>
        <v>111943750.16000001</v>
      </c>
      <c r="K676" s="290"/>
      <c r="L676" s="18">
        <f t="shared" si="87"/>
        <v>111942332.62000001</v>
      </c>
      <c r="M676" s="47"/>
      <c r="N676" s="839">
        <f t="shared" si="83"/>
        <v>6.5565473050810397E-09</v>
      </c>
    </row>
    <row r="677" spans="2:14" s="386" customFormat="1" ht="14.25">
      <c r="B677" s="17">
        <f t="shared" si="85"/>
        <v>23</v>
      </c>
      <c r="C677" s="1" t="s">
        <v>212</v>
      </c>
      <c r="D677" s="1" t="s">
        <v>187</v>
      </c>
      <c r="E677" s="17"/>
      <c r="F677" s="1081">
        <f>'WP II-I-1.1'!F225</f>
        <v>0</v>
      </c>
      <c r="G677" s="893">
        <f>'WP II-I-1.1'!G225</f>
        <v>26516321.099999998</v>
      </c>
      <c r="H677" s="893">
        <f>'WP II-I-1.1'!H225</f>
        <v>38016.459999999999</v>
      </c>
      <c r="I677" s="1082">
        <f>'WP II-I-1.1'!I225</f>
        <v>0</v>
      </c>
      <c r="J677" s="290">
        <f t="shared" si="88"/>
        <v>26554337.559999999</v>
      </c>
      <c r="K677" s="290"/>
      <c r="L677" s="18">
        <f t="shared" si="87"/>
        <v>26554337.559999999</v>
      </c>
      <c r="M677" s="47"/>
      <c r="N677" s="839">
        <f t="shared" si="83"/>
        <v>0</v>
      </c>
    </row>
    <row r="678" spans="2:14" s="386" customFormat="1" ht="14.25">
      <c r="B678" s="17">
        <f t="shared" si="85"/>
        <v>24</v>
      </c>
      <c r="C678" s="1" t="s">
        <v>213</v>
      </c>
      <c r="D678" s="1" t="s">
        <v>214</v>
      </c>
      <c r="E678" s="17"/>
      <c r="F678" s="1081">
        <f>'WP II-I-1.1'!F226</f>
        <v>0</v>
      </c>
      <c r="G678" s="893">
        <f>'WP II-I-1.1'!G226</f>
        <v>5010366.2699999996</v>
      </c>
      <c r="H678" s="893">
        <f>'WP II-I-1.1'!H226</f>
        <v>229.10999999999999</v>
      </c>
      <c r="I678" s="1082">
        <f>'WP II-I-1.1'!I226</f>
        <v>0</v>
      </c>
      <c r="J678" s="290">
        <f t="shared" si="88"/>
        <v>5010595.3799999999</v>
      </c>
      <c r="K678" s="290"/>
      <c r="L678" s="18">
        <f t="shared" si="87"/>
        <v>5010595.3799999999</v>
      </c>
      <c r="M678" s="47"/>
      <c r="N678" s="839">
        <f t="shared" si="83"/>
        <v>0</v>
      </c>
    </row>
    <row r="679" spans="2:14" s="386" customFormat="1" ht="14.25">
      <c r="B679" s="17">
        <f t="shared" si="85"/>
        <v>25</v>
      </c>
      <c r="C679" s="1" t="s">
        <v>215</v>
      </c>
      <c r="D679" s="1" t="s">
        <v>216</v>
      </c>
      <c r="E679" s="17"/>
      <c r="F679" s="1081">
        <f>'WP II-I-1.1'!F227</f>
        <v>0</v>
      </c>
      <c r="G679" s="893">
        <f>'WP II-I-1.1'!G227</f>
        <v>9632071.0899999999</v>
      </c>
      <c r="H679" s="893">
        <f>'WP II-I-1.1'!H227</f>
        <v>16033.25</v>
      </c>
      <c r="I679" s="1082">
        <f>'WP II-I-1.1'!I227</f>
        <v>0</v>
      </c>
      <c r="J679" s="290">
        <f t="shared" si="88"/>
        <v>9648104.3399999999</v>
      </c>
      <c r="K679" s="290"/>
      <c r="L679" s="18">
        <f t="shared" si="87"/>
        <v>9648104.3399999999</v>
      </c>
      <c r="M679" s="47"/>
      <c r="N679" s="839">
        <f t="shared" si="83"/>
        <v>0</v>
      </c>
    </row>
    <row r="680" spans="2:14" s="386" customFormat="1" ht="14.25">
      <c r="B680" s="17">
        <f t="shared" si="85"/>
        <v>26</v>
      </c>
      <c r="C680" s="1" t="s">
        <v>217</v>
      </c>
      <c r="D680" s="1" t="s">
        <v>218</v>
      </c>
      <c r="E680" s="17"/>
      <c r="F680" s="1081">
        <f>'WP II-I-1.1'!F228</f>
        <v>0</v>
      </c>
      <c r="G680" s="893">
        <f>'WP II-I-1.1'!G228</f>
        <v>-13076.33</v>
      </c>
      <c r="H680" s="893">
        <f>'WP II-I-1.1'!H228</f>
        <v>16640054.180000002</v>
      </c>
      <c r="I680" s="1082">
        <f>'WP II-I-1.1'!I228</f>
        <v>0</v>
      </c>
      <c r="J680" s="290">
        <f t="shared" si="88"/>
        <v>16626977.850000002</v>
      </c>
      <c r="K680" s="290"/>
      <c r="L680" s="18">
        <f t="shared" si="87"/>
        <v>16626977.850000002</v>
      </c>
      <c r="M680" s="47"/>
      <c r="N680" s="839">
        <f t="shared" si="83"/>
        <v>0</v>
      </c>
    </row>
    <row r="681" spans="2:14" s="386" customFormat="1" ht="16.5">
      <c r="B681" s="17">
        <f t="shared" si="85"/>
        <v>27</v>
      </c>
      <c r="C681" s="1" t="s">
        <v>219</v>
      </c>
      <c r="D681" s="1" t="s">
        <v>220</v>
      </c>
      <c r="E681" s="17"/>
      <c r="F681" s="1083">
        <f>'WP II-I-1.1'!F229</f>
        <v>0</v>
      </c>
      <c r="G681" s="1084">
        <f>'WP II-I-1.1'!G229</f>
        <v>2165091.9399999999</v>
      </c>
      <c r="H681" s="1084">
        <f>'WP II-I-1.1'!H229</f>
        <v>38103.449999999997</v>
      </c>
      <c r="I681" s="1085">
        <f>'WP II-I-1.1'!I229</f>
        <v>0</v>
      </c>
      <c r="J681" s="302">
        <f t="shared" si="88"/>
        <v>2203195.3900000001</v>
      </c>
      <c r="K681" s="302"/>
      <c r="L681" s="296">
        <f t="shared" si="87"/>
        <v>2203195.3900000001</v>
      </c>
      <c r="M681" s="47"/>
      <c r="N681" s="839">
        <f t="shared" si="89" ref="N681:N686">J681-L681-F681</f>
        <v>0</v>
      </c>
    </row>
    <row r="682" spans="2:14" ht="15">
      <c r="B682" s="17">
        <f t="shared" si="85"/>
        <v>28</v>
      </c>
      <c r="C682" s="8"/>
      <c r="D682" s="297" t="s">
        <v>634</v>
      </c>
      <c r="E682" s="20"/>
      <c r="F682" s="22">
        <f>SUM(F673:F681)</f>
        <v>426087.51000000001</v>
      </c>
      <c r="G682" s="22">
        <f>SUM(G673:G681)</f>
        <v>166463602.30000001</v>
      </c>
      <c r="H682" s="22">
        <f>SUM(H673:H681)</f>
        <v>17639632.039999999</v>
      </c>
      <c r="I682" s="22">
        <f>SUM(I673:I681)</f>
        <v>0</v>
      </c>
      <c r="J682" s="299">
        <f t="shared" si="88"/>
        <v>184529321.84999999</v>
      </c>
      <c r="K682" s="300"/>
      <c r="L682" s="22">
        <f t="shared" si="87"/>
        <v>184103234.34</v>
      </c>
      <c r="M682" s="67"/>
      <c r="N682" s="839">
        <f t="shared" si="89"/>
        <v>-9.5460563898086548E-09</v>
      </c>
    </row>
    <row r="683" spans="2:14" ht="14.25">
      <c r="B683" s="17">
        <f t="shared" si="85"/>
        <v>29</v>
      </c>
      <c r="C683" s="1"/>
      <c r="D683" s="1"/>
      <c r="E683" s="17"/>
      <c r="F683" s="19"/>
      <c r="G683" s="19"/>
      <c r="H683" s="19"/>
      <c r="I683" s="19"/>
      <c r="J683" s="1"/>
      <c r="K683" s="1"/>
      <c r="L683" s="19">
        <f t="shared" si="87"/>
        <v>0</v>
      </c>
      <c r="M683" s="67"/>
      <c r="N683" s="839">
        <f t="shared" si="89"/>
        <v>0</v>
      </c>
    </row>
    <row r="684" spans="2:14" ht="15">
      <c r="B684" s="17">
        <f t="shared" si="85"/>
        <v>30</v>
      </c>
      <c r="C684" s="8"/>
      <c r="D684" s="297" t="s">
        <v>635</v>
      </c>
      <c r="E684" s="20"/>
      <c r="F684" s="22">
        <f>SUM(F674:F680)</f>
        <v>407944.42999999999</v>
      </c>
      <c r="G684" s="22">
        <f>SUM(G674:G680)</f>
        <v>162197778.84</v>
      </c>
      <c r="H684" s="22">
        <f>SUM(H674:H680)</f>
        <v>16868826.460000001</v>
      </c>
      <c r="I684" s="22">
        <f>SUM(I674:I680)</f>
        <v>0</v>
      </c>
      <c r="J684" s="299">
        <f>SUM(F684:I684)</f>
        <v>179474549.73000002</v>
      </c>
      <c r="K684" s="300"/>
      <c r="L684" s="22">
        <f t="shared" si="87"/>
        <v>179066605.30000001</v>
      </c>
      <c r="M684" s="67"/>
      <c r="N684" s="839">
        <f t="shared" si="89"/>
        <v>7.1595422923564911E-09</v>
      </c>
    </row>
    <row r="685" spans="2:14" ht="15" thickBot="1">
      <c r="B685" s="17">
        <f t="shared" si="85"/>
        <v>31</v>
      </c>
      <c r="C685" s="1"/>
      <c r="D685" s="1"/>
      <c r="E685" s="17"/>
      <c r="F685" s="19"/>
      <c r="G685" s="19"/>
      <c r="H685" s="19"/>
      <c r="I685" s="19"/>
      <c r="J685" s="1"/>
      <c r="K685" s="1"/>
      <c r="L685" s="19">
        <f t="shared" si="87"/>
        <v>0</v>
      </c>
      <c r="M685" s="67"/>
      <c r="N685" s="839">
        <f t="shared" si="89"/>
        <v>0</v>
      </c>
    </row>
    <row r="686" spans="2:14" ht="15.75" thickBot="1">
      <c r="B686" s="17">
        <f t="shared" si="85"/>
        <v>32</v>
      </c>
      <c r="C686" s="284" t="s">
        <v>636</v>
      </c>
      <c r="D686" s="285"/>
      <c r="E686" s="285" t="s">
        <v>160</v>
      </c>
      <c r="F686" s="903">
        <f>+F682+F667</f>
        <v>834023.45999999996</v>
      </c>
      <c r="G686" s="903">
        <f>+G682+G667</f>
        <v>313957345.19000006</v>
      </c>
      <c r="H686" s="903">
        <f>+H682+H667</f>
        <v>50233014.420000002</v>
      </c>
      <c r="I686" s="903">
        <f>+I682+I667</f>
        <v>343150.72999999998</v>
      </c>
      <c r="J686" s="380">
        <f>SUM(F686:I686)</f>
        <v>365367533.80000007</v>
      </c>
      <c r="K686" s="252"/>
      <c r="L686" s="896">
        <f t="shared" si="87"/>
        <v>364533510.34000009</v>
      </c>
      <c r="M686" s="67"/>
      <c r="N686" s="839">
        <f t="shared" si="89"/>
        <v>-2.1420419216156006E-08</v>
      </c>
    </row>
    <row r="687" spans="2:13" ht="15">
      <c r="B687" s="17"/>
      <c r="C687" s="1"/>
      <c r="D687" s="8"/>
      <c r="E687" s="20"/>
      <c r="F687" s="22"/>
      <c r="G687" s="22"/>
      <c r="H687" s="22"/>
      <c r="I687" s="1"/>
      <c r="J687" s="1"/>
      <c r="K687" s="1"/>
      <c r="L687" s="1"/>
      <c r="M687" s="67"/>
    </row>
    <row r="688" spans="2:13" ht="15.75" thickBot="1">
      <c r="B688" s="874"/>
      <c r="C688" s="874"/>
      <c r="D688" s="874"/>
      <c r="E688" s="874"/>
      <c r="F688" s="874"/>
      <c r="G688" s="874"/>
      <c r="H688" s="874"/>
      <c r="I688" s="874"/>
      <c r="J688" s="874"/>
      <c r="K688" s="874"/>
      <c r="L688" s="874"/>
      <c r="M688" s="134" t="str">
        <f>$M$2</f>
        <v xml:space="preserve"> </v>
      </c>
    </row>
    <row r="689" spans="2:12" ht="15">
      <c r="B689" s="920" t="str">
        <f>$B$4</f>
        <v>2022 RATE CASE</v>
      </c>
      <c r="C689" s="926"/>
      <c r="D689" s="927"/>
      <c r="E689" s="874"/>
      <c r="F689" s="874"/>
      <c r="G689" s="874"/>
      <c r="H689" s="874"/>
      <c r="I689" s="874"/>
      <c r="J689" s="874"/>
      <c r="K689" s="874"/>
      <c r="L689" s="874"/>
    </row>
    <row r="690" spans="2:13" ht="15">
      <c r="B690" s="917" t="str">
        <f>$B$5</f>
        <v>ONCOR ELECTRIC DELIVERY COMPANY LLC</v>
      </c>
      <c r="C690" s="369"/>
      <c r="D690" s="928"/>
      <c r="E690" s="874"/>
      <c r="F690" s="874"/>
      <c r="G690" s="874"/>
      <c r="H690" s="874"/>
      <c r="I690" s="874"/>
      <c r="J690" s="874"/>
      <c r="K690" s="874"/>
      <c r="L690" s="874"/>
      <c r="M690" s="67"/>
    </row>
    <row r="691" spans="2:13" ht="15">
      <c r="B691" s="406" t="str">
        <f>$B$6</f>
        <v>CONSOLIDATED FUNCTIONALIZED COST OF SERVICE</v>
      </c>
      <c r="C691" s="369"/>
      <c r="D691" s="928"/>
      <c r="E691" s="874"/>
      <c r="F691" s="874"/>
      <c r="G691" s="874"/>
      <c r="H691" s="874"/>
      <c r="I691" s="874"/>
      <c r="J691" s="874"/>
      <c r="K691" s="874"/>
      <c r="L691" s="874"/>
      <c r="M691" s="67"/>
    </row>
    <row r="692" spans="2:13" ht="15">
      <c r="B692" s="406" t="str">
        <f>$B$7</f>
        <v>TEST YEAR ENDING 12/31/2021</v>
      </c>
      <c r="C692" s="369"/>
      <c r="D692" s="928"/>
      <c r="E692" s="874"/>
      <c r="F692" s="874"/>
      <c r="G692" s="874"/>
      <c r="H692" s="874"/>
      <c r="I692" s="874"/>
      <c r="J692" s="874"/>
      <c r="K692" s="874"/>
      <c r="L692" s="874"/>
      <c r="M692" s="67"/>
    </row>
    <row r="693" spans="2:13" ht="15.75">
      <c r="B693" s="406" t="str">
        <f>$B$8</f>
        <v>SPONSOR:  MATTHEW A. TROXLE</v>
      </c>
      <c r="C693" s="840"/>
      <c r="D693" s="921"/>
      <c r="E693" s="67"/>
      <c r="F693" s="67"/>
      <c r="G693" s="67"/>
      <c r="H693" s="67"/>
      <c r="I693" s="67"/>
      <c r="J693" s="67"/>
      <c r="K693" s="67"/>
      <c r="L693" s="67"/>
      <c r="M693" s="67"/>
    </row>
    <row r="694" spans="2:13" ht="15.75" thickBot="1">
      <c r="B694" s="410"/>
      <c r="C694" s="931"/>
      <c r="D694" s="932"/>
      <c r="E694" s="369"/>
      <c r="F694" s="369"/>
      <c r="G694" s="369"/>
      <c r="H694" s="369"/>
      <c r="I694" s="369"/>
      <c r="J694" s="369"/>
      <c r="K694" s="369"/>
      <c r="L694" s="369"/>
      <c r="M694" s="67"/>
    </row>
    <row r="695" spans="2:13" ht="14.25">
      <c r="B695" s="13"/>
      <c r="C695" s="14"/>
      <c r="D695" s="14"/>
      <c r="E695" s="14"/>
      <c r="F695" s="237" t="s">
        <v>6</v>
      </c>
      <c r="G695" s="13" t="s">
        <v>7</v>
      </c>
      <c r="H695" s="13" t="s">
        <v>8</v>
      </c>
      <c r="I695" s="239" t="s">
        <v>9</v>
      </c>
      <c r="J695" s="13" t="s">
        <v>10</v>
      </c>
      <c r="K695" s="17"/>
      <c r="L695" s="139" t="s">
        <v>966</v>
      </c>
      <c r="M695" s="67"/>
    </row>
    <row r="696" spans="2:13" ht="15">
      <c r="B696" s="15" t="s">
        <v>2</v>
      </c>
      <c r="C696" s="15" t="s">
        <v>370</v>
      </c>
      <c r="D696" s="287" t="s">
        <v>637</v>
      </c>
      <c r="E696" s="15" t="s">
        <v>371</v>
      </c>
      <c r="F696" s="242"/>
      <c r="G696" s="15"/>
      <c r="H696" s="15"/>
      <c r="I696" s="15"/>
      <c r="J696" s="15"/>
      <c r="K696" s="17"/>
      <c r="L696" s="97" t="s">
        <v>967</v>
      </c>
      <c r="M696" s="67"/>
    </row>
    <row r="697" spans="2:13" ht="14.25">
      <c r="B697" s="15"/>
      <c r="C697" s="15"/>
      <c r="D697" s="15"/>
      <c r="E697" s="15"/>
      <c r="F697" s="242"/>
      <c r="G697" s="15"/>
      <c r="H697" s="15"/>
      <c r="I697" s="15"/>
      <c r="J697" s="15"/>
      <c r="K697" s="17"/>
      <c r="L697" s="97"/>
      <c r="M697" s="67"/>
    </row>
    <row r="698" spans="2:13" ht="15" thickBot="1">
      <c r="B698" s="16"/>
      <c r="C698" s="16" t="s">
        <v>13</v>
      </c>
      <c r="D698" s="16" t="s">
        <v>14</v>
      </c>
      <c r="E698" s="16" t="s">
        <v>15</v>
      </c>
      <c r="F698" s="16" t="s">
        <v>16</v>
      </c>
      <c r="G698" s="16" t="s">
        <v>17</v>
      </c>
      <c r="H698" s="16" t="s">
        <v>18</v>
      </c>
      <c r="I698" s="16" t="s">
        <v>21</v>
      </c>
      <c r="J698" s="16" t="s">
        <v>22</v>
      </c>
      <c r="K698" s="17"/>
      <c r="L698" s="1125" t="s">
        <v>418</v>
      </c>
      <c r="M698" s="67"/>
    </row>
    <row r="699" spans="2:13" ht="14.25">
      <c r="B699" s="47"/>
      <c r="C699" s="333"/>
      <c r="D699" s="333"/>
      <c r="E699" s="333"/>
      <c r="F699" s="333"/>
      <c r="G699" s="333"/>
      <c r="H699" s="333"/>
      <c r="I699" s="43"/>
      <c r="J699" s="43"/>
      <c r="K699" s="43"/>
      <c r="L699" s="43"/>
      <c r="M699" s="67"/>
    </row>
    <row r="700" spans="2:13" ht="15">
      <c r="B700" s="17">
        <f>B687+1</f>
        <v>1</v>
      </c>
      <c r="C700" s="8"/>
      <c r="D700" s="366" t="s">
        <v>638</v>
      </c>
      <c r="E700" s="20" t="s">
        <v>160</v>
      </c>
      <c r="F700" s="8"/>
      <c r="G700" s="8"/>
      <c r="H700" s="8"/>
      <c r="I700" s="8"/>
      <c r="J700" s="8"/>
      <c r="K700" s="8"/>
      <c r="L700" s="8"/>
      <c r="M700" s="67"/>
    </row>
    <row r="701" spans="2:14" s="386" customFormat="1" ht="14.25">
      <c r="B701" s="17">
        <f t="shared" si="90" ref="B701:B731">B700+1</f>
        <v>2</v>
      </c>
      <c r="C701" s="1" t="s">
        <v>222</v>
      </c>
      <c r="D701" s="1" t="s">
        <v>223</v>
      </c>
      <c r="E701" s="17"/>
      <c r="F701" s="1087">
        <f>'WP II-I-1.1'!F233</f>
        <v>0</v>
      </c>
      <c r="G701" s="1089">
        <f>'WP II-I-1.1'!G233</f>
        <v>114.29000000000001</v>
      </c>
      <c r="H701" s="1089">
        <f>'WP II-I-1.1'!H233</f>
        <v>13613.24</v>
      </c>
      <c r="I701" s="1090">
        <f>'WP II-I-1.1'!I233</f>
        <v>2051.2399999999998</v>
      </c>
      <c r="J701" s="290">
        <f t="shared" si="91" ref="J701:J706">SUM(F701:I701)</f>
        <v>15778.77</v>
      </c>
      <c r="K701" s="290"/>
      <c r="L701" s="18">
        <f t="shared" si="87"/>
        <v>15778.77</v>
      </c>
      <c r="M701" s="47"/>
      <c r="N701" s="839">
        <f t="shared" si="92" ref="N701:N764">J701-L701-F701</f>
        <v>0</v>
      </c>
    </row>
    <row r="702" spans="2:14" s="386" customFormat="1" ht="14.25">
      <c r="B702" s="17">
        <f t="shared" si="90"/>
        <v>3</v>
      </c>
      <c r="C702" s="1" t="s">
        <v>224</v>
      </c>
      <c r="D702" s="1" t="s">
        <v>225</v>
      </c>
      <c r="E702" s="17"/>
      <c r="F702" s="1081">
        <f>'WP II-I-1.1'!F234</f>
        <v>0</v>
      </c>
      <c r="G702" s="893">
        <f>'WP II-I-1.1'!G234</f>
        <v>0</v>
      </c>
      <c r="H702" s="893">
        <f>'WP II-I-1.1'!H234</f>
        <v>71275.660000000003</v>
      </c>
      <c r="I702" s="1082">
        <f>'WP II-I-1.1'!I234</f>
        <v>0</v>
      </c>
      <c r="J702" s="290">
        <f t="shared" si="91"/>
        <v>71275.660000000003</v>
      </c>
      <c r="K702" s="290"/>
      <c r="L702" s="18">
        <f t="shared" si="87"/>
        <v>71275.660000000003</v>
      </c>
      <c r="M702" s="47"/>
      <c r="N702" s="839">
        <f t="shared" si="92"/>
        <v>0</v>
      </c>
    </row>
    <row r="703" spans="2:14" s="386" customFormat="1" ht="14.25">
      <c r="B703" s="17">
        <f t="shared" si="90"/>
        <v>4</v>
      </c>
      <c r="C703" s="1" t="s">
        <v>226</v>
      </c>
      <c r="D703" s="1" t="s">
        <v>227</v>
      </c>
      <c r="E703" s="17"/>
      <c r="F703" s="1081">
        <f>'WP II-I-1.1'!F235</f>
        <v>0</v>
      </c>
      <c r="G703" s="893">
        <f>'WP II-I-1.1'!G235</f>
        <v>10743.190000000001</v>
      </c>
      <c r="H703" s="893">
        <f>'WP II-I-1.1'!H235</f>
        <v>8608120.5200000014</v>
      </c>
      <c r="I703" s="1082">
        <f>'WP II-I-1.1'!I235</f>
        <v>11172066.84</v>
      </c>
      <c r="J703" s="290">
        <f t="shared" si="91"/>
        <v>19790930.550000001</v>
      </c>
      <c r="K703" s="290"/>
      <c r="L703" s="18">
        <f t="shared" si="87"/>
        <v>19790930.550000001</v>
      </c>
      <c r="M703" s="47"/>
      <c r="N703" s="839">
        <f t="shared" si="92"/>
        <v>0</v>
      </c>
    </row>
    <row r="704" spans="2:14" s="386" customFormat="1" ht="14.25">
      <c r="B704" s="17">
        <f t="shared" si="90"/>
        <v>5</v>
      </c>
      <c r="C704" s="1" t="s">
        <v>228</v>
      </c>
      <c r="D704" s="1" t="s">
        <v>229</v>
      </c>
      <c r="E704" s="17"/>
      <c r="F704" s="1081">
        <f>'WP II-I-1.1'!F236</f>
        <v>87420.859999999986</v>
      </c>
      <c r="G704" s="893">
        <f>'WP II-I-1.1'!G236</f>
        <v>-16239.889999999999</v>
      </c>
      <c r="H704" s="893">
        <f>'WP II-I-1.1'!H236</f>
        <v>0</v>
      </c>
      <c r="I704" s="1082">
        <f>'WP II-I-1.1'!I236</f>
        <v>1699838.3599999999</v>
      </c>
      <c r="J704" s="290">
        <f t="shared" si="91"/>
        <v>1771019.3299999998</v>
      </c>
      <c r="K704" s="290"/>
      <c r="L704" s="18">
        <f t="shared" si="87"/>
        <v>1683598.47</v>
      </c>
      <c r="M704" s="47"/>
      <c r="N704" s="839">
        <f t="shared" si="92"/>
        <v>-1.1641532182693481E-10</v>
      </c>
    </row>
    <row r="705" spans="2:14" s="386" customFormat="1" ht="16.5">
      <c r="B705" s="17">
        <f t="shared" si="90"/>
        <v>6</v>
      </c>
      <c r="C705" s="1" t="s">
        <v>230</v>
      </c>
      <c r="D705" s="31" t="s">
        <v>231</v>
      </c>
      <c r="E705" s="17"/>
      <c r="F705" s="1083">
        <f>'WP II-I-1.1'!F237</f>
        <v>0</v>
      </c>
      <c r="G705" s="1084">
        <f>'WP II-I-1.1'!G237</f>
        <v>0</v>
      </c>
      <c r="H705" s="1084">
        <f>'WP II-I-1.1'!H237</f>
        <v>0</v>
      </c>
      <c r="I705" s="1085">
        <f>'WP II-I-1.1'!I237</f>
        <v>0</v>
      </c>
      <c r="J705" s="302">
        <f t="shared" si="91"/>
        <v>0</v>
      </c>
      <c r="K705" s="302"/>
      <c r="L705" s="296">
        <f t="shared" si="87"/>
        <v>0</v>
      </c>
      <c r="M705" s="47"/>
      <c r="N705" s="839">
        <f t="shared" si="92"/>
        <v>0</v>
      </c>
    </row>
    <row r="706" spans="2:14" ht="15">
      <c r="B706" s="17">
        <f t="shared" si="90"/>
        <v>7</v>
      </c>
      <c r="C706" s="8"/>
      <c r="D706" s="297" t="s">
        <v>639</v>
      </c>
      <c r="E706" s="20"/>
      <c r="F706" s="896">
        <f>SUM(F701:F705)</f>
        <v>87420.859999999986</v>
      </c>
      <c r="G706" s="896">
        <f>SUM(G701:G705)</f>
        <v>-5382.409999999998</v>
      </c>
      <c r="H706" s="896">
        <f>SUM(H701:H705)</f>
        <v>8693009.4200000018</v>
      </c>
      <c r="I706" s="896">
        <f>SUM(I701:I705)</f>
        <v>12873956.44</v>
      </c>
      <c r="J706" s="299">
        <f t="shared" si="91"/>
        <v>21649004.310000002</v>
      </c>
      <c r="K706" s="300"/>
      <c r="L706" s="22">
        <f t="shared" si="87"/>
        <v>21561583.450000003</v>
      </c>
      <c r="M706" s="67"/>
      <c r="N706" s="839">
        <f t="shared" si="92"/>
        <v>-5.8207660913467407E-10</v>
      </c>
    </row>
    <row r="707" spans="2:14" ht="14.25">
      <c r="B707" s="17">
        <f t="shared" si="90"/>
        <v>8</v>
      </c>
      <c r="C707" s="1"/>
      <c r="D707" s="1"/>
      <c r="E707" s="17"/>
      <c r="F707" s="894"/>
      <c r="G707" s="894"/>
      <c r="H707" s="894"/>
      <c r="I707" s="894"/>
      <c r="J707" s="1"/>
      <c r="K707" s="1"/>
      <c r="L707" s="19">
        <f t="shared" si="87"/>
        <v>0</v>
      </c>
      <c r="M707" s="67"/>
      <c r="N707" s="839">
        <f t="shared" si="92"/>
        <v>0</v>
      </c>
    </row>
    <row r="708" spans="2:14" ht="15">
      <c r="B708" s="17">
        <f t="shared" si="90"/>
        <v>9</v>
      </c>
      <c r="C708" s="8"/>
      <c r="D708" s="297" t="s">
        <v>649</v>
      </c>
      <c r="E708" s="20"/>
      <c r="F708" s="896">
        <f>SUM(F702:F703)</f>
        <v>0</v>
      </c>
      <c r="G708" s="896">
        <f>SUM(G702:G703)</f>
        <v>10743.190000000001</v>
      </c>
      <c r="H708" s="896">
        <f>SUM(H702:H703)</f>
        <v>8679396.1800000016</v>
      </c>
      <c r="I708" s="896">
        <f>SUM(I702:I703)</f>
        <v>11172066.84</v>
      </c>
      <c r="J708" s="299">
        <f>SUM(F708:I708)</f>
        <v>19862206.210000001</v>
      </c>
      <c r="K708" s="300"/>
      <c r="L708" s="22">
        <f t="shared" si="87"/>
        <v>19862206.210000001</v>
      </c>
      <c r="M708" s="67"/>
      <c r="N708" s="839">
        <f t="shared" si="92"/>
        <v>0</v>
      </c>
    </row>
    <row r="709" spans="2:14" ht="14.25">
      <c r="B709" s="17">
        <f t="shared" si="90"/>
        <v>10</v>
      </c>
      <c r="C709" s="1"/>
      <c r="D709" s="1"/>
      <c r="E709" s="17"/>
      <c r="F709" s="894"/>
      <c r="G709" s="894"/>
      <c r="H709" s="894"/>
      <c r="I709" s="894"/>
      <c r="J709" s="1"/>
      <c r="K709" s="1"/>
      <c r="L709" s="19">
        <f t="shared" si="87"/>
        <v>0</v>
      </c>
      <c r="M709" s="67"/>
      <c r="N709" s="839">
        <f t="shared" si="92"/>
        <v>0</v>
      </c>
    </row>
    <row r="710" spans="2:14" ht="15">
      <c r="B710" s="17">
        <f t="shared" si="90"/>
        <v>11</v>
      </c>
      <c r="C710" s="8"/>
      <c r="D710" s="366" t="s">
        <v>650</v>
      </c>
      <c r="E710" s="20" t="s">
        <v>160</v>
      </c>
      <c r="F710" s="896"/>
      <c r="G710" s="896"/>
      <c r="H710" s="896"/>
      <c r="I710" s="896"/>
      <c r="J710" s="8"/>
      <c r="K710" s="8"/>
      <c r="L710" s="22">
        <f t="shared" si="87"/>
        <v>0</v>
      </c>
      <c r="M710" s="67"/>
      <c r="N710" s="839">
        <f t="shared" si="92"/>
        <v>0</v>
      </c>
    </row>
    <row r="711" spans="2:14" s="386" customFormat="1" ht="14.25">
      <c r="B711" s="17">
        <f t="shared" si="90"/>
        <v>12</v>
      </c>
      <c r="C711" s="1" t="s">
        <v>233</v>
      </c>
      <c r="D711" s="1" t="s">
        <v>234</v>
      </c>
      <c r="E711" s="17"/>
      <c r="F711" s="1087">
        <f>'WP II-I-1.1'!F239</f>
        <v>0</v>
      </c>
      <c r="G711" s="1089">
        <f>'WP II-I-1.1'!G239</f>
        <v>0</v>
      </c>
      <c r="H711" s="1089">
        <f>'WP II-I-1.1'!H239</f>
        <v>0</v>
      </c>
      <c r="I711" s="1090">
        <f>'WP II-I-1.1'!I239</f>
        <v>0</v>
      </c>
      <c r="J711" s="290">
        <f t="shared" si="93" ref="J711:J716">SUM(F711:I711)</f>
        <v>0</v>
      </c>
      <c r="K711" s="290"/>
      <c r="L711" s="18">
        <f t="shared" si="87"/>
        <v>0</v>
      </c>
      <c r="M711" s="47"/>
      <c r="N711" s="839">
        <f t="shared" si="92"/>
        <v>0</v>
      </c>
    </row>
    <row r="712" spans="2:14" s="386" customFormat="1" ht="14.25">
      <c r="B712" s="17">
        <f t="shared" si="90"/>
        <v>13</v>
      </c>
      <c r="C712" s="1" t="s">
        <v>235</v>
      </c>
      <c r="D712" s="1" t="s">
        <v>223</v>
      </c>
      <c r="E712" s="17"/>
      <c r="F712" s="1081">
        <f>'WP II-I-1.1'!F240</f>
        <v>0</v>
      </c>
      <c r="G712" s="893">
        <f>'WP II-I-1.1'!G240</f>
        <v>0</v>
      </c>
      <c r="H712" s="893">
        <f>'WP II-I-1.1'!H240</f>
        <v>0</v>
      </c>
      <c r="I712" s="1082">
        <f>'WP II-I-1.1'!I240</f>
        <v>0</v>
      </c>
      <c r="J712" s="290">
        <f t="shared" si="93"/>
        <v>0</v>
      </c>
      <c r="K712" s="290"/>
      <c r="L712" s="18">
        <f t="shared" si="87"/>
        <v>0</v>
      </c>
      <c r="M712" s="47"/>
      <c r="N712" s="839">
        <f t="shared" si="92"/>
        <v>0</v>
      </c>
    </row>
    <row r="713" spans="2:14" s="386" customFormat="1" ht="15">
      <c r="B713" s="17">
        <f t="shared" si="90"/>
        <v>14</v>
      </c>
      <c r="C713" s="1" t="s">
        <v>236</v>
      </c>
      <c r="D713" s="1" t="s">
        <v>237</v>
      </c>
      <c r="E713" s="856"/>
      <c r="F713" s="1081">
        <f>'WP II-I-1.1'!F241</f>
        <v>0</v>
      </c>
      <c r="G713" s="893">
        <f>'WP II-I-1.1'!G241</f>
        <v>250687.94</v>
      </c>
      <c r="H713" s="893">
        <f>'WP II-I-1.1'!H241</f>
        <v>106713.10999999999</v>
      </c>
      <c r="I713" s="1082">
        <f>'WP II-I-1.1'!I241</f>
        <v>235372.03999999911</v>
      </c>
      <c r="J713" s="290">
        <f t="shared" si="93"/>
        <v>592773.08999999915</v>
      </c>
      <c r="K713" s="290"/>
      <c r="L713" s="18">
        <f t="shared" si="87"/>
        <v>592773.08999999915</v>
      </c>
      <c r="M713" s="47"/>
      <c r="N713" s="839">
        <f t="shared" si="92"/>
        <v>0</v>
      </c>
    </row>
    <row r="714" spans="2:14" s="386" customFormat="1" ht="14.25">
      <c r="B714" s="17">
        <f t="shared" si="90"/>
        <v>15</v>
      </c>
      <c r="C714" s="1" t="s">
        <v>238</v>
      </c>
      <c r="D714" s="1" t="s">
        <v>239</v>
      </c>
      <c r="E714" s="17"/>
      <c r="F714" s="1081">
        <f>'WP II-I-1.1'!F242</f>
        <v>0</v>
      </c>
      <c r="G714" s="893">
        <f>'WP II-I-1.1'!G242</f>
        <v>0</v>
      </c>
      <c r="H714" s="893">
        <f>'WP II-I-1.1'!H242</f>
        <v>0</v>
      </c>
      <c r="I714" s="1082">
        <f>'WP II-I-1.1'!I242</f>
        <v>0</v>
      </c>
      <c r="J714" s="290">
        <f t="shared" si="93"/>
        <v>0</v>
      </c>
      <c r="K714" s="290"/>
      <c r="L714" s="18">
        <f t="shared" si="94" ref="L714:L764">SUM(G714:I714)</f>
        <v>0</v>
      </c>
      <c r="M714" s="47"/>
      <c r="N714" s="839">
        <f t="shared" si="92"/>
        <v>0</v>
      </c>
    </row>
    <row r="715" spans="2:14" s="386" customFormat="1" ht="16.5">
      <c r="B715" s="17">
        <f t="shared" si="90"/>
        <v>16</v>
      </c>
      <c r="C715" s="1" t="s">
        <v>240</v>
      </c>
      <c r="D715" s="1" t="s">
        <v>241</v>
      </c>
      <c r="E715" s="17"/>
      <c r="F715" s="1083">
        <f>'WP II-I-1.1'!F243</f>
        <v>0</v>
      </c>
      <c r="G715" s="1084">
        <f>'WP II-I-1.1'!G243</f>
        <v>0</v>
      </c>
      <c r="H715" s="1084">
        <f>'WP II-I-1.1'!H243</f>
        <v>0</v>
      </c>
      <c r="I715" s="1085">
        <f>'WP II-I-1.1'!I243</f>
        <v>0</v>
      </c>
      <c r="J715" s="302">
        <f t="shared" si="93"/>
        <v>0</v>
      </c>
      <c r="K715" s="302"/>
      <c r="L715" s="296">
        <f t="shared" si="94"/>
        <v>0</v>
      </c>
      <c r="M715" s="47"/>
      <c r="N715" s="839">
        <f t="shared" si="92"/>
        <v>0</v>
      </c>
    </row>
    <row r="716" spans="2:14" ht="15">
      <c r="B716" s="17">
        <f t="shared" si="90"/>
        <v>17</v>
      </c>
      <c r="C716" s="8"/>
      <c r="D716" s="297" t="s">
        <v>651</v>
      </c>
      <c r="E716" s="20"/>
      <c r="F716" s="22">
        <f>SUM(F711:F715)</f>
        <v>0</v>
      </c>
      <c r="G716" s="22">
        <f>SUM(G711:G715)</f>
        <v>250687.94</v>
      </c>
      <c r="H716" s="22">
        <f>SUM(H711:H715)</f>
        <v>106713.10999999999</v>
      </c>
      <c r="I716" s="22">
        <f>SUM(I711:I715)</f>
        <v>235372.03999999911</v>
      </c>
      <c r="J716" s="299">
        <f t="shared" si="93"/>
        <v>592773.08999999915</v>
      </c>
      <c r="K716" s="300"/>
      <c r="L716" s="22">
        <f t="shared" si="94"/>
        <v>592773.08999999915</v>
      </c>
      <c r="M716" s="67"/>
      <c r="N716" s="839">
        <f t="shared" si="92"/>
        <v>0</v>
      </c>
    </row>
    <row r="717" spans="2:14" ht="15">
      <c r="B717" s="17">
        <f t="shared" si="90"/>
        <v>18</v>
      </c>
      <c r="C717" s="8"/>
      <c r="D717" s="297"/>
      <c r="E717" s="20"/>
      <c r="F717" s="22"/>
      <c r="G717" s="22"/>
      <c r="H717" s="22"/>
      <c r="I717" s="22"/>
      <c r="J717" s="299"/>
      <c r="K717" s="300"/>
      <c r="L717" s="22">
        <f t="shared" si="94"/>
        <v>0</v>
      </c>
      <c r="M717" s="67"/>
      <c r="N717" s="839">
        <f t="shared" si="92"/>
        <v>0</v>
      </c>
    </row>
    <row r="718" spans="2:14" ht="15">
      <c r="B718" s="17">
        <f t="shared" si="90"/>
        <v>19</v>
      </c>
      <c r="C718" s="8"/>
      <c r="D718" s="297" t="s">
        <v>652</v>
      </c>
      <c r="E718" s="20"/>
      <c r="F718" s="22">
        <f>F711+F713+F714</f>
        <v>0</v>
      </c>
      <c r="G718" s="22">
        <f>G711+G713+G714</f>
        <v>250687.94</v>
      </c>
      <c r="H718" s="22">
        <f>H711+H713+H714</f>
        <v>106713.10999999999</v>
      </c>
      <c r="I718" s="22">
        <f>I711+I713+I714</f>
        <v>235372.03999999911</v>
      </c>
      <c r="J718" s="299">
        <f>SUM(F718:I718)</f>
        <v>592773.08999999915</v>
      </c>
      <c r="K718" s="300"/>
      <c r="L718" s="22">
        <f t="shared" si="94"/>
        <v>592773.08999999915</v>
      </c>
      <c r="M718" s="67"/>
      <c r="N718" s="839">
        <f t="shared" si="92"/>
        <v>0</v>
      </c>
    </row>
    <row r="719" spans="2:14" ht="14.25">
      <c r="B719" s="17">
        <f t="shared" si="90"/>
        <v>20</v>
      </c>
      <c r="C719" s="1"/>
      <c r="D719" s="1"/>
      <c r="E719" s="17"/>
      <c r="F719" s="19"/>
      <c r="G719" s="19"/>
      <c r="H719" s="19"/>
      <c r="I719" s="19"/>
      <c r="J719" s="1"/>
      <c r="K719" s="1"/>
      <c r="L719" s="19">
        <f t="shared" si="94"/>
        <v>0</v>
      </c>
      <c r="M719" s="67"/>
      <c r="N719" s="839">
        <f t="shared" si="92"/>
        <v>0</v>
      </c>
    </row>
    <row r="720" spans="2:14" ht="15">
      <c r="B720" s="17">
        <f t="shared" si="90"/>
        <v>21</v>
      </c>
      <c r="C720" s="8"/>
      <c r="D720" s="368" t="s">
        <v>242</v>
      </c>
      <c r="E720" s="20" t="s">
        <v>160</v>
      </c>
      <c r="F720" s="22"/>
      <c r="G720" s="22"/>
      <c r="H720" s="22"/>
      <c r="I720" s="22"/>
      <c r="J720" s="8"/>
      <c r="K720" s="8"/>
      <c r="L720" s="22">
        <f t="shared" si="94"/>
        <v>0</v>
      </c>
      <c r="M720" s="67"/>
      <c r="N720" s="839">
        <f t="shared" si="92"/>
        <v>0</v>
      </c>
    </row>
    <row r="721" spans="2:14" s="386" customFormat="1" ht="14.25">
      <c r="B721" s="17">
        <f t="shared" si="90"/>
        <v>22</v>
      </c>
      <c r="C721" s="1" t="s">
        <v>243</v>
      </c>
      <c r="D721" s="51" t="s">
        <v>223</v>
      </c>
      <c r="E721" s="17"/>
      <c r="F721" s="1087">
        <f>'WP II-I-1.1'!F245</f>
        <v>0</v>
      </c>
      <c r="G721" s="1089">
        <f>'WP II-I-1.1'!G245</f>
        <v>0</v>
      </c>
      <c r="H721" s="1089">
        <f>'WP II-I-1.1'!H245</f>
        <v>0</v>
      </c>
      <c r="I721" s="1090">
        <f>'WP II-I-1.1'!I245</f>
        <v>0</v>
      </c>
      <c r="J721" s="290">
        <f t="shared" si="95" ref="J721:J726">SUM(F721:I721)</f>
        <v>0</v>
      </c>
      <c r="K721" s="290"/>
      <c r="L721" s="18">
        <f t="shared" si="94"/>
        <v>0</v>
      </c>
      <c r="M721" s="47"/>
      <c r="N721" s="839">
        <f t="shared" si="92"/>
        <v>0</v>
      </c>
    </row>
    <row r="722" spans="2:14" s="386" customFormat="1" ht="14.25">
      <c r="B722" s="17">
        <f t="shared" si="90"/>
        <v>23</v>
      </c>
      <c r="C722" s="1" t="s">
        <v>244</v>
      </c>
      <c r="D722" s="51" t="s">
        <v>245</v>
      </c>
      <c r="E722" s="17"/>
      <c r="F722" s="1081">
        <f>'WP II-I-1.1'!F246</f>
        <v>0</v>
      </c>
      <c r="G722" s="893">
        <f>'WP II-I-1.1'!G246</f>
        <v>0</v>
      </c>
      <c r="H722" s="893">
        <f>'WP II-I-1.1'!H246</f>
        <v>0</v>
      </c>
      <c r="I722" s="1082">
        <f>'WP II-I-1.1'!I246</f>
        <v>0</v>
      </c>
      <c r="J722" s="290">
        <f t="shared" si="95"/>
        <v>0</v>
      </c>
      <c r="K722" s="290"/>
      <c r="L722" s="18">
        <f t="shared" si="94"/>
        <v>0</v>
      </c>
      <c r="M722" s="47"/>
      <c r="N722" s="839">
        <f t="shared" si="92"/>
        <v>0</v>
      </c>
    </row>
    <row r="723" spans="2:14" s="386" customFormat="1" ht="14.25">
      <c r="B723" s="17">
        <f t="shared" si="90"/>
        <v>24</v>
      </c>
      <c r="C723" s="1" t="s">
        <v>246</v>
      </c>
      <c r="D723" s="51" t="s">
        <v>247</v>
      </c>
      <c r="E723" s="17"/>
      <c r="F723" s="1081">
        <f>'WP II-I-1.1'!F247</f>
        <v>0</v>
      </c>
      <c r="G723" s="893">
        <f>'WP II-I-1.1'!G247</f>
        <v>0</v>
      </c>
      <c r="H723" s="893">
        <f>'WP II-I-1.1'!H247</f>
        <v>0</v>
      </c>
      <c r="I723" s="1082">
        <f>'WP II-I-1.1'!I247</f>
        <v>0</v>
      </c>
      <c r="J723" s="290">
        <f t="shared" si="95"/>
        <v>0</v>
      </c>
      <c r="K723" s="290"/>
      <c r="L723" s="18">
        <f t="shared" si="94"/>
        <v>0</v>
      </c>
      <c r="M723" s="47"/>
      <c r="N723" s="839">
        <f t="shared" si="92"/>
        <v>0</v>
      </c>
    </row>
    <row r="724" spans="2:14" s="386" customFormat="1" ht="14.25">
      <c r="B724" s="17">
        <f t="shared" si="90"/>
        <v>25</v>
      </c>
      <c r="C724" s="1" t="s">
        <v>248</v>
      </c>
      <c r="D724" s="51" t="s">
        <v>249</v>
      </c>
      <c r="E724" s="17"/>
      <c r="F724" s="1081">
        <f>'WP II-I-1.1'!F248</f>
        <v>0</v>
      </c>
      <c r="G724" s="893">
        <f>'WP II-I-1.1'!G248</f>
        <v>0</v>
      </c>
      <c r="H724" s="893">
        <f>'WP II-I-1.1'!H248</f>
        <v>0</v>
      </c>
      <c r="I724" s="1082">
        <f>'WP II-I-1.1'!I248</f>
        <v>0</v>
      </c>
      <c r="J724" s="290">
        <f t="shared" si="95"/>
        <v>0</v>
      </c>
      <c r="K724" s="290"/>
      <c r="L724" s="18">
        <f t="shared" si="94"/>
        <v>0</v>
      </c>
      <c r="M724" s="47"/>
      <c r="N724" s="839">
        <f t="shared" si="92"/>
        <v>0</v>
      </c>
    </row>
    <row r="725" spans="2:14" s="386" customFormat="1" ht="16.5">
      <c r="B725" s="17">
        <f t="shared" si="90"/>
        <v>26</v>
      </c>
      <c r="C725" s="1" t="s">
        <v>250</v>
      </c>
      <c r="D725" s="51" t="s">
        <v>251</v>
      </c>
      <c r="E725" s="17"/>
      <c r="F725" s="1083">
        <f>'WP II-I-1.1'!F249</f>
        <v>0</v>
      </c>
      <c r="G725" s="1084">
        <f>'WP II-I-1.1'!G249</f>
        <v>0</v>
      </c>
      <c r="H725" s="1084">
        <f>'WP II-I-1.1'!H249</f>
        <v>0</v>
      </c>
      <c r="I725" s="1085">
        <f>'WP II-I-1.1'!I249</f>
        <v>0</v>
      </c>
      <c r="J725" s="302">
        <f t="shared" si="95"/>
        <v>0</v>
      </c>
      <c r="K725" s="302"/>
      <c r="L725" s="296">
        <f t="shared" si="94"/>
        <v>0</v>
      </c>
      <c r="M725" s="47"/>
      <c r="N725" s="839">
        <f t="shared" si="92"/>
        <v>0</v>
      </c>
    </row>
    <row r="726" spans="2:14" ht="15">
      <c r="B726" s="17">
        <f t="shared" si="90"/>
        <v>27</v>
      </c>
      <c r="C726" s="8"/>
      <c r="D726" s="297" t="s">
        <v>653</v>
      </c>
      <c r="E726" s="20"/>
      <c r="F726" s="896">
        <f>SUM(F721:F725)</f>
        <v>0</v>
      </c>
      <c r="G726" s="896">
        <f>SUM(G721:G725)</f>
        <v>0</v>
      </c>
      <c r="H726" s="896">
        <f>SUM(H721:H725)</f>
        <v>0</v>
      </c>
      <c r="I726" s="896">
        <f>SUM(I721:I725)</f>
        <v>0</v>
      </c>
      <c r="J726" s="299">
        <f t="shared" si="95"/>
        <v>0</v>
      </c>
      <c r="K726" s="300"/>
      <c r="L726" s="22">
        <f t="shared" si="94"/>
        <v>0</v>
      </c>
      <c r="M726" s="67"/>
      <c r="N726" s="839">
        <f t="shared" si="92"/>
        <v>0</v>
      </c>
    </row>
    <row r="727" spans="2:14" ht="15">
      <c r="B727" s="17">
        <f t="shared" si="90"/>
        <v>28</v>
      </c>
      <c r="C727" s="8"/>
      <c r="D727" s="369"/>
      <c r="E727" s="20"/>
      <c r="F727" s="896"/>
      <c r="G727" s="896"/>
      <c r="H727" s="896"/>
      <c r="I727" s="8"/>
      <c r="J727" s="8"/>
      <c r="K727" s="8"/>
      <c r="L727" s="8"/>
      <c r="M727" s="67"/>
      <c r="N727" s="839">
        <f t="shared" si="92"/>
        <v>0</v>
      </c>
    </row>
    <row r="728" spans="2:14" ht="15">
      <c r="B728" s="17">
        <f t="shared" si="90"/>
        <v>29</v>
      </c>
      <c r="C728" s="8"/>
      <c r="D728" s="297" t="s">
        <v>654</v>
      </c>
      <c r="E728" s="20"/>
      <c r="F728" s="896">
        <f>SUM(F722:F725)</f>
        <v>0</v>
      </c>
      <c r="G728" s="896">
        <f>SUM(G722:G725)</f>
        <v>0</v>
      </c>
      <c r="H728" s="896">
        <f>SUM(H722:H725)</f>
        <v>0</v>
      </c>
      <c r="I728" s="896">
        <f>SUM(I722:I725)</f>
        <v>0</v>
      </c>
      <c r="J728" s="299">
        <f>SUM(F728:I728)</f>
        <v>0</v>
      </c>
      <c r="K728" s="300"/>
      <c r="L728" s="22">
        <f t="shared" si="94"/>
        <v>0</v>
      </c>
      <c r="M728" s="67"/>
      <c r="N728" s="839">
        <f t="shared" si="92"/>
        <v>0</v>
      </c>
    </row>
    <row r="729" spans="2:14" ht="15.75" thickBot="1">
      <c r="B729" s="17">
        <f t="shared" si="90"/>
        <v>30</v>
      </c>
      <c r="C729" s="8"/>
      <c r="D729" s="369"/>
      <c r="E729" s="20"/>
      <c r="F729" s="896"/>
      <c r="G729" s="896"/>
      <c r="H729" s="896"/>
      <c r="I729" s="8"/>
      <c r="J729" s="8"/>
      <c r="K729" s="8"/>
      <c r="L729" s="8"/>
      <c r="M729" s="67"/>
      <c r="N729" s="839">
        <f t="shared" si="92"/>
        <v>0</v>
      </c>
    </row>
    <row r="730" spans="2:14" ht="15">
      <c r="B730" s="17">
        <f t="shared" si="90"/>
        <v>31</v>
      </c>
      <c r="C730" s="319" t="s">
        <v>655</v>
      </c>
      <c r="D730" s="304"/>
      <c r="E730" s="305" t="s">
        <v>160</v>
      </c>
      <c r="F730" s="908">
        <f>+F726+F716+F706+F686+F638</f>
        <v>127840340.28</v>
      </c>
      <c r="G730" s="908">
        <f>+G726+G716+G706+G686+G638</f>
        <v>1967870432.3999999</v>
      </c>
      <c r="H730" s="908">
        <f>+H726+H716+H706+H686+H638</f>
        <v>59034958.160000004</v>
      </c>
      <c r="I730" s="908">
        <f>+I726+I716+I706+I686+I638</f>
        <v>13452479.209999999</v>
      </c>
      <c r="J730" s="307">
        <f>SUM(F730:I730)</f>
        <v>2168198210.0499997</v>
      </c>
      <c r="K730" s="252"/>
      <c r="L730" s="308">
        <f t="shared" si="94"/>
        <v>2040357869.77</v>
      </c>
      <c r="M730" s="67"/>
      <c r="N730" s="839">
        <f t="shared" si="92"/>
        <v>-2.6822090148925781E-07</v>
      </c>
    </row>
    <row r="731" spans="2:14" ht="15.75" thickBot="1">
      <c r="B731" s="17">
        <f t="shared" si="90"/>
        <v>32</v>
      </c>
      <c r="C731" s="326" t="s">
        <v>656</v>
      </c>
      <c r="D731" s="310"/>
      <c r="E731" s="311" t="s">
        <v>160</v>
      </c>
      <c r="F731" s="312">
        <f>F730-F622</f>
        <v>127840340.28</v>
      </c>
      <c r="G731" s="312">
        <f>G730-G622</f>
        <v>315348410.96000004</v>
      </c>
      <c r="H731" s="312">
        <f>H730-H622</f>
        <v>59034958.160000004</v>
      </c>
      <c r="I731" s="312">
        <f>I730-I622</f>
        <v>13452479.209999999</v>
      </c>
      <c r="J731" s="313">
        <f>SUM(F731:I731)</f>
        <v>515676188.61000001</v>
      </c>
      <c r="K731" s="252"/>
      <c r="L731" s="314">
        <f t="shared" si="94"/>
        <v>387835848.33000004</v>
      </c>
      <c r="M731" s="67"/>
      <c r="N731" s="839">
        <f t="shared" si="92"/>
        <v>0</v>
      </c>
    </row>
    <row r="732" spans="2:14" ht="15">
      <c r="B732" s="874"/>
      <c r="C732" s="874"/>
      <c r="D732" s="874"/>
      <c r="E732" s="874"/>
      <c r="F732" s="874"/>
      <c r="G732" s="874"/>
      <c r="H732" s="874"/>
      <c r="I732" s="874"/>
      <c r="J732" s="874"/>
      <c r="K732" s="874"/>
      <c r="L732" s="874"/>
      <c r="M732" s="134" t="str">
        <f>$M$2</f>
        <v xml:space="preserve"> </v>
      </c>
      <c r="N732" s="839">
        <f t="shared" si="92"/>
        <v>0</v>
      </c>
    </row>
    <row r="733" spans="2:14" ht="15.75" thickBot="1">
      <c r="B733" s="874"/>
      <c r="C733" s="874"/>
      <c r="D733" s="874"/>
      <c r="E733" s="874"/>
      <c r="F733" s="874"/>
      <c r="G733" s="874"/>
      <c r="H733" s="874"/>
      <c r="I733" s="874"/>
      <c r="J733" s="874"/>
      <c r="K733" s="874"/>
      <c r="L733" s="874"/>
      <c r="M733" s="67"/>
      <c r="N733" s="839">
        <f t="shared" si="92"/>
        <v>0</v>
      </c>
    </row>
    <row r="734" spans="2:14" ht="15">
      <c r="B734" s="920" t="str">
        <f>$B$4</f>
        <v>2022 RATE CASE</v>
      </c>
      <c r="C734" s="926"/>
      <c r="D734" s="927"/>
      <c r="E734" s="874"/>
      <c r="F734" s="874"/>
      <c r="G734" s="874"/>
      <c r="H734" s="874"/>
      <c r="I734" s="874"/>
      <c r="J734" s="874"/>
      <c r="K734" s="874"/>
      <c r="L734" s="874"/>
      <c r="N734" s="839">
        <f t="shared" si="92"/>
        <v>0</v>
      </c>
    </row>
    <row r="735" spans="2:14" ht="15">
      <c r="B735" s="917" t="str">
        <f>$B$5</f>
        <v>ONCOR ELECTRIC DELIVERY COMPANY LLC</v>
      </c>
      <c r="C735" s="369"/>
      <c r="D735" s="928"/>
      <c r="E735" s="874"/>
      <c r="F735" s="874"/>
      <c r="G735" s="874"/>
      <c r="H735" s="874"/>
      <c r="I735" s="874"/>
      <c r="J735" s="874"/>
      <c r="K735" s="874"/>
      <c r="L735" s="874"/>
      <c r="M735" s="67"/>
      <c r="N735" s="839">
        <f t="shared" si="92"/>
        <v>0</v>
      </c>
    </row>
    <row r="736" spans="2:14" ht="15">
      <c r="B736" s="406" t="str">
        <f>$B$6</f>
        <v>CONSOLIDATED FUNCTIONALIZED COST OF SERVICE</v>
      </c>
      <c r="C736" s="369"/>
      <c r="D736" s="928"/>
      <c r="E736" s="874"/>
      <c r="F736" s="874"/>
      <c r="G736" s="874"/>
      <c r="H736" s="874"/>
      <c r="I736" s="874"/>
      <c r="J736" s="874"/>
      <c r="K736" s="874"/>
      <c r="L736" s="874"/>
      <c r="M736" s="67"/>
      <c r="N736" s="839">
        <f t="shared" si="92"/>
        <v>0</v>
      </c>
    </row>
    <row r="737" spans="2:14" ht="15">
      <c r="B737" s="406" t="str">
        <f>$B$7</f>
        <v>TEST YEAR ENDING 12/31/2021</v>
      </c>
      <c r="C737" s="369"/>
      <c r="D737" s="928"/>
      <c r="E737" s="369"/>
      <c r="F737" s="369"/>
      <c r="G737" s="369"/>
      <c r="H737" s="369"/>
      <c r="I737" s="369"/>
      <c r="J737" s="369"/>
      <c r="K737" s="369"/>
      <c r="L737" s="369"/>
      <c r="M737" s="67"/>
      <c r="N737" s="839">
        <f t="shared" si="92"/>
        <v>0</v>
      </c>
    </row>
    <row r="738" spans="2:14" ht="15">
      <c r="B738" s="406" t="str">
        <f>$B$8</f>
        <v>SPONSOR:  MATTHEW A. TROXLE</v>
      </c>
      <c r="C738" s="369"/>
      <c r="D738" s="928"/>
      <c r="E738" s="369"/>
      <c r="F738" s="369"/>
      <c r="G738" s="369"/>
      <c r="H738" s="369"/>
      <c r="I738" s="369"/>
      <c r="J738" s="369"/>
      <c r="K738" s="369"/>
      <c r="L738" s="369"/>
      <c r="M738" s="67"/>
      <c r="N738" s="839">
        <f t="shared" si="92"/>
        <v>0</v>
      </c>
    </row>
    <row r="739" spans="2:14" ht="15.75" thickBot="1">
      <c r="B739" s="410"/>
      <c r="C739" s="931"/>
      <c r="D739" s="932"/>
      <c r="E739" s="369"/>
      <c r="F739" s="369"/>
      <c r="G739" s="369"/>
      <c r="H739" s="369"/>
      <c r="I739" s="369"/>
      <c r="J739" s="369"/>
      <c r="K739" s="369"/>
      <c r="L739" s="369"/>
      <c r="M739" s="67"/>
      <c r="N739" s="839">
        <f t="shared" si="92"/>
        <v>0</v>
      </c>
    </row>
    <row r="740" spans="2:14" ht="14.25">
      <c r="B740" s="13"/>
      <c r="C740" s="14"/>
      <c r="D740" s="238"/>
      <c r="E740" s="238"/>
      <c r="F740" s="1099" t="s">
        <v>6</v>
      </c>
      <c r="G740" s="738" t="s">
        <v>7</v>
      </c>
      <c r="H740" s="738" t="s">
        <v>8</v>
      </c>
      <c r="I740" s="952" t="s">
        <v>9</v>
      </c>
      <c r="J740" s="13" t="s">
        <v>10</v>
      </c>
      <c r="K740" s="17"/>
      <c r="L740" s="139" t="s">
        <v>966</v>
      </c>
      <c r="M740" s="67"/>
      <c r="N740" s="839"/>
    </row>
    <row r="741" spans="2:14" ht="15">
      <c r="B741" s="15" t="s">
        <v>2</v>
      </c>
      <c r="C741" s="15" t="s">
        <v>370</v>
      </c>
      <c r="D741" s="241" t="s">
        <v>252</v>
      </c>
      <c r="E741" s="242" t="s">
        <v>371</v>
      </c>
      <c r="F741" s="744"/>
      <c r="G741" s="743"/>
      <c r="H741" s="743"/>
      <c r="I741" s="743"/>
      <c r="J741" s="15"/>
      <c r="K741" s="17"/>
      <c r="L741" s="97" t="s">
        <v>967</v>
      </c>
      <c r="M741" s="67"/>
      <c r="N741" s="839"/>
    </row>
    <row r="742" spans="2:14" ht="14.25">
      <c r="B742" s="15"/>
      <c r="C742" s="15"/>
      <c r="D742" s="242"/>
      <c r="E742" s="242"/>
      <c r="F742" s="744"/>
      <c r="G742" s="743"/>
      <c r="H742" s="743"/>
      <c r="I742" s="743"/>
      <c r="J742" s="15"/>
      <c r="K742" s="17"/>
      <c r="L742" s="97"/>
      <c r="M742" s="67"/>
      <c r="N742" s="839"/>
    </row>
    <row r="743" spans="2:14" ht="15" thickBot="1">
      <c r="B743" s="16"/>
      <c r="C743" s="16" t="s">
        <v>13</v>
      </c>
      <c r="D743" s="245" t="s">
        <v>14</v>
      </c>
      <c r="E743" s="245" t="s">
        <v>15</v>
      </c>
      <c r="F743" s="747" t="s">
        <v>16</v>
      </c>
      <c r="G743" s="747" t="s">
        <v>17</v>
      </c>
      <c r="H743" s="747" t="s">
        <v>18</v>
      </c>
      <c r="I743" s="747" t="s">
        <v>21</v>
      </c>
      <c r="J743" s="16" t="s">
        <v>22</v>
      </c>
      <c r="K743" s="17"/>
      <c r="L743" s="1125" t="s">
        <v>418</v>
      </c>
      <c r="M743" s="67"/>
      <c r="N743" s="839"/>
    </row>
    <row r="744" spans="2:14" ht="14.25">
      <c r="B744" s="67"/>
      <c r="C744" s="43"/>
      <c r="D744" s="43"/>
      <c r="E744" s="333"/>
      <c r="F744" s="749"/>
      <c r="G744" s="749"/>
      <c r="H744" s="749"/>
      <c r="I744" s="691"/>
      <c r="J744" s="43"/>
      <c r="K744" s="43"/>
      <c r="L744" s="43"/>
      <c r="M744" s="67"/>
      <c r="N744" s="839"/>
    </row>
    <row r="745" spans="2:14" ht="15">
      <c r="B745" s="17">
        <f t="shared" si="96" ref="B745:B764">B744+1</f>
        <v>1</v>
      </c>
      <c r="C745" s="8" t="s">
        <v>252</v>
      </c>
      <c r="D745" s="8"/>
      <c r="E745" s="20" t="s">
        <v>253</v>
      </c>
      <c r="F745" s="8"/>
      <c r="G745" s="8"/>
      <c r="H745" s="8"/>
      <c r="I745" s="8"/>
      <c r="J745" s="8"/>
      <c r="K745" s="8"/>
      <c r="L745" s="8"/>
      <c r="M745" s="67"/>
      <c r="N745" s="839"/>
    </row>
    <row r="746" spans="2:14" s="386" customFormat="1" ht="14.25">
      <c r="B746" s="17">
        <f t="shared" si="96"/>
        <v>2</v>
      </c>
      <c r="C746" s="1" t="s">
        <v>254</v>
      </c>
      <c r="D746" s="1" t="s">
        <v>255</v>
      </c>
      <c r="E746" s="17"/>
      <c r="F746" s="1087">
        <f>'WP II-I-1.1'!F251</f>
        <v>19675722.82</v>
      </c>
      <c r="G746" s="1089">
        <f>'WP II-I-1.1'!G251</f>
        <v>48296108.630000003</v>
      </c>
      <c r="H746" s="1089">
        <f>'WP II-I-1.1'!H251</f>
        <v>13067186.82</v>
      </c>
      <c r="I746" s="1090">
        <f>'WP II-I-1.1'!I251</f>
        <v>17818910.440000001</v>
      </c>
      <c r="J746" s="290">
        <f t="shared" si="97" ref="J746:J758">SUM(F746:I746)</f>
        <v>98857928.710000008</v>
      </c>
      <c r="K746" s="290"/>
      <c r="L746" s="18">
        <f t="shared" si="94"/>
        <v>79182205.890000001</v>
      </c>
      <c r="M746" s="47"/>
      <c r="N746" s="839">
        <f t="shared" si="92"/>
        <v>0</v>
      </c>
    </row>
    <row r="747" spans="2:14" s="386" customFormat="1" ht="14.25">
      <c r="B747" s="17">
        <f t="shared" si="96"/>
        <v>3</v>
      </c>
      <c r="C747" s="1" t="s">
        <v>256</v>
      </c>
      <c r="D747" s="1" t="s">
        <v>257</v>
      </c>
      <c r="E747" s="17"/>
      <c r="F747" s="1081">
        <f>'WP II-I-1.1'!F252</f>
        <v>3217583.23</v>
      </c>
      <c r="G747" s="893">
        <f>'WP II-I-1.1'!G252</f>
        <v>4839529.96</v>
      </c>
      <c r="H747" s="893">
        <f>'WP II-I-1.1'!H252</f>
        <v>1153337.02</v>
      </c>
      <c r="I747" s="1082">
        <f>'WP II-I-1.1'!I252</f>
        <v>1777495.3899999999</v>
      </c>
      <c r="J747" s="290">
        <f t="shared" si="97"/>
        <v>10987945.6</v>
      </c>
      <c r="K747" s="290"/>
      <c r="L747" s="18">
        <f t="shared" si="94"/>
        <v>7770362.3700000001</v>
      </c>
      <c r="M747" s="47"/>
      <c r="N747" s="839">
        <f t="shared" si="92"/>
        <v>0</v>
      </c>
    </row>
    <row r="748" spans="2:14" s="386" customFormat="1" ht="14.25">
      <c r="B748" s="17">
        <f t="shared" si="96"/>
        <v>4</v>
      </c>
      <c r="C748" s="1" t="s">
        <v>258</v>
      </c>
      <c r="D748" s="1" t="s">
        <v>259</v>
      </c>
      <c r="E748" s="17"/>
      <c r="F748" s="1081">
        <f>'WP II-I-1.1'!F253</f>
        <v>0</v>
      </c>
      <c r="G748" s="893">
        <f>'WP II-I-1.1'!G253</f>
        <v>0</v>
      </c>
      <c r="H748" s="893">
        <f>'WP II-I-1.1'!H253</f>
        <v>0</v>
      </c>
      <c r="I748" s="1082">
        <f>'WP II-I-1.1'!I253</f>
        <v>0</v>
      </c>
      <c r="J748" s="290">
        <f t="shared" si="97"/>
        <v>0</v>
      </c>
      <c r="K748" s="290"/>
      <c r="L748" s="18">
        <f t="shared" si="94"/>
        <v>0</v>
      </c>
      <c r="M748" s="47"/>
      <c r="N748" s="839">
        <f t="shared" si="92"/>
        <v>0</v>
      </c>
    </row>
    <row r="749" spans="2:14" s="386" customFormat="1" ht="14.25">
      <c r="B749" s="17">
        <f t="shared" si="96"/>
        <v>5</v>
      </c>
      <c r="C749" s="1" t="s">
        <v>260</v>
      </c>
      <c r="D749" s="31" t="s">
        <v>261</v>
      </c>
      <c r="E749" s="17"/>
      <c r="F749" s="1081">
        <f>'WP II-I-1.1'!F254</f>
        <v>35409868.789999999</v>
      </c>
      <c r="G749" s="893">
        <f>'WP II-I-1.1'!G254</f>
        <v>67560500.079999998</v>
      </c>
      <c r="H749" s="893">
        <f>'WP II-I-1.1'!H254</f>
        <v>16915520.880000003</v>
      </c>
      <c r="I749" s="1082">
        <f>'WP II-I-1.1'!I254</f>
        <v>3961483.9900000002</v>
      </c>
      <c r="J749" s="290">
        <f t="shared" si="97"/>
        <v>123847373.74</v>
      </c>
      <c r="K749" s="290"/>
      <c r="L749" s="18">
        <f t="shared" si="94"/>
        <v>88437504.950000003</v>
      </c>
      <c r="M749" s="47"/>
      <c r="N749" s="839">
        <f t="shared" si="92"/>
        <v>0</v>
      </c>
    </row>
    <row r="750" spans="2:14" s="386" customFormat="1" ht="14.25">
      <c r="B750" s="17">
        <f t="shared" si="96"/>
        <v>6</v>
      </c>
      <c r="C750" s="1" t="s">
        <v>262</v>
      </c>
      <c r="D750" s="1" t="s">
        <v>263</v>
      </c>
      <c r="E750" s="17"/>
      <c r="F750" s="1081">
        <f>'WP II-I-1.1'!F255</f>
        <v>15104001.92</v>
      </c>
      <c r="G750" s="893">
        <f>'WP II-I-1.1'!G255</f>
        <v>226756416.41</v>
      </c>
      <c r="H750" s="893">
        <f>'WP II-I-1.1'!H255</f>
        <v>0</v>
      </c>
      <c r="I750" s="1086">
        <f>'WP II-I-1.1'!I255</f>
        <v>0</v>
      </c>
      <c r="J750" s="290">
        <f t="shared" si="97"/>
        <v>241860418.32999998</v>
      </c>
      <c r="K750" s="290"/>
      <c r="L750" s="54">
        <f t="shared" si="94"/>
        <v>226756416.41</v>
      </c>
      <c r="M750" s="47"/>
      <c r="N750" s="839">
        <f t="shared" si="92"/>
        <v>0</v>
      </c>
    </row>
    <row r="751" spans="2:14" s="386" customFormat="1" ht="14.25">
      <c r="B751" s="17">
        <f t="shared" si="96"/>
        <v>7</v>
      </c>
      <c r="C751" s="1" t="s">
        <v>264</v>
      </c>
      <c r="D751" s="1" t="s">
        <v>265</v>
      </c>
      <c r="E751" s="17"/>
      <c r="F751" s="1081">
        <f>'WP II-I-1.1'!F256</f>
        <v>5231223.8799999999</v>
      </c>
      <c r="G751" s="893">
        <f>'WP II-I-1.1'!G256</f>
        <v>16115667.280000001</v>
      </c>
      <c r="H751" s="893">
        <f>'WP II-I-1.1'!H256</f>
        <v>0</v>
      </c>
      <c r="I751" s="1082">
        <f>'WP II-I-1.1'!I256</f>
        <v>0</v>
      </c>
      <c r="J751" s="290">
        <f t="shared" si="97"/>
        <v>21346891.16</v>
      </c>
      <c r="K751" s="290"/>
      <c r="L751" s="18">
        <f t="shared" si="94"/>
        <v>16115667.280000001</v>
      </c>
      <c r="M751" s="47"/>
      <c r="N751" s="839">
        <f t="shared" si="92"/>
        <v>0</v>
      </c>
    </row>
    <row r="752" spans="2:14" s="386" customFormat="1" ht="14.25">
      <c r="B752" s="17">
        <f t="shared" si="96"/>
        <v>8</v>
      </c>
      <c r="C752" s="1" t="s">
        <v>266</v>
      </c>
      <c r="D752" s="1" t="s">
        <v>267</v>
      </c>
      <c r="E752" s="17"/>
      <c r="F752" s="1081">
        <f>'WP II-I-1.1'!F257</f>
        <v>32862761.619999997</v>
      </c>
      <c r="G752" s="893">
        <f>'WP II-I-1.1'!G257</f>
        <v>45802180.63000001</v>
      </c>
      <c r="H752" s="893">
        <f>'WP II-I-1.1'!H257</f>
        <v>16815082.920000002</v>
      </c>
      <c r="I752" s="1082">
        <f>'WP II-I-1.1'!I257</f>
        <v>7945424.7299999995</v>
      </c>
      <c r="J752" s="290">
        <f t="shared" si="97"/>
        <v>103425449.90000001</v>
      </c>
      <c r="K752" s="290"/>
      <c r="L752" s="18">
        <f t="shared" si="94"/>
        <v>70562688.280000016</v>
      </c>
      <c r="M752" s="47"/>
      <c r="N752" s="839">
        <f t="shared" si="92"/>
        <v>0</v>
      </c>
    </row>
    <row r="753" spans="2:14" s="386" customFormat="1" ht="14.25">
      <c r="B753" s="17">
        <f t="shared" si="96"/>
        <v>9</v>
      </c>
      <c r="C753" s="1" t="s">
        <v>268</v>
      </c>
      <c r="D753" s="1" t="s">
        <v>269</v>
      </c>
      <c r="E753" s="17"/>
      <c r="F753" s="1081">
        <f>'WP II-I-1.1'!F258</f>
        <v>376621.12</v>
      </c>
      <c r="G753" s="893">
        <f>'WP II-I-1.1'!$G$258</f>
        <v>2262087.8500000001</v>
      </c>
      <c r="H753" s="893">
        <f>'WP II-I-1.1'!H258</f>
        <v>16015.940000000002</v>
      </c>
      <c r="I753" s="1082">
        <f>'WP II-I-1.1'!I258</f>
        <v>0</v>
      </c>
      <c r="J753" s="290">
        <f t="shared" si="97"/>
        <v>2654724.9100000001</v>
      </c>
      <c r="K753" s="290"/>
      <c r="L753" s="18">
        <f t="shared" si="94"/>
        <v>2278103.79</v>
      </c>
      <c r="M753" s="47"/>
      <c r="N753" s="839">
        <f t="shared" si="92"/>
        <v>0</v>
      </c>
    </row>
    <row r="754" spans="2:14" s="386" customFormat="1" ht="14.25">
      <c r="B754" s="17">
        <f t="shared" si="96"/>
        <v>10</v>
      </c>
      <c r="C754" s="28" t="s">
        <v>270</v>
      </c>
      <c r="D754" s="1" t="s">
        <v>271</v>
      </c>
      <c r="E754" s="17"/>
      <c r="F754" s="1081">
        <f>'WP II-I-1.1'!F259</f>
        <v>0</v>
      </c>
      <c r="G754" s="893">
        <f>'WP II-I-1.1'!G259</f>
        <v>0</v>
      </c>
      <c r="H754" s="893">
        <f>'WP II-I-1.1'!H259</f>
        <v>0</v>
      </c>
      <c r="I754" s="1082">
        <f>'WP II-I-1.1'!I259</f>
        <v>151079.01000000001</v>
      </c>
      <c r="J754" s="290">
        <f t="shared" si="97"/>
        <v>151079.01000000001</v>
      </c>
      <c r="K754" s="290"/>
      <c r="L754" s="18">
        <f t="shared" si="94"/>
        <v>151079.01000000001</v>
      </c>
      <c r="M754" s="47"/>
      <c r="N754" s="839">
        <f t="shared" si="92"/>
        <v>0</v>
      </c>
    </row>
    <row r="755" spans="2:14" s="386" customFormat="1" ht="14.25">
      <c r="B755" s="17">
        <f t="shared" si="96"/>
        <v>11</v>
      </c>
      <c r="C755" s="1" t="s">
        <v>272</v>
      </c>
      <c r="D755" s="1" t="s">
        <v>273</v>
      </c>
      <c r="E755" s="17"/>
      <c r="F755" s="1081">
        <f>'WP II-I-1.1'!F260</f>
        <v>2027705.6300000004</v>
      </c>
      <c r="G755" s="893">
        <f>'WP II-I-1.1'!G260</f>
        <v>8232754.9400000004</v>
      </c>
      <c r="H755" s="893">
        <f>'WP II-I-1.1'!H260</f>
        <v>1946608.24</v>
      </c>
      <c r="I755" s="1082">
        <f>'WP II-I-1.1'!I260</f>
        <v>4918017.4900000002</v>
      </c>
      <c r="J755" s="290">
        <f t="shared" si="97"/>
        <v>17125086.300000001</v>
      </c>
      <c r="K755" s="290"/>
      <c r="L755" s="18">
        <f t="shared" si="94"/>
        <v>15097380.67</v>
      </c>
      <c r="M755" s="47"/>
      <c r="N755" s="839">
        <f t="shared" si="92"/>
        <v>0</v>
      </c>
    </row>
    <row r="756" spans="2:14" s="386" customFormat="1" ht="14.25">
      <c r="B756" s="17">
        <f t="shared" si="96"/>
        <v>12</v>
      </c>
      <c r="C756" s="1" t="s">
        <v>274</v>
      </c>
      <c r="D756" s="1" t="s">
        <v>206</v>
      </c>
      <c r="E756" s="17"/>
      <c r="F756" s="1081">
        <f>'WP II-I-1.1'!F261</f>
        <v>287631.20999999996</v>
      </c>
      <c r="G756" s="893">
        <f>'WP II-I-1.1'!G261</f>
        <v>1026551.72</v>
      </c>
      <c r="H756" s="893">
        <f>'WP II-I-1.1'!H261</f>
        <v>211823.87</v>
      </c>
      <c r="I756" s="1082">
        <f>'WP II-I-1.1'!I261</f>
        <v>128898.60000000001</v>
      </c>
      <c r="J756" s="290">
        <f t="shared" si="97"/>
        <v>1654905.3999999999</v>
      </c>
      <c r="K756" s="290"/>
      <c r="L756" s="18">
        <f t="shared" si="94"/>
        <v>1367274.1899999999</v>
      </c>
      <c r="M756" s="47"/>
      <c r="N756" s="839">
        <f t="shared" si="92"/>
        <v>0</v>
      </c>
    </row>
    <row r="757" spans="2:14" s="386" customFormat="1" ht="14.25">
      <c r="B757" s="17">
        <f t="shared" si="96"/>
        <v>13</v>
      </c>
      <c r="C757" s="1" t="s">
        <v>275</v>
      </c>
      <c r="D757" s="1" t="s">
        <v>276</v>
      </c>
      <c r="E757" s="17"/>
      <c r="F757" s="1081">
        <f>'WP II-I-1.1'!F262</f>
        <v>1359446.1699999999</v>
      </c>
      <c r="G757" s="893">
        <f>'WP II-I-1.1'!G262</f>
        <v>2244966.6100000003</v>
      </c>
      <c r="H757" s="893">
        <f>'WP II-I-1.1'!H262</f>
        <v>9773.869999999999</v>
      </c>
      <c r="I757" s="1082">
        <f>'WP II-I-1.1'!I262</f>
        <v>4.3799999999999999</v>
      </c>
      <c r="J757" s="290">
        <f t="shared" si="97"/>
        <v>3614191.0300000003</v>
      </c>
      <c r="K757" s="290"/>
      <c r="L757" s="18">
        <f t="shared" si="94"/>
        <v>2254744.8600000003</v>
      </c>
      <c r="M757" s="47"/>
      <c r="N757" s="839">
        <f t="shared" si="92"/>
        <v>0</v>
      </c>
    </row>
    <row r="758" spans="2:14" s="386" customFormat="1" ht="14.25">
      <c r="B758" s="17">
        <f t="shared" si="96"/>
        <v>14</v>
      </c>
      <c r="C758" s="1" t="s">
        <v>277</v>
      </c>
      <c r="D758" s="1" t="s">
        <v>276</v>
      </c>
      <c r="E758" s="17"/>
      <c r="F758" s="1083">
        <f>'WP II-I-1.1'!F263</f>
        <v>513.30999999999995</v>
      </c>
      <c r="G758" s="1084">
        <f>'WP II-I-1.1'!G263</f>
        <v>-10312.530000000001</v>
      </c>
      <c r="H758" s="1084">
        <f>'WP II-I-1.1'!H263</f>
        <v>409.06</v>
      </c>
      <c r="I758" s="1085">
        <f>'WP II-I-1.1'!I263</f>
        <v>14.720000000000001</v>
      </c>
      <c r="J758" s="290">
        <f t="shared" si="97"/>
        <v>-9375.4400000000023</v>
      </c>
      <c r="K758" s="290"/>
      <c r="L758" s="18">
        <f t="shared" si="94"/>
        <v>-9888.7500000000018</v>
      </c>
      <c r="M758" s="47"/>
      <c r="N758" s="839">
        <f t="shared" si="92"/>
        <v>0</v>
      </c>
    </row>
    <row r="759" spans="2:14" s="386" customFormat="1" ht="15" thickBot="1">
      <c r="B759" s="17">
        <f t="shared" si="96"/>
        <v>15</v>
      </c>
      <c r="C759" s="1"/>
      <c r="D759" s="1"/>
      <c r="E759" s="17"/>
      <c r="F759" s="893"/>
      <c r="G759" s="893"/>
      <c r="H759" s="893"/>
      <c r="I759" s="730"/>
      <c r="J759" s="24"/>
      <c r="K759" s="24"/>
      <c r="L759" s="1"/>
      <c r="M759" s="47"/>
      <c r="N759" s="839">
        <f t="shared" si="92"/>
        <v>0</v>
      </c>
    </row>
    <row r="760" spans="2:14" ht="15.75" thickBot="1">
      <c r="B760" s="17">
        <f t="shared" si="96"/>
        <v>16</v>
      </c>
      <c r="C760" s="284" t="s">
        <v>657</v>
      </c>
      <c r="D760" s="372"/>
      <c r="E760" s="316"/>
      <c r="F760" s="903">
        <f>SUM(F746:F758)</f>
        <v>115553079.69999999</v>
      </c>
      <c r="G760" s="903">
        <f>SUM(G746:G758)</f>
        <v>423126451.5800001</v>
      </c>
      <c r="H760" s="903">
        <f>SUM(H746:H758)</f>
        <v>50135758.619999997</v>
      </c>
      <c r="I760" s="903">
        <f>SUM(I746:I758)</f>
        <v>36701328.750000007</v>
      </c>
      <c r="J760" s="256">
        <f>SUM(F760:I760)</f>
        <v>625516618.6500001</v>
      </c>
      <c r="K760" s="252"/>
      <c r="L760" s="257">
        <f t="shared" si="94"/>
        <v>509963538.95000011</v>
      </c>
      <c r="M760" s="67"/>
      <c r="N760" s="839">
        <f t="shared" si="92"/>
        <v>0</v>
      </c>
    </row>
    <row r="761" spans="2:14" ht="15.75" thickBot="1">
      <c r="B761" s="17">
        <f t="shared" si="96"/>
        <v>17</v>
      </c>
      <c r="C761" s="870" t="s">
        <v>1402</v>
      </c>
      <c r="D761" s="867"/>
      <c r="E761" s="868"/>
      <c r="F761" s="961">
        <f>SUM(F746:F758)</f>
        <v>115553079.69999999</v>
      </c>
      <c r="G761" s="961">
        <f>SUM(G746:G758)-(0.727923*G753)</f>
        <v>421479825.80596453</v>
      </c>
      <c r="H761" s="961">
        <f>SUM(H746:H758)</f>
        <v>50135758.619999997</v>
      </c>
      <c r="I761" s="961">
        <f>SUM(I746:I758)</f>
        <v>36701328.750000007</v>
      </c>
      <c r="J761" s="1015">
        <f>SUM(F761:I761)</f>
        <v>623869992.87596452</v>
      </c>
      <c r="K761" s="22"/>
      <c r="L761" s="257">
        <f t="shared" si="94"/>
        <v>508316913.17596453</v>
      </c>
      <c r="M761" s="67"/>
      <c r="N761" s="839">
        <f t="shared" si="92"/>
        <v>0</v>
      </c>
    </row>
    <row r="762" spans="2:14" ht="15.75" thickBot="1">
      <c r="B762" s="17">
        <f t="shared" si="96"/>
        <v>18</v>
      </c>
      <c r="C762" s="284" t="s">
        <v>658</v>
      </c>
      <c r="D762" s="372"/>
      <c r="E762" s="316"/>
      <c r="F762" s="903">
        <f>+F760+F730</f>
        <v>243393419.97999999</v>
      </c>
      <c r="G762" s="903">
        <f>+G760+G730</f>
        <v>2390996883.98</v>
      </c>
      <c r="H762" s="903">
        <f>+H760+H730</f>
        <v>109170716.78</v>
      </c>
      <c r="I762" s="903">
        <f>+I760+I730</f>
        <v>50153807.960000008</v>
      </c>
      <c r="J762" s="256">
        <f>SUM(F762:I762)</f>
        <v>2793714828.7000003</v>
      </c>
      <c r="K762" s="252"/>
      <c r="L762" s="257">
        <f t="shared" si="94"/>
        <v>2550321408.7200003</v>
      </c>
      <c r="M762" s="67"/>
      <c r="N762" s="839">
        <f t="shared" si="92"/>
        <v>0</v>
      </c>
    </row>
    <row r="763" spans="2:14" ht="15.75" thickBot="1">
      <c r="B763" s="17">
        <f t="shared" si="96"/>
        <v>19</v>
      </c>
      <c r="C763" s="8"/>
      <c r="D763" s="8"/>
      <c r="E763" s="856"/>
      <c r="F763" s="896"/>
      <c r="G763" s="896"/>
      <c r="H763" s="896"/>
      <c r="I763" s="896"/>
      <c r="J763" s="8"/>
      <c r="K763" s="8"/>
      <c r="L763" s="22"/>
      <c r="M763" s="67"/>
      <c r="N763" s="839">
        <f t="shared" si="92"/>
        <v>0</v>
      </c>
    </row>
    <row r="764" spans="2:14" ht="15.75" thickBot="1">
      <c r="B764" s="17">
        <f t="shared" si="96"/>
        <v>20</v>
      </c>
      <c r="C764" s="284" t="s">
        <v>1403</v>
      </c>
      <c r="D764" s="372"/>
      <c r="E764" s="316"/>
      <c r="F764" s="903">
        <f>F762-F622</f>
        <v>243393419.97999999</v>
      </c>
      <c r="G764" s="903">
        <f>G762-G622-0.727923*G753</f>
        <v>736828236.76596463</v>
      </c>
      <c r="H764" s="903">
        <f>H762-H622</f>
        <v>109170716.78</v>
      </c>
      <c r="I764" s="903">
        <f>I762-I622</f>
        <v>50153807.960000008</v>
      </c>
      <c r="J764" s="256">
        <f>SUM(F764:I764)</f>
        <v>1139546181.4859648</v>
      </c>
      <c r="K764" s="252"/>
      <c r="L764" s="257">
        <f t="shared" si="94"/>
        <v>896152761.50596464</v>
      </c>
      <c r="M764" s="67"/>
      <c r="N764" s="839">
        <f t="shared" si="92"/>
        <v>0</v>
      </c>
    </row>
    <row r="765" spans="2:14" ht="14.25">
      <c r="B765" s="67"/>
      <c r="C765" s="67"/>
      <c r="D765" s="67"/>
      <c r="E765" s="67"/>
      <c r="F765" s="664"/>
      <c r="G765" s="664"/>
      <c r="H765" s="664"/>
      <c r="I765" s="664"/>
      <c r="J765" s="67"/>
      <c r="K765" s="47"/>
      <c r="L765" s="47"/>
      <c r="M765" s="67"/>
      <c r="N765" s="839">
        <f t="shared" si="98" ref="N765:N828">J765-L765-F765</f>
        <v>0</v>
      </c>
    </row>
    <row r="766" spans="2:14" ht="15">
      <c r="B766" s="874"/>
      <c r="C766" s="874"/>
      <c r="D766" s="874"/>
      <c r="E766" s="874"/>
      <c r="F766" s="874"/>
      <c r="G766" s="874"/>
      <c r="H766" s="874"/>
      <c r="I766" s="874"/>
      <c r="J766" s="874"/>
      <c r="K766" s="874"/>
      <c r="L766" s="874"/>
      <c r="M766" s="134" t="str">
        <f>$M$2</f>
        <v xml:space="preserve"> </v>
      </c>
      <c r="N766" s="839">
        <f t="shared" si="98"/>
        <v>0</v>
      </c>
    </row>
    <row r="767" spans="2:14" ht="15.75" thickBot="1">
      <c r="B767" s="874"/>
      <c r="C767" s="874"/>
      <c r="D767" s="874"/>
      <c r="E767" s="874"/>
      <c r="F767" s="874"/>
      <c r="G767" s="874"/>
      <c r="H767" s="874"/>
      <c r="I767" s="874"/>
      <c r="J767" s="874"/>
      <c r="K767" s="874"/>
      <c r="L767" s="874"/>
      <c r="M767" s="67"/>
      <c r="N767" s="839">
        <f t="shared" si="98"/>
        <v>0</v>
      </c>
    </row>
    <row r="768" spans="2:14" ht="15">
      <c r="B768" s="920" t="str">
        <f>$B$4</f>
        <v>2022 RATE CASE</v>
      </c>
      <c r="C768" s="926"/>
      <c r="D768" s="927"/>
      <c r="E768" s="874"/>
      <c r="F768" s="874"/>
      <c r="G768" s="874"/>
      <c r="H768" s="874"/>
      <c r="I768" s="874"/>
      <c r="J768" s="874"/>
      <c r="K768" s="874"/>
      <c r="L768" s="874"/>
      <c r="N768" s="839">
        <f t="shared" si="98"/>
        <v>0</v>
      </c>
    </row>
    <row r="769" spans="2:14" ht="15">
      <c r="B769" s="917" t="str">
        <f>$B$5</f>
        <v>ONCOR ELECTRIC DELIVERY COMPANY LLC</v>
      </c>
      <c r="C769" s="369"/>
      <c r="D769" s="928"/>
      <c r="E769" s="874"/>
      <c r="F769" s="874"/>
      <c r="G769" s="874"/>
      <c r="H769" s="874"/>
      <c r="I769" s="874"/>
      <c r="J769" s="874"/>
      <c r="K769" s="874"/>
      <c r="L769" s="874"/>
      <c r="M769" s="67"/>
      <c r="N769" s="839">
        <f t="shared" si="98"/>
        <v>0</v>
      </c>
    </row>
    <row r="770" spans="2:14" ht="15">
      <c r="B770" s="406" t="str">
        <f>$B$6</f>
        <v>CONSOLIDATED FUNCTIONALIZED COST OF SERVICE</v>
      </c>
      <c r="C770" s="369"/>
      <c r="D770" s="928"/>
      <c r="E770" s="874"/>
      <c r="F770" s="874"/>
      <c r="G770" s="874"/>
      <c r="H770" s="874"/>
      <c r="I770" s="874"/>
      <c r="J770" s="874"/>
      <c r="K770" s="874"/>
      <c r="L770" s="874"/>
      <c r="M770" s="67"/>
      <c r="N770" s="839">
        <f t="shared" si="98"/>
        <v>0</v>
      </c>
    </row>
    <row r="771" spans="2:14" ht="15">
      <c r="B771" s="406" t="str">
        <f>$B$7</f>
        <v>TEST YEAR ENDING 12/31/2021</v>
      </c>
      <c r="C771" s="369"/>
      <c r="D771" s="928"/>
      <c r="E771" s="369"/>
      <c r="F771" s="369"/>
      <c r="G771" s="369"/>
      <c r="H771" s="369"/>
      <c r="I771" s="369"/>
      <c r="J771" s="369"/>
      <c r="K771" s="369"/>
      <c r="L771" s="369"/>
      <c r="M771" s="67"/>
      <c r="N771" s="839">
        <f t="shared" si="98"/>
        <v>0</v>
      </c>
    </row>
    <row r="772" spans="2:14" ht="15">
      <c r="B772" s="406" t="str">
        <f>$B$8</f>
        <v>SPONSOR:  MATTHEW A. TROXLE</v>
      </c>
      <c r="C772" s="369"/>
      <c r="D772" s="928"/>
      <c r="E772" s="369"/>
      <c r="F772" s="369"/>
      <c r="G772" s="369"/>
      <c r="H772" s="369"/>
      <c r="I772" s="369"/>
      <c r="J772" s="369"/>
      <c r="K772" s="369"/>
      <c r="L772" s="369"/>
      <c r="M772" s="67"/>
      <c r="N772" s="839">
        <f t="shared" si="98"/>
        <v>0</v>
      </c>
    </row>
    <row r="773" spans="2:14" ht="15.75" thickBot="1">
      <c r="B773" s="410"/>
      <c r="C773" s="931"/>
      <c r="D773" s="932"/>
      <c r="E773" s="369"/>
      <c r="F773" s="369"/>
      <c r="G773" s="369"/>
      <c r="H773" s="369"/>
      <c r="I773" s="369"/>
      <c r="J773" s="369"/>
      <c r="K773" s="369"/>
      <c r="L773" s="369"/>
      <c r="M773" s="67"/>
      <c r="N773" s="839">
        <f t="shared" si="98"/>
        <v>0</v>
      </c>
    </row>
    <row r="774" spans="2:14" ht="14.25">
      <c r="B774" s="13"/>
      <c r="C774" s="14"/>
      <c r="D774" s="14"/>
      <c r="E774" s="14"/>
      <c r="F774" s="1099" t="s">
        <v>6</v>
      </c>
      <c r="G774" s="738" t="s">
        <v>7</v>
      </c>
      <c r="H774" s="738" t="s">
        <v>8</v>
      </c>
      <c r="I774" s="952" t="s">
        <v>9</v>
      </c>
      <c r="J774" s="13" t="s">
        <v>10</v>
      </c>
      <c r="K774" s="17"/>
      <c r="L774" s="139" t="s">
        <v>966</v>
      </c>
      <c r="M774" s="67"/>
      <c r="N774" s="839"/>
    </row>
    <row r="775" spans="2:14" ht="15">
      <c r="B775" s="15" t="s">
        <v>2</v>
      </c>
      <c r="C775" s="15" t="s">
        <v>370</v>
      </c>
      <c r="D775" s="287" t="s">
        <v>659</v>
      </c>
      <c r="E775" s="15" t="s">
        <v>371</v>
      </c>
      <c r="F775" s="744"/>
      <c r="G775" s="743"/>
      <c r="H775" s="743"/>
      <c r="I775" s="743"/>
      <c r="J775" s="15"/>
      <c r="K775" s="17"/>
      <c r="L775" s="97" t="s">
        <v>967</v>
      </c>
      <c r="M775" s="67"/>
      <c r="N775" s="839"/>
    </row>
    <row r="776" spans="2:14" ht="14.25">
      <c r="B776" s="15"/>
      <c r="C776" s="15"/>
      <c r="D776" s="15"/>
      <c r="E776" s="15"/>
      <c r="F776" s="744"/>
      <c r="G776" s="743"/>
      <c r="H776" s="743"/>
      <c r="I776" s="743"/>
      <c r="J776" s="15"/>
      <c r="K776" s="17"/>
      <c r="L776" s="97"/>
      <c r="M776" s="67"/>
      <c r="N776" s="839"/>
    </row>
    <row r="777" spans="2:14" ht="15" thickBot="1">
      <c r="B777" s="16"/>
      <c r="C777" s="16" t="s">
        <v>13</v>
      </c>
      <c r="D777" s="16" t="s">
        <v>14</v>
      </c>
      <c r="E777" s="16" t="s">
        <v>15</v>
      </c>
      <c r="F777" s="747" t="s">
        <v>16</v>
      </c>
      <c r="G777" s="747" t="s">
        <v>17</v>
      </c>
      <c r="H777" s="747" t="s">
        <v>18</v>
      </c>
      <c r="I777" s="747" t="s">
        <v>21</v>
      </c>
      <c r="J777" s="16" t="s">
        <v>22</v>
      </c>
      <c r="K777" s="17"/>
      <c r="L777" s="1125" t="s">
        <v>418</v>
      </c>
      <c r="M777" s="67"/>
      <c r="N777" s="839"/>
    </row>
    <row r="778" spans="2:14" ht="14.25">
      <c r="B778" s="67"/>
      <c r="C778" s="100"/>
      <c r="D778" s="100"/>
      <c r="E778" s="315"/>
      <c r="F778" s="757"/>
      <c r="G778" s="757"/>
      <c r="H778" s="730"/>
      <c r="I778" s="730"/>
      <c r="J778" s="1"/>
      <c r="K778" s="1"/>
      <c r="L778" s="1"/>
      <c r="M778" s="67"/>
      <c r="N778" s="839">
        <f t="shared" si="98"/>
        <v>0</v>
      </c>
    </row>
    <row r="779" spans="2:14" ht="15">
      <c r="B779" s="17">
        <f t="shared" si="99" ref="B779:B803">B778+1</f>
        <v>1</v>
      </c>
      <c r="C779" s="8" t="s">
        <v>659</v>
      </c>
      <c r="D779" s="1"/>
      <c r="E779" s="20"/>
      <c r="F779" s="894"/>
      <c r="G779" s="730"/>
      <c r="H779" s="730"/>
      <c r="I779" s="730"/>
      <c r="J779" s="1"/>
      <c r="K779" s="1"/>
      <c r="L779" s="1"/>
      <c r="M779" s="67"/>
      <c r="N779" s="839">
        <f t="shared" si="98"/>
        <v>0</v>
      </c>
    </row>
    <row r="780" spans="2:14" ht="15">
      <c r="B780" s="17">
        <f t="shared" si="99"/>
        <v>2</v>
      </c>
      <c r="C780" s="8"/>
      <c r="D780" s="366" t="s">
        <v>660</v>
      </c>
      <c r="E780" s="20" t="s">
        <v>279</v>
      </c>
      <c r="F780" s="896"/>
      <c r="G780" s="8"/>
      <c r="H780" s="8"/>
      <c r="I780" s="8"/>
      <c r="J780" s="8"/>
      <c r="K780" s="8"/>
      <c r="L780" s="8"/>
      <c r="M780" s="67"/>
      <c r="N780" s="839">
        <f t="shared" si="98"/>
        <v>0</v>
      </c>
    </row>
    <row r="781" spans="2:14" s="386" customFormat="1" ht="14.25">
      <c r="B781" s="17">
        <f t="shared" si="99"/>
        <v>3</v>
      </c>
      <c r="C781" s="1" t="s">
        <v>161</v>
      </c>
      <c r="D781" s="1" t="s">
        <v>162</v>
      </c>
      <c r="E781" s="17"/>
      <c r="F781" s="1087">
        <f>'WP II-I-1.1'!F267</f>
        <v>3890104.77</v>
      </c>
      <c r="G781" s="1089">
        <f>'WP II-I-1.1'!G267</f>
        <v>48772.730000000003</v>
      </c>
      <c r="H781" s="1089">
        <f>'WP II-I-1.1'!H267</f>
        <v>0</v>
      </c>
      <c r="I781" s="1090">
        <f>'WP II-I-1.1'!I267</f>
        <v>0</v>
      </c>
      <c r="J781" s="290">
        <f t="shared" si="100" ref="J781:J789">SUM(F781:I781)</f>
        <v>3938877.5</v>
      </c>
      <c r="K781" s="290"/>
      <c r="L781" s="18">
        <f t="shared" si="101" ref="L781:L841">SUM(G781:I781)</f>
        <v>48772.730000000003</v>
      </c>
      <c r="M781" s="47"/>
      <c r="N781" s="839">
        <f t="shared" si="98"/>
        <v>0</v>
      </c>
    </row>
    <row r="782" spans="2:14" s="386" customFormat="1" ht="14.25">
      <c r="B782" s="17">
        <f t="shared" si="99"/>
        <v>4</v>
      </c>
      <c r="C782" s="1" t="s">
        <v>163</v>
      </c>
      <c r="D782" s="1" t="s">
        <v>164</v>
      </c>
      <c r="E782" s="17"/>
      <c r="F782" s="1081">
        <f>'WP II-I-1.1'!F268</f>
        <v>11421317.99</v>
      </c>
      <c r="G782" s="893">
        <f>'WP II-I-1.1'!G268</f>
        <v>0</v>
      </c>
      <c r="H782" s="893">
        <f>'WP II-I-1.1'!H268</f>
        <v>0</v>
      </c>
      <c r="I782" s="1082">
        <f>'WP II-I-1.1'!I268</f>
        <v>0</v>
      </c>
      <c r="J782" s="290">
        <f t="shared" si="100"/>
        <v>11421317.99</v>
      </c>
      <c r="K782" s="290"/>
      <c r="L782" s="18">
        <f t="shared" si="101"/>
        <v>0</v>
      </c>
      <c r="M782" s="47"/>
      <c r="N782" s="839">
        <f t="shared" si="98"/>
        <v>0</v>
      </c>
    </row>
    <row r="783" spans="2:14" s="386" customFormat="1" ht="14.25">
      <c r="B783" s="17">
        <f t="shared" si="99"/>
        <v>5</v>
      </c>
      <c r="C783" s="1" t="s">
        <v>165</v>
      </c>
      <c r="D783" s="1" t="s">
        <v>166</v>
      </c>
      <c r="E783" s="17"/>
      <c r="F783" s="1081">
        <f>'WP II-I-1.1'!F269</f>
        <v>1371647.5800000001</v>
      </c>
      <c r="G783" s="893">
        <f>'WP II-I-1.1'!G269</f>
        <v>428931.78000000003</v>
      </c>
      <c r="H783" s="893">
        <f>'WP II-I-1.1'!H269</f>
        <v>0</v>
      </c>
      <c r="I783" s="1082">
        <f>'WP II-I-1.1'!I269</f>
        <v>0</v>
      </c>
      <c r="J783" s="290">
        <f t="shared" si="100"/>
        <v>1800579.3600000001</v>
      </c>
      <c r="K783" s="290"/>
      <c r="L783" s="18">
        <f t="shared" si="101"/>
        <v>428931.78000000003</v>
      </c>
      <c r="M783" s="47"/>
      <c r="N783" s="839">
        <f t="shared" si="98"/>
        <v>0</v>
      </c>
    </row>
    <row r="784" spans="2:14" s="386" customFormat="1" ht="14.25">
      <c r="B784" s="17">
        <f t="shared" si="99"/>
        <v>6</v>
      </c>
      <c r="C784" s="1" t="s">
        <v>167</v>
      </c>
      <c r="D784" s="1" t="s">
        <v>168</v>
      </c>
      <c r="E784" s="17"/>
      <c r="F784" s="1081">
        <f>'WP II-I-1.1'!F270</f>
        <v>772667.79000000004</v>
      </c>
      <c r="G784" s="893">
        <f>'WP II-I-1.1'!G270</f>
        <v>0</v>
      </c>
      <c r="H784" s="893">
        <f>'WP II-I-1.1'!H270</f>
        <v>0</v>
      </c>
      <c r="I784" s="1082">
        <f>'WP II-I-1.1'!I270</f>
        <v>0</v>
      </c>
      <c r="J784" s="290">
        <f t="shared" si="100"/>
        <v>772667.79000000004</v>
      </c>
      <c r="K784" s="290"/>
      <c r="L784" s="18">
        <f t="shared" si="101"/>
        <v>0</v>
      </c>
      <c r="M784" s="47"/>
      <c r="N784" s="839">
        <f t="shared" si="98"/>
        <v>0</v>
      </c>
    </row>
    <row r="785" spans="2:14" s="386" customFormat="1" ht="14.25">
      <c r="B785" s="17">
        <f t="shared" si="99"/>
        <v>7</v>
      </c>
      <c r="C785" s="1" t="s">
        <v>169</v>
      </c>
      <c r="D785" s="1" t="s">
        <v>170</v>
      </c>
      <c r="E785" s="17"/>
      <c r="F785" s="1081">
        <f>'WP II-I-1.1'!F271</f>
        <v>0</v>
      </c>
      <c r="G785" s="893">
        <f>'WP II-I-1.1'!G271</f>
        <v>0</v>
      </c>
      <c r="H785" s="893">
        <f>'WP II-I-1.1'!H271</f>
        <v>0</v>
      </c>
      <c r="I785" s="1082">
        <f>'WP II-I-1.1'!I271</f>
        <v>0</v>
      </c>
      <c r="J785" s="290">
        <f t="shared" si="100"/>
        <v>0</v>
      </c>
      <c r="K785" s="290"/>
      <c r="L785" s="18">
        <f t="shared" si="101"/>
        <v>0</v>
      </c>
      <c r="M785" s="47"/>
      <c r="N785" s="839">
        <f t="shared" si="98"/>
        <v>0</v>
      </c>
    </row>
    <row r="786" spans="2:14" s="386" customFormat="1" ht="15">
      <c r="B786" s="17">
        <f t="shared" si="99"/>
        <v>8</v>
      </c>
      <c r="C786" s="1" t="s">
        <v>171</v>
      </c>
      <c r="D786" s="31" t="s">
        <v>172</v>
      </c>
      <c r="E786" s="856"/>
      <c r="F786" s="1176">
        <f>'WP II-I-1.1'!F272</f>
        <v>0</v>
      </c>
      <c r="G786" s="895">
        <f>'WP II-I-1.1'!G272</f>
        <v>0</v>
      </c>
      <c r="H786" s="895">
        <f>'WP II-I-1.1'!H272</f>
        <v>0</v>
      </c>
      <c r="I786" s="1177">
        <f>'WP II-I-1.1'!I272</f>
        <v>0</v>
      </c>
      <c r="J786" s="300">
        <f t="shared" si="100"/>
        <v>0</v>
      </c>
      <c r="K786" s="300"/>
      <c r="L786" s="21">
        <f t="shared" si="101"/>
        <v>0</v>
      </c>
      <c r="M786" s="147"/>
      <c r="N786" s="839">
        <f t="shared" si="98"/>
        <v>0</v>
      </c>
    </row>
    <row r="787" spans="2:14" s="386" customFormat="1" ht="14.25">
      <c r="B787" s="17">
        <f t="shared" si="99"/>
        <v>9</v>
      </c>
      <c r="C787" s="1" t="s">
        <v>173</v>
      </c>
      <c r="D787" s="31" t="s">
        <v>174</v>
      </c>
      <c r="E787" s="17"/>
      <c r="F787" s="1081">
        <f>'WP II-I-1.1'!F273</f>
        <v>20589564.760000002</v>
      </c>
      <c r="G787" s="893">
        <f>'WP II-I-1.1'!G273</f>
        <v>152607.32000000001</v>
      </c>
      <c r="H787" s="893">
        <f>'WP II-I-1.1'!H273</f>
        <v>0</v>
      </c>
      <c r="I787" s="1082">
        <f>'WP II-I-1.1'!I273</f>
        <v>0</v>
      </c>
      <c r="J787" s="290">
        <f t="shared" si="100"/>
        <v>20742172.080000002</v>
      </c>
      <c r="K787" s="290"/>
      <c r="L787" s="18">
        <f t="shared" si="101"/>
        <v>152607.32000000001</v>
      </c>
      <c r="M787" s="47"/>
      <c r="N787" s="839">
        <f t="shared" si="98"/>
        <v>0</v>
      </c>
    </row>
    <row r="788" spans="2:14" s="386" customFormat="1" ht="16.5">
      <c r="B788" s="17">
        <f t="shared" si="99"/>
        <v>10</v>
      </c>
      <c r="C788" s="1" t="s">
        <v>175</v>
      </c>
      <c r="D788" s="1" t="s">
        <v>176</v>
      </c>
      <c r="E788" s="17"/>
      <c r="F788" s="1083">
        <f>'WP II-I-1.1'!F274</f>
        <v>0</v>
      </c>
      <c r="G788" s="1084">
        <f>'WP II-I-1.1'!G274</f>
        <v>0</v>
      </c>
      <c r="H788" s="1084">
        <f>'WP II-I-1.1'!H274</f>
        <v>0</v>
      </c>
      <c r="I788" s="1085">
        <f>'WP II-I-1.1'!I274</f>
        <v>0</v>
      </c>
      <c r="J788" s="302">
        <f t="shared" si="100"/>
        <v>0</v>
      </c>
      <c r="K788" s="302"/>
      <c r="L788" s="296">
        <f t="shared" si="101"/>
        <v>0</v>
      </c>
      <c r="M788" s="47"/>
      <c r="N788" s="839">
        <f t="shared" si="98"/>
        <v>0</v>
      </c>
    </row>
    <row r="789" spans="2:14" ht="15">
      <c r="B789" s="17">
        <f t="shared" si="99"/>
        <v>11</v>
      </c>
      <c r="C789" s="8"/>
      <c r="D789" s="26" t="s">
        <v>491</v>
      </c>
      <c r="E789" s="20"/>
      <c r="F789" s="896">
        <f>SUM(F781:F788)</f>
        <v>38045302.890000001</v>
      </c>
      <c r="G789" s="896">
        <f>SUM(G781:G788)</f>
        <v>630311.83000000007</v>
      </c>
      <c r="H789" s="896">
        <f>SUM(H781:H788)</f>
        <v>0</v>
      </c>
      <c r="I789" s="896">
        <f>SUM(I781:I788)</f>
        <v>0</v>
      </c>
      <c r="J789" s="300">
        <f t="shared" si="100"/>
        <v>38675614.719999999</v>
      </c>
      <c r="K789" s="300"/>
      <c r="L789" s="896">
        <f t="shared" si="101"/>
        <v>630311.83000000007</v>
      </c>
      <c r="M789" s="67"/>
      <c r="N789" s="839">
        <f t="shared" si="98"/>
        <v>0</v>
      </c>
    </row>
    <row r="790" spans="2:14" ht="14.25">
      <c r="B790" s="17">
        <f t="shared" si="99"/>
        <v>12</v>
      </c>
      <c r="C790" s="1"/>
      <c r="D790" s="1"/>
      <c r="E790" s="17"/>
      <c r="F790" s="894"/>
      <c r="G790" s="894"/>
      <c r="H790" s="894"/>
      <c r="I790" s="894"/>
      <c r="J790" s="1"/>
      <c r="K790" s="1"/>
      <c r="L790" s="19"/>
      <c r="M790" s="67"/>
      <c r="N790" s="839">
        <f t="shared" si="98"/>
        <v>0</v>
      </c>
    </row>
    <row r="791" spans="2:14" ht="15">
      <c r="B791" s="17">
        <f t="shared" si="99"/>
        <v>13</v>
      </c>
      <c r="C791" s="8"/>
      <c r="D791" s="26" t="s">
        <v>661</v>
      </c>
      <c r="E791" s="20"/>
      <c r="F791" s="896">
        <f>SUM(F782:F788)</f>
        <v>34155198.120000005</v>
      </c>
      <c r="G791" s="896">
        <f>SUM(G782:G788)</f>
        <v>581539.10000000009</v>
      </c>
      <c r="H791" s="896">
        <f>SUM(H782:H788)</f>
        <v>0</v>
      </c>
      <c r="I791" s="896">
        <f>SUM(I782:I788)</f>
        <v>0</v>
      </c>
      <c r="J791" s="300">
        <f>SUM(F791:I791)</f>
        <v>34736737.220000006</v>
      </c>
      <c r="K791" s="300"/>
      <c r="L791" s="22">
        <f t="shared" si="101"/>
        <v>581539.10000000009</v>
      </c>
      <c r="M791" s="67"/>
      <c r="N791" s="839">
        <f t="shared" si="98"/>
        <v>0</v>
      </c>
    </row>
    <row r="792" spans="2:14" ht="14.25">
      <c r="B792" s="17">
        <f t="shared" si="99"/>
        <v>14</v>
      </c>
      <c r="C792" s="1"/>
      <c r="D792" s="1"/>
      <c r="E792" s="17"/>
      <c r="F792" s="894"/>
      <c r="G792" s="894"/>
      <c r="H792" s="894"/>
      <c r="I792" s="894"/>
      <c r="J792" s="1"/>
      <c r="K792" s="1"/>
      <c r="L792" s="19"/>
      <c r="M792" s="67"/>
      <c r="N792" s="839">
        <f t="shared" si="98"/>
        <v>0</v>
      </c>
    </row>
    <row r="793" spans="2:14" ht="15">
      <c r="B793" s="17">
        <f t="shared" si="99"/>
        <v>15</v>
      </c>
      <c r="C793" s="8"/>
      <c r="D793" s="366" t="s">
        <v>662</v>
      </c>
      <c r="E793" s="20" t="s">
        <v>279</v>
      </c>
      <c r="F793" s="896"/>
      <c r="G793" s="896"/>
      <c r="H793" s="896"/>
      <c r="I793" s="896"/>
      <c r="J793" s="8"/>
      <c r="K793" s="8"/>
      <c r="L793" s="22"/>
      <c r="M793" s="67"/>
      <c r="N793" s="839">
        <f t="shared" si="98"/>
        <v>0</v>
      </c>
    </row>
    <row r="794" spans="2:14" s="386" customFormat="1" ht="14.25">
      <c r="B794" s="17">
        <f t="shared" si="99"/>
        <v>16</v>
      </c>
      <c r="C794" s="1" t="s">
        <v>178</v>
      </c>
      <c r="D794" s="1" t="s">
        <v>179</v>
      </c>
      <c r="E794" s="17"/>
      <c r="F794" s="1087">
        <f>'WP II-I-1.1'!F276</f>
        <v>468645.34000000003</v>
      </c>
      <c r="G794" s="1089">
        <f>'WP II-I-1.1'!G276</f>
        <v>85793.720000000001</v>
      </c>
      <c r="H794" s="1089">
        <f>'WP II-I-1.1'!H276</f>
        <v>0</v>
      </c>
      <c r="I794" s="1090">
        <f>'WP II-I-1.1'!I276</f>
        <v>0</v>
      </c>
      <c r="J794" s="290">
        <f t="shared" si="102" ref="J794:J800">SUM(F794:I794)</f>
        <v>554439.06000000006</v>
      </c>
      <c r="K794" s="290"/>
      <c r="L794" s="18">
        <f t="shared" si="101"/>
        <v>85793.720000000001</v>
      </c>
      <c r="M794" s="47"/>
      <c r="N794" s="839">
        <f t="shared" si="98"/>
        <v>0</v>
      </c>
    </row>
    <row r="795" spans="2:14" s="386" customFormat="1" ht="14.25">
      <c r="B795" s="17">
        <f t="shared" si="99"/>
        <v>17</v>
      </c>
      <c r="C795" s="1" t="s">
        <v>180</v>
      </c>
      <c r="D795" s="31" t="s">
        <v>181</v>
      </c>
      <c r="E795" s="17"/>
      <c r="F795" s="1081">
        <f>'WP II-I-1.1'!F277</f>
        <v>0</v>
      </c>
      <c r="G795" s="893">
        <f>'WP II-I-1.1'!G277</f>
        <v>0</v>
      </c>
      <c r="H795" s="893">
        <f>'WP II-I-1.1'!H277</f>
        <v>0</v>
      </c>
      <c r="I795" s="1082">
        <f>'WP II-I-1.1'!I277</f>
        <v>0</v>
      </c>
      <c r="J795" s="290">
        <f t="shared" si="102"/>
        <v>0</v>
      </c>
      <c r="K795" s="290"/>
      <c r="L795" s="18">
        <f t="shared" si="101"/>
        <v>0</v>
      </c>
      <c r="M795" s="47"/>
      <c r="N795" s="839">
        <f t="shared" si="98"/>
        <v>0</v>
      </c>
    </row>
    <row r="796" spans="2:14" s="386" customFormat="1" ht="14.25">
      <c r="B796" s="17">
        <f t="shared" si="99"/>
        <v>18</v>
      </c>
      <c r="C796" s="1" t="s">
        <v>182</v>
      </c>
      <c r="D796" s="1" t="s">
        <v>183</v>
      </c>
      <c r="E796" s="17"/>
      <c r="F796" s="1081">
        <f>'WP II-I-1.1'!F278</f>
        <v>3079542.52</v>
      </c>
      <c r="G796" s="893">
        <f>'WP II-I-1.1'!G278</f>
        <v>70648.929999999993</v>
      </c>
      <c r="H796" s="893">
        <f>'WP II-I-1.1'!H278</f>
        <v>0</v>
      </c>
      <c r="I796" s="1082">
        <f>'WP II-I-1.1'!I278</f>
        <v>0</v>
      </c>
      <c r="J796" s="290">
        <f t="shared" si="102"/>
        <v>3150191.4500000002</v>
      </c>
      <c r="K796" s="290"/>
      <c r="L796" s="18">
        <f t="shared" si="101"/>
        <v>70648.929999999993</v>
      </c>
      <c r="M796" s="47"/>
      <c r="N796" s="839">
        <f t="shared" si="98"/>
        <v>0</v>
      </c>
    </row>
    <row r="797" spans="2:14" s="386" customFormat="1" ht="14.25">
      <c r="B797" s="17">
        <f t="shared" si="99"/>
        <v>19</v>
      </c>
      <c r="C797" s="1" t="s">
        <v>184</v>
      </c>
      <c r="D797" s="1" t="s">
        <v>185</v>
      </c>
      <c r="E797" s="17"/>
      <c r="F797" s="1081">
        <f>'WP II-I-1.1'!F279</f>
        <v>2762976.1299999999</v>
      </c>
      <c r="G797" s="893">
        <f>'WP II-I-1.1'!G279</f>
        <v>4236.9099999999999</v>
      </c>
      <c r="H797" s="893">
        <f>'WP II-I-1.1'!H279</f>
        <v>0</v>
      </c>
      <c r="I797" s="1082">
        <f>'WP II-I-1.1'!I279</f>
        <v>0</v>
      </c>
      <c r="J797" s="290">
        <f t="shared" si="102"/>
        <v>2767213.04</v>
      </c>
      <c r="K797" s="290"/>
      <c r="L797" s="18">
        <f t="shared" si="101"/>
        <v>4236.9099999999999</v>
      </c>
      <c r="M797" s="47"/>
      <c r="N797" s="839">
        <f t="shared" si="98"/>
        <v>0</v>
      </c>
    </row>
    <row r="798" spans="2:14" s="386" customFormat="1" ht="14.25">
      <c r="B798" s="17">
        <f t="shared" si="99"/>
        <v>20</v>
      </c>
      <c r="C798" s="1" t="s">
        <v>186</v>
      </c>
      <c r="D798" s="31" t="s">
        <v>187</v>
      </c>
      <c r="E798" s="17"/>
      <c r="F798" s="1081">
        <f>'WP II-I-1.1'!F280</f>
        <v>0</v>
      </c>
      <c r="G798" s="893">
        <f>'WP II-I-1.1'!G280</f>
        <v>0</v>
      </c>
      <c r="H798" s="893">
        <f>'WP II-I-1.1'!H280</f>
        <v>0</v>
      </c>
      <c r="I798" s="1082">
        <f>'WP II-I-1.1'!I280</f>
        <v>0</v>
      </c>
      <c r="J798" s="290">
        <f t="shared" si="102"/>
        <v>0</v>
      </c>
      <c r="K798" s="290"/>
      <c r="L798" s="18">
        <f t="shared" si="101"/>
        <v>0</v>
      </c>
      <c r="M798" s="47"/>
      <c r="N798" s="839">
        <f t="shared" si="98"/>
        <v>0</v>
      </c>
    </row>
    <row r="799" spans="2:14" s="386" customFormat="1" ht="16.5">
      <c r="B799" s="17">
        <f t="shared" si="99"/>
        <v>21</v>
      </c>
      <c r="C799" s="1" t="s">
        <v>188</v>
      </c>
      <c r="D799" s="31" t="s">
        <v>189</v>
      </c>
      <c r="E799" s="17"/>
      <c r="F799" s="1083">
        <f>'WP II-I-1.1'!F281</f>
        <v>17473.259999999998</v>
      </c>
      <c r="G799" s="1084">
        <f>'WP II-I-1.1'!G281</f>
        <v>1299.9400000000001</v>
      </c>
      <c r="H799" s="1084">
        <f>'WP II-I-1.1'!H281</f>
        <v>0</v>
      </c>
      <c r="I799" s="1085">
        <f>'WP II-I-1.1'!I281</f>
        <v>0</v>
      </c>
      <c r="J799" s="302">
        <f t="shared" si="102"/>
        <v>18773.199999999997</v>
      </c>
      <c r="K799" s="302"/>
      <c r="L799" s="296">
        <f t="shared" si="101"/>
        <v>1299.9400000000001</v>
      </c>
      <c r="M799" s="47"/>
      <c r="N799" s="839">
        <f t="shared" si="98"/>
        <v>0</v>
      </c>
    </row>
    <row r="800" spans="2:14" ht="15">
      <c r="B800" s="17">
        <f t="shared" si="99"/>
        <v>22</v>
      </c>
      <c r="C800" s="8"/>
      <c r="D800" s="26" t="s">
        <v>491</v>
      </c>
      <c r="E800" s="20"/>
      <c r="F800" s="896">
        <f>SUM(F794:F799)</f>
        <v>6328637.25</v>
      </c>
      <c r="G800" s="896">
        <f>SUM(G794:G799)</f>
        <v>161979.5</v>
      </c>
      <c r="H800" s="896">
        <f>SUM(H794:H799)</f>
        <v>0</v>
      </c>
      <c r="I800" s="896">
        <f>SUM(I794:I799)</f>
        <v>0</v>
      </c>
      <c r="J800" s="300">
        <f t="shared" si="102"/>
        <v>6490616.75</v>
      </c>
      <c r="K800" s="300"/>
      <c r="L800" s="22">
        <f t="shared" si="101"/>
        <v>161979.5</v>
      </c>
      <c r="M800" s="67"/>
      <c r="N800" s="839">
        <f t="shared" si="98"/>
        <v>0</v>
      </c>
    </row>
    <row r="801" spans="2:14" ht="14.25">
      <c r="B801" s="17">
        <f t="shared" si="99"/>
        <v>23</v>
      </c>
      <c r="C801" s="1"/>
      <c r="D801" s="1"/>
      <c r="E801" s="17"/>
      <c r="F801" s="894"/>
      <c r="G801" s="894"/>
      <c r="H801" s="894"/>
      <c r="I801" s="894"/>
      <c r="J801" s="1"/>
      <c r="K801" s="1"/>
      <c r="L801" s="19"/>
      <c r="M801" s="67"/>
      <c r="N801" s="839">
        <f t="shared" si="98"/>
        <v>0</v>
      </c>
    </row>
    <row r="802" spans="2:14" ht="15">
      <c r="B802" s="17">
        <f t="shared" si="99"/>
        <v>24</v>
      </c>
      <c r="C802" s="8"/>
      <c r="D802" s="26" t="s">
        <v>663</v>
      </c>
      <c r="E802" s="20"/>
      <c r="F802" s="896">
        <f>SUM(F795:F799)</f>
        <v>5859991.9100000001</v>
      </c>
      <c r="G802" s="896">
        <f>SUM(G795:G799)</f>
        <v>76185.779999999999</v>
      </c>
      <c r="H802" s="896">
        <f>SUM(H795:H799)</f>
        <v>0</v>
      </c>
      <c r="I802" s="896">
        <f>SUM(I795:I799)</f>
        <v>0</v>
      </c>
      <c r="J802" s="300">
        <f>SUM(F802:I802)</f>
        <v>5936177.6900000004</v>
      </c>
      <c r="K802" s="300"/>
      <c r="L802" s="22">
        <f t="shared" si="101"/>
        <v>76185.779999999999</v>
      </c>
      <c r="M802" s="67"/>
      <c r="N802" s="839">
        <f t="shared" si="98"/>
        <v>0</v>
      </c>
    </row>
    <row r="803" spans="2:14" ht="15" thickBot="1">
      <c r="B803" s="17">
        <f t="shared" si="99"/>
        <v>25</v>
      </c>
      <c r="C803" s="1"/>
      <c r="D803" s="1"/>
      <c r="E803" s="17"/>
      <c r="F803" s="894"/>
      <c r="G803" s="894"/>
      <c r="H803" s="894"/>
      <c r="I803" s="894"/>
      <c r="J803" s="1"/>
      <c r="K803" s="1"/>
      <c r="L803" s="19"/>
      <c r="M803" s="67"/>
      <c r="N803" s="839">
        <f t="shared" si="98"/>
        <v>0</v>
      </c>
    </row>
    <row r="804" spans="2:14" ht="15.75" thickBot="1">
      <c r="B804" s="17">
        <f>B801+1</f>
        <v>24</v>
      </c>
      <c r="C804" s="870" t="s">
        <v>664</v>
      </c>
      <c r="D804" s="1017"/>
      <c r="E804" s="1013"/>
      <c r="F804" s="1014">
        <f>+F800+F789</f>
        <v>44373940.140000001</v>
      </c>
      <c r="G804" s="1014">
        <f>+G800+G789</f>
        <v>792291.33000000007</v>
      </c>
      <c r="H804" s="1014">
        <f>+H800+H789</f>
        <v>0</v>
      </c>
      <c r="I804" s="1014">
        <f>+I800+I789</f>
        <v>0</v>
      </c>
      <c r="J804" s="1015">
        <f>SUM(F804:I804)</f>
        <v>45166231.469999999</v>
      </c>
      <c r="K804" s="300"/>
      <c r="L804" s="896">
        <f t="shared" si="101"/>
        <v>792291.33000000007</v>
      </c>
      <c r="M804" s="67"/>
      <c r="N804" s="839">
        <f t="shared" si="98"/>
        <v>0</v>
      </c>
    </row>
    <row r="805" spans="2:14" ht="14.25">
      <c r="B805" s="17"/>
      <c r="C805" s="1"/>
      <c r="D805" s="1"/>
      <c r="E805" s="17"/>
      <c r="F805" s="894"/>
      <c r="G805" s="730"/>
      <c r="H805" s="730"/>
      <c r="I805" s="730"/>
      <c r="J805" s="1"/>
      <c r="K805" s="1"/>
      <c r="L805" s="1"/>
      <c r="M805" s="67"/>
      <c r="N805" s="839">
        <f t="shared" si="98"/>
        <v>0</v>
      </c>
    </row>
    <row r="806" spans="2:14" ht="15">
      <c r="B806" s="874"/>
      <c r="C806" s="874"/>
      <c r="D806" s="874"/>
      <c r="E806" s="874"/>
      <c r="F806" s="874"/>
      <c r="G806" s="874"/>
      <c r="H806" s="874"/>
      <c r="I806" s="874"/>
      <c r="J806" s="874"/>
      <c r="K806" s="874"/>
      <c r="L806" s="874"/>
      <c r="M806" s="134" t="str">
        <f>$M$2</f>
        <v xml:space="preserve"> </v>
      </c>
      <c r="N806" s="839"/>
    </row>
    <row r="807" spans="2:14" ht="15.75" thickBot="1">
      <c r="B807" s="874"/>
      <c r="C807" s="874"/>
      <c r="D807" s="874"/>
      <c r="E807" s="874"/>
      <c r="F807" s="874"/>
      <c r="G807" s="874"/>
      <c r="H807" s="874"/>
      <c r="I807" s="874"/>
      <c r="J807" s="874"/>
      <c r="K807" s="874"/>
      <c r="L807" s="874"/>
      <c r="M807" s="67"/>
      <c r="N807" s="839"/>
    </row>
    <row r="808" spans="2:14" ht="15">
      <c r="B808" s="920" t="str">
        <f>$B$4</f>
        <v>2022 RATE CASE</v>
      </c>
      <c r="C808" s="926"/>
      <c r="D808" s="927"/>
      <c r="E808" s="874"/>
      <c r="F808" s="874"/>
      <c r="G808" s="874"/>
      <c r="H808" s="874"/>
      <c r="I808" s="874"/>
      <c r="J808" s="874"/>
      <c r="K808" s="874"/>
      <c r="L808" s="874"/>
      <c r="N808" s="839"/>
    </row>
    <row r="809" spans="2:14" ht="15">
      <c r="B809" s="917" t="str">
        <f>$B$5</f>
        <v>ONCOR ELECTRIC DELIVERY COMPANY LLC</v>
      </c>
      <c r="C809" s="369"/>
      <c r="D809" s="928"/>
      <c r="E809" s="874"/>
      <c r="F809" s="874"/>
      <c r="G809" s="874"/>
      <c r="H809" s="874"/>
      <c r="I809" s="874"/>
      <c r="J809" s="874"/>
      <c r="K809" s="874"/>
      <c r="L809" s="874"/>
      <c r="M809" s="67"/>
      <c r="N809" s="839"/>
    </row>
    <row r="810" spans="2:14" ht="15">
      <c r="B810" s="406" t="str">
        <f>$B$6</f>
        <v>CONSOLIDATED FUNCTIONALIZED COST OF SERVICE</v>
      </c>
      <c r="C810" s="369"/>
      <c r="D810" s="928"/>
      <c r="E810" s="874"/>
      <c r="F810" s="874"/>
      <c r="G810" s="874"/>
      <c r="H810" s="874"/>
      <c r="I810" s="874"/>
      <c r="J810" s="874"/>
      <c r="K810" s="874"/>
      <c r="L810" s="874"/>
      <c r="M810" s="67"/>
      <c r="N810" s="839"/>
    </row>
    <row r="811" spans="2:14" ht="15">
      <c r="B811" s="406" t="str">
        <f>$B$7</f>
        <v>TEST YEAR ENDING 12/31/2021</v>
      </c>
      <c r="C811" s="369"/>
      <c r="D811" s="928"/>
      <c r="E811" s="369"/>
      <c r="F811" s="369"/>
      <c r="G811" s="369"/>
      <c r="H811" s="369"/>
      <c r="I811" s="369"/>
      <c r="J811" s="369"/>
      <c r="K811" s="369"/>
      <c r="L811" s="369"/>
      <c r="M811" s="67"/>
      <c r="N811" s="839"/>
    </row>
    <row r="812" spans="2:14" ht="15">
      <c r="B812" s="406" t="str">
        <f>$B$8</f>
        <v>SPONSOR:  MATTHEW A. TROXLE</v>
      </c>
      <c r="C812" s="369"/>
      <c r="D812" s="928"/>
      <c r="E812" s="369"/>
      <c r="F812" s="369"/>
      <c r="G812" s="369"/>
      <c r="H812" s="369"/>
      <c r="I812" s="369"/>
      <c r="J812" s="369"/>
      <c r="K812" s="369"/>
      <c r="L812" s="369"/>
      <c r="M812" s="67"/>
      <c r="N812" s="839"/>
    </row>
    <row r="813" spans="2:14" ht="15.75" thickBot="1">
      <c r="B813" s="410"/>
      <c r="C813" s="931"/>
      <c r="D813" s="932"/>
      <c r="E813" s="369"/>
      <c r="F813" s="369"/>
      <c r="G813" s="369"/>
      <c r="H813" s="369"/>
      <c r="I813" s="369"/>
      <c r="J813" s="369"/>
      <c r="K813" s="369"/>
      <c r="L813" s="369"/>
      <c r="M813" s="67"/>
      <c r="N813" s="839"/>
    </row>
    <row r="814" spans="2:14" ht="14.25">
      <c r="B814" s="13"/>
      <c r="C814" s="14"/>
      <c r="D814" s="14"/>
      <c r="E814" s="14"/>
      <c r="F814" s="1099" t="s">
        <v>6</v>
      </c>
      <c r="G814" s="738" t="s">
        <v>7</v>
      </c>
      <c r="H814" s="738" t="s">
        <v>8</v>
      </c>
      <c r="I814" s="952" t="s">
        <v>9</v>
      </c>
      <c r="J814" s="13" t="s">
        <v>10</v>
      </c>
      <c r="K814" s="17"/>
      <c r="L814" s="139" t="s">
        <v>966</v>
      </c>
      <c r="M814" s="67"/>
      <c r="N814" s="839"/>
    </row>
    <row r="815" spans="2:14" ht="15">
      <c r="B815" s="15" t="s">
        <v>2</v>
      </c>
      <c r="C815" s="15" t="s">
        <v>370</v>
      </c>
      <c r="D815" s="287" t="s">
        <v>665</v>
      </c>
      <c r="E815" s="15" t="s">
        <v>371</v>
      </c>
      <c r="F815" s="744"/>
      <c r="G815" s="743"/>
      <c r="H815" s="743"/>
      <c r="I815" s="743"/>
      <c r="J815" s="15"/>
      <c r="K815" s="17"/>
      <c r="L815" s="97" t="s">
        <v>967</v>
      </c>
      <c r="M815" s="67"/>
      <c r="N815" s="839"/>
    </row>
    <row r="816" spans="2:14" ht="14.25">
      <c r="B816" s="15"/>
      <c r="C816" s="15"/>
      <c r="D816" s="15"/>
      <c r="E816" s="15"/>
      <c r="F816" s="744"/>
      <c r="G816" s="743"/>
      <c r="H816" s="743"/>
      <c r="I816" s="743"/>
      <c r="J816" s="15"/>
      <c r="K816" s="17"/>
      <c r="L816" s="97"/>
      <c r="M816" s="67"/>
      <c r="N816" s="839"/>
    </row>
    <row r="817" spans="2:14" ht="15" thickBot="1">
      <c r="B817" s="16"/>
      <c r="C817" s="16" t="s">
        <v>13</v>
      </c>
      <c r="D817" s="16" t="s">
        <v>14</v>
      </c>
      <c r="E817" s="16" t="s">
        <v>15</v>
      </c>
      <c r="F817" s="747" t="s">
        <v>16</v>
      </c>
      <c r="G817" s="747" t="s">
        <v>17</v>
      </c>
      <c r="H817" s="747" t="s">
        <v>18</v>
      </c>
      <c r="I817" s="747" t="s">
        <v>21</v>
      </c>
      <c r="J817" s="16" t="s">
        <v>22</v>
      </c>
      <c r="K817" s="17"/>
      <c r="L817" s="1125" t="s">
        <v>418</v>
      </c>
      <c r="M817" s="67"/>
      <c r="N817" s="839"/>
    </row>
    <row r="818" spans="2:14" ht="14.25">
      <c r="B818" s="67"/>
      <c r="C818" s="100"/>
      <c r="D818" s="100"/>
      <c r="E818" s="315"/>
      <c r="F818" s="757"/>
      <c r="G818" s="757"/>
      <c r="H818" s="730"/>
      <c r="I818" s="730"/>
      <c r="J818" s="1"/>
      <c r="K818" s="1"/>
      <c r="L818" s="1"/>
      <c r="M818" s="67"/>
      <c r="N818" s="839"/>
    </row>
    <row r="819" spans="2:14" ht="15">
      <c r="B819" s="17">
        <f>B805+1</f>
        <v>1</v>
      </c>
      <c r="C819" s="8" t="s">
        <v>665</v>
      </c>
      <c r="D819" s="8"/>
      <c r="E819" s="20"/>
      <c r="F819" s="896"/>
      <c r="G819" s="8"/>
      <c r="H819" s="8"/>
      <c r="I819" s="8"/>
      <c r="J819" s="8"/>
      <c r="K819" s="8"/>
      <c r="L819" s="8"/>
      <c r="M819" s="67"/>
      <c r="N819" s="839"/>
    </row>
    <row r="820" spans="2:14" ht="15">
      <c r="B820" s="17">
        <f t="shared" si="103" ref="B820:B851">B819+1</f>
        <v>2</v>
      </c>
      <c r="C820" s="8"/>
      <c r="D820" s="366" t="s">
        <v>660</v>
      </c>
      <c r="E820" s="20" t="s">
        <v>279</v>
      </c>
      <c r="F820" s="896"/>
      <c r="G820" s="8"/>
      <c r="H820" s="8"/>
      <c r="I820" s="8"/>
      <c r="J820" s="8"/>
      <c r="K820" s="8"/>
      <c r="L820" s="8"/>
      <c r="M820" s="67"/>
      <c r="N820" s="839"/>
    </row>
    <row r="821" spans="2:14" s="386" customFormat="1" ht="15">
      <c r="B821" s="17">
        <f t="shared" si="103"/>
        <v>3</v>
      </c>
      <c r="C821" s="1" t="s">
        <v>192</v>
      </c>
      <c r="D821" s="1" t="s">
        <v>193</v>
      </c>
      <c r="E821" s="1271"/>
      <c r="F821" s="1087">
        <f>'WP II-I-1.1'!F284</f>
        <v>0</v>
      </c>
      <c r="G821" s="1089">
        <f>'WP II-I-1.1'!G284</f>
        <v>9544431.3300000001</v>
      </c>
      <c r="H821" s="1089">
        <f>'WP II-I-1.1'!H284</f>
        <v>0</v>
      </c>
      <c r="I821" s="1090">
        <f>'WP II-I-1.1'!I284</f>
        <v>0</v>
      </c>
      <c r="J821" s="290">
        <f t="shared" si="104" ref="J821:J830">SUM(F821:I821)</f>
        <v>9544431.3300000001</v>
      </c>
      <c r="K821" s="290"/>
      <c r="L821" s="18">
        <f t="shared" si="101"/>
        <v>9544431.3300000001</v>
      </c>
      <c r="M821" s="47"/>
      <c r="N821" s="839">
        <f t="shared" si="98"/>
        <v>0</v>
      </c>
    </row>
    <row r="822" spans="2:14" s="386" customFormat="1" ht="14.25">
      <c r="B822" s="17">
        <f t="shared" si="103"/>
        <v>4</v>
      </c>
      <c r="C822" s="1" t="s">
        <v>194</v>
      </c>
      <c r="D822" s="1" t="s">
        <v>166</v>
      </c>
      <c r="E822" s="17"/>
      <c r="F822" s="1081">
        <f>'WP II-I-1.1'!F285</f>
        <v>61035.139999999999</v>
      </c>
      <c r="G822" s="893">
        <f>'WP II-I-1.1'!G285</f>
        <v>2814413.9500000002</v>
      </c>
      <c r="H822" s="893">
        <f>'WP II-I-1.1'!H285</f>
        <v>0</v>
      </c>
      <c r="I822" s="1082">
        <f>'WP II-I-1.1'!I285</f>
        <v>0</v>
      </c>
      <c r="J822" s="290">
        <f t="shared" si="104"/>
        <v>2875449.0900000003</v>
      </c>
      <c r="K822" s="290"/>
      <c r="L822" s="18">
        <f t="shared" si="101"/>
        <v>2814413.9500000002</v>
      </c>
      <c r="M822" s="47"/>
      <c r="N822" s="839">
        <f t="shared" si="98"/>
        <v>1.3096723705530167E-10</v>
      </c>
    </row>
    <row r="823" spans="2:14" s="386" customFormat="1" ht="14.25">
      <c r="B823" s="17">
        <f t="shared" si="103"/>
        <v>5</v>
      </c>
      <c r="C823" s="1" t="s">
        <v>195</v>
      </c>
      <c r="D823" s="1" t="s">
        <v>168</v>
      </c>
      <c r="E823" s="17"/>
      <c r="F823" s="1081">
        <f>'WP II-I-1.1'!F286</f>
        <v>0</v>
      </c>
      <c r="G823" s="893">
        <f>'WP II-I-1.1'!G286</f>
        <v>1767468.3000000001</v>
      </c>
      <c r="H823" s="893">
        <f>'WP II-I-1.1'!H286</f>
        <v>91312.369999999995</v>
      </c>
      <c r="I823" s="1082">
        <f>'WP II-I-1.1'!I286</f>
        <v>0</v>
      </c>
      <c r="J823" s="290">
        <f t="shared" si="104"/>
        <v>1858780.6699999999</v>
      </c>
      <c r="K823" s="290"/>
      <c r="L823" s="18">
        <f t="shared" si="101"/>
        <v>1858780.6699999999</v>
      </c>
      <c r="M823" s="47"/>
      <c r="N823" s="839">
        <f t="shared" si="98"/>
        <v>0</v>
      </c>
    </row>
    <row r="824" spans="2:14" s="386" customFormat="1" ht="14.25">
      <c r="B824" s="17">
        <f t="shared" si="103"/>
        <v>6</v>
      </c>
      <c r="C824" s="1" t="s">
        <v>196</v>
      </c>
      <c r="D824" s="1" t="s">
        <v>170</v>
      </c>
      <c r="E824" s="17"/>
      <c r="F824" s="1081">
        <f>'WP II-I-1.1'!F287</f>
        <v>0</v>
      </c>
      <c r="G824" s="893">
        <f>'WP II-I-1.1'!G287</f>
        <v>2316833.3399999999</v>
      </c>
      <c r="H824" s="893">
        <f>'WP II-I-1.1'!H287</f>
        <v>7234.2600000000002</v>
      </c>
      <c r="I824" s="1082">
        <f>'WP II-I-1.1'!I287</f>
        <v>0</v>
      </c>
      <c r="J824" s="290">
        <f t="shared" si="104"/>
        <v>2324067.5999999996</v>
      </c>
      <c r="K824" s="290"/>
      <c r="L824" s="18">
        <f t="shared" si="101"/>
        <v>2324067.5999999996</v>
      </c>
      <c r="M824" s="47"/>
      <c r="N824" s="839">
        <f t="shared" si="98"/>
        <v>0</v>
      </c>
    </row>
    <row r="825" spans="2:14" s="386" customFormat="1" ht="14.25">
      <c r="B825" s="17">
        <f t="shared" si="103"/>
        <v>7</v>
      </c>
      <c r="C825" s="1" t="s">
        <v>197</v>
      </c>
      <c r="D825" s="1" t="s">
        <v>198</v>
      </c>
      <c r="E825" s="17"/>
      <c r="F825" s="1081">
        <f>'WP II-I-1.1'!F288</f>
        <v>0</v>
      </c>
      <c r="G825" s="893">
        <f>'WP II-I-1.1'!G288</f>
        <v>0</v>
      </c>
      <c r="H825" s="893">
        <f>'WP II-I-1.1'!H288</f>
        <v>0</v>
      </c>
      <c r="I825" s="1082">
        <f>'WP II-I-1.1'!I288</f>
        <v>0</v>
      </c>
      <c r="J825" s="290">
        <f t="shared" si="104"/>
        <v>0</v>
      </c>
      <c r="K825" s="290"/>
      <c r="L825" s="18">
        <f t="shared" si="101"/>
        <v>0</v>
      </c>
      <c r="M825" s="47"/>
      <c r="N825" s="839">
        <f t="shared" si="98"/>
        <v>0</v>
      </c>
    </row>
    <row r="826" spans="2:14" s="386" customFormat="1" ht="14.25">
      <c r="B826" s="17">
        <f t="shared" si="103"/>
        <v>8</v>
      </c>
      <c r="C826" s="1" t="s">
        <v>199</v>
      </c>
      <c r="D826" s="1" t="s">
        <v>200</v>
      </c>
      <c r="E826" s="17"/>
      <c r="F826" s="1081">
        <f>'WP II-I-1.1'!F289</f>
        <v>0</v>
      </c>
      <c r="G826" s="893">
        <f>'WP II-I-1.1'!G289</f>
        <v>0</v>
      </c>
      <c r="H826" s="893">
        <f>'WP II-I-1.1'!H289</f>
        <v>7470971.8799999999</v>
      </c>
      <c r="I826" s="1082">
        <f>'WP II-I-1.1'!I289</f>
        <v>0</v>
      </c>
      <c r="J826" s="290">
        <f t="shared" si="104"/>
        <v>7470971.8799999999</v>
      </c>
      <c r="K826" s="290"/>
      <c r="L826" s="18">
        <f t="shared" si="101"/>
        <v>7470971.8799999999</v>
      </c>
      <c r="M826" s="47"/>
      <c r="N826" s="839">
        <f t="shared" si="98"/>
        <v>0</v>
      </c>
    </row>
    <row r="827" spans="2:14" s="386" customFormat="1" ht="14.25">
      <c r="B827" s="17">
        <f t="shared" si="103"/>
        <v>9</v>
      </c>
      <c r="C827" s="1" t="s">
        <v>201</v>
      </c>
      <c r="D827" s="1" t="s">
        <v>202</v>
      </c>
      <c r="E827" s="17"/>
      <c r="F827" s="1081">
        <f>'WP II-I-1.1'!F290</f>
        <v>0</v>
      </c>
      <c r="G827" s="893">
        <f>'WP II-I-1.1'!G290</f>
        <v>1272046.1499999999</v>
      </c>
      <c r="H827" s="893">
        <f>'WP II-I-1.1'!H290</f>
        <v>1210.3900000000001</v>
      </c>
      <c r="I827" s="1082">
        <f>'WP II-I-1.1'!I290</f>
        <v>0</v>
      </c>
      <c r="J827" s="290">
        <f t="shared" si="104"/>
        <v>1273256.5399999998</v>
      </c>
      <c r="K827" s="290"/>
      <c r="L827" s="18">
        <f t="shared" si="101"/>
        <v>1273256.5399999998</v>
      </c>
      <c r="M827" s="47"/>
      <c r="N827" s="839">
        <f t="shared" si="98"/>
        <v>0</v>
      </c>
    </row>
    <row r="828" spans="2:14" s="386" customFormat="1" ht="14.25">
      <c r="B828" s="17">
        <f t="shared" si="103"/>
        <v>10</v>
      </c>
      <c r="C828" s="1" t="s">
        <v>203</v>
      </c>
      <c r="D828" s="1" t="s">
        <v>204</v>
      </c>
      <c r="E828" s="17"/>
      <c r="F828" s="1081">
        <f>'WP II-I-1.1'!F291</f>
        <v>0</v>
      </c>
      <c r="G828" s="893">
        <f>'WP II-I-1.1'!G291</f>
        <v>42023721.539999999</v>
      </c>
      <c r="H828" s="893">
        <f>'WP II-I-1.1'!H291</f>
        <v>1499427.6499999999</v>
      </c>
      <c r="I828" s="1082">
        <f>'WP II-I-1.1'!I291</f>
        <v>763.54999999999995</v>
      </c>
      <c r="J828" s="290">
        <f t="shared" si="104"/>
        <v>43523912.739999995</v>
      </c>
      <c r="K828" s="290"/>
      <c r="L828" s="18">
        <f t="shared" si="101"/>
        <v>43523912.739999995</v>
      </c>
      <c r="M828" s="47"/>
      <c r="N828" s="839">
        <f t="shared" si="98"/>
        <v>0</v>
      </c>
    </row>
    <row r="829" spans="2:14" s="386" customFormat="1" ht="16.5">
      <c r="B829" s="17">
        <f t="shared" si="103"/>
        <v>11</v>
      </c>
      <c r="C829" s="1" t="s">
        <v>205</v>
      </c>
      <c r="D829" s="1" t="s">
        <v>206</v>
      </c>
      <c r="E829" s="17"/>
      <c r="F829" s="1083">
        <f>'WP II-I-1.1'!F292</f>
        <v>0</v>
      </c>
      <c r="G829" s="1084">
        <f>'WP II-I-1.1'!G292</f>
        <v>0</v>
      </c>
      <c r="H829" s="1084">
        <f>'WP II-I-1.1'!H292</f>
        <v>0</v>
      </c>
      <c r="I829" s="1085">
        <f>'WP II-I-1.1'!I292</f>
        <v>0</v>
      </c>
      <c r="J829" s="302">
        <f t="shared" si="104"/>
        <v>0</v>
      </c>
      <c r="K829" s="302"/>
      <c r="L829" s="296">
        <f t="shared" si="101"/>
        <v>0</v>
      </c>
      <c r="M829" s="47"/>
      <c r="N829" s="839">
        <f t="shared" si="105" ref="N829:N892">J829-L829-F829</f>
        <v>0</v>
      </c>
    </row>
    <row r="830" spans="2:14" ht="15">
      <c r="B830" s="17">
        <f t="shared" si="103"/>
        <v>12</v>
      </c>
      <c r="C830" s="8"/>
      <c r="D830" s="26" t="s">
        <v>666</v>
      </c>
      <c r="E830" s="20"/>
      <c r="F830" s="896">
        <f>SUM(F821:F829)</f>
        <v>61035.139999999999</v>
      </c>
      <c r="G830" s="896">
        <f>SUM(G821:G829)</f>
        <v>59738914.609999999</v>
      </c>
      <c r="H830" s="896">
        <f>SUM(H821:H829)</f>
        <v>9070156.5499999989</v>
      </c>
      <c r="I830" s="896">
        <f>SUM(I821:I829)</f>
        <v>763.54999999999995</v>
      </c>
      <c r="J830" s="300">
        <f t="shared" si="104"/>
        <v>68870869.849999994</v>
      </c>
      <c r="K830" s="300"/>
      <c r="L830" s="22">
        <f t="shared" si="101"/>
        <v>68809834.709999993</v>
      </c>
      <c r="M830" s="67"/>
      <c r="N830" s="839">
        <f t="shared" si="105"/>
        <v>5.9662852436304092E-10</v>
      </c>
    </row>
    <row r="831" spans="2:14" ht="15">
      <c r="B831" s="17">
        <f t="shared" si="103"/>
        <v>13</v>
      </c>
      <c r="C831" s="1"/>
      <c r="D831" s="366"/>
      <c r="E831" s="17"/>
      <c r="F831" s="894"/>
      <c r="G831" s="894"/>
      <c r="H831" s="894"/>
      <c r="I831" s="894"/>
      <c r="J831" s="1"/>
      <c r="K831" s="1"/>
      <c r="L831" s="19"/>
      <c r="M831" s="67"/>
      <c r="N831" s="839">
        <f t="shared" si="105"/>
        <v>0</v>
      </c>
    </row>
    <row r="832" spans="2:14" s="386" customFormat="1" ht="16.5">
      <c r="B832" s="17">
        <f t="shared" si="103"/>
        <v>14</v>
      </c>
      <c r="C832" s="1" t="s">
        <v>191</v>
      </c>
      <c r="D832" s="31" t="s">
        <v>162</v>
      </c>
      <c r="E832" s="17"/>
      <c r="F832" s="1093">
        <f>'WP II-I-1.1'!F283</f>
        <v>-2756</v>
      </c>
      <c r="G832" s="1094">
        <f>'WP II-I-1.1'!G283</f>
        <v>5493450.9500000002</v>
      </c>
      <c r="H832" s="1094">
        <f>'WP II-I-1.1'!H283</f>
        <v>544302.93000000005</v>
      </c>
      <c r="I832" s="1095">
        <f>'WP II-I-1.1'!I283</f>
        <v>0</v>
      </c>
      <c r="J832" s="302">
        <f>SUM(F832:I832)</f>
        <v>6034997.8799999999</v>
      </c>
      <c r="K832" s="302"/>
      <c r="L832" s="296">
        <f t="shared" si="101"/>
        <v>6037753.8799999999</v>
      </c>
      <c r="M832" s="47"/>
      <c r="N832" s="839">
        <f t="shared" si="105"/>
        <v>0</v>
      </c>
    </row>
    <row r="833" spans="2:14" ht="15">
      <c r="B833" s="17">
        <f t="shared" si="103"/>
        <v>15</v>
      </c>
      <c r="C833" s="1"/>
      <c r="D833" s="366"/>
      <c r="E833" s="17"/>
      <c r="F833" s="894"/>
      <c r="G833" s="894"/>
      <c r="H833" s="894"/>
      <c r="I833" s="894"/>
      <c r="J833" s="1"/>
      <c r="K833" s="1"/>
      <c r="L833" s="19"/>
      <c r="M833" s="67"/>
      <c r="N833" s="839">
        <f t="shared" si="105"/>
        <v>0</v>
      </c>
    </row>
    <row r="834" spans="2:14" ht="15">
      <c r="B834" s="17">
        <f t="shared" si="103"/>
        <v>16</v>
      </c>
      <c r="C834" s="1"/>
      <c r="D834" s="366" t="s">
        <v>667</v>
      </c>
      <c r="E834" s="20" t="s">
        <v>279</v>
      </c>
      <c r="F834" s="896">
        <f>F830+F832</f>
        <v>58279.139999999999</v>
      </c>
      <c r="G834" s="896">
        <f>G830+G832</f>
        <v>65232365.560000002</v>
      </c>
      <c r="H834" s="896">
        <f>H830+H832</f>
        <v>9614459.4799999986</v>
      </c>
      <c r="I834" s="896">
        <f>I830+I832</f>
        <v>763.54999999999995</v>
      </c>
      <c r="J834" s="300">
        <f>SUM(F834:I834)</f>
        <v>74905867.730000004</v>
      </c>
      <c r="K834" s="300"/>
      <c r="L834" s="22">
        <f t="shared" si="101"/>
        <v>74847588.590000004</v>
      </c>
      <c r="M834" s="67"/>
      <c r="N834" s="839">
        <f t="shared" si="105"/>
        <v>5.9662852436304092E-10</v>
      </c>
    </row>
    <row r="835" spans="2:14" ht="15">
      <c r="B835" s="17">
        <f t="shared" si="103"/>
        <v>17</v>
      </c>
      <c r="C835" s="1"/>
      <c r="D835" s="366"/>
      <c r="E835" s="17"/>
      <c r="F835" s="894"/>
      <c r="G835" s="894"/>
      <c r="H835" s="894"/>
      <c r="I835" s="894"/>
      <c r="J835" s="1"/>
      <c r="K835" s="1"/>
      <c r="L835" s="19"/>
      <c r="M835" s="67"/>
      <c r="N835" s="839">
        <f t="shared" si="105"/>
        <v>0</v>
      </c>
    </row>
    <row r="836" spans="2:14" ht="15">
      <c r="B836" s="17">
        <f t="shared" si="103"/>
        <v>18</v>
      </c>
      <c r="C836" s="8"/>
      <c r="D836" s="366" t="s">
        <v>662</v>
      </c>
      <c r="E836" s="20" t="s">
        <v>279</v>
      </c>
      <c r="F836" s="896"/>
      <c r="G836" s="896"/>
      <c r="H836" s="896"/>
      <c r="I836" s="896"/>
      <c r="J836" s="8"/>
      <c r="K836" s="8"/>
      <c r="L836" s="22"/>
      <c r="M836" s="67"/>
      <c r="N836" s="839">
        <f t="shared" si="105"/>
        <v>0</v>
      </c>
    </row>
    <row r="837" spans="2:14" s="386" customFormat="1" ht="14.25">
      <c r="B837" s="17">
        <f t="shared" si="103"/>
        <v>19</v>
      </c>
      <c r="C837" s="1" t="s">
        <v>209</v>
      </c>
      <c r="D837" s="1" t="s">
        <v>181</v>
      </c>
      <c r="E837" s="17"/>
      <c r="F837" s="1087">
        <f>'WP II-I-1.1'!F295</f>
        <v>0</v>
      </c>
      <c r="G837" s="1089">
        <f>'WP II-I-1.1'!G295</f>
        <v>0</v>
      </c>
      <c r="H837" s="1089">
        <f>'WP II-I-1.1'!H295</f>
        <v>0</v>
      </c>
      <c r="I837" s="1090">
        <f>'WP II-I-1.1'!I295</f>
        <v>0</v>
      </c>
      <c r="J837" s="290">
        <f t="shared" si="106" ref="J837:J845">SUM(F837:I837)</f>
        <v>0</v>
      </c>
      <c r="K837" s="290"/>
      <c r="L837" s="18">
        <f t="shared" si="101"/>
        <v>0</v>
      </c>
      <c r="M837" s="47"/>
      <c r="N837" s="839">
        <f t="shared" si="105"/>
        <v>0</v>
      </c>
    </row>
    <row r="838" spans="2:14" s="386" customFormat="1" ht="14.25">
      <c r="B838" s="17">
        <f t="shared" si="103"/>
        <v>20</v>
      </c>
      <c r="C838" s="1" t="s">
        <v>210</v>
      </c>
      <c r="D838" s="31" t="s">
        <v>183</v>
      </c>
      <c r="E838" s="17"/>
      <c r="F838" s="1081">
        <f>'WP II-I-1.1'!F296</f>
        <v>134899.70999999999</v>
      </c>
      <c r="G838" s="893">
        <f>'WP II-I-1.1'!G296</f>
        <v>6147661.1799999997</v>
      </c>
      <c r="H838" s="893">
        <f>'WP II-I-1.1'!H296</f>
        <v>0</v>
      </c>
      <c r="I838" s="1082">
        <f>'WP II-I-1.1'!I296</f>
        <v>0</v>
      </c>
      <c r="J838" s="290">
        <f t="shared" si="106"/>
        <v>6282560.8899999997</v>
      </c>
      <c r="K838" s="290"/>
      <c r="L838" s="18">
        <f t="shared" si="101"/>
        <v>6147661.1799999997</v>
      </c>
      <c r="M838" s="47"/>
      <c r="N838" s="839">
        <f t="shared" si="105"/>
        <v>0</v>
      </c>
    </row>
    <row r="839" spans="2:14" s="386" customFormat="1" ht="14.25">
      <c r="B839" s="17">
        <f t="shared" si="103"/>
        <v>21</v>
      </c>
      <c r="C839" s="1" t="s">
        <v>211</v>
      </c>
      <c r="D839" s="1" t="s">
        <v>185</v>
      </c>
      <c r="E839" s="17"/>
      <c r="F839" s="1081">
        <f>'WP II-I-1.1'!F297</f>
        <v>349.74000000000001</v>
      </c>
      <c r="G839" s="893">
        <f>'WP II-I-1.1'!G297</f>
        <v>36169907.530000001</v>
      </c>
      <c r="H839" s="893">
        <f>'WP II-I-1.1'!H297</f>
        <v>58540.660000000003</v>
      </c>
      <c r="I839" s="1082">
        <f>'WP II-I-1.1'!I297</f>
        <v>0</v>
      </c>
      <c r="J839" s="290">
        <f t="shared" si="106"/>
        <v>36228797.93</v>
      </c>
      <c r="K839" s="290"/>
      <c r="L839" s="18">
        <f t="shared" si="101"/>
        <v>36228448.189999998</v>
      </c>
      <c r="M839" s="47"/>
      <c r="N839" s="839">
        <f t="shared" si="105"/>
        <v>2.0861534721916541E-09</v>
      </c>
    </row>
    <row r="840" spans="2:14" s="386" customFormat="1" ht="14.25">
      <c r="B840" s="17">
        <f t="shared" si="103"/>
        <v>22</v>
      </c>
      <c r="C840" s="1" t="s">
        <v>212</v>
      </c>
      <c r="D840" s="1" t="s">
        <v>187</v>
      </c>
      <c r="E840" s="17"/>
      <c r="F840" s="1081">
        <f>'WP II-I-1.1'!F298</f>
        <v>0</v>
      </c>
      <c r="G840" s="893">
        <f>'WP II-I-1.1'!G298</f>
        <v>9233426.6799999997</v>
      </c>
      <c r="H840" s="893">
        <f>'WP II-I-1.1'!H298</f>
        <v>9608.5100000000002</v>
      </c>
      <c r="I840" s="1082">
        <f>'WP II-I-1.1'!I298</f>
        <v>0</v>
      </c>
      <c r="J840" s="290">
        <f t="shared" si="106"/>
        <v>9243035.1899999995</v>
      </c>
      <c r="K840" s="290"/>
      <c r="L840" s="18">
        <f t="shared" si="101"/>
        <v>9243035.1899999995</v>
      </c>
      <c r="M840" s="47"/>
      <c r="N840" s="839">
        <f t="shared" si="105"/>
        <v>0</v>
      </c>
    </row>
    <row r="841" spans="2:14" s="386" customFormat="1" ht="14.25">
      <c r="B841" s="17">
        <f t="shared" si="103"/>
        <v>23</v>
      </c>
      <c r="C841" s="1" t="s">
        <v>213</v>
      </c>
      <c r="D841" s="1" t="s">
        <v>214</v>
      </c>
      <c r="E841" s="17"/>
      <c r="F841" s="1081">
        <f>'WP II-I-1.1'!F299</f>
        <v>0</v>
      </c>
      <c r="G841" s="893">
        <f>'WP II-I-1.1'!G299</f>
        <v>2162694.46</v>
      </c>
      <c r="H841" s="893">
        <f>'WP II-I-1.1'!H299</f>
        <v>207.96000000000001</v>
      </c>
      <c r="I841" s="1082">
        <f>'WP II-I-1.1'!I299</f>
        <v>0</v>
      </c>
      <c r="J841" s="290">
        <f t="shared" si="106"/>
        <v>2162902.4199999999</v>
      </c>
      <c r="K841" s="290"/>
      <c r="L841" s="18">
        <f t="shared" si="101"/>
        <v>2162902.4199999999</v>
      </c>
      <c r="M841" s="47"/>
      <c r="N841" s="839">
        <f t="shared" si="105"/>
        <v>0</v>
      </c>
    </row>
    <row r="842" spans="2:14" s="386" customFormat="1" ht="14.25">
      <c r="B842" s="17">
        <f t="shared" si="103"/>
        <v>24</v>
      </c>
      <c r="C842" s="1" t="s">
        <v>215</v>
      </c>
      <c r="D842" s="1" t="s">
        <v>216</v>
      </c>
      <c r="E842" s="17"/>
      <c r="F842" s="1081">
        <f>'WP II-I-1.1'!F300</f>
        <v>0</v>
      </c>
      <c r="G842" s="893">
        <f>'WP II-I-1.1'!G300</f>
        <v>260031.48000000001</v>
      </c>
      <c r="H842" s="893">
        <f>'WP II-I-1.1'!H300</f>
        <v>4.0099999999999998</v>
      </c>
      <c r="I842" s="1082">
        <f>'WP II-I-1.1'!I300</f>
        <v>0</v>
      </c>
      <c r="J842" s="290">
        <f t="shared" si="106"/>
        <v>260035.49000000002</v>
      </c>
      <c r="K842" s="290"/>
      <c r="L842" s="18">
        <f t="shared" si="107" ref="L842:L902">SUM(G842:I842)</f>
        <v>260035.49000000002</v>
      </c>
      <c r="M842" s="47"/>
      <c r="N842" s="839">
        <f t="shared" si="105"/>
        <v>0</v>
      </c>
    </row>
    <row r="843" spans="2:14" s="386" customFormat="1" ht="14.25">
      <c r="B843" s="17">
        <f t="shared" si="103"/>
        <v>25</v>
      </c>
      <c r="C843" s="1" t="s">
        <v>217</v>
      </c>
      <c r="D843" s="1" t="s">
        <v>218</v>
      </c>
      <c r="E843" s="17"/>
      <c r="F843" s="1081">
        <f>'WP II-I-1.1'!F301</f>
        <v>0</v>
      </c>
      <c r="G843" s="893">
        <f>'WP II-I-1.1'!G301</f>
        <v>0</v>
      </c>
      <c r="H843" s="893">
        <f>'WP II-I-1.1'!H301</f>
        <v>12685192.529999999</v>
      </c>
      <c r="I843" s="1082">
        <f>'WP II-I-1.1'!I301</f>
        <v>0</v>
      </c>
      <c r="J843" s="290">
        <f t="shared" si="106"/>
        <v>12685192.529999999</v>
      </c>
      <c r="K843" s="290"/>
      <c r="L843" s="18">
        <f t="shared" si="107"/>
        <v>12685192.529999999</v>
      </c>
      <c r="M843" s="47"/>
      <c r="N843" s="839">
        <f t="shared" si="105"/>
        <v>0</v>
      </c>
    </row>
    <row r="844" spans="2:14" s="386" customFormat="1" ht="16.5">
      <c r="B844" s="17">
        <f t="shared" si="103"/>
        <v>26</v>
      </c>
      <c r="C844" s="1" t="s">
        <v>219</v>
      </c>
      <c r="D844" s="1" t="s">
        <v>220</v>
      </c>
      <c r="E844" s="17"/>
      <c r="F844" s="1083">
        <f>'WP II-I-1.1'!F302</f>
        <v>0</v>
      </c>
      <c r="G844" s="1084">
        <f>'WP II-I-1.1'!G302</f>
        <v>87974.259999999995</v>
      </c>
      <c r="H844" s="1084">
        <f>'WP II-I-1.1'!H302</f>
        <v>0.56999999999999995</v>
      </c>
      <c r="I844" s="1085">
        <f>'WP II-I-1.1'!I302</f>
        <v>0</v>
      </c>
      <c r="J844" s="302">
        <f t="shared" si="106"/>
        <v>87974.830000000002</v>
      </c>
      <c r="K844" s="302"/>
      <c r="L844" s="296">
        <f t="shared" si="107"/>
        <v>87974.830000000002</v>
      </c>
      <c r="M844" s="47"/>
      <c r="N844" s="839">
        <f t="shared" si="105"/>
        <v>0</v>
      </c>
    </row>
    <row r="845" spans="2:14" ht="15">
      <c r="B845" s="17">
        <f t="shared" si="103"/>
        <v>27</v>
      </c>
      <c r="C845" s="8"/>
      <c r="D845" s="26" t="s">
        <v>668</v>
      </c>
      <c r="E845" s="20"/>
      <c r="F845" s="896">
        <f>SUM(F837:F844)</f>
        <v>135249.44999999998</v>
      </c>
      <c r="G845" s="896">
        <f>SUM(G837:G844)</f>
        <v>54061695.589999996</v>
      </c>
      <c r="H845" s="896">
        <f>SUM(H837:H844)</f>
        <v>12753554.24</v>
      </c>
      <c r="I845" s="896">
        <f>SUM(I837:I844)</f>
        <v>0</v>
      </c>
      <c r="J845" s="300">
        <f t="shared" si="106"/>
        <v>66950499.280000001</v>
      </c>
      <c r="K845" s="300"/>
      <c r="L845" s="22">
        <f t="shared" si="107"/>
        <v>66815249.829999998</v>
      </c>
      <c r="M845" s="67"/>
      <c r="N845" s="839">
        <f t="shared" si="105"/>
        <v>2.9976945370435715E-09</v>
      </c>
    </row>
    <row r="846" spans="2:14" ht="15">
      <c r="B846" s="17">
        <f t="shared" si="103"/>
        <v>28</v>
      </c>
      <c r="C846" s="1"/>
      <c r="D846" s="366"/>
      <c r="E846" s="17"/>
      <c r="F846" s="894"/>
      <c r="G846" s="894"/>
      <c r="H846" s="894"/>
      <c r="I846" s="894"/>
      <c r="J846" s="1"/>
      <c r="K846" s="1"/>
      <c r="L846" s="19"/>
      <c r="M846" s="67"/>
      <c r="N846" s="839">
        <f t="shared" si="105"/>
        <v>0</v>
      </c>
    </row>
    <row r="847" spans="2:14" s="386" customFormat="1" ht="16.5">
      <c r="B847" s="17">
        <f t="shared" si="103"/>
        <v>29</v>
      </c>
      <c r="C847" s="1" t="s">
        <v>208</v>
      </c>
      <c r="D847" s="31" t="s">
        <v>179</v>
      </c>
      <c r="E847" s="17"/>
      <c r="F847" s="1093">
        <f>'WP II-I-1.1'!F294</f>
        <v>4375</v>
      </c>
      <c r="G847" s="1094">
        <f>'WP II-I-1.1'!G294</f>
        <v>1921339.4399999999</v>
      </c>
      <c r="H847" s="1094">
        <f>'WP II-I-1.1'!H294</f>
        <v>704407.51000000001</v>
      </c>
      <c r="I847" s="1095">
        <f>'WP II-I-1.1'!I294</f>
        <v>0</v>
      </c>
      <c r="J847" s="302">
        <f>SUM(F847:I847)</f>
        <v>2630121.9500000002</v>
      </c>
      <c r="K847" s="302"/>
      <c r="L847" s="296">
        <f t="shared" si="107"/>
        <v>2625746.9500000002</v>
      </c>
      <c r="M847" s="47"/>
      <c r="N847" s="839">
        <f t="shared" si="105"/>
        <v>0</v>
      </c>
    </row>
    <row r="848" spans="2:14" ht="15">
      <c r="B848" s="17">
        <f t="shared" si="103"/>
        <v>30</v>
      </c>
      <c r="C848" s="1"/>
      <c r="D848" s="366"/>
      <c r="E848" s="17"/>
      <c r="F848" s="894"/>
      <c r="G848" s="894"/>
      <c r="H848" s="894"/>
      <c r="I848" s="894"/>
      <c r="J848" s="1"/>
      <c r="K848" s="1"/>
      <c r="L848" s="19">
        <f t="shared" si="107"/>
        <v>0</v>
      </c>
      <c r="M848" s="67"/>
      <c r="N848" s="839">
        <f t="shared" si="105"/>
        <v>0</v>
      </c>
    </row>
    <row r="849" spans="2:14" ht="15">
      <c r="B849" s="17">
        <f t="shared" si="103"/>
        <v>31</v>
      </c>
      <c r="C849" s="1"/>
      <c r="D849" s="366" t="s">
        <v>669</v>
      </c>
      <c r="E849" s="20" t="s">
        <v>279</v>
      </c>
      <c r="F849" s="896">
        <f>F845+F847</f>
        <v>139624.44999999998</v>
      </c>
      <c r="G849" s="896">
        <f>G845+G847</f>
        <v>55983035.029999994</v>
      </c>
      <c r="H849" s="896">
        <f>H845+H847</f>
        <v>13457961.75</v>
      </c>
      <c r="I849" s="896">
        <f>I845+I847</f>
        <v>0</v>
      </c>
      <c r="J849" s="300">
        <f>SUM(F849:I849)</f>
        <v>69580621.229999989</v>
      </c>
      <c r="K849" s="300"/>
      <c r="L849" s="22">
        <f t="shared" si="107"/>
        <v>69440996.780000001</v>
      </c>
      <c r="M849" s="67"/>
      <c r="N849" s="839">
        <f t="shared" si="105"/>
        <v>-1.1903466656804085E-08</v>
      </c>
    </row>
    <row r="850" spans="2:14" ht="15.75" thickBot="1">
      <c r="B850" s="17">
        <f t="shared" si="103"/>
        <v>32</v>
      </c>
      <c r="C850" s="1"/>
      <c r="D850" s="366"/>
      <c r="E850" s="17"/>
      <c r="F850" s="894"/>
      <c r="G850" s="894"/>
      <c r="H850" s="894"/>
      <c r="I850" s="894"/>
      <c r="J850" s="1"/>
      <c r="K850" s="1"/>
      <c r="L850" s="19"/>
      <c r="M850" s="67"/>
      <c r="N850" s="839">
        <f t="shared" si="105"/>
        <v>0</v>
      </c>
    </row>
    <row r="851" spans="2:15" ht="15.75" thickBot="1">
      <c r="B851" s="17">
        <f t="shared" si="103"/>
        <v>33</v>
      </c>
      <c r="C851" s="870" t="s">
        <v>670</v>
      </c>
      <c r="D851" s="1017"/>
      <c r="E851" s="1013" t="s">
        <v>279</v>
      </c>
      <c r="F851" s="1014">
        <f>F834+F849</f>
        <v>197903.58999999997</v>
      </c>
      <c r="G851" s="1014">
        <f>G834+G849</f>
        <v>121215400.59</v>
      </c>
      <c r="H851" s="1014">
        <f>H834+H849</f>
        <v>23072421.229999997</v>
      </c>
      <c r="I851" s="1014">
        <f>I834+I849</f>
        <v>763.54999999999995</v>
      </c>
      <c r="J851" s="1015">
        <f>SUM(F851:I851)</f>
        <v>144486488.96000001</v>
      </c>
      <c r="K851" s="300"/>
      <c r="L851" s="896">
        <f t="shared" si="107"/>
        <v>144288585.37000001</v>
      </c>
      <c r="M851" s="67"/>
      <c r="N851" s="839">
        <f t="shared" si="105"/>
        <v>3.6088749766349792E-09</v>
      </c>
      <c r="O851" s="370"/>
    </row>
    <row r="852" spans="2:14" ht="15.75" thickBot="1">
      <c r="B852" s="874"/>
      <c r="C852" s="874"/>
      <c r="D852" s="874"/>
      <c r="E852" s="874"/>
      <c r="F852" s="874"/>
      <c r="G852" s="874"/>
      <c r="H852" s="874"/>
      <c r="I852" s="874"/>
      <c r="J852" s="874"/>
      <c r="K852" s="874"/>
      <c r="L852" s="874"/>
      <c r="M852" s="67"/>
      <c r="N852" s="839">
        <f t="shared" si="105"/>
        <v>0</v>
      </c>
    </row>
    <row r="853" spans="2:14" ht="15">
      <c r="B853" s="920" t="str">
        <f>$B$4</f>
        <v>2022 RATE CASE</v>
      </c>
      <c r="C853" s="926"/>
      <c r="D853" s="927"/>
      <c r="E853" s="874"/>
      <c r="F853" s="874"/>
      <c r="G853" s="874"/>
      <c r="H853" s="874"/>
      <c r="I853" s="874"/>
      <c r="J853" s="874"/>
      <c r="K853" s="874"/>
      <c r="L853" s="874"/>
      <c r="M853" s="134" t="str">
        <f>$M$2</f>
        <v xml:space="preserve"> </v>
      </c>
      <c r="N853" s="839">
        <f t="shared" si="105"/>
        <v>0</v>
      </c>
    </row>
    <row r="854" spans="2:14" ht="15">
      <c r="B854" s="917" t="str">
        <f>$B$5</f>
        <v>ONCOR ELECTRIC DELIVERY COMPANY LLC</v>
      </c>
      <c r="C854" s="369"/>
      <c r="D854" s="928"/>
      <c r="E854" s="874"/>
      <c r="F854" s="874"/>
      <c r="G854" s="874"/>
      <c r="H854" s="874"/>
      <c r="I854" s="874"/>
      <c r="J854" s="874"/>
      <c r="K854" s="874"/>
      <c r="L854" s="874"/>
      <c r="M854" s="67"/>
      <c r="N854" s="839">
        <f t="shared" si="105"/>
        <v>0</v>
      </c>
    </row>
    <row r="855" spans="2:14" ht="15">
      <c r="B855" s="406" t="str">
        <f>$B$6</f>
        <v>CONSOLIDATED FUNCTIONALIZED COST OF SERVICE</v>
      </c>
      <c r="C855" s="369"/>
      <c r="D855" s="928"/>
      <c r="E855" s="874"/>
      <c r="F855" s="874"/>
      <c r="G855" s="874"/>
      <c r="H855" s="874"/>
      <c r="I855" s="874"/>
      <c r="J855" s="874"/>
      <c r="K855" s="874"/>
      <c r="L855" s="874"/>
      <c r="M855" s="67"/>
      <c r="N855" s="839">
        <f t="shared" si="105"/>
        <v>0</v>
      </c>
    </row>
    <row r="856" spans="2:14" ht="15">
      <c r="B856" s="406" t="str">
        <f>$B$7</f>
        <v>TEST YEAR ENDING 12/31/2021</v>
      </c>
      <c r="C856" s="369"/>
      <c r="D856" s="928"/>
      <c r="E856" s="874"/>
      <c r="F856" s="874"/>
      <c r="G856" s="874"/>
      <c r="H856" s="874"/>
      <c r="I856" s="874"/>
      <c r="J856" s="874"/>
      <c r="K856" s="874"/>
      <c r="L856" s="874"/>
      <c r="M856" s="67"/>
      <c r="N856" s="839">
        <f t="shared" si="105"/>
        <v>0</v>
      </c>
    </row>
    <row r="857" spans="2:14" ht="15.75">
      <c r="B857" s="406" t="str">
        <f>$B$8</f>
        <v>SPONSOR:  MATTHEW A. TROXLE</v>
      </c>
      <c r="C857" s="840"/>
      <c r="D857" s="921"/>
      <c r="E857" s="67"/>
      <c r="F857" s="664"/>
      <c r="G857" s="664"/>
      <c r="H857" s="664"/>
      <c r="I857" s="664"/>
      <c r="J857" s="67"/>
      <c r="K857" s="67"/>
      <c r="L857" s="67"/>
      <c r="M857" s="67"/>
      <c r="N857" s="839">
        <f t="shared" si="105"/>
        <v>0</v>
      </c>
    </row>
    <row r="858" spans="2:14" ht="15.75" thickBot="1">
      <c r="B858" s="410"/>
      <c r="C858" s="931"/>
      <c r="D858" s="932"/>
      <c r="E858" s="369"/>
      <c r="F858" s="369"/>
      <c r="G858" s="369"/>
      <c r="H858" s="369"/>
      <c r="I858" s="369"/>
      <c r="J858" s="369"/>
      <c r="K858" s="369"/>
      <c r="L858" s="369"/>
      <c r="M858" s="67"/>
      <c r="N858" s="839">
        <f t="shared" si="105"/>
        <v>0</v>
      </c>
    </row>
    <row r="859" spans="2:14" ht="14.25">
      <c r="B859" s="13"/>
      <c r="C859" s="14"/>
      <c r="D859" s="14"/>
      <c r="E859" s="14"/>
      <c r="F859" s="1099" t="s">
        <v>6</v>
      </c>
      <c r="G859" s="738" t="s">
        <v>7</v>
      </c>
      <c r="H859" s="738" t="s">
        <v>8</v>
      </c>
      <c r="I859" s="952" t="s">
        <v>9</v>
      </c>
      <c r="J859" s="13" t="s">
        <v>10</v>
      </c>
      <c r="K859" s="17"/>
      <c r="L859" s="139" t="s">
        <v>966</v>
      </c>
      <c r="M859" s="67"/>
      <c r="N859" s="839"/>
    </row>
    <row r="860" spans="2:14" ht="15">
      <c r="B860" s="15" t="s">
        <v>2</v>
      </c>
      <c r="C860" s="15" t="s">
        <v>370</v>
      </c>
      <c r="D860" s="287" t="s">
        <v>671</v>
      </c>
      <c r="E860" s="15" t="s">
        <v>371</v>
      </c>
      <c r="F860" s="744"/>
      <c r="G860" s="743"/>
      <c r="H860" s="743"/>
      <c r="I860" s="743"/>
      <c r="J860" s="15"/>
      <c r="K860" s="17"/>
      <c r="L860" s="97" t="s">
        <v>967</v>
      </c>
      <c r="M860" s="67"/>
      <c r="N860" s="839"/>
    </row>
    <row r="861" spans="2:14" ht="14.25">
      <c r="B861" s="15"/>
      <c r="C861" s="15"/>
      <c r="D861" s="15"/>
      <c r="E861" s="15"/>
      <c r="F861" s="744"/>
      <c r="G861" s="743"/>
      <c r="H861" s="743"/>
      <c r="I861" s="743"/>
      <c r="J861" s="15"/>
      <c r="K861" s="17"/>
      <c r="L861" s="97"/>
      <c r="M861" s="67"/>
      <c r="N861" s="839"/>
    </row>
    <row r="862" spans="2:14" ht="15" thickBot="1">
      <c r="B862" s="16"/>
      <c r="C862" s="16" t="s">
        <v>13</v>
      </c>
      <c r="D862" s="16" t="s">
        <v>14</v>
      </c>
      <c r="E862" s="16" t="s">
        <v>15</v>
      </c>
      <c r="F862" s="747" t="s">
        <v>16</v>
      </c>
      <c r="G862" s="747" t="s">
        <v>17</v>
      </c>
      <c r="H862" s="747" t="s">
        <v>18</v>
      </c>
      <c r="I862" s="747" t="s">
        <v>21</v>
      </c>
      <c r="J862" s="16" t="s">
        <v>22</v>
      </c>
      <c r="K862" s="17"/>
      <c r="L862" s="1125" t="s">
        <v>418</v>
      </c>
      <c r="M862" s="67"/>
      <c r="N862" s="839"/>
    </row>
    <row r="863" spans="2:14" ht="14.25">
      <c r="B863" s="67"/>
      <c r="C863" s="100"/>
      <c r="D863" s="100"/>
      <c r="E863" s="315"/>
      <c r="F863" s="757"/>
      <c r="G863" s="757"/>
      <c r="H863" s="730"/>
      <c r="I863" s="730"/>
      <c r="J863" s="1"/>
      <c r="K863" s="1"/>
      <c r="L863" s="1"/>
      <c r="M863" s="67"/>
      <c r="N863" s="839"/>
    </row>
    <row r="864" spans="2:14" ht="15">
      <c r="B864" s="17">
        <f t="shared" si="108" ref="B864:B902">B863+1</f>
        <v>1</v>
      </c>
      <c r="C864" s="8"/>
      <c r="D864" s="366" t="s">
        <v>283</v>
      </c>
      <c r="E864" s="20" t="s">
        <v>279</v>
      </c>
      <c r="F864" s="896"/>
      <c r="G864" s="8"/>
      <c r="H864" s="8"/>
      <c r="I864" s="8"/>
      <c r="J864" s="8"/>
      <c r="K864" s="8"/>
      <c r="L864" s="8"/>
      <c r="M864" s="67"/>
      <c r="N864" s="839"/>
    </row>
    <row r="865" spans="2:14" s="386" customFormat="1" ht="14.25">
      <c r="B865" s="17">
        <f t="shared" si="108"/>
        <v>2</v>
      </c>
      <c r="C865" s="1" t="s">
        <v>224</v>
      </c>
      <c r="D865" s="1" t="s">
        <v>225</v>
      </c>
      <c r="E865" s="17"/>
      <c r="F865" s="1087">
        <f>'WP II-I-1.1'!F307</f>
        <v>0</v>
      </c>
      <c r="G865" s="1089">
        <f>'WP II-I-1.1'!G307</f>
        <v>0</v>
      </c>
      <c r="H865" s="1089">
        <f>'WP II-I-1.1'!H307</f>
        <v>0</v>
      </c>
      <c r="I865" s="1090">
        <f>'WP II-I-1.1'!I307</f>
        <v>0</v>
      </c>
      <c r="J865" s="290">
        <f>SUM(F865:I865)</f>
        <v>0</v>
      </c>
      <c r="K865" s="290"/>
      <c r="L865" s="18">
        <f t="shared" si="107"/>
        <v>0</v>
      </c>
      <c r="M865" s="47"/>
      <c r="N865" s="839">
        <f t="shared" si="105"/>
        <v>0</v>
      </c>
    </row>
    <row r="866" spans="2:14" s="386" customFormat="1" ht="16.5">
      <c r="B866" s="17">
        <f t="shared" si="108"/>
        <v>3</v>
      </c>
      <c r="C866" s="1" t="s">
        <v>226</v>
      </c>
      <c r="D866" s="1" t="s">
        <v>227</v>
      </c>
      <c r="E866" s="17"/>
      <c r="F866" s="1083">
        <f>'WP II-I-1.1'!F308</f>
        <v>0</v>
      </c>
      <c r="G866" s="1084">
        <f>'WP II-I-1.1'!G308</f>
        <v>10733.690000000001</v>
      </c>
      <c r="H866" s="1084">
        <f>'WP II-I-1.1'!H308</f>
        <v>8003098.5999999996</v>
      </c>
      <c r="I866" s="1085">
        <f>'WP II-I-1.1'!I308</f>
        <v>1248666.01</v>
      </c>
      <c r="J866" s="302">
        <f>SUM(F866:I866)</f>
        <v>9262498.3000000007</v>
      </c>
      <c r="K866" s="302"/>
      <c r="L866" s="296">
        <f t="shared" si="107"/>
        <v>9262498.3000000007</v>
      </c>
      <c r="M866" s="47"/>
      <c r="N866" s="839">
        <f t="shared" si="105"/>
        <v>0</v>
      </c>
    </row>
    <row r="867" spans="2:14" ht="15">
      <c r="B867" s="17">
        <f t="shared" si="108"/>
        <v>4</v>
      </c>
      <c r="C867" s="8"/>
      <c r="D867" s="26" t="s">
        <v>649</v>
      </c>
      <c r="E867" s="20"/>
      <c r="F867" s="896">
        <f>+F865+F866</f>
        <v>0</v>
      </c>
      <c r="G867" s="896">
        <f>+G865+G866</f>
        <v>10733.690000000001</v>
      </c>
      <c r="H867" s="896">
        <f>+H865+H866</f>
        <v>8003098.5999999996</v>
      </c>
      <c r="I867" s="896">
        <f>+I865+I866</f>
        <v>1248666.01</v>
      </c>
      <c r="J867" s="299">
        <f>SUM(F867:I867)</f>
        <v>9262498.3000000007</v>
      </c>
      <c r="K867" s="300"/>
      <c r="L867" s="22">
        <f t="shared" si="107"/>
        <v>9262498.3000000007</v>
      </c>
      <c r="M867" s="67"/>
      <c r="N867" s="839">
        <f t="shared" si="105"/>
        <v>0</v>
      </c>
    </row>
    <row r="868" spans="2:14" ht="15">
      <c r="B868" s="17">
        <f t="shared" si="108"/>
        <v>5</v>
      </c>
      <c r="C868" s="1"/>
      <c r="D868" s="26"/>
      <c r="E868" s="17"/>
      <c r="F868" s="894"/>
      <c r="G868" s="894"/>
      <c r="H868" s="894"/>
      <c r="I868" s="894"/>
      <c r="J868" s="1"/>
      <c r="K868" s="1"/>
      <c r="L868" s="19">
        <f t="shared" si="107"/>
        <v>0</v>
      </c>
      <c r="M868" s="67"/>
      <c r="N868" s="839">
        <f t="shared" si="105"/>
        <v>0</v>
      </c>
    </row>
    <row r="869" spans="2:14" s="386" customFormat="1" ht="14.25">
      <c r="B869" s="17">
        <f t="shared" si="108"/>
        <v>6</v>
      </c>
      <c r="C869" s="1" t="s">
        <v>222</v>
      </c>
      <c r="D869" s="1" t="s">
        <v>223</v>
      </c>
      <c r="E869" s="17"/>
      <c r="F869" s="1087">
        <f>'WP II-I-1.1'!F306</f>
        <v>0</v>
      </c>
      <c r="G869" s="1089">
        <f>'WP II-I-1.1'!G306</f>
        <v>114.29000000000001</v>
      </c>
      <c r="H869" s="1089">
        <f>'WP II-I-1.1'!H306</f>
        <v>9828.9400000000005</v>
      </c>
      <c r="I869" s="1090">
        <f>'WP II-I-1.1'!I306</f>
        <v>1485.77</v>
      </c>
      <c r="J869" s="290">
        <f>SUM(F869:I869)</f>
        <v>11429.000000000002</v>
      </c>
      <c r="K869" s="290"/>
      <c r="L869" s="18">
        <f t="shared" si="107"/>
        <v>11429.000000000002</v>
      </c>
      <c r="M869" s="47"/>
      <c r="N869" s="839">
        <f t="shared" si="105"/>
        <v>0</v>
      </c>
    </row>
    <row r="870" spans="2:14" s="386" customFormat="1" ht="14.25">
      <c r="B870" s="17">
        <f t="shared" si="108"/>
        <v>7</v>
      </c>
      <c r="C870" s="1" t="s">
        <v>228</v>
      </c>
      <c r="D870" s="1" t="s">
        <v>229</v>
      </c>
      <c r="E870" s="17"/>
      <c r="F870" s="1081">
        <f>'WP II-I-1.1'!F309</f>
        <v>0</v>
      </c>
      <c r="G870" s="893">
        <f>'WP II-I-1.1'!G309</f>
        <v>0</v>
      </c>
      <c r="H870" s="893">
        <f>'WP II-I-1.1'!H309</f>
        <v>0</v>
      </c>
      <c r="I870" s="1082">
        <f>'WP II-I-1.1'!I309</f>
        <v>0</v>
      </c>
      <c r="J870" s="290">
        <f>SUM(F870:I870)</f>
        <v>0</v>
      </c>
      <c r="K870" s="290"/>
      <c r="L870" s="18">
        <f t="shared" si="107"/>
        <v>0</v>
      </c>
      <c r="M870" s="47"/>
      <c r="N870" s="839">
        <f t="shared" si="105"/>
        <v>0</v>
      </c>
    </row>
    <row r="871" spans="2:14" s="386" customFormat="1" ht="16.5">
      <c r="B871" s="17">
        <f t="shared" si="108"/>
        <v>8</v>
      </c>
      <c r="C871" s="1" t="s">
        <v>230</v>
      </c>
      <c r="D871" s="31" t="s">
        <v>231</v>
      </c>
      <c r="E871" s="17"/>
      <c r="F871" s="1083">
        <f>'WP II-I-1.1'!F310</f>
        <v>0</v>
      </c>
      <c r="G871" s="1084">
        <f>'WP II-I-1.1'!G310</f>
        <v>0</v>
      </c>
      <c r="H871" s="1084">
        <f>'WP II-I-1.1'!H310</f>
        <v>0</v>
      </c>
      <c r="I871" s="1085">
        <f>'WP II-I-1.1'!I310</f>
        <v>0</v>
      </c>
      <c r="J871" s="302">
        <f>SUM(F871:I871)</f>
        <v>0</v>
      </c>
      <c r="K871" s="302"/>
      <c r="L871" s="296">
        <f t="shared" si="107"/>
        <v>0</v>
      </c>
      <c r="M871" s="47"/>
      <c r="N871" s="839">
        <f t="shared" si="105"/>
        <v>0</v>
      </c>
    </row>
    <row r="872" spans="2:14" ht="15">
      <c r="B872" s="17">
        <f t="shared" si="108"/>
        <v>9</v>
      </c>
      <c r="C872" s="8"/>
      <c r="D872" s="26" t="s">
        <v>672</v>
      </c>
      <c r="E872" s="20"/>
      <c r="F872" s="896">
        <f>SUM(F869:F871)</f>
        <v>0</v>
      </c>
      <c r="G872" s="896">
        <f>SUM(G869:G871)</f>
        <v>114.29000000000001</v>
      </c>
      <c r="H872" s="896">
        <f>SUM(H869:H871)</f>
        <v>9828.9400000000005</v>
      </c>
      <c r="I872" s="896">
        <f>SUM(I869:I871)</f>
        <v>1485.77</v>
      </c>
      <c r="J872" s="299">
        <f>SUM(F872:I872)</f>
        <v>11429.000000000002</v>
      </c>
      <c r="K872" s="300"/>
      <c r="L872" s="22">
        <f t="shared" si="107"/>
        <v>11429.000000000002</v>
      </c>
      <c r="M872" s="67"/>
      <c r="N872" s="839">
        <f t="shared" si="105"/>
        <v>0</v>
      </c>
    </row>
    <row r="873" spans="2:14" ht="15">
      <c r="B873" s="17">
        <f t="shared" si="108"/>
        <v>10</v>
      </c>
      <c r="C873" s="1"/>
      <c r="D873" s="26"/>
      <c r="E873" s="17"/>
      <c r="F873" s="894"/>
      <c r="G873" s="894"/>
      <c r="H873" s="894"/>
      <c r="I873" s="894"/>
      <c r="J873" s="1"/>
      <c r="K873" s="1"/>
      <c r="L873" s="19">
        <f t="shared" si="107"/>
        <v>0</v>
      </c>
      <c r="M873" s="67"/>
      <c r="N873" s="839">
        <f t="shared" si="105"/>
        <v>0</v>
      </c>
    </row>
    <row r="874" spans="2:14" ht="15">
      <c r="B874" s="17">
        <f t="shared" si="108"/>
        <v>11</v>
      </c>
      <c r="C874" s="8"/>
      <c r="D874" s="297" t="s">
        <v>673</v>
      </c>
      <c r="E874" s="20"/>
      <c r="F874" s="896">
        <f>+F867+F872</f>
        <v>0</v>
      </c>
      <c r="G874" s="896">
        <f>+G867+G872</f>
        <v>10847.980000000001</v>
      </c>
      <c r="H874" s="896">
        <f>+H867+H872</f>
        <v>8012927.54</v>
      </c>
      <c r="I874" s="896">
        <f>+I867+I872</f>
        <v>1250151.78</v>
      </c>
      <c r="J874" s="299">
        <f>SUM(F874:I874)</f>
        <v>9273927.3000000007</v>
      </c>
      <c r="K874" s="300"/>
      <c r="L874" s="22">
        <f t="shared" si="107"/>
        <v>9273927.3000000007</v>
      </c>
      <c r="M874" s="67"/>
      <c r="N874" s="839">
        <f t="shared" si="105"/>
        <v>0</v>
      </c>
    </row>
    <row r="875" spans="2:14" ht="14.25">
      <c r="B875" s="17">
        <f t="shared" si="108"/>
        <v>12</v>
      </c>
      <c r="C875" s="1"/>
      <c r="D875" s="1"/>
      <c r="E875" s="17"/>
      <c r="F875" s="894"/>
      <c r="G875" s="894"/>
      <c r="H875" s="894"/>
      <c r="I875" s="894"/>
      <c r="J875" s="1"/>
      <c r="K875" s="1"/>
      <c r="L875" s="19">
        <f t="shared" si="107"/>
        <v>0</v>
      </c>
      <c r="M875" s="67"/>
      <c r="N875" s="839">
        <f t="shared" si="105"/>
        <v>0</v>
      </c>
    </row>
    <row r="876" spans="2:14" ht="15">
      <c r="B876" s="17">
        <f t="shared" si="108"/>
        <v>13</v>
      </c>
      <c r="C876" s="8"/>
      <c r="D876" s="366" t="s">
        <v>674</v>
      </c>
      <c r="E876" s="20" t="s">
        <v>279</v>
      </c>
      <c r="F876" s="896"/>
      <c r="G876" s="896"/>
      <c r="H876" s="896"/>
      <c r="I876" s="896"/>
      <c r="J876" s="8"/>
      <c r="K876" s="8"/>
      <c r="L876" s="22">
        <f t="shared" si="107"/>
        <v>0</v>
      </c>
      <c r="M876" s="67"/>
      <c r="N876" s="839">
        <f t="shared" si="105"/>
        <v>0</v>
      </c>
    </row>
    <row r="877" spans="2:14" s="386" customFormat="1" ht="14.25">
      <c r="B877" s="17">
        <f t="shared" si="108"/>
        <v>14</v>
      </c>
      <c r="C877" s="1" t="s">
        <v>233</v>
      </c>
      <c r="D877" s="1" t="s">
        <v>234</v>
      </c>
      <c r="E877" s="17"/>
      <c r="F877" s="1087">
        <f>'WP II-I-1.1'!F312</f>
        <v>0</v>
      </c>
      <c r="G877" s="1089">
        <f>'WP II-I-1.1'!G312</f>
        <v>0</v>
      </c>
      <c r="H877" s="1089">
        <f>'WP II-I-1.1'!H312</f>
        <v>0</v>
      </c>
      <c r="I877" s="1090">
        <f>'WP II-I-1.1'!I312</f>
        <v>0</v>
      </c>
      <c r="J877" s="290">
        <f>SUM(F877:I877)</f>
        <v>0</v>
      </c>
      <c r="K877" s="290"/>
      <c r="L877" s="18">
        <f t="shared" si="107"/>
        <v>0</v>
      </c>
      <c r="M877" s="47"/>
      <c r="N877" s="839">
        <f t="shared" si="105"/>
        <v>0</v>
      </c>
    </row>
    <row r="878" spans="2:14" s="386" customFormat="1" ht="14.25">
      <c r="B878" s="17">
        <f t="shared" si="108"/>
        <v>15</v>
      </c>
      <c r="C878" s="1" t="s">
        <v>236</v>
      </c>
      <c r="D878" s="31" t="s">
        <v>237</v>
      </c>
      <c r="E878" s="17"/>
      <c r="F878" s="1081">
        <f>'WP II-I-1.1'!F314</f>
        <v>0</v>
      </c>
      <c r="G878" s="893">
        <f>'WP II-I-1.1'!G314</f>
        <v>0</v>
      </c>
      <c r="H878" s="893">
        <f>'WP II-I-1.1'!H314</f>
        <v>0</v>
      </c>
      <c r="I878" s="1082">
        <f>'WP II-I-1.1'!I314</f>
        <v>0</v>
      </c>
      <c r="J878" s="290">
        <f>SUM(F878:I878)</f>
        <v>0</v>
      </c>
      <c r="K878" s="290"/>
      <c r="L878" s="18">
        <f t="shared" si="107"/>
        <v>0</v>
      </c>
      <c r="M878" s="47"/>
      <c r="N878" s="839">
        <f t="shared" si="105"/>
        <v>0</v>
      </c>
    </row>
    <row r="879" spans="2:14" s="386" customFormat="1" ht="16.5">
      <c r="B879" s="17">
        <f t="shared" si="108"/>
        <v>16</v>
      </c>
      <c r="C879" s="1" t="s">
        <v>238</v>
      </c>
      <c r="D879" s="1" t="s">
        <v>239</v>
      </c>
      <c r="E879" s="17"/>
      <c r="F879" s="1083">
        <f>'WP II-I-1.1'!F315</f>
        <v>0</v>
      </c>
      <c r="G879" s="1084">
        <f>'WP II-I-1.1'!G315</f>
        <v>0</v>
      </c>
      <c r="H879" s="1084">
        <f>'WP II-I-1.1'!H315</f>
        <v>0</v>
      </c>
      <c r="I879" s="1085">
        <f>'WP II-I-1.1'!I315</f>
        <v>0</v>
      </c>
      <c r="J879" s="302">
        <f>SUM(F879:I879)</f>
        <v>0</v>
      </c>
      <c r="K879" s="302"/>
      <c r="L879" s="296">
        <f t="shared" si="107"/>
        <v>0</v>
      </c>
      <c r="M879" s="47"/>
      <c r="N879" s="839">
        <f t="shared" si="105"/>
        <v>0</v>
      </c>
    </row>
    <row r="880" spans="2:14" ht="15">
      <c r="B880" s="17">
        <f t="shared" si="108"/>
        <v>17</v>
      </c>
      <c r="C880" s="8"/>
      <c r="D880" s="26" t="s">
        <v>675</v>
      </c>
      <c r="E880" s="20"/>
      <c r="F880" s="896">
        <f>SUM(F877:F879)</f>
        <v>0</v>
      </c>
      <c r="G880" s="896">
        <f>SUM(G877:G879)</f>
        <v>0</v>
      </c>
      <c r="H880" s="896">
        <f>SUM(H877:H879)</f>
        <v>0</v>
      </c>
      <c r="I880" s="896">
        <f>SUM(I877:I879)</f>
        <v>0</v>
      </c>
      <c r="J880" s="299">
        <f>SUM(F880:I880)</f>
        <v>0</v>
      </c>
      <c r="K880" s="300"/>
      <c r="L880" s="22">
        <f t="shared" si="107"/>
        <v>0</v>
      </c>
      <c r="M880" s="67"/>
      <c r="N880" s="839">
        <f t="shared" si="105"/>
        <v>0</v>
      </c>
    </row>
    <row r="881" spans="2:14" ht="14.25">
      <c r="B881" s="17">
        <f t="shared" si="108"/>
        <v>18</v>
      </c>
      <c r="C881" s="1"/>
      <c r="D881" s="1"/>
      <c r="E881" s="17"/>
      <c r="F881" s="894"/>
      <c r="G881" s="894"/>
      <c r="H881" s="894"/>
      <c r="I881" s="894"/>
      <c r="J881" s="1"/>
      <c r="K881" s="1"/>
      <c r="L881" s="19">
        <f t="shared" si="107"/>
        <v>0</v>
      </c>
      <c r="M881" s="67"/>
      <c r="N881" s="839">
        <f t="shared" si="105"/>
        <v>0</v>
      </c>
    </row>
    <row r="882" spans="2:14" s="386" customFormat="1" ht="14.25">
      <c r="B882" s="17">
        <f t="shared" si="108"/>
        <v>19</v>
      </c>
      <c r="C882" s="1" t="s">
        <v>235</v>
      </c>
      <c r="D882" s="1" t="s">
        <v>223</v>
      </c>
      <c r="E882" s="17"/>
      <c r="F882" s="1087">
        <f>'WP II-I-1.1'!F313</f>
        <v>0</v>
      </c>
      <c r="G882" s="1089">
        <f>'WP II-I-1.1'!G313</f>
        <v>0</v>
      </c>
      <c r="H882" s="1089">
        <f>'WP II-I-1.1'!H313</f>
        <v>0</v>
      </c>
      <c r="I882" s="1090">
        <f>'WP II-I-1.1'!I313</f>
        <v>0</v>
      </c>
      <c r="J882" s="290">
        <f>SUM(F882:I882)</f>
        <v>0</v>
      </c>
      <c r="K882" s="290"/>
      <c r="L882" s="18">
        <f t="shared" si="107"/>
        <v>0</v>
      </c>
      <c r="M882" s="47"/>
      <c r="N882" s="839">
        <f t="shared" si="105"/>
        <v>0</v>
      </c>
    </row>
    <row r="883" spans="2:14" s="386" customFormat="1" ht="16.5">
      <c r="B883" s="17">
        <f t="shared" si="108"/>
        <v>20</v>
      </c>
      <c r="C883" s="1" t="s">
        <v>240</v>
      </c>
      <c r="D883" s="1" t="s">
        <v>676</v>
      </c>
      <c r="E883" s="17"/>
      <c r="F883" s="1083">
        <f>'WP II-I-1.1'!F316</f>
        <v>0</v>
      </c>
      <c r="G883" s="1084">
        <f>'WP II-I-1.1'!G316</f>
        <v>0</v>
      </c>
      <c r="H883" s="1084">
        <f>'WP II-I-1.1'!H316</f>
        <v>0</v>
      </c>
      <c r="I883" s="1085">
        <f>'WP II-I-1.1'!I316</f>
        <v>0</v>
      </c>
      <c r="J883" s="302">
        <f>SUM(F883:I883)</f>
        <v>0</v>
      </c>
      <c r="K883" s="302"/>
      <c r="L883" s="296">
        <f t="shared" si="107"/>
        <v>0</v>
      </c>
      <c r="M883" s="47"/>
      <c r="N883" s="839">
        <f t="shared" si="105"/>
        <v>0</v>
      </c>
    </row>
    <row r="884" spans="2:14" ht="15">
      <c r="B884" s="17">
        <f t="shared" si="108"/>
        <v>21</v>
      </c>
      <c r="C884" s="8"/>
      <c r="D884" s="26" t="s">
        <v>677</v>
      </c>
      <c r="E884" s="20"/>
      <c r="F884" s="896">
        <f>SUM(F882:F883)</f>
        <v>0</v>
      </c>
      <c r="G884" s="896">
        <f>SUM(G882:G883)</f>
        <v>0</v>
      </c>
      <c r="H884" s="896">
        <f>SUM(H882:H883)</f>
        <v>0</v>
      </c>
      <c r="I884" s="896">
        <f>SUM(I882:I883)</f>
        <v>0</v>
      </c>
      <c r="J884" s="299">
        <f>SUM(F884:I884)</f>
        <v>0</v>
      </c>
      <c r="K884" s="300"/>
      <c r="L884" s="22">
        <f t="shared" si="107"/>
        <v>0</v>
      </c>
      <c r="M884" s="67"/>
      <c r="N884" s="839">
        <f t="shared" si="105"/>
        <v>0</v>
      </c>
    </row>
    <row r="885" spans="2:14" ht="14.25">
      <c r="B885" s="17">
        <f t="shared" si="108"/>
        <v>22</v>
      </c>
      <c r="C885" s="1"/>
      <c r="D885" s="1"/>
      <c r="E885" s="17"/>
      <c r="F885" s="894"/>
      <c r="G885" s="894"/>
      <c r="H885" s="894"/>
      <c r="I885" s="894"/>
      <c r="J885" s="1"/>
      <c r="K885" s="1"/>
      <c r="L885" s="19"/>
      <c r="M885" s="67"/>
      <c r="N885" s="839">
        <f t="shared" si="105"/>
        <v>0</v>
      </c>
    </row>
    <row r="886" spans="2:14" ht="15">
      <c r="B886" s="17">
        <f t="shared" si="108"/>
        <v>23</v>
      </c>
      <c r="C886" s="8"/>
      <c r="D886" s="297" t="s">
        <v>678</v>
      </c>
      <c r="E886" s="20"/>
      <c r="F886" s="896">
        <f>+F884+F880</f>
        <v>0</v>
      </c>
      <c r="G886" s="896">
        <f>+G884+G880</f>
        <v>0</v>
      </c>
      <c r="H886" s="896">
        <f>+H884+H880</f>
        <v>0</v>
      </c>
      <c r="I886" s="896">
        <f>+I884+I880</f>
        <v>0</v>
      </c>
      <c r="J886" s="299">
        <f>SUM(F886:I886)</f>
        <v>0</v>
      </c>
      <c r="K886" s="300"/>
      <c r="L886" s="22">
        <f t="shared" si="107"/>
        <v>0</v>
      </c>
      <c r="M886" s="67"/>
      <c r="N886" s="839">
        <f t="shared" si="105"/>
        <v>0</v>
      </c>
    </row>
    <row r="887" spans="2:14" ht="14.25">
      <c r="B887" s="17">
        <f t="shared" si="108"/>
        <v>24</v>
      </c>
      <c r="C887" s="1"/>
      <c r="D887" s="1"/>
      <c r="E887" s="17"/>
      <c r="F887" s="894"/>
      <c r="G887" s="894"/>
      <c r="H887" s="894"/>
      <c r="I887" s="894"/>
      <c r="J887" s="1"/>
      <c r="K887" s="1"/>
      <c r="L887" s="19"/>
      <c r="M887" s="67"/>
      <c r="N887" s="839">
        <f t="shared" si="105"/>
        <v>0</v>
      </c>
    </row>
    <row r="888" spans="2:14" ht="15">
      <c r="B888" s="17">
        <f t="shared" si="108"/>
        <v>25</v>
      </c>
      <c r="C888" s="8"/>
      <c r="D888" s="368" t="s">
        <v>285</v>
      </c>
      <c r="E888" s="20" t="s">
        <v>279</v>
      </c>
      <c r="F888" s="896"/>
      <c r="G888" s="896"/>
      <c r="H888" s="896"/>
      <c r="I888" s="896"/>
      <c r="J888" s="8"/>
      <c r="K888" s="8"/>
      <c r="L888" s="22">
        <f t="shared" si="107"/>
        <v>0</v>
      </c>
      <c r="M888" s="67"/>
      <c r="N888" s="839">
        <f t="shared" si="105"/>
        <v>0</v>
      </c>
    </row>
    <row r="889" spans="2:14" s="386" customFormat="1" ht="14.25">
      <c r="B889" s="17">
        <f t="shared" si="108"/>
        <v>26</v>
      </c>
      <c r="C889" s="1" t="s">
        <v>244</v>
      </c>
      <c r="D889" s="51" t="s">
        <v>679</v>
      </c>
      <c r="E889" s="17"/>
      <c r="F889" s="1087">
        <f>'WP II-I-1.1'!F319</f>
        <v>0</v>
      </c>
      <c r="G889" s="1089">
        <f>'WP II-I-1.1'!G319</f>
        <v>0</v>
      </c>
      <c r="H889" s="1089">
        <f>'WP II-I-1.1'!H319</f>
        <v>0</v>
      </c>
      <c r="I889" s="1090">
        <f>'WP II-I-1.1'!I319</f>
        <v>0</v>
      </c>
      <c r="J889" s="290">
        <f>SUM(F889:I889)</f>
        <v>0</v>
      </c>
      <c r="K889" s="290"/>
      <c r="L889" s="18">
        <f t="shared" si="107"/>
        <v>0</v>
      </c>
      <c r="M889" s="47"/>
      <c r="N889" s="839">
        <f t="shared" si="105"/>
        <v>0</v>
      </c>
    </row>
    <row r="890" spans="2:14" s="386" customFormat="1" ht="14.25">
      <c r="B890" s="17">
        <f t="shared" si="108"/>
        <v>27</v>
      </c>
      <c r="C890" s="1" t="s">
        <v>246</v>
      </c>
      <c r="D890" s="51" t="s">
        <v>680</v>
      </c>
      <c r="E890" s="17"/>
      <c r="F890" s="1081">
        <f>'WP II-I-1.1'!F320</f>
        <v>0</v>
      </c>
      <c r="G890" s="893">
        <f>'WP II-I-1.1'!G320</f>
        <v>0</v>
      </c>
      <c r="H890" s="893">
        <f>'WP II-I-1.1'!H320</f>
        <v>0</v>
      </c>
      <c r="I890" s="1082">
        <f>'WP II-I-1.1'!I320</f>
        <v>0</v>
      </c>
      <c r="J890" s="290">
        <f>SUM(F890:I890)</f>
        <v>0</v>
      </c>
      <c r="K890" s="290"/>
      <c r="L890" s="18">
        <f t="shared" si="107"/>
        <v>0</v>
      </c>
      <c r="M890" s="47"/>
      <c r="N890" s="839">
        <f t="shared" si="105"/>
        <v>0</v>
      </c>
    </row>
    <row r="891" spans="2:14" s="386" customFormat="1" ht="16.5">
      <c r="B891" s="17">
        <f t="shared" si="108"/>
        <v>28</v>
      </c>
      <c r="C891" s="1" t="s">
        <v>250</v>
      </c>
      <c r="D891" s="51" t="s">
        <v>242</v>
      </c>
      <c r="E891" s="17"/>
      <c r="F891" s="1083">
        <f>'WP II-I-1.1'!F322</f>
        <v>0</v>
      </c>
      <c r="G891" s="1084">
        <f>'WP II-I-1.1'!G322</f>
        <v>0</v>
      </c>
      <c r="H891" s="1084">
        <f>'WP II-I-1.1'!H322</f>
        <v>0</v>
      </c>
      <c r="I891" s="1085">
        <f>'WP II-I-1.1'!I322</f>
        <v>0</v>
      </c>
      <c r="J891" s="302">
        <f>SUM(F891:I891)</f>
        <v>0</v>
      </c>
      <c r="K891" s="302"/>
      <c r="L891" s="296">
        <f t="shared" si="107"/>
        <v>0</v>
      </c>
      <c r="M891" s="47"/>
      <c r="N891" s="839">
        <f t="shared" si="105"/>
        <v>0</v>
      </c>
    </row>
    <row r="892" spans="2:14" s="386" customFormat="1" ht="15">
      <c r="B892" s="17">
        <f t="shared" si="108"/>
        <v>29</v>
      </c>
      <c r="C892" s="8"/>
      <c r="D892" s="297" t="s">
        <v>681</v>
      </c>
      <c r="E892" s="856"/>
      <c r="F892" s="896">
        <f>+F889+F890+F891</f>
        <v>0</v>
      </c>
      <c r="G892" s="896">
        <f>+G889+G890+G891</f>
        <v>0</v>
      </c>
      <c r="H892" s="896">
        <f>+H889+H890+H891</f>
        <v>0</v>
      </c>
      <c r="I892" s="896">
        <f>+I889+I890+I891</f>
        <v>0</v>
      </c>
      <c r="J892" s="300">
        <f>SUM(F892:I892)</f>
        <v>0</v>
      </c>
      <c r="K892" s="300"/>
      <c r="L892" s="22">
        <f t="shared" si="107"/>
        <v>0</v>
      </c>
      <c r="M892" s="47"/>
      <c r="N892" s="839">
        <f t="shared" si="105"/>
        <v>0</v>
      </c>
    </row>
    <row r="893" spans="2:14" ht="15">
      <c r="B893" s="17">
        <f t="shared" si="108"/>
        <v>30</v>
      </c>
      <c r="C893" s="1"/>
      <c r="D893" s="297"/>
      <c r="E893" s="17"/>
      <c r="F893" s="894"/>
      <c r="G893" s="894"/>
      <c r="H893" s="894"/>
      <c r="I893" s="894"/>
      <c r="J893" s="1"/>
      <c r="K893" s="1"/>
      <c r="L893" s="19"/>
      <c r="M893" s="67"/>
      <c r="N893" s="839">
        <f t="shared" si="109" ref="N893:N932">J893-L893-F893</f>
        <v>0</v>
      </c>
    </row>
    <row r="894" spans="2:14" s="386" customFormat="1" ht="14.25">
      <c r="B894" s="17">
        <f t="shared" si="108"/>
        <v>31</v>
      </c>
      <c r="C894" s="1" t="s">
        <v>243</v>
      </c>
      <c r="D894" s="51" t="s">
        <v>223</v>
      </c>
      <c r="E894" s="17"/>
      <c r="F894" s="1087">
        <f>'WP II-I-1.1'!F318</f>
        <v>0</v>
      </c>
      <c r="G894" s="1089">
        <f>'WP II-I-1.1'!G318</f>
        <v>0</v>
      </c>
      <c r="H894" s="1089">
        <f>'WP II-I-1.1'!H318</f>
        <v>0</v>
      </c>
      <c r="I894" s="1090">
        <f>'WP II-I-1.1'!I318</f>
        <v>0</v>
      </c>
      <c r="J894" s="290">
        <f>SUM(F894:I894)</f>
        <v>0</v>
      </c>
      <c r="K894" s="290"/>
      <c r="L894" s="18">
        <f t="shared" si="107"/>
        <v>0</v>
      </c>
      <c r="M894" s="47"/>
      <c r="N894" s="839">
        <f t="shared" si="109"/>
        <v>0</v>
      </c>
    </row>
    <row r="895" spans="2:14" s="386" customFormat="1" ht="16.5">
      <c r="B895" s="17">
        <f t="shared" si="108"/>
        <v>32</v>
      </c>
      <c r="C895" s="1" t="s">
        <v>248</v>
      </c>
      <c r="D895" s="51" t="s">
        <v>682</v>
      </c>
      <c r="E895" s="17"/>
      <c r="F895" s="1083">
        <f>'WP II-I-1.1'!F321</f>
        <v>0</v>
      </c>
      <c r="G895" s="1084">
        <f>'WP II-I-1.1'!G321</f>
        <v>0</v>
      </c>
      <c r="H895" s="1084">
        <f>'WP II-I-1.1'!H321</f>
        <v>0</v>
      </c>
      <c r="I895" s="1085">
        <f>'WP II-I-1.1'!I321</f>
        <v>0</v>
      </c>
      <c r="J895" s="302">
        <f>SUM(F895:I895)</f>
        <v>0</v>
      </c>
      <c r="K895" s="302"/>
      <c r="L895" s="296">
        <f t="shared" si="107"/>
        <v>0</v>
      </c>
      <c r="M895" s="47"/>
      <c r="N895" s="839">
        <f t="shared" si="109"/>
        <v>0</v>
      </c>
    </row>
    <row r="896" spans="2:14" ht="15">
      <c r="B896" s="17">
        <f t="shared" si="108"/>
        <v>33</v>
      </c>
      <c r="C896" s="8"/>
      <c r="D896" s="26" t="s">
        <v>683</v>
      </c>
      <c r="E896" s="20"/>
      <c r="F896" s="896">
        <f>SUM(F894:F895)</f>
        <v>0</v>
      </c>
      <c r="G896" s="896">
        <f>SUM(G894:G895)</f>
        <v>0</v>
      </c>
      <c r="H896" s="896">
        <f>SUM(H894:H895)</f>
        <v>0</v>
      </c>
      <c r="I896" s="896">
        <f>SUM(I894:I895)</f>
        <v>0</v>
      </c>
      <c r="J896" s="299">
        <f>SUM(F896:I896)</f>
        <v>0</v>
      </c>
      <c r="K896" s="300"/>
      <c r="L896" s="22">
        <f t="shared" si="107"/>
        <v>0</v>
      </c>
      <c r="M896" s="67"/>
      <c r="N896" s="839">
        <f t="shared" si="109"/>
        <v>0</v>
      </c>
    </row>
    <row r="897" spans="2:14" ht="14.25">
      <c r="B897" s="17">
        <f t="shared" si="108"/>
        <v>34</v>
      </c>
      <c r="C897" s="1"/>
      <c r="D897" s="1"/>
      <c r="E897" s="17"/>
      <c r="F897" s="894"/>
      <c r="G897" s="894"/>
      <c r="H897" s="894"/>
      <c r="I897" s="894"/>
      <c r="J897" s="1"/>
      <c r="K897" s="1"/>
      <c r="L897" s="19">
        <f t="shared" si="107"/>
        <v>0</v>
      </c>
      <c r="M897" s="67"/>
      <c r="N897" s="839">
        <f t="shared" si="109"/>
        <v>0</v>
      </c>
    </row>
    <row r="898" spans="2:14" ht="15">
      <c r="B898" s="17">
        <f t="shared" si="108"/>
        <v>35</v>
      </c>
      <c r="C898" s="8"/>
      <c r="D898" s="297" t="s">
        <v>684</v>
      </c>
      <c r="E898" s="20"/>
      <c r="F898" s="896">
        <f>+F892+F896</f>
        <v>0</v>
      </c>
      <c r="G898" s="896">
        <f>+G892+G896</f>
        <v>0</v>
      </c>
      <c r="H898" s="896">
        <f>+H892+H896</f>
        <v>0</v>
      </c>
      <c r="I898" s="896">
        <f>+I892+I896</f>
        <v>0</v>
      </c>
      <c r="J898" s="118">
        <f>SUM(F898:I898)</f>
        <v>0</v>
      </c>
      <c r="K898" s="290"/>
      <c r="L898" s="22">
        <f t="shared" si="107"/>
        <v>0</v>
      </c>
      <c r="M898" s="67"/>
      <c r="N898" s="839">
        <f t="shared" si="109"/>
        <v>0</v>
      </c>
    </row>
    <row r="899" spans="2:14" ht="15" thickBot="1">
      <c r="B899" s="17">
        <f t="shared" si="108"/>
        <v>36</v>
      </c>
      <c r="C899" s="1"/>
      <c r="D899" s="51"/>
      <c r="E899" s="17"/>
      <c r="F899" s="894"/>
      <c r="G899" s="894"/>
      <c r="H899" s="894"/>
      <c r="I899" s="894"/>
      <c r="J899" s="1"/>
      <c r="K899" s="1"/>
      <c r="L899" s="19"/>
      <c r="M899" s="67"/>
      <c r="N899" s="839">
        <f t="shared" si="109"/>
        <v>0</v>
      </c>
    </row>
    <row r="900" spans="2:14" ht="15.75" thickBot="1">
      <c r="B900" s="17">
        <f t="shared" si="108"/>
        <v>37</v>
      </c>
      <c r="C900" s="870" t="s">
        <v>685</v>
      </c>
      <c r="D900" s="1017"/>
      <c r="E900" s="1013"/>
      <c r="F900" s="1014">
        <f>+F898+F886+F874</f>
        <v>0</v>
      </c>
      <c r="G900" s="1014">
        <f>+G898+G886+G874</f>
        <v>10847.980000000001</v>
      </c>
      <c r="H900" s="1014">
        <f>+H898+H886+H874</f>
        <v>8012927.54</v>
      </c>
      <c r="I900" s="1014">
        <f>+I898+I886+I874</f>
        <v>1250151.78</v>
      </c>
      <c r="J900" s="1015">
        <f>SUM(F900:I900)</f>
        <v>9273927.3000000007</v>
      </c>
      <c r="K900" s="300"/>
      <c r="L900" s="22">
        <f t="shared" si="107"/>
        <v>9273927.3000000007</v>
      </c>
      <c r="M900" s="67"/>
      <c r="N900" s="839">
        <f t="shared" si="109"/>
        <v>0</v>
      </c>
    </row>
    <row r="901" spans="2:14" ht="15.75" thickBot="1">
      <c r="B901" s="17">
        <f t="shared" si="108"/>
        <v>38</v>
      </c>
      <c r="C901" s="1"/>
      <c r="D901" s="8"/>
      <c r="E901" s="17"/>
      <c r="F901" s="894"/>
      <c r="G901" s="894"/>
      <c r="H901" s="894"/>
      <c r="I901" s="894"/>
      <c r="J901" s="1"/>
      <c r="K901" s="1"/>
      <c r="L901" s="19"/>
      <c r="M901" s="67"/>
      <c r="N901" s="839">
        <f t="shared" si="109"/>
        <v>0</v>
      </c>
    </row>
    <row r="902" spans="2:14" ht="15.75" thickBot="1">
      <c r="B902" s="17">
        <f t="shared" si="108"/>
        <v>39</v>
      </c>
      <c r="C902" s="284" t="s">
        <v>1201</v>
      </c>
      <c r="D902" s="285"/>
      <c r="E902" s="374" t="s">
        <v>279</v>
      </c>
      <c r="F902" s="903">
        <f>+F900+F851+F804</f>
        <v>44571843.730000004</v>
      </c>
      <c r="G902" s="903">
        <f>+G900+G851+G804</f>
        <v>122018539.90000001</v>
      </c>
      <c r="H902" s="903">
        <f>+H900+H851+H804</f>
        <v>31085348.769999996</v>
      </c>
      <c r="I902" s="903">
        <f>+I900+I851+I804</f>
        <v>1250915.3300000001</v>
      </c>
      <c r="J902" s="256">
        <f>SUM(F902:I902)</f>
        <v>198926647.72999999</v>
      </c>
      <c r="K902" s="252"/>
      <c r="L902" s="257">
        <f t="shared" si="107"/>
        <v>154354804.00000003</v>
      </c>
      <c r="M902" s="67"/>
      <c r="N902" s="839">
        <f t="shared" si="109"/>
        <v>0</v>
      </c>
    </row>
    <row r="903" spans="2:14" ht="15">
      <c r="B903" s="874"/>
      <c r="C903" s="874"/>
      <c r="D903" s="874"/>
      <c r="E903" s="874"/>
      <c r="F903" s="874"/>
      <c r="G903" s="874"/>
      <c r="H903" s="874"/>
      <c r="I903" s="874"/>
      <c r="J903" s="874"/>
      <c r="K903" s="874"/>
      <c r="L903" s="874"/>
      <c r="M903" s="134" t="str">
        <f>$M$2</f>
        <v xml:space="preserve"> </v>
      </c>
      <c r="N903" s="839"/>
    </row>
    <row r="904" spans="2:14" ht="15.75" thickBot="1">
      <c r="B904" s="874"/>
      <c r="C904" s="874"/>
      <c r="D904" s="874"/>
      <c r="E904" s="874"/>
      <c r="F904" s="874"/>
      <c r="G904" s="874"/>
      <c r="H904" s="874"/>
      <c r="I904" s="874"/>
      <c r="J904" s="874"/>
      <c r="K904" s="874"/>
      <c r="L904" s="874"/>
      <c r="M904" s="67"/>
      <c r="N904" s="839"/>
    </row>
    <row r="905" spans="2:14" ht="15">
      <c r="B905" s="920" t="str">
        <f>$B$4</f>
        <v>2022 RATE CASE</v>
      </c>
      <c r="C905" s="926"/>
      <c r="D905" s="927"/>
      <c r="E905" s="874"/>
      <c r="F905" s="874"/>
      <c r="G905" s="874"/>
      <c r="H905" s="874"/>
      <c r="I905" s="874"/>
      <c r="J905" s="874"/>
      <c r="K905" s="874"/>
      <c r="L905" s="874"/>
      <c r="N905" s="839"/>
    </row>
    <row r="906" spans="2:14" ht="15">
      <c r="B906" s="917" t="str">
        <f>$B$5</f>
        <v>ONCOR ELECTRIC DELIVERY COMPANY LLC</v>
      </c>
      <c r="C906" s="369"/>
      <c r="D906" s="928"/>
      <c r="E906" s="874"/>
      <c r="F906" s="874"/>
      <c r="G906" s="874"/>
      <c r="H906" s="874"/>
      <c r="I906" s="874"/>
      <c r="J906" s="874"/>
      <c r="K906" s="874"/>
      <c r="L906" s="874"/>
      <c r="M906" s="67"/>
      <c r="N906" s="839"/>
    </row>
    <row r="907" spans="2:14" ht="15">
      <c r="B907" s="406" t="str">
        <f>$B$6</f>
        <v>CONSOLIDATED FUNCTIONALIZED COST OF SERVICE</v>
      </c>
      <c r="C907" s="369"/>
      <c r="D907" s="928"/>
      <c r="E907" s="874"/>
      <c r="F907" s="874"/>
      <c r="G907" s="874"/>
      <c r="H907" s="874"/>
      <c r="I907" s="874"/>
      <c r="J907" s="874"/>
      <c r="K907" s="874"/>
      <c r="L907" s="874"/>
      <c r="M907" s="67"/>
      <c r="N907" s="839"/>
    </row>
    <row r="908" spans="2:14" ht="15">
      <c r="B908" s="406" t="str">
        <f>$B$7</f>
        <v>TEST YEAR ENDING 12/31/2021</v>
      </c>
      <c r="C908" s="369"/>
      <c r="D908" s="928"/>
      <c r="E908" s="369"/>
      <c r="F908" s="369"/>
      <c r="G908" s="369"/>
      <c r="H908" s="369"/>
      <c r="I908" s="369"/>
      <c r="J908" s="369"/>
      <c r="K908" s="369"/>
      <c r="L908" s="369"/>
      <c r="M908" s="67"/>
      <c r="N908" s="839"/>
    </row>
    <row r="909" spans="2:14" ht="15">
      <c r="B909" s="406" t="str">
        <f>$B$8</f>
        <v>SPONSOR:  MATTHEW A. TROXLE</v>
      </c>
      <c r="C909" s="369"/>
      <c r="D909" s="928"/>
      <c r="E909" s="369"/>
      <c r="F909" s="369"/>
      <c r="G909" s="369"/>
      <c r="H909" s="369"/>
      <c r="I909" s="369"/>
      <c r="J909" s="369"/>
      <c r="K909" s="369"/>
      <c r="L909" s="369"/>
      <c r="M909" s="67"/>
      <c r="N909" s="839"/>
    </row>
    <row r="910" spans="2:14" ht="15.75" thickBot="1">
      <c r="B910" s="410"/>
      <c r="C910" s="931"/>
      <c r="D910" s="932"/>
      <c r="E910" s="369"/>
      <c r="F910" s="369"/>
      <c r="G910" s="369"/>
      <c r="H910" s="369"/>
      <c r="I910" s="369"/>
      <c r="J910" s="369"/>
      <c r="K910" s="369"/>
      <c r="L910" s="369"/>
      <c r="M910" s="67"/>
      <c r="N910" s="839"/>
    </row>
    <row r="911" spans="2:14" ht="14.25">
      <c r="B911" s="13"/>
      <c r="C911" s="14"/>
      <c r="D911" s="14"/>
      <c r="E911" s="14"/>
      <c r="F911" s="1099" t="s">
        <v>6</v>
      </c>
      <c r="G911" s="738" t="s">
        <v>7</v>
      </c>
      <c r="H911" s="738" t="s">
        <v>8</v>
      </c>
      <c r="I911" s="952" t="s">
        <v>9</v>
      </c>
      <c r="J911" s="13" t="s">
        <v>10</v>
      </c>
      <c r="K911" s="17"/>
      <c r="L911" s="139" t="s">
        <v>966</v>
      </c>
      <c r="M911" s="67"/>
      <c r="N911" s="839"/>
    </row>
    <row r="912" spans="2:14" ht="15">
      <c r="B912" s="15" t="s">
        <v>2</v>
      </c>
      <c r="C912" s="15" t="s">
        <v>370</v>
      </c>
      <c r="D912" s="287" t="s">
        <v>686</v>
      </c>
      <c r="E912" s="15" t="s">
        <v>371</v>
      </c>
      <c r="F912" s="744"/>
      <c r="G912" s="743"/>
      <c r="H912" s="743"/>
      <c r="I912" s="743"/>
      <c r="J912" s="15"/>
      <c r="K912" s="17"/>
      <c r="L912" s="97" t="s">
        <v>967</v>
      </c>
      <c r="M912" s="67"/>
      <c r="N912" s="839"/>
    </row>
    <row r="913" spans="2:14" ht="14.25">
      <c r="B913" s="15"/>
      <c r="C913" s="15"/>
      <c r="D913" s="15"/>
      <c r="E913" s="15"/>
      <c r="F913" s="744"/>
      <c r="G913" s="743"/>
      <c r="H913" s="743"/>
      <c r="I913" s="743"/>
      <c r="J913" s="15"/>
      <c r="K913" s="17"/>
      <c r="L913" s="97"/>
      <c r="M913" s="67"/>
      <c r="N913" s="839"/>
    </row>
    <row r="914" spans="2:14" ht="15" thickBot="1">
      <c r="B914" s="16"/>
      <c r="C914" s="16" t="s">
        <v>13</v>
      </c>
      <c r="D914" s="16" t="s">
        <v>14</v>
      </c>
      <c r="E914" s="16" t="s">
        <v>15</v>
      </c>
      <c r="F914" s="747" t="s">
        <v>16</v>
      </c>
      <c r="G914" s="747" t="s">
        <v>17</v>
      </c>
      <c r="H914" s="747" t="s">
        <v>18</v>
      </c>
      <c r="I914" s="747" t="s">
        <v>21</v>
      </c>
      <c r="J914" s="16" t="s">
        <v>22</v>
      </c>
      <c r="K914" s="17"/>
      <c r="L914" s="1125" t="s">
        <v>418</v>
      </c>
      <c r="M914" s="67"/>
      <c r="N914" s="839"/>
    </row>
    <row r="915" spans="2:14" ht="15">
      <c r="B915" s="17"/>
      <c r="C915" s="1"/>
      <c r="D915" s="8"/>
      <c r="E915" s="19"/>
      <c r="F915" s="894"/>
      <c r="G915" s="730"/>
      <c r="H915" s="730"/>
      <c r="I915" s="730"/>
      <c r="J915" s="1"/>
      <c r="K915" s="1"/>
      <c r="L915" s="1"/>
      <c r="M915" s="67"/>
      <c r="N915" s="839"/>
    </row>
    <row r="916" spans="2:14" ht="15">
      <c r="B916" s="17">
        <f t="shared" si="110" ref="B916:B934">B915+1</f>
        <v>1</v>
      </c>
      <c r="C916" s="8" t="s">
        <v>686</v>
      </c>
      <c r="D916" s="8"/>
      <c r="E916" s="20" t="s">
        <v>279</v>
      </c>
      <c r="F916" s="896"/>
      <c r="G916" s="8"/>
      <c r="H916" s="8"/>
      <c r="I916" s="8"/>
      <c r="J916" s="8"/>
      <c r="K916" s="8"/>
      <c r="L916" s="8"/>
      <c r="M916" s="67"/>
      <c r="N916" s="839">
        <f t="shared" si="109"/>
        <v>0</v>
      </c>
    </row>
    <row r="917" spans="2:14" s="386" customFormat="1" ht="14.25">
      <c r="B917" s="17">
        <f t="shared" si="110"/>
        <v>2</v>
      </c>
      <c r="C917" s="1" t="s">
        <v>254</v>
      </c>
      <c r="D917" s="1" t="s">
        <v>255</v>
      </c>
      <c r="E917" s="19"/>
      <c r="F917" s="1087">
        <f>'WP II-I-1.1'!F325</f>
        <v>19675692</v>
      </c>
      <c r="G917" s="1089">
        <f>'WP II-I-1.1'!G325</f>
        <v>48295262.43</v>
      </c>
      <c r="H917" s="1089">
        <f>'WP II-I-1.1'!H325</f>
        <v>13067163.640000001</v>
      </c>
      <c r="I917" s="1090">
        <f>'WP II-I-1.1'!I325</f>
        <v>17818909.5</v>
      </c>
      <c r="J917" s="290">
        <f t="shared" si="111" ref="J917:J930">SUM(F917:I917)</f>
        <v>98857027.570000008</v>
      </c>
      <c r="K917" s="290"/>
      <c r="L917" s="18">
        <f t="shared" si="112" ref="L917:L955">SUM(G917:I917)</f>
        <v>79181335.569999993</v>
      </c>
      <c r="M917" s="47"/>
      <c r="N917" s="839">
        <f t="shared" si="109"/>
        <v>0</v>
      </c>
    </row>
    <row r="918" spans="2:14" s="386" customFormat="1" ht="14.25">
      <c r="B918" s="17">
        <f t="shared" si="110"/>
        <v>3</v>
      </c>
      <c r="C918" s="1" t="s">
        <v>256</v>
      </c>
      <c r="D918" s="1" t="s">
        <v>257</v>
      </c>
      <c r="E918" s="19"/>
      <c r="F918" s="1081">
        <f>'WP II-I-1.1'!F326</f>
        <v>0</v>
      </c>
      <c r="G918" s="893">
        <f>'WP II-I-1.1'!G326</f>
        <v>0</v>
      </c>
      <c r="H918" s="893">
        <f>'WP II-I-1.1'!H326</f>
        <v>0</v>
      </c>
      <c r="I918" s="1082">
        <f>'WP II-I-1.1'!I326</f>
        <v>0</v>
      </c>
      <c r="J918" s="290">
        <f t="shared" si="111"/>
        <v>0</v>
      </c>
      <c r="K918" s="290"/>
      <c r="L918" s="18">
        <f t="shared" si="112"/>
        <v>0</v>
      </c>
      <c r="M918" s="47"/>
      <c r="N918" s="839">
        <f t="shared" si="109"/>
        <v>0</v>
      </c>
    </row>
    <row r="919" spans="2:14" s="386" customFormat="1" ht="14.25">
      <c r="B919" s="17">
        <f t="shared" si="110"/>
        <v>4</v>
      </c>
      <c r="C919" s="1" t="s">
        <v>258</v>
      </c>
      <c r="D919" s="1" t="s">
        <v>259</v>
      </c>
      <c r="E919" s="19"/>
      <c r="F919" s="1081">
        <f>'WP II-I-1.1'!F327</f>
        <v>0</v>
      </c>
      <c r="G919" s="893">
        <f>'WP II-I-1.1'!G327</f>
        <v>0</v>
      </c>
      <c r="H919" s="893">
        <f>'WP II-I-1.1'!H327</f>
        <v>0</v>
      </c>
      <c r="I919" s="1082">
        <f>'WP II-I-1.1'!I327</f>
        <v>0</v>
      </c>
      <c r="J919" s="290">
        <f t="shared" si="111"/>
        <v>0</v>
      </c>
      <c r="K919" s="290"/>
      <c r="L919" s="18">
        <f t="shared" si="112"/>
        <v>0</v>
      </c>
      <c r="M919" s="47"/>
      <c r="N919" s="839">
        <f t="shared" si="109"/>
        <v>0</v>
      </c>
    </row>
    <row r="920" spans="2:14" s="386" customFormat="1" ht="14.25">
      <c r="B920" s="17">
        <f t="shared" si="110"/>
        <v>5</v>
      </c>
      <c r="C920" s="1" t="s">
        <v>260</v>
      </c>
      <c r="D920" s="1" t="s">
        <v>261</v>
      </c>
      <c r="E920" s="19"/>
      <c r="F920" s="1081">
        <f>'WP II-I-1.1'!F328</f>
        <v>0</v>
      </c>
      <c r="G920" s="893">
        <f>'WP II-I-1.1'!G328</f>
        <v>0</v>
      </c>
      <c r="H920" s="893">
        <f>'WP II-I-1.1'!H328</f>
        <v>0</v>
      </c>
      <c r="I920" s="1082">
        <f>'WP II-I-1.1'!I328</f>
        <v>0</v>
      </c>
      <c r="J920" s="290">
        <f t="shared" si="111"/>
        <v>0</v>
      </c>
      <c r="K920" s="290"/>
      <c r="L920" s="18">
        <f t="shared" si="112"/>
        <v>0</v>
      </c>
      <c r="M920" s="47"/>
      <c r="N920" s="839">
        <f t="shared" si="109"/>
        <v>0</v>
      </c>
    </row>
    <row r="921" spans="2:14" s="386" customFormat="1" ht="14.25">
      <c r="B921" s="17">
        <f t="shared" si="110"/>
        <v>6</v>
      </c>
      <c r="C921" s="31" t="s">
        <v>262</v>
      </c>
      <c r="D921" s="1" t="s">
        <v>263</v>
      </c>
      <c r="E921" s="19"/>
      <c r="F921" s="1081">
        <f>'WP II-I-1.1'!F329</f>
        <v>0</v>
      </c>
      <c r="G921" s="893">
        <f>'WP II-I-1.1'!G329</f>
        <v>0</v>
      </c>
      <c r="H921" s="893">
        <f>'WP II-I-1.1'!H329</f>
        <v>0</v>
      </c>
      <c r="I921" s="1082">
        <f>'WP II-I-1.1'!I329</f>
        <v>0</v>
      </c>
      <c r="J921" s="290">
        <f t="shared" si="111"/>
        <v>0</v>
      </c>
      <c r="K921" s="290"/>
      <c r="L921" s="18">
        <f t="shared" si="112"/>
        <v>0</v>
      </c>
      <c r="M921" s="47"/>
      <c r="N921" s="839">
        <f t="shared" si="109"/>
        <v>0</v>
      </c>
    </row>
    <row r="922" spans="2:14" s="386" customFormat="1" ht="14.25">
      <c r="B922" s="17">
        <f t="shared" si="110"/>
        <v>7</v>
      </c>
      <c r="C922" s="31" t="s">
        <v>264</v>
      </c>
      <c r="D922" s="1" t="s">
        <v>265</v>
      </c>
      <c r="E922" s="19"/>
      <c r="F922" s="1081">
        <f>'WP II-I-1.1'!F330</f>
        <v>0</v>
      </c>
      <c r="G922" s="893">
        <f>'WP II-I-1.1'!G330</f>
        <v>0</v>
      </c>
      <c r="H922" s="893">
        <f>'WP II-I-1.1'!H330</f>
        <v>0</v>
      </c>
      <c r="I922" s="1082">
        <f>'WP II-I-1.1'!I330</f>
        <v>0</v>
      </c>
      <c r="J922" s="290">
        <f t="shared" si="111"/>
        <v>0</v>
      </c>
      <c r="K922" s="290"/>
      <c r="L922" s="18">
        <f t="shared" si="112"/>
        <v>0</v>
      </c>
      <c r="M922" s="47"/>
      <c r="N922" s="839">
        <f t="shared" si="109"/>
        <v>0</v>
      </c>
    </row>
    <row r="923" spans="2:14" s="386" customFormat="1" ht="14.25">
      <c r="B923" s="17">
        <f t="shared" si="110"/>
        <v>8</v>
      </c>
      <c r="C923" s="1" t="s">
        <v>266</v>
      </c>
      <c r="D923" s="1" t="s">
        <v>267</v>
      </c>
      <c r="E923" s="19"/>
      <c r="F923" s="1081">
        <f>'WP II-I-1.1'!F331</f>
        <v>0</v>
      </c>
      <c r="G923" s="893">
        <f>'WP II-I-1.1'!G331</f>
        <v>0</v>
      </c>
      <c r="H923" s="893">
        <f>'WP II-I-1.1'!H331</f>
        <v>0</v>
      </c>
      <c r="I923" s="1082">
        <f>'WP II-I-1.1'!I331</f>
        <v>0</v>
      </c>
      <c r="J923" s="290">
        <f t="shared" si="111"/>
        <v>0</v>
      </c>
      <c r="K923" s="290"/>
      <c r="L923" s="18">
        <f t="shared" si="112"/>
        <v>0</v>
      </c>
      <c r="M923" s="47"/>
      <c r="N923" s="839">
        <f t="shared" si="109"/>
        <v>0</v>
      </c>
    </row>
    <row r="924" spans="2:14" s="386" customFormat="1" ht="14.25">
      <c r="B924" s="17">
        <f t="shared" si="110"/>
        <v>9</v>
      </c>
      <c r="C924" s="1" t="s">
        <v>268</v>
      </c>
      <c r="D924" s="1" t="s">
        <v>269</v>
      </c>
      <c r="E924" s="19"/>
      <c r="F924" s="1081">
        <f>'WP II-I-1.1'!F332</f>
        <v>0</v>
      </c>
      <c r="G924" s="893">
        <f>'WP II-I-1.1'!G332</f>
        <v>0</v>
      </c>
      <c r="H924" s="893">
        <f>'WP II-I-1.1'!H332</f>
        <v>0</v>
      </c>
      <c r="I924" s="1082">
        <f>'WP II-I-1.1'!I332</f>
        <v>0</v>
      </c>
      <c r="J924" s="290">
        <f t="shared" si="111"/>
        <v>0</v>
      </c>
      <c r="K924" s="290"/>
      <c r="L924" s="18">
        <f t="shared" si="112"/>
        <v>0</v>
      </c>
      <c r="M924" s="47"/>
      <c r="N924" s="839">
        <f t="shared" si="109"/>
        <v>0</v>
      </c>
    </row>
    <row r="925" spans="2:14" s="386" customFormat="1" ht="14.25">
      <c r="B925" s="17">
        <f t="shared" si="110"/>
        <v>10</v>
      </c>
      <c r="C925" s="1" t="s">
        <v>270</v>
      </c>
      <c r="D925" s="1" t="s">
        <v>271</v>
      </c>
      <c r="E925" s="19"/>
      <c r="F925" s="1081">
        <f>'WP II-I-1.1'!F333</f>
        <v>0</v>
      </c>
      <c r="G925" s="893">
        <f>'WP II-I-1.1'!G333</f>
        <v>0</v>
      </c>
      <c r="H925" s="893">
        <f>'WP II-I-1.1'!H333</f>
        <v>0</v>
      </c>
      <c r="I925" s="1082">
        <f>'WP II-I-1.1'!I333</f>
        <v>0</v>
      </c>
      <c r="J925" s="290">
        <f t="shared" si="111"/>
        <v>0</v>
      </c>
      <c r="K925" s="290"/>
      <c r="L925" s="18">
        <f t="shared" si="112"/>
        <v>0</v>
      </c>
      <c r="M925" s="47"/>
      <c r="N925" s="839">
        <f t="shared" si="109"/>
        <v>0</v>
      </c>
    </row>
    <row r="926" spans="2:14" s="386" customFormat="1" ht="14.25">
      <c r="B926" s="17">
        <f t="shared" si="110"/>
        <v>11</v>
      </c>
      <c r="C926" s="1" t="s">
        <v>272</v>
      </c>
      <c r="D926" s="1" t="s">
        <v>273</v>
      </c>
      <c r="E926" s="19"/>
      <c r="F926" s="1081">
        <f>'WP II-I-1.1'!F334</f>
        <v>0</v>
      </c>
      <c r="G926" s="893">
        <f>'WP II-I-1.1'!G334</f>
        <v>0</v>
      </c>
      <c r="H926" s="893">
        <f>'WP II-I-1.1'!H334</f>
        <v>0</v>
      </c>
      <c r="I926" s="1082">
        <f>'WP II-I-1.1'!I334</f>
        <v>0</v>
      </c>
      <c r="J926" s="290">
        <f t="shared" si="111"/>
        <v>0</v>
      </c>
      <c r="K926" s="290"/>
      <c r="L926" s="18">
        <f t="shared" si="112"/>
        <v>0</v>
      </c>
      <c r="M926" s="47"/>
      <c r="N926" s="839">
        <f t="shared" si="109"/>
        <v>0</v>
      </c>
    </row>
    <row r="927" spans="2:14" s="386" customFormat="1" ht="14.25">
      <c r="B927" s="17">
        <f t="shared" si="110"/>
        <v>12</v>
      </c>
      <c r="C927" s="31" t="s">
        <v>274</v>
      </c>
      <c r="D927" s="1" t="s">
        <v>206</v>
      </c>
      <c r="E927" s="19"/>
      <c r="F927" s="1081">
        <f>'WP II-I-1.1'!F335</f>
        <v>0</v>
      </c>
      <c r="G927" s="893">
        <f>'WP II-I-1.1'!G335</f>
        <v>0</v>
      </c>
      <c r="H927" s="893">
        <f>'WP II-I-1.1'!H335</f>
        <v>0</v>
      </c>
      <c r="I927" s="1082">
        <f>'WP II-I-1.1'!I335</f>
        <v>0</v>
      </c>
      <c r="J927" s="290">
        <f t="shared" si="111"/>
        <v>0</v>
      </c>
      <c r="K927" s="290"/>
      <c r="L927" s="18">
        <f t="shared" si="112"/>
        <v>0</v>
      </c>
      <c r="M927" s="47"/>
      <c r="N927" s="839">
        <f t="shared" si="109"/>
        <v>0</v>
      </c>
    </row>
    <row r="928" spans="2:14" s="386" customFormat="1" ht="14.25">
      <c r="B928" s="17">
        <f t="shared" si="110"/>
        <v>13</v>
      </c>
      <c r="C928" s="31" t="s">
        <v>275</v>
      </c>
      <c r="D928" s="1" t="s">
        <v>276</v>
      </c>
      <c r="E928" s="19"/>
      <c r="F928" s="1081">
        <f>'WP II-I-1.1'!F336</f>
        <v>0</v>
      </c>
      <c r="G928" s="893">
        <f>'WP II-I-1.1'!G336</f>
        <v>3118.1799999999998</v>
      </c>
      <c r="H928" s="893">
        <f>'WP II-I-1.1'!H336</f>
        <v>16.629999999999999</v>
      </c>
      <c r="I928" s="1082">
        <f>'WP II-I-1.1'!I336</f>
        <v>0</v>
      </c>
      <c r="J928" s="290">
        <f t="shared" si="111"/>
        <v>3134.8099999999999</v>
      </c>
      <c r="K928" s="290"/>
      <c r="L928" s="18">
        <f t="shared" si="112"/>
        <v>3134.8099999999999</v>
      </c>
      <c r="M928" s="47"/>
      <c r="N928" s="839">
        <f t="shared" si="109"/>
        <v>0</v>
      </c>
    </row>
    <row r="929" spans="2:14" s="386" customFormat="1" ht="16.5">
      <c r="B929" s="17">
        <f t="shared" si="110"/>
        <v>14</v>
      </c>
      <c r="C929" s="28" t="s">
        <v>277</v>
      </c>
      <c r="D929" s="1" t="s">
        <v>276</v>
      </c>
      <c r="E929" s="19"/>
      <c r="F929" s="1083">
        <f>'WP II-I-1.1'!F337</f>
        <v>718782.63</v>
      </c>
      <c r="G929" s="1084">
        <f>'WP II-I-1.1'!G337</f>
        <v>1273875.04</v>
      </c>
      <c r="H929" s="1084">
        <f>'WP II-I-1.1'!H337</f>
        <v>212.81</v>
      </c>
      <c r="I929" s="1085">
        <f>'WP II-I-1.1'!I337</f>
        <v>4.4100000000000001</v>
      </c>
      <c r="J929" s="302">
        <f t="shared" si="111"/>
        <v>1992874.8899999999</v>
      </c>
      <c r="K929" s="302"/>
      <c r="L929" s="296">
        <f t="shared" si="112"/>
        <v>1274092.26</v>
      </c>
      <c r="M929" s="47"/>
      <c r="N929" s="839">
        <f t="shared" si="109"/>
        <v>0</v>
      </c>
    </row>
    <row r="930" spans="2:14" ht="15">
      <c r="B930" s="17">
        <f t="shared" si="110"/>
        <v>15</v>
      </c>
      <c r="C930" s="8" t="s">
        <v>687</v>
      </c>
      <c r="D930" s="34"/>
      <c r="E930" s="22"/>
      <c r="F930" s="896">
        <f>SUM(F917:F929)</f>
        <v>20394474.629999999</v>
      </c>
      <c r="G930" s="896">
        <f>SUM(G917:G929)</f>
        <v>49572255.649999999</v>
      </c>
      <c r="H930" s="896">
        <f>SUM(H917:H929)</f>
        <v>13067393.080000002</v>
      </c>
      <c r="I930" s="896">
        <f>SUM(I917:I929)</f>
        <v>17818913.91</v>
      </c>
      <c r="J930" s="299">
        <f t="shared" si="111"/>
        <v>100853037.27</v>
      </c>
      <c r="K930" s="300"/>
      <c r="L930" s="22">
        <f t="shared" si="112"/>
        <v>80458562.640000001</v>
      </c>
      <c r="M930" s="67"/>
      <c r="N930" s="839">
        <f t="shared" si="109"/>
        <v>0</v>
      </c>
    </row>
    <row r="931" spans="2:14" ht="14.25">
      <c r="B931" s="17">
        <f t="shared" si="110"/>
        <v>16</v>
      </c>
      <c r="C931" s="1"/>
      <c r="D931" s="1"/>
      <c r="E931" s="19"/>
      <c r="F931" s="894"/>
      <c r="G931" s="730"/>
      <c r="H931" s="730"/>
      <c r="I931" s="730"/>
      <c r="J931" s="1"/>
      <c r="K931" s="1"/>
      <c r="L931" s="1"/>
      <c r="M931" s="67"/>
      <c r="N931" s="839">
        <f t="shared" si="109"/>
        <v>0</v>
      </c>
    </row>
    <row r="932" spans="2:14" ht="15">
      <c r="B932" s="17">
        <f t="shared" si="110"/>
        <v>17</v>
      </c>
      <c r="C932" s="8"/>
      <c r="D932" s="297" t="s">
        <v>688</v>
      </c>
      <c r="E932" s="20"/>
      <c r="F932" s="896">
        <f>SUM(F918:F929)</f>
        <v>718782.63</v>
      </c>
      <c r="G932" s="896">
        <f>SUM(G918:G929)</f>
        <v>1276993.22</v>
      </c>
      <c r="H932" s="896">
        <f>SUM(H918:H929)</f>
        <v>229.44</v>
      </c>
      <c r="I932" s="896">
        <f>SUM(I918:I929)</f>
        <v>4.4100000000000001</v>
      </c>
      <c r="J932" s="299">
        <f>SUM(F932:I932)</f>
        <v>1996009.7</v>
      </c>
      <c r="K932" s="300"/>
      <c r="L932" s="22">
        <f t="shared" si="112"/>
        <v>1277227.0699999998</v>
      </c>
      <c r="M932" s="67"/>
      <c r="N932" s="839">
        <f t="shared" si="109"/>
        <v>0</v>
      </c>
    </row>
    <row r="933" spans="2:13" ht="15" thickBot="1">
      <c r="B933" s="17">
        <f t="shared" si="110"/>
        <v>18</v>
      </c>
      <c r="C933" s="1"/>
      <c r="D933" s="51"/>
      <c r="E933" s="17"/>
      <c r="F933" s="894"/>
      <c r="G933" s="894"/>
      <c r="H933" s="894"/>
      <c r="I933" s="894"/>
      <c r="J933" s="1"/>
      <c r="K933" s="1"/>
      <c r="L933" s="19"/>
      <c r="M933" s="67"/>
    </row>
    <row r="934" spans="2:14" ht="15.75" thickBot="1">
      <c r="B934" s="17">
        <f t="shared" si="110"/>
        <v>19</v>
      </c>
      <c r="C934" s="284" t="s">
        <v>689</v>
      </c>
      <c r="D934" s="285"/>
      <c r="E934" s="374" t="s">
        <v>279</v>
      </c>
      <c r="F934" s="903">
        <f>+F902+F930</f>
        <v>64966318.359999999</v>
      </c>
      <c r="G934" s="903">
        <f>+G902+G930</f>
        <v>171590795.55000001</v>
      </c>
      <c r="H934" s="903">
        <f>+H902+H930</f>
        <v>44152741.849999994</v>
      </c>
      <c r="I934" s="903">
        <f>+I902+I930</f>
        <v>19069829.240000002</v>
      </c>
      <c r="J934" s="256">
        <f>SUM(F934:I934)</f>
        <v>299779685</v>
      </c>
      <c r="K934" s="252"/>
      <c r="L934" s="257">
        <f t="shared" si="112"/>
        <v>234813366.64000002</v>
      </c>
      <c r="M934" s="67"/>
      <c r="N934" s="375" t="b">
        <f>IF(ROUND(J934-'WP II-I-1.1'!J454,0)=0,TRUE,J934-'WP II-I-1.1'!J454)</f>
        <v>1</v>
      </c>
    </row>
    <row r="935" spans="2:13" ht="14.25">
      <c r="B935" s="67"/>
      <c r="C935" s="67"/>
      <c r="D935" s="67"/>
      <c r="E935" s="67"/>
      <c r="F935" s="664"/>
      <c r="G935" s="664"/>
      <c r="H935" s="664"/>
      <c r="I935" s="664"/>
      <c r="J935" s="67"/>
      <c r="K935" s="47"/>
      <c r="L935" s="47"/>
      <c r="M935" s="67"/>
    </row>
    <row r="936" spans="2:13" ht="15">
      <c r="B936" s="874"/>
      <c r="C936" s="874"/>
      <c r="D936" s="874"/>
      <c r="E936" s="874"/>
      <c r="F936" s="874"/>
      <c r="G936" s="874"/>
      <c r="H936" s="874"/>
      <c r="I936" s="874"/>
      <c r="J936" s="874"/>
      <c r="K936" s="874"/>
      <c r="L936" s="874"/>
      <c r="M936" s="134" t="str">
        <f>$M$2</f>
        <v xml:space="preserve"> </v>
      </c>
    </row>
    <row r="937" spans="2:13" ht="15.75" thickBot="1">
      <c r="B937" s="874"/>
      <c r="C937" s="874"/>
      <c r="D937" s="874"/>
      <c r="E937" s="874"/>
      <c r="F937" s="874"/>
      <c r="G937" s="874"/>
      <c r="H937" s="874"/>
      <c r="I937" s="874"/>
      <c r="J937" s="874"/>
      <c r="K937" s="874"/>
      <c r="L937" s="874"/>
      <c r="M937" s="67"/>
    </row>
    <row r="938" spans="2:12" ht="15">
      <c r="B938" s="920" t="str">
        <f>$B$4</f>
        <v>2022 RATE CASE</v>
      </c>
      <c r="C938" s="926"/>
      <c r="D938" s="927"/>
      <c r="E938" s="874"/>
      <c r="F938" s="874"/>
      <c r="G938" s="874"/>
      <c r="H938" s="874"/>
      <c r="I938" s="874"/>
      <c r="J938" s="874"/>
      <c r="K938" s="874"/>
      <c r="L938" s="874"/>
    </row>
    <row r="939" spans="2:13" ht="15">
      <c r="B939" s="917" t="str">
        <f>$B$5</f>
        <v>ONCOR ELECTRIC DELIVERY COMPANY LLC</v>
      </c>
      <c r="C939" s="369"/>
      <c r="D939" s="928"/>
      <c r="E939" s="874"/>
      <c r="F939" s="874"/>
      <c r="G939" s="874"/>
      <c r="H939" s="874"/>
      <c r="I939" s="874"/>
      <c r="J939" s="874"/>
      <c r="K939" s="874"/>
      <c r="L939" s="874"/>
      <c r="M939" s="67"/>
    </row>
    <row r="940" spans="2:13" ht="15">
      <c r="B940" s="406" t="str">
        <f>$B$6</f>
        <v>CONSOLIDATED FUNCTIONALIZED COST OF SERVICE</v>
      </c>
      <c r="C940" s="369"/>
      <c r="D940" s="928"/>
      <c r="E940" s="874"/>
      <c r="F940" s="874"/>
      <c r="G940" s="874"/>
      <c r="H940" s="874"/>
      <c r="I940" s="874"/>
      <c r="J940" s="874"/>
      <c r="K940" s="874"/>
      <c r="L940" s="874"/>
      <c r="M940" s="67"/>
    </row>
    <row r="941" spans="2:13" ht="15.75">
      <c r="B941" s="406" t="str">
        <f>$B$7</f>
        <v>TEST YEAR ENDING 12/31/2021</v>
      </c>
      <c r="C941" s="840"/>
      <c r="D941" s="921"/>
      <c r="E941" s="67"/>
      <c r="F941" s="664"/>
      <c r="G941" s="664"/>
      <c r="H941" s="664"/>
      <c r="I941" s="664"/>
      <c r="J941" s="67"/>
      <c r="K941" s="67"/>
      <c r="L941" s="67"/>
      <c r="M941" s="67"/>
    </row>
    <row r="942" spans="2:13" ht="15">
      <c r="B942" s="406" t="str">
        <f>$B$8</f>
        <v>SPONSOR:  MATTHEW A. TROXLE</v>
      </c>
      <c r="C942" s="369"/>
      <c r="D942" s="928"/>
      <c r="E942" s="369"/>
      <c r="F942" s="369"/>
      <c r="G942" s="369"/>
      <c r="H942" s="369"/>
      <c r="I942" s="369"/>
      <c r="J942" s="369"/>
      <c r="K942" s="369"/>
      <c r="L942" s="369"/>
      <c r="M942" s="67"/>
    </row>
    <row r="943" spans="2:13" ht="15.75" thickBot="1">
      <c r="B943" s="410"/>
      <c r="C943" s="934"/>
      <c r="D943" s="936"/>
      <c r="F943" s="737"/>
      <c r="G943" s="737"/>
      <c r="H943" s="737"/>
      <c r="I943" s="737"/>
      <c r="J943" s="332"/>
      <c r="K943" s="43"/>
      <c r="L943" s="43"/>
      <c r="M943" s="67"/>
    </row>
    <row r="944" spans="2:13" ht="14.25">
      <c r="B944" s="13"/>
      <c r="C944" s="14"/>
      <c r="D944" s="14"/>
      <c r="E944" s="14"/>
      <c r="F944" s="1099" t="s">
        <v>6</v>
      </c>
      <c r="G944" s="738" t="s">
        <v>7</v>
      </c>
      <c r="H944" s="738" t="s">
        <v>8</v>
      </c>
      <c r="I944" s="952" t="s">
        <v>9</v>
      </c>
      <c r="J944" s="13" t="s">
        <v>10</v>
      </c>
      <c r="K944" s="17"/>
      <c r="L944" s="139" t="s">
        <v>966</v>
      </c>
      <c r="M944" s="67"/>
    </row>
    <row r="945" spans="2:13" ht="15">
      <c r="B945" s="15" t="s">
        <v>2</v>
      </c>
      <c r="C945" s="15" t="s">
        <v>370</v>
      </c>
      <c r="D945" s="287" t="s">
        <v>690</v>
      </c>
      <c r="E945" s="15" t="s">
        <v>371</v>
      </c>
      <c r="F945" s="744"/>
      <c r="G945" s="743"/>
      <c r="H945" s="743"/>
      <c r="I945" s="743"/>
      <c r="J945" s="15"/>
      <c r="K945" s="17"/>
      <c r="L945" s="97" t="s">
        <v>967</v>
      </c>
      <c r="M945" s="67"/>
    </row>
    <row r="946" spans="2:13" ht="14.25">
      <c r="B946" s="15"/>
      <c r="C946" s="15"/>
      <c r="D946" s="15"/>
      <c r="E946" s="15"/>
      <c r="F946" s="744"/>
      <c r="G946" s="743"/>
      <c r="H946" s="743"/>
      <c r="I946" s="743"/>
      <c r="J946" s="15"/>
      <c r="K946" s="17"/>
      <c r="L946" s="97"/>
      <c r="M946" s="67"/>
    </row>
    <row r="947" spans="2:13" ht="15" thickBot="1">
      <c r="B947" s="16"/>
      <c r="C947" s="16" t="s">
        <v>13</v>
      </c>
      <c r="D947" s="16" t="s">
        <v>14</v>
      </c>
      <c r="E947" s="16" t="s">
        <v>15</v>
      </c>
      <c r="F947" s="747" t="s">
        <v>16</v>
      </c>
      <c r="G947" s="747" t="s">
        <v>17</v>
      </c>
      <c r="H947" s="747" t="s">
        <v>18</v>
      </c>
      <c r="I947" s="747" t="s">
        <v>21</v>
      </c>
      <c r="J947" s="16" t="s">
        <v>22</v>
      </c>
      <c r="K947" s="17"/>
      <c r="L947" s="1125" t="s">
        <v>418</v>
      </c>
      <c r="M947" s="67"/>
    </row>
    <row r="948" spans="2:14" ht="15">
      <c r="B948" s="67"/>
      <c r="C948" s="333"/>
      <c r="D948" s="333"/>
      <c r="E948" s="37"/>
      <c r="F948" s="749"/>
      <c r="G948" s="749"/>
      <c r="H948" s="749"/>
      <c r="I948" s="691"/>
      <c r="J948" s="43"/>
      <c r="K948" s="43"/>
      <c r="L948" s="43"/>
      <c r="M948" s="67"/>
      <c r="N948" s="839">
        <f t="shared" si="113" ref="N948:N955">J948-L948-F948</f>
        <v>0</v>
      </c>
    </row>
    <row r="949" spans="2:14" s="386" customFormat="1" ht="15">
      <c r="B949" s="17">
        <f t="shared" si="114" ref="B949:B955">B948+1</f>
        <v>1</v>
      </c>
      <c r="C949" s="376"/>
      <c r="D949" s="43" t="s">
        <v>289</v>
      </c>
      <c r="E949" s="37" t="s">
        <v>290</v>
      </c>
      <c r="F949" s="893">
        <f>'WP II-I-1.1'!F340</f>
        <v>0</v>
      </c>
      <c r="G949" s="893">
        <f>'WP II-I-1.1'!G340</f>
        <v>0</v>
      </c>
      <c r="H949" s="893">
        <f>'WP II-I-1.1'!H340</f>
        <v>0</v>
      </c>
      <c r="I949" s="893">
        <f>'WP II-I-1.1'!I340</f>
        <v>0</v>
      </c>
      <c r="J949" s="290">
        <f>SUM(F949:I949)</f>
        <v>0</v>
      </c>
      <c r="K949" s="290"/>
      <c r="L949" s="18">
        <f t="shared" si="112"/>
        <v>0</v>
      </c>
      <c r="M949" s="47"/>
      <c r="N949" s="839">
        <f t="shared" si="113"/>
        <v>0</v>
      </c>
    </row>
    <row r="950" spans="2:14" s="386" customFormat="1" ht="15">
      <c r="B950" s="17">
        <f t="shared" si="114"/>
        <v>2</v>
      </c>
      <c r="C950" s="334"/>
      <c r="D950" s="43" t="s">
        <v>291</v>
      </c>
      <c r="E950" s="37" t="s">
        <v>290</v>
      </c>
      <c r="F950" s="893">
        <f>'WP II-I-1.1'!F341</f>
        <v>0</v>
      </c>
      <c r="G950" s="893">
        <f>'WP II-I-1.1'!G341</f>
        <v>0</v>
      </c>
      <c r="H950" s="893">
        <f>'WP II-I-1.1'!H341</f>
        <v>0</v>
      </c>
      <c r="I950" s="893">
        <f>'WP II-I-1.1'!I341</f>
        <v>0</v>
      </c>
      <c r="J950" s="290">
        <f>SUM(F950:I950)</f>
        <v>0</v>
      </c>
      <c r="K950" s="290"/>
      <c r="L950" s="18">
        <f t="shared" si="112"/>
        <v>0</v>
      </c>
      <c r="M950" s="47"/>
      <c r="N950" s="839">
        <f t="shared" si="113"/>
        <v>0</v>
      </c>
    </row>
    <row r="951" spans="2:14" s="386" customFormat="1" ht="15">
      <c r="B951" s="17">
        <f t="shared" si="114"/>
        <v>3</v>
      </c>
      <c r="C951" s="43"/>
      <c r="D951" s="43" t="s">
        <v>292</v>
      </c>
      <c r="E951" s="37" t="s">
        <v>293</v>
      </c>
      <c r="F951" s="893">
        <f>'WP II-I-1.1'!F342</f>
        <v>0</v>
      </c>
      <c r="G951" s="893">
        <f>'WP II-I-1.1'!G342</f>
        <v>0</v>
      </c>
      <c r="H951" s="893">
        <f>'WP II-I-1.1'!H342</f>
        <v>0</v>
      </c>
      <c r="I951" s="893">
        <f>'WP II-I-1.1'!I342</f>
        <v>0</v>
      </c>
      <c r="J951" s="290">
        <f>SUM(F951:I951)</f>
        <v>0</v>
      </c>
      <c r="K951" s="290"/>
      <c r="L951" s="18">
        <f t="shared" si="112"/>
        <v>0</v>
      </c>
      <c r="M951" s="47"/>
      <c r="N951" s="839">
        <f t="shared" si="113"/>
        <v>0</v>
      </c>
    </row>
    <row r="952" spans="2:14" s="386" customFormat="1" ht="15">
      <c r="B952" s="17">
        <f t="shared" si="114"/>
        <v>4</v>
      </c>
      <c r="C952" s="43"/>
      <c r="D952" s="43" t="s">
        <v>294</v>
      </c>
      <c r="E952" s="37" t="s">
        <v>293</v>
      </c>
      <c r="F952" s="893">
        <f>'WP II-I-1.1'!F343</f>
        <v>0</v>
      </c>
      <c r="G952" s="893">
        <f>'WP II-I-1.1'!G343</f>
        <v>0</v>
      </c>
      <c r="H952" s="893">
        <f>'WP II-I-1.1'!H343</f>
        <v>0</v>
      </c>
      <c r="I952" s="893">
        <f>'WP II-I-1.1'!I343</f>
        <v>0</v>
      </c>
      <c r="J952" s="290">
        <f>SUM(F952:I952)</f>
        <v>0</v>
      </c>
      <c r="K952" s="290"/>
      <c r="L952" s="18">
        <f t="shared" si="112"/>
        <v>0</v>
      </c>
      <c r="M952" s="47"/>
      <c r="N952" s="839">
        <f t="shared" si="113"/>
        <v>0</v>
      </c>
    </row>
    <row r="953" spans="2:14" s="386" customFormat="1" ht="15">
      <c r="B953" s="17">
        <f t="shared" si="114"/>
        <v>5</v>
      </c>
      <c r="C953" s="43"/>
      <c r="D953" s="43" t="s">
        <v>295</v>
      </c>
      <c r="E953" s="37" t="s">
        <v>293</v>
      </c>
      <c r="F953" s="893">
        <f>'WP II-I-1.1'!F344</f>
        <v>0</v>
      </c>
      <c r="G953" s="893">
        <f>'WP II-I-1.1'!G344</f>
        <v>0</v>
      </c>
      <c r="H953" s="893">
        <f>'WP II-I-1.1'!H344</f>
        <v>0</v>
      </c>
      <c r="I953" s="893">
        <f>'WP II-I-1.1'!I344</f>
        <v>0</v>
      </c>
      <c r="J953" s="290">
        <f>SUM(F953:I953)</f>
        <v>0</v>
      </c>
      <c r="K953" s="290"/>
      <c r="L953" s="18">
        <f t="shared" si="112"/>
        <v>0</v>
      </c>
      <c r="M953" s="47"/>
      <c r="N953" s="839">
        <f t="shared" si="113"/>
        <v>0</v>
      </c>
    </row>
    <row r="954" spans="2:14" ht="15.75" thickBot="1">
      <c r="B954" s="17">
        <f t="shared" si="114"/>
        <v>6</v>
      </c>
      <c r="C954" s="43"/>
      <c r="D954" s="43"/>
      <c r="E954" s="37"/>
      <c r="F954" s="893"/>
      <c r="G954" s="893"/>
      <c r="H954" s="893"/>
      <c r="I954" s="893"/>
      <c r="J954" s="118"/>
      <c r="K954" s="290"/>
      <c r="L954" s="18">
        <f t="shared" si="112"/>
        <v>0</v>
      </c>
      <c r="M954" s="67"/>
      <c r="N954" s="839">
        <f t="shared" si="113"/>
        <v>0</v>
      </c>
    </row>
    <row r="955" spans="2:14" ht="15.75" thickBot="1">
      <c r="B955" s="17">
        <f t="shared" si="114"/>
        <v>7</v>
      </c>
      <c r="C955" s="341" t="s">
        <v>691</v>
      </c>
      <c r="D955" s="336"/>
      <c r="E955" s="337"/>
      <c r="F955" s="905">
        <f>+F949+F950+F951+F952</f>
        <v>0</v>
      </c>
      <c r="G955" s="905">
        <f>+G949+G950+G951+G952</f>
        <v>0</v>
      </c>
      <c r="H955" s="905">
        <f>+H949+H950+H951+H952</f>
        <v>0</v>
      </c>
      <c r="I955" s="905">
        <f>+I949+I950+I951+I952</f>
        <v>0</v>
      </c>
      <c r="J955" s="256">
        <f>SUM(F955:I955)</f>
        <v>0</v>
      </c>
      <c r="K955" s="252"/>
      <c r="L955" s="280">
        <f t="shared" si="112"/>
        <v>0</v>
      </c>
      <c r="M955" s="67"/>
      <c r="N955" s="839">
        <f t="shared" si="113"/>
        <v>0</v>
      </c>
    </row>
    <row r="956" spans="2:13" ht="15">
      <c r="B956" s="874"/>
      <c r="C956" s="874"/>
      <c r="D956" s="874"/>
      <c r="E956" s="874"/>
      <c r="F956" s="874"/>
      <c r="G956" s="874"/>
      <c r="H956" s="874"/>
      <c r="I956" s="874"/>
      <c r="J956" s="874"/>
      <c r="K956" s="874"/>
      <c r="L956" s="874"/>
      <c r="M956" s="67"/>
    </row>
    <row r="957" spans="2:13" ht="15.75" thickBot="1">
      <c r="B957" s="874"/>
      <c r="C957" s="874"/>
      <c r="D957" s="874"/>
      <c r="E957" s="874"/>
      <c r="F957" s="874"/>
      <c r="G957" s="874"/>
      <c r="H957" s="874"/>
      <c r="I957" s="874"/>
      <c r="J957" s="874"/>
      <c r="K957" s="874"/>
      <c r="L957" s="874"/>
      <c r="M957" s="134" t="str">
        <f>$M$2</f>
        <v xml:space="preserve"> </v>
      </c>
    </row>
    <row r="958" spans="2:12" ht="15">
      <c r="B958" s="920" t="str">
        <f>$B$4</f>
        <v>2022 RATE CASE</v>
      </c>
      <c r="C958" s="926"/>
      <c r="D958" s="927"/>
      <c r="E958" s="874"/>
      <c r="F958" s="874"/>
      <c r="G958" s="874"/>
      <c r="H958" s="874"/>
      <c r="I958" s="874"/>
      <c r="J958" s="874"/>
      <c r="K958" s="874"/>
      <c r="L958" s="874"/>
    </row>
    <row r="959" spans="2:13" ht="15">
      <c r="B959" s="917" t="str">
        <f>$B$5</f>
        <v>ONCOR ELECTRIC DELIVERY COMPANY LLC</v>
      </c>
      <c r="C959" s="369"/>
      <c r="D959" s="928"/>
      <c r="E959" s="874"/>
      <c r="F959" s="874"/>
      <c r="G959" s="874"/>
      <c r="H959" s="874"/>
      <c r="I959" s="874"/>
      <c r="J959" s="874"/>
      <c r="K959" s="874"/>
      <c r="L959" s="874"/>
      <c r="M959" s="67"/>
    </row>
    <row r="960" spans="2:13" ht="15">
      <c r="B960" s="406" t="str">
        <f>$B$6</f>
        <v>CONSOLIDATED FUNCTIONALIZED COST OF SERVICE</v>
      </c>
      <c r="C960" s="369"/>
      <c r="D960" s="928"/>
      <c r="E960" s="874"/>
      <c r="F960" s="874"/>
      <c r="G960" s="874"/>
      <c r="H960" s="874"/>
      <c r="I960" s="874"/>
      <c r="J960" s="874"/>
      <c r="K960" s="874"/>
      <c r="L960" s="874"/>
      <c r="M960" s="67"/>
    </row>
    <row r="961" spans="2:13" ht="15.75">
      <c r="B961" s="406" t="str">
        <f>$B$7</f>
        <v>TEST YEAR ENDING 12/31/2021</v>
      </c>
      <c r="C961" s="840"/>
      <c r="D961" s="921"/>
      <c r="E961" s="67"/>
      <c r="F961" s="664"/>
      <c r="G961" s="664"/>
      <c r="H961" s="664"/>
      <c r="I961" s="664"/>
      <c r="J961" s="67"/>
      <c r="K961" s="67"/>
      <c r="L961" s="67"/>
      <c r="M961" s="67"/>
    </row>
    <row r="962" spans="2:13" ht="15">
      <c r="B962" s="406" t="str">
        <f>$B$8</f>
        <v>SPONSOR:  MATTHEW A. TROXLE</v>
      </c>
      <c r="C962" s="369"/>
      <c r="D962" s="928"/>
      <c r="E962" s="369"/>
      <c r="F962" s="369"/>
      <c r="G962" s="369"/>
      <c r="H962" s="369"/>
      <c r="I962" s="369"/>
      <c r="J962" s="369"/>
      <c r="K962" s="369"/>
      <c r="L962" s="369"/>
      <c r="M962" s="67"/>
    </row>
    <row r="963" spans="2:13" ht="15.75" thickBot="1">
      <c r="B963" s="410"/>
      <c r="C963" s="934"/>
      <c r="D963" s="936"/>
      <c r="F963" s="737"/>
      <c r="G963" s="737"/>
      <c r="H963" s="737"/>
      <c r="I963" s="737"/>
      <c r="J963" s="332"/>
      <c r="K963" s="43"/>
      <c r="L963" s="43"/>
      <c r="M963" s="67"/>
    </row>
    <row r="964" spans="2:13" ht="14.25">
      <c r="B964" s="13"/>
      <c r="C964" s="14"/>
      <c r="D964" s="14"/>
      <c r="E964" s="14"/>
      <c r="F964" s="1099" t="s">
        <v>6</v>
      </c>
      <c r="G964" s="738" t="s">
        <v>7</v>
      </c>
      <c r="H964" s="738" t="s">
        <v>8</v>
      </c>
      <c r="I964" s="952" t="s">
        <v>9</v>
      </c>
      <c r="J964" s="13" t="s">
        <v>10</v>
      </c>
      <c r="K964" s="17"/>
      <c r="L964" s="139" t="s">
        <v>966</v>
      </c>
      <c r="M964" s="67"/>
    </row>
    <row r="965" spans="2:13" ht="15">
      <c r="B965" s="15" t="s">
        <v>2</v>
      </c>
      <c r="C965" s="15" t="s">
        <v>370</v>
      </c>
      <c r="D965" s="287" t="s">
        <v>692</v>
      </c>
      <c r="E965" s="15" t="s">
        <v>371</v>
      </c>
      <c r="F965" s="744"/>
      <c r="G965" s="743"/>
      <c r="H965" s="743"/>
      <c r="I965" s="743"/>
      <c r="J965" s="15"/>
      <c r="K965" s="17"/>
      <c r="L965" s="97" t="s">
        <v>967</v>
      </c>
      <c r="M965" s="67"/>
    </row>
    <row r="966" spans="2:13" ht="14.25">
      <c r="B966" s="15"/>
      <c r="C966" s="15"/>
      <c r="D966" s="15"/>
      <c r="E966" s="15"/>
      <c r="F966" s="744"/>
      <c r="G966" s="743"/>
      <c r="H966" s="743"/>
      <c r="I966" s="743"/>
      <c r="J966" s="15"/>
      <c r="K966" s="17"/>
      <c r="L966" s="97"/>
      <c r="M966" s="67"/>
    </row>
    <row r="967" spans="2:13" ht="15" thickBot="1">
      <c r="B967" s="16"/>
      <c r="C967" s="16" t="s">
        <v>13</v>
      </c>
      <c r="D967" s="16" t="s">
        <v>14</v>
      </c>
      <c r="E967" s="16" t="s">
        <v>15</v>
      </c>
      <c r="F967" s="747" t="s">
        <v>16</v>
      </c>
      <c r="G967" s="747" t="s">
        <v>17</v>
      </c>
      <c r="H967" s="747" t="s">
        <v>18</v>
      </c>
      <c r="I967" s="747" t="s">
        <v>21</v>
      </c>
      <c r="J967" s="16" t="s">
        <v>22</v>
      </c>
      <c r="K967" s="17"/>
      <c r="L967" s="1125" t="s">
        <v>418</v>
      </c>
      <c r="M967" s="67"/>
    </row>
    <row r="968" spans="2:13" ht="14.25">
      <c r="B968" s="67"/>
      <c r="C968" s="333"/>
      <c r="D968" s="333"/>
      <c r="E968" s="333"/>
      <c r="F968" s="749"/>
      <c r="G968" s="749"/>
      <c r="H968" s="749"/>
      <c r="I968" s="691"/>
      <c r="J968" s="43"/>
      <c r="K968" s="43"/>
      <c r="L968" s="43"/>
      <c r="M968" s="67"/>
    </row>
    <row r="969" spans="2:13" ht="15">
      <c r="B969" s="17">
        <f t="shared" si="115" ref="B969:B1004">B968+1</f>
        <v>1</v>
      </c>
      <c r="C969" s="366" t="s">
        <v>296</v>
      </c>
      <c r="D969" s="8"/>
      <c r="E969" s="20"/>
      <c r="F969" s="8"/>
      <c r="G969" s="8"/>
      <c r="H969" s="8"/>
      <c r="I969" s="8"/>
      <c r="J969" s="8"/>
      <c r="K969" s="8"/>
      <c r="L969" s="8"/>
      <c r="M969" s="67"/>
    </row>
    <row r="970" spans="2:13" ht="14.25">
      <c r="B970" s="17">
        <f t="shared" si="115"/>
        <v>2</v>
      </c>
      <c r="C970" s="1"/>
      <c r="D970" s="1"/>
      <c r="E970" s="17"/>
      <c r="F970" s="730"/>
      <c r="G970" s="730"/>
      <c r="H970" s="730"/>
      <c r="I970" s="730"/>
      <c r="J970" s="1"/>
      <c r="K970" s="1"/>
      <c r="L970" s="1"/>
      <c r="M970" s="67"/>
    </row>
    <row r="971" spans="2:13" ht="15">
      <c r="B971" s="17">
        <f t="shared" si="115"/>
        <v>3</v>
      </c>
      <c r="C971" s="8" t="s">
        <v>693</v>
      </c>
      <c r="D971" s="8"/>
      <c r="E971" s="20" t="s">
        <v>297</v>
      </c>
      <c r="F971" s="902"/>
      <c r="G971" s="902"/>
      <c r="H971" s="902"/>
      <c r="I971" s="902"/>
      <c r="J971" s="8"/>
      <c r="K971" s="8"/>
      <c r="L971" s="122"/>
      <c r="M971" s="67"/>
    </row>
    <row r="972" spans="2:14" s="386" customFormat="1" ht="14.25">
      <c r="B972" s="17">
        <f t="shared" si="115"/>
        <v>4</v>
      </c>
      <c r="C972" s="1" t="s">
        <v>25</v>
      </c>
      <c r="D972" s="1" t="s">
        <v>26</v>
      </c>
      <c r="E972" s="17"/>
      <c r="F972" s="1087">
        <f>'WP II-I-1.1'!F349</f>
        <v>0</v>
      </c>
      <c r="G972" s="1089">
        <f>'WP II-I-1.1'!G349</f>
        <v>0</v>
      </c>
      <c r="H972" s="1089">
        <f>'WP II-I-1.1'!H349</f>
        <v>0</v>
      </c>
      <c r="I972" s="1090">
        <f>'WP II-I-1.1'!I349</f>
        <v>0</v>
      </c>
      <c r="J972" s="290">
        <f>SUM(F972:I972)</f>
        <v>0</v>
      </c>
      <c r="K972" s="290"/>
      <c r="L972" s="18">
        <f t="shared" si="116" ref="L972:L1033">SUM(G972:I972)</f>
        <v>0</v>
      </c>
      <c r="M972" s="47"/>
      <c r="N972" s="839">
        <f t="shared" si="117" ref="N972:N1035">J972-L972-F972</f>
        <v>0</v>
      </c>
    </row>
    <row r="973" spans="2:14" s="386" customFormat="1" ht="14.25">
      <c r="B973" s="17">
        <f t="shared" si="115"/>
        <v>5</v>
      </c>
      <c r="C973" s="1" t="s">
        <v>27</v>
      </c>
      <c r="D973" s="1" t="s">
        <v>37</v>
      </c>
      <c r="E973" s="17"/>
      <c r="F973" s="1081">
        <f>'WP II-I-1.1'!F350</f>
        <v>0</v>
      </c>
      <c r="G973" s="893">
        <f>'WP II-I-1.1'!G350</f>
        <v>0</v>
      </c>
      <c r="H973" s="893">
        <f>'WP II-I-1.1'!H350</f>
        <v>0</v>
      </c>
      <c r="I973" s="1082">
        <f>'WP II-I-1.1'!I350</f>
        <v>0</v>
      </c>
      <c r="J973" s="290">
        <f>SUM(F973:I973)</f>
        <v>0</v>
      </c>
      <c r="K973" s="290"/>
      <c r="L973" s="18">
        <f t="shared" si="116"/>
        <v>0</v>
      </c>
      <c r="M973" s="47"/>
      <c r="N973" s="839">
        <f t="shared" si="117"/>
        <v>0</v>
      </c>
    </row>
    <row r="974" spans="2:14" s="386" customFormat="1" ht="16.5">
      <c r="B974" s="17">
        <f t="shared" si="115"/>
        <v>6</v>
      </c>
      <c r="C974" s="1" t="s">
        <v>29</v>
      </c>
      <c r="D974" s="1" t="s">
        <v>34</v>
      </c>
      <c r="E974" s="17"/>
      <c r="F974" s="1083">
        <f>'WP II-I-1.1'!F351</f>
        <v>25229268.949999999</v>
      </c>
      <c r="G974" s="1084">
        <f>'WP II-I-1.1'!G351</f>
        <v>29112436.41</v>
      </c>
      <c r="H974" s="1084">
        <f>'WP II-I-1.1'!H351</f>
        <v>3894383</v>
      </c>
      <c r="I974" s="1085">
        <f>'WP II-I-1.1'!I351</f>
        <v>22267461.890000001</v>
      </c>
      <c r="J974" s="302">
        <f>SUM(F974:I974)</f>
        <v>80503550.25</v>
      </c>
      <c r="K974" s="302"/>
      <c r="L974" s="296">
        <f t="shared" si="116"/>
        <v>55274281.299999997</v>
      </c>
      <c r="M974" s="47"/>
      <c r="N974" s="839">
        <f t="shared" si="117"/>
        <v>0</v>
      </c>
    </row>
    <row r="975" spans="2:14" ht="15">
      <c r="B975" s="17">
        <f t="shared" si="115"/>
        <v>7</v>
      </c>
      <c r="C975" s="22"/>
      <c r="D975" s="379" t="s">
        <v>491</v>
      </c>
      <c r="E975" s="22"/>
      <c r="F975" s="896">
        <f>+F972+F973+F974</f>
        <v>25229268.949999999</v>
      </c>
      <c r="G975" s="896">
        <f>+G972+G973+G974</f>
        <v>29112436.41</v>
      </c>
      <c r="H975" s="896">
        <f>+H972+H973+H974</f>
        <v>3894383</v>
      </c>
      <c r="I975" s="896">
        <f>+I972+I973+I974</f>
        <v>22267461.890000001</v>
      </c>
      <c r="J975" s="299">
        <f>SUM(F975:I975)</f>
        <v>80503550.25</v>
      </c>
      <c r="K975" s="300"/>
      <c r="L975" s="22">
        <f t="shared" si="116"/>
        <v>55274281.299999997</v>
      </c>
      <c r="M975" s="67"/>
      <c r="N975" s="839">
        <f t="shared" si="117"/>
        <v>0</v>
      </c>
    </row>
    <row r="976" spans="2:14" ht="14.25">
      <c r="B976" s="17">
        <f t="shared" si="115"/>
        <v>8</v>
      </c>
      <c r="C976" s="1"/>
      <c r="D976" s="1"/>
      <c r="E976" s="17"/>
      <c r="F976" s="894"/>
      <c r="G976" s="894"/>
      <c r="H976" s="894"/>
      <c r="I976" s="894"/>
      <c r="J976" s="1"/>
      <c r="K976" s="1"/>
      <c r="L976" s="19">
        <f t="shared" si="116"/>
        <v>0</v>
      </c>
      <c r="M976" s="67"/>
      <c r="N976" s="839">
        <f t="shared" si="117"/>
        <v>0</v>
      </c>
    </row>
    <row r="977" spans="2:14" ht="15">
      <c r="B977" s="17">
        <f t="shared" si="115"/>
        <v>9</v>
      </c>
      <c r="C977" s="8" t="s">
        <v>694</v>
      </c>
      <c r="D977" s="8"/>
      <c r="E977" s="20" t="s">
        <v>297</v>
      </c>
      <c r="F977" s="896"/>
      <c r="G977" s="896"/>
      <c r="H977" s="896"/>
      <c r="I977" s="896"/>
      <c r="J977" s="8"/>
      <c r="K977" s="8"/>
      <c r="L977" s="22">
        <f t="shared" si="116"/>
        <v>0</v>
      </c>
      <c r="M977" s="67"/>
      <c r="N977" s="839">
        <f t="shared" si="117"/>
        <v>0</v>
      </c>
    </row>
    <row r="978" spans="2:14" s="386" customFormat="1" ht="14.25">
      <c r="B978" s="17">
        <f t="shared" si="115"/>
        <v>10</v>
      </c>
      <c r="C978" s="1" t="s">
        <v>41</v>
      </c>
      <c r="D978" s="1" t="s">
        <v>42</v>
      </c>
      <c r="E978" s="17"/>
      <c r="F978" s="1087">
        <f>'WP II-I-1.1'!F353</f>
        <v>6022981.1799999997</v>
      </c>
      <c r="G978" s="1089">
        <f>'WP II-I-1.1'!G353</f>
        <v>0</v>
      </c>
      <c r="H978" s="1089">
        <f>'WP II-I-1.1'!H353</f>
        <v>0</v>
      </c>
      <c r="I978" s="1090">
        <f>'WP II-I-1.1'!I353</f>
        <v>0</v>
      </c>
      <c r="J978" s="290">
        <f t="shared" si="118" ref="J978:J987">SUM(F978:I978)</f>
        <v>6022981.1799999997</v>
      </c>
      <c r="K978" s="290"/>
      <c r="L978" s="18">
        <f t="shared" si="116"/>
        <v>0</v>
      </c>
      <c r="M978" s="47"/>
      <c r="N978" s="839">
        <f t="shared" si="117"/>
        <v>0</v>
      </c>
    </row>
    <row r="979" spans="2:14" s="386" customFormat="1" ht="14.25">
      <c r="B979" s="17">
        <f t="shared" si="115"/>
        <v>11</v>
      </c>
      <c r="C979" s="1" t="s">
        <v>43</v>
      </c>
      <c r="D979" s="1" t="s">
        <v>44</v>
      </c>
      <c r="E979" s="17"/>
      <c r="F979" s="1081">
        <f>'WP II-I-1.1'!F354</f>
        <v>11703427</v>
      </c>
      <c r="G979" s="893">
        <f>'WP II-I-1.1'!G354</f>
        <v>0</v>
      </c>
      <c r="H979" s="893">
        <f>'WP II-I-1.1'!H354</f>
        <v>0</v>
      </c>
      <c r="I979" s="1082">
        <f>'WP II-I-1.1'!I354</f>
        <v>0</v>
      </c>
      <c r="J979" s="290">
        <f t="shared" si="118"/>
        <v>11703427</v>
      </c>
      <c r="K979" s="290"/>
      <c r="L979" s="18">
        <f t="shared" si="116"/>
        <v>0</v>
      </c>
      <c r="M979" s="47"/>
      <c r="N979" s="839">
        <f t="shared" si="117"/>
        <v>0</v>
      </c>
    </row>
    <row r="980" spans="2:14" s="386" customFormat="1" ht="14.25">
      <c r="B980" s="17">
        <f t="shared" si="115"/>
        <v>12</v>
      </c>
      <c r="C980" s="1" t="s">
        <v>45</v>
      </c>
      <c r="D980" s="1" t="s">
        <v>46</v>
      </c>
      <c r="E980" s="17"/>
      <c r="F980" s="1081">
        <f>'WP II-I-1.1'!F355</f>
        <v>83049190.75</v>
      </c>
      <c r="G980" s="893">
        <f>'WP II-I-1.1'!G355</f>
        <v>9346418.3000000007</v>
      </c>
      <c r="H980" s="893">
        <f>'WP II-I-1.1'!H355</f>
        <v>0</v>
      </c>
      <c r="I980" s="1082">
        <f>'WP II-I-1.1'!I355</f>
        <v>0</v>
      </c>
      <c r="J980" s="290">
        <f t="shared" si="118"/>
        <v>92395609.049999997</v>
      </c>
      <c r="K980" s="290"/>
      <c r="L980" s="18">
        <f t="shared" si="116"/>
        <v>9346418.3000000007</v>
      </c>
      <c r="M980" s="47"/>
      <c r="N980" s="839">
        <f t="shared" si="117"/>
        <v>0</v>
      </c>
    </row>
    <row r="981" spans="2:14" s="386" customFormat="1" ht="14.25">
      <c r="B981" s="17">
        <f t="shared" si="115"/>
        <v>13</v>
      </c>
      <c r="C981" s="1" t="s">
        <v>47</v>
      </c>
      <c r="D981" s="1" t="s">
        <v>48</v>
      </c>
      <c r="E981" s="17"/>
      <c r="F981" s="1081">
        <f>'WP II-I-1.1'!F356</f>
        <v>37740833.350000001</v>
      </c>
      <c r="G981" s="893">
        <f>'WP II-I-1.1'!G356</f>
        <v>0</v>
      </c>
      <c r="H981" s="893">
        <f>'WP II-I-1.1'!H356</f>
        <v>0</v>
      </c>
      <c r="I981" s="1082">
        <f>'WP II-I-1.1'!I356</f>
        <v>0</v>
      </c>
      <c r="J981" s="290">
        <f t="shared" si="118"/>
        <v>37740833.350000001</v>
      </c>
      <c r="K981" s="290"/>
      <c r="L981" s="18">
        <f t="shared" si="116"/>
        <v>0</v>
      </c>
      <c r="M981" s="47"/>
      <c r="N981" s="839">
        <f t="shared" si="117"/>
        <v>0</v>
      </c>
    </row>
    <row r="982" spans="2:14" s="386" customFormat="1" ht="14.25">
      <c r="B982" s="17">
        <f t="shared" si="115"/>
        <v>14</v>
      </c>
      <c r="C982" s="1" t="s">
        <v>49</v>
      </c>
      <c r="D982" s="1" t="s">
        <v>50</v>
      </c>
      <c r="E982" s="17"/>
      <c r="F982" s="1081">
        <f>'WP II-I-1.1'!F357</f>
        <v>89864312.400000006</v>
      </c>
      <c r="G982" s="893">
        <f>'WP II-I-1.1'!G357</f>
        <v>0</v>
      </c>
      <c r="H982" s="893">
        <f>'WP II-I-1.1'!H357</f>
        <v>0</v>
      </c>
      <c r="I982" s="1082">
        <f>'WP II-I-1.1'!I357</f>
        <v>0</v>
      </c>
      <c r="J982" s="290">
        <f t="shared" si="118"/>
        <v>89864312.400000006</v>
      </c>
      <c r="K982" s="290"/>
      <c r="L982" s="18">
        <f t="shared" si="116"/>
        <v>0</v>
      </c>
      <c r="M982" s="47"/>
      <c r="N982" s="839">
        <f t="shared" si="117"/>
        <v>0</v>
      </c>
    </row>
    <row r="983" spans="2:14" s="386" customFormat="1" ht="14.25">
      <c r="B983" s="17">
        <f t="shared" si="115"/>
        <v>15</v>
      </c>
      <c r="C983" s="1" t="s">
        <v>51</v>
      </c>
      <c r="D983" s="1" t="s">
        <v>534</v>
      </c>
      <c r="E983" s="17"/>
      <c r="F983" s="1081">
        <f>'WP II-I-1.1'!F358</f>
        <v>82695046.38000001</v>
      </c>
      <c r="G983" s="893">
        <f>'WP II-I-1.1'!G358</f>
        <v>0</v>
      </c>
      <c r="H983" s="893">
        <f>'WP II-I-1.1'!H358</f>
        <v>0</v>
      </c>
      <c r="I983" s="1082">
        <f>'WP II-I-1.1'!I358</f>
        <v>0</v>
      </c>
      <c r="J983" s="290">
        <f t="shared" si="118"/>
        <v>82695046.38000001</v>
      </c>
      <c r="K983" s="290"/>
      <c r="L983" s="18">
        <f t="shared" si="116"/>
        <v>0</v>
      </c>
      <c r="M983" s="47"/>
      <c r="N983" s="839">
        <f t="shared" si="117"/>
        <v>0</v>
      </c>
    </row>
    <row r="984" spans="2:14" s="386" customFormat="1" ht="14.25">
      <c r="B984" s="17">
        <f t="shared" si="115"/>
        <v>16</v>
      </c>
      <c r="C984" s="1" t="s">
        <v>53</v>
      </c>
      <c r="D984" s="1" t="s">
        <v>695</v>
      </c>
      <c r="E984" s="17"/>
      <c r="F984" s="1081">
        <f>'WP II-I-1.1'!F359</f>
        <v>1056604.96</v>
      </c>
      <c r="G984" s="893">
        <f>'WP II-I-1.1'!G359</f>
        <v>0</v>
      </c>
      <c r="H984" s="893">
        <f>'WP II-I-1.1'!H359</f>
        <v>0</v>
      </c>
      <c r="I984" s="1082">
        <f>'WP II-I-1.1'!I359</f>
        <v>0</v>
      </c>
      <c r="J984" s="290">
        <f t="shared" si="118"/>
        <v>1056604.96</v>
      </c>
      <c r="K984" s="290"/>
      <c r="L984" s="18">
        <f t="shared" si="116"/>
        <v>0</v>
      </c>
      <c r="M984" s="47"/>
      <c r="N984" s="839">
        <f t="shared" si="117"/>
        <v>0</v>
      </c>
    </row>
    <row r="985" spans="2:14" s="386" customFormat="1" ht="14.25">
      <c r="B985" s="17">
        <f t="shared" si="115"/>
        <v>17</v>
      </c>
      <c r="C985" s="1" t="s">
        <v>55</v>
      </c>
      <c r="D985" s="31" t="s">
        <v>535</v>
      </c>
      <c r="E985" s="17"/>
      <c r="F985" s="1081">
        <f>'WP II-I-1.1'!F360</f>
        <v>1915431.1000000001</v>
      </c>
      <c r="G985" s="893">
        <f>'WP II-I-1.1'!G360</f>
        <v>0</v>
      </c>
      <c r="H985" s="893">
        <f>'WP II-I-1.1'!H360</f>
        <v>0</v>
      </c>
      <c r="I985" s="1082">
        <f>'WP II-I-1.1'!I360</f>
        <v>0</v>
      </c>
      <c r="J985" s="290">
        <f t="shared" si="118"/>
        <v>1915431.1000000001</v>
      </c>
      <c r="K985" s="290"/>
      <c r="L985" s="18">
        <f t="shared" si="116"/>
        <v>0</v>
      </c>
      <c r="M985" s="47"/>
      <c r="N985" s="839">
        <f t="shared" si="117"/>
        <v>0</v>
      </c>
    </row>
    <row r="986" spans="2:14" s="386" customFormat="1" ht="16.5">
      <c r="B986" s="17">
        <f t="shared" si="115"/>
        <v>18</v>
      </c>
      <c r="C986" s="1" t="s">
        <v>57</v>
      </c>
      <c r="D986" s="1" t="s">
        <v>58</v>
      </c>
      <c r="E986" s="17"/>
      <c r="F986" s="1083">
        <f>'WP II-I-1.1'!F361</f>
        <v>0</v>
      </c>
      <c r="G986" s="1084">
        <f>'WP II-I-1.1'!G361</f>
        <v>0</v>
      </c>
      <c r="H986" s="1084">
        <f>'WP II-I-1.1'!H361</f>
        <v>0</v>
      </c>
      <c r="I986" s="1085">
        <f>'WP II-I-1.1'!I361</f>
        <v>0</v>
      </c>
      <c r="J986" s="302">
        <f t="shared" si="118"/>
        <v>0</v>
      </c>
      <c r="K986" s="302"/>
      <c r="L986" s="296">
        <f t="shared" si="116"/>
        <v>0</v>
      </c>
      <c r="M986" s="47"/>
      <c r="N986" s="839">
        <f t="shared" si="117"/>
        <v>0</v>
      </c>
    </row>
    <row r="987" spans="2:14" ht="15">
      <c r="B987" s="17">
        <f t="shared" si="115"/>
        <v>19</v>
      </c>
      <c r="C987" s="8"/>
      <c r="D987" s="297" t="s">
        <v>491</v>
      </c>
      <c r="E987" s="20"/>
      <c r="F987" s="896">
        <f>SUM(F978:F986)</f>
        <v>314047827.12</v>
      </c>
      <c r="G987" s="896">
        <f>SUM(G978:G986)</f>
        <v>9346418.3000000007</v>
      </c>
      <c r="H987" s="896">
        <f>SUM(H978:H986)</f>
        <v>0</v>
      </c>
      <c r="I987" s="896">
        <f>SUM(I978:I986)</f>
        <v>0</v>
      </c>
      <c r="J987" s="299">
        <f t="shared" si="118"/>
        <v>323394245.42000002</v>
      </c>
      <c r="K987" s="300"/>
      <c r="L987" s="22">
        <f t="shared" si="116"/>
        <v>9346418.3000000007</v>
      </c>
      <c r="M987" s="67"/>
      <c r="N987" s="839">
        <f t="shared" si="117"/>
        <v>0</v>
      </c>
    </row>
    <row r="988" spans="2:14" ht="14.25">
      <c r="B988" s="17">
        <f t="shared" si="115"/>
        <v>20</v>
      </c>
      <c r="C988" s="1"/>
      <c r="D988" s="1"/>
      <c r="E988" s="17"/>
      <c r="F988" s="894"/>
      <c r="G988" s="894"/>
      <c r="H988" s="894"/>
      <c r="I988" s="894"/>
      <c r="J988" s="1"/>
      <c r="K988" s="1"/>
      <c r="L988" s="19">
        <f t="shared" si="116"/>
        <v>0</v>
      </c>
      <c r="M988" s="67"/>
      <c r="N988" s="839">
        <f t="shared" si="117"/>
        <v>0</v>
      </c>
    </row>
    <row r="989" spans="2:14" ht="15">
      <c r="B989" s="17">
        <f t="shared" si="115"/>
        <v>21</v>
      </c>
      <c r="C989" s="8" t="s">
        <v>696</v>
      </c>
      <c r="D989" s="8"/>
      <c r="E989" s="20" t="s">
        <v>297</v>
      </c>
      <c r="F989" s="896"/>
      <c r="G989" s="896"/>
      <c r="H989" s="896"/>
      <c r="I989" s="896"/>
      <c r="J989" s="8"/>
      <c r="K989" s="8"/>
      <c r="L989" s="22">
        <f t="shared" si="116"/>
        <v>0</v>
      </c>
      <c r="M989" s="67"/>
      <c r="N989" s="839">
        <f t="shared" si="117"/>
        <v>0</v>
      </c>
    </row>
    <row r="990" spans="2:14" s="386" customFormat="1" ht="14.25">
      <c r="B990" s="17">
        <f t="shared" si="115"/>
        <v>22</v>
      </c>
      <c r="C990" s="1" t="s">
        <v>61</v>
      </c>
      <c r="D990" s="1" t="s">
        <v>42</v>
      </c>
      <c r="E990" s="17"/>
      <c r="F990" s="1087">
        <f>'WP II-I-1.1'!F363</f>
        <v>18272.91</v>
      </c>
      <c r="G990" s="1089">
        <f>'WP II-I-1.1'!G363</f>
        <v>292756.59000000003</v>
      </c>
      <c r="H990" s="1089">
        <f>'WP II-I-1.1'!H363</f>
        <v>0</v>
      </c>
      <c r="I990" s="1090">
        <f>'WP II-I-1.1'!I363</f>
        <v>0</v>
      </c>
      <c r="J990" s="290">
        <f t="shared" si="119" ref="J990:J1004">SUM(F990:I990)</f>
        <v>311029.5</v>
      </c>
      <c r="K990" s="290"/>
      <c r="L990" s="18">
        <f t="shared" si="116"/>
        <v>292756.59000000003</v>
      </c>
      <c r="M990" s="47"/>
      <c r="N990" s="839">
        <f t="shared" si="117"/>
        <v>0</v>
      </c>
    </row>
    <row r="991" spans="2:14" s="386" customFormat="1" ht="14.25">
      <c r="B991" s="17">
        <f t="shared" si="115"/>
        <v>23</v>
      </c>
      <c r="C991" s="1" t="s">
        <v>62</v>
      </c>
      <c r="D991" s="31" t="s">
        <v>44</v>
      </c>
      <c r="E991" s="17"/>
      <c r="F991" s="1081">
        <f>'WP II-I-1.1'!F364</f>
        <v>1442475.8000000001</v>
      </c>
      <c r="G991" s="893">
        <f>'WP II-I-1.1'!G364</f>
        <v>2856983.6299999999</v>
      </c>
      <c r="H991" s="893">
        <f>'WP II-I-1.1'!H364</f>
        <v>0</v>
      </c>
      <c r="I991" s="1082">
        <f>'WP II-I-1.1'!I364</f>
        <v>0</v>
      </c>
      <c r="J991" s="290">
        <f t="shared" si="119"/>
        <v>4299459.4299999997</v>
      </c>
      <c r="K991" s="290"/>
      <c r="L991" s="18">
        <f t="shared" si="116"/>
        <v>2856983.6299999999</v>
      </c>
      <c r="M991" s="47"/>
      <c r="N991" s="839">
        <f t="shared" si="117"/>
        <v>0</v>
      </c>
    </row>
    <row r="992" spans="2:14" s="386" customFormat="1" ht="14.25">
      <c r="B992" s="17">
        <f t="shared" si="115"/>
        <v>24</v>
      </c>
      <c r="C992" s="1" t="s">
        <v>63</v>
      </c>
      <c r="D992" s="1" t="s">
        <v>46</v>
      </c>
      <c r="E992" s="17"/>
      <c r="F992" s="1081">
        <f>'WP II-I-1.1'!F365</f>
        <v>12741263.59</v>
      </c>
      <c r="G992" s="893">
        <f>'WP II-I-1.1'!G365</f>
        <v>36683880.890000001</v>
      </c>
      <c r="H992" s="893">
        <f>'WP II-I-1.1'!H365</f>
        <v>0</v>
      </c>
      <c r="I992" s="1082">
        <f>'WP II-I-1.1'!I365</f>
        <v>0</v>
      </c>
      <c r="J992" s="290">
        <f t="shared" si="119"/>
        <v>49425144.480000004</v>
      </c>
      <c r="K992" s="290"/>
      <c r="L992" s="18">
        <f t="shared" si="116"/>
        <v>36683880.890000001</v>
      </c>
      <c r="M992" s="47"/>
      <c r="N992" s="839">
        <f t="shared" si="117"/>
        <v>0</v>
      </c>
    </row>
    <row r="993" spans="2:14" s="386" customFormat="1" ht="14.25">
      <c r="B993" s="17">
        <f t="shared" si="115"/>
        <v>25</v>
      </c>
      <c r="C993" s="1" t="s">
        <v>64</v>
      </c>
      <c r="D993" s="1" t="s">
        <v>65</v>
      </c>
      <c r="E993" s="17"/>
      <c r="F993" s="1081">
        <f>'WP II-I-1.1'!F366</f>
        <v>0</v>
      </c>
      <c r="G993" s="893">
        <f>'WP II-I-1.1'!G366</f>
        <v>0</v>
      </c>
      <c r="H993" s="893">
        <f>'WP II-I-1.1'!H366</f>
        <v>0</v>
      </c>
      <c r="I993" s="1082">
        <f>'WP II-I-1.1'!I366</f>
        <v>0</v>
      </c>
      <c r="J993" s="290">
        <f t="shared" si="119"/>
        <v>0</v>
      </c>
      <c r="K993" s="290"/>
      <c r="L993" s="18">
        <f t="shared" si="116"/>
        <v>0</v>
      </c>
      <c r="M993" s="47"/>
      <c r="N993" s="839">
        <f t="shared" si="117"/>
        <v>0</v>
      </c>
    </row>
    <row r="994" spans="2:14" s="386" customFormat="1" ht="14.25">
      <c r="B994" s="17">
        <f t="shared" si="115"/>
        <v>26</v>
      </c>
      <c r="C994" s="1" t="s">
        <v>66</v>
      </c>
      <c r="D994" s="31" t="s">
        <v>697</v>
      </c>
      <c r="E994" s="17"/>
      <c r="F994" s="1081">
        <f>'WP II-I-1.1'!F367</f>
        <v>0</v>
      </c>
      <c r="G994" s="893">
        <f>'WP II-I-1.1'!G367</f>
        <v>95063645.810000002</v>
      </c>
      <c r="H994" s="893">
        <f>'WP II-I-1.1'!H367</f>
        <v>0</v>
      </c>
      <c r="I994" s="1082">
        <f>'WP II-I-1.1'!I367</f>
        <v>0</v>
      </c>
      <c r="J994" s="290">
        <f t="shared" si="119"/>
        <v>95063645.810000002</v>
      </c>
      <c r="K994" s="290"/>
      <c r="L994" s="18">
        <f t="shared" si="116"/>
        <v>95063645.810000002</v>
      </c>
      <c r="M994" s="47"/>
      <c r="N994" s="839">
        <f t="shared" si="117"/>
        <v>0</v>
      </c>
    </row>
    <row r="995" spans="2:14" s="386" customFormat="1" ht="14.25">
      <c r="B995" s="17">
        <f t="shared" si="115"/>
        <v>27</v>
      </c>
      <c r="C995" s="1" t="s">
        <v>68</v>
      </c>
      <c r="D995" s="1" t="s">
        <v>534</v>
      </c>
      <c r="E995" s="17"/>
      <c r="F995" s="1081">
        <f>'WP II-I-1.1'!F368</f>
        <v>0</v>
      </c>
      <c r="G995" s="893">
        <f>'WP II-I-1.1'!G368</f>
        <v>53354376.829999998</v>
      </c>
      <c r="H995" s="893">
        <f>'WP II-I-1.1'!H368</f>
        <v>0</v>
      </c>
      <c r="I995" s="1082">
        <f>'WP II-I-1.1'!I368</f>
        <v>0</v>
      </c>
      <c r="J995" s="290">
        <f t="shared" si="119"/>
        <v>53354376.829999998</v>
      </c>
      <c r="K995" s="290"/>
      <c r="L995" s="18">
        <f t="shared" si="116"/>
        <v>53354376.829999998</v>
      </c>
      <c r="M995" s="47"/>
      <c r="N995" s="839">
        <f t="shared" si="117"/>
        <v>0</v>
      </c>
    </row>
    <row r="996" spans="2:14" s="386" customFormat="1" ht="14.25">
      <c r="B996" s="17">
        <f t="shared" si="115"/>
        <v>28</v>
      </c>
      <c r="C996" s="1" t="s">
        <v>70</v>
      </c>
      <c r="D996" s="1" t="s">
        <v>698</v>
      </c>
      <c r="E996" s="17"/>
      <c r="F996" s="1081">
        <f>'WP II-I-1.1'!F369</f>
        <v>0</v>
      </c>
      <c r="G996" s="893">
        <f>'WP II-I-1.1'!G369</f>
        <v>23578853.789999999</v>
      </c>
      <c r="H996" s="893">
        <f>'WP II-I-1.1'!H369</f>
        <v>0</v>
      </c>
      <c r="I996" s="1082">
        <f>'WP II-I-1.1'!I369</f>
        <v>0</v>
      </c>
      <c r="J996" s="290">
        <f t="shared" si="119"/>
        <v>23578853.789999999</v>
      </c>
      <c r="K996" s="290"/>
      <c r="L996" s="18">
        <f t="shared" si="116"/>
        <v>23578853.789999999</v>
      </c>
      <c r="M996" s="47"/>
      <c r="N996" s="839">
        <f t="shared" si="117"/>
        <v>0</v>
      </c>
    </row>
    <row r="997" spans="2:14" s="386" customFormat="1" ht="14.25">
      <c r="B997" s="17">
        <f t="shared" si="115"/>
        <v>29</v>
      </c>
      <c r="C997" s="1" t="s">
        <v>72</v>
      </c>
      <c r="D997" s="31" t="s">
        <v>699</v>
      </c>
      <c r="E997" s="17"/>
      <c r="F997" s="1081">
        <f>'WP II-I-1.1'!F370</f>
        <v>0</v>
      </c>
      <c r="G997" s="893">
        <f>'WP II-I-1.1'!G370</f>
        <v>56736034.090000004</v>
      </c>
      <c r="H997" s="893">
        <f>'WP II-I-1.1'!H370</f>
        <v>0</v>
      </c>
      <c r="I997" s="1082">
        <f>'WP II-I-1.1'!I370</f>
        <v>0</v>
      </c>
      <c r="J997" s="290">
        <f t="shared" si="119"/>
        <v>56736034.090000004</v>
      </c>
      <c r="K997" s="290"/>
      <c r="L997" s="18">
        <f t="shared" si="116"/>
        <v>56736034.090000004</v>
      </c>
      <c r="M997" s="47"/>
      <c r="N997" s="839">
        <f t="shared" si="117"/>
        <v>0</v>
      </c>
    </row>
    <row r="998" spans="2:14" s="386" customFormat="1" ht="14.25">
      <c r="B998" s="17">
        <f t="shared" si="115"/>
        <v>30</v>
      </c>
      <c r="C998" s="1" t="s">
        <v>74</v>
      </c>
      <c r="D998" s="1" t="s">
        <v>700</v>
      </c>
      <c r="E998" s="17"/>
      <c r="F998" s="1081">
        <f>'WP II-I-1.1'!F371</f>
        <v>0</v>
      </c>
      <c r="G998" s="893">
        <f>'WP II-I-1.1'!G371</f>
        <v>56703640.140000001</v>
      </c>
      <c r="H998" s="893">
        <f>'WP II-I-1.1'!H371</f>
        <v>0</v>
      </c>
      <c r="I998" s="1082">
        <f>'WP II-I-1.1'!I371</f>
        <v>0</v>
      </c>
      <c r="J998" s="290">
        <f t="shared" si="119"/>
        <v>56703640.140000001</v>
      </c>
      <c r="K998" s="290"/>
      <c r="L998" s="18">
        <f t="shared" si="116"/>
        <v>56703640.140000001</v>
      </c>
      <c r="M998" s="47"/>
      <c r="N998" s="839">
        <f t="shared" si="117"/>
        <v>0</v>
      </c>
    </row>
    <row r="999" spans="2:14" s="386" customFormat="1" ht="14.25">
      <c r="B999" s="17">
        <f t="shared" si="115"/>
        <v>31</v>
      </c>
      <c r="C999" s="1" t="s">
        <v>76</v>
      </c>
      <c r="D999" s="31" t="s">
        <v>77</v>
      </c>
      <c r="E999" s="17"/>
      <c r="F999" s="1081">
        <f>'WP II-I-1.1'!F372</f>
        <v>0</v>
      </c>
      <c r="G999" s="893">
        <f>'WP II-I-1.1'!G372</f>
        <v>50246720.280000001</v>
      </c>
      <c r="H999" s="893">
        <f>'WP II-I-1.1'!H372</f>
        <v>0</v>
      </c>
      <c r="I999" s="1082">
        <f>'WP II-I-1.1'!I372</f>
        <v>0</v>
      </c>
      <c r="J999" s="290">
        <f t="shared" si="119"/>
        <v>50246720.280000001</v>
      </c>
      <c r="K999" s="290"/>
      <c r="L999" s="18">
        <f t="shared" si="116"/>
        <v>50246720.280000001</v>
      </c>
      <c r="M999" s="47"/>
      <c r="N999" s="839">
        <f t="shared" si="117"/>
        <v>0</v>
      </c>
    </row>
    <row r="1000" spans="2:14" s="386" customFormat="1" ht="14.25">
      <c r="B1000" s="17">
        <f t="shared" si="115"/>
        <v>32</v>
      </c>
      <c r="C1000" s="1" t="s">
        <v>78</v>
      </c>
      <c r="D1000" s="1" t="s">
        <v>79</v>
      </c>
      <c r="E1000" s="17"/>
      <c r="F1000" s="1081">
        <f>'WP II-I-1.1'!F373</f>
        <v>0</v>
      </c>
      <c r="G1000" s="893">
        <f>'WP II-I-1.1'!G373</f>
        <v>0</v>
      </c>
      <c r="H1000" s="893">
        <f>'WP II-I-1.1'!H373</f>
        <v>17195294.84</v>
      </c>
      <c r="I1000" s="1082">
        <f>'WP II-I-1.1'!I373</f>
        <v>0</v>
      </c>
      <c r="J1000" s="290">
        <f t="shared" si="119"/>
        <v>17195294.84</v>
      </c>
      <c r="K1000" s="290"/>
      <c r="L1000" s="18">
        <f t="shared" si="116"/>
        <v>17195294.84</v>
      </c>
      <c r="M1000" s="47"/>
      <c r="N1000" s="839">
        <f t="shared" si="117"/>
        <v>0</v>
      </c>
    </row>
    <row r="1001" spans="2:14" s="386" customFormat="1" ht="14.25">
      <c r="B1001" s="17">
        <f t="shared" si="115"/>
        <v>33</v>
      </c>
      <c r="C1001" s="1" t="s">
        <v>80</v>
      </c>
      <c r="D1001" s="1" t="s">
        <v>543</v>
      </c>
      <c r="E1001" s="17"/>
      <c r="F1001" s="1081">
        <f>'WP II-I-1.1'!F374</f>
        <v>0</v>
      </c>
      <c r="G1001" s="893">
        <f>'WP II-I-1.1'!G374</f>
        <v>2390143.4199999999</v>
      </c>
      <c r="H1001" s="893">
        <f>'WP II-I-1.1'!H374</f>
        <v>0</v>
      </c>
      <c r="I1001" s="1082">
        <f>'WP II-I-1.1'!I374</f>
        <v>0</v>
      </c>
      <c r="J1001" s="290">
        <f t="shared" si="119"/>
        <v>2390143.4199999999</v>
      </c>
      <c r="K1001" s="290"/>
      <c r="L1001" s="18">
        <f t="shared" si="116"/>
        <v>2390143.4199999999</v>
      </c>
      <c r="M1001" s="47"/>
      <c r="N1001" s="839">
        <f t="shared" si="117"/>
        <v>0</v>
      </c>
    </row>
    <row r="1002" spans="2:14" s="386" customFormat="1" ht="14.25">
      <c r="B1002" s="17">
        <f t="shared" si="115"/>
        <v>34</v>
      </c>
      <c r="C1002" s="1" t="s">
        <v>82</v>
      </c>
      <c r="D1002" s="1" t="s">
        <v>544</v>
      </c>
      <c r="E1002" s="17"/>
      <c r="F1002" s="1081">
        <f>'WP II-I-1.1'!F375</f>
        <v>0</v>
      </c>
      <c r="G1002" s="893">
        <f>'WP II-I-1.1'!G375</f>
        <v>0</v>
      </c>
      <c r="H1002" s="893">
        <f>'WP II-I-1.1'!H375</f>
        <v>0</v>
      </c>
      <c r="I1002" s="1082">
        <f>'WP II-I-1.1'!I375</f>
        <v>0</v>
      </c>
      <c r="J1002" s="290">
        <f t="shared" si="119"/>
        <v>0</v>
      </c>
      <c r="K1002" s="290"/>
      <c r="L1002" s="18">
        <f t="shared" si="116"/>
        <v>0</v>
      </c>
      <c r="M1002" s="47"/>
      <c r="N1002" s="839">
        <f t="shared" si="117"/>
        <v>0</v>
      </c>
    </row>
    <row r="1003" spans="2:14" s="386" customFormat="1" ht="16.5">
      <c r="B1003" s="17">
        <f t="shared" si="115"/>
        <v>35</v>
      </c>
      <c r="C1003" s="1" t="s">
        <v>84</v>
      </c>
      <c r="D1003" s="1" t="s">
        <v>88</v>
      </c>
      <c r="E1003" s="17"/>
      <c r="F1003" s="1083">
        <f>'WP II-I-1.1'!F376</f>
        <v>0</v>
      </c>
      <c r="G1003" s="1084">
        <f>'WP II-I-1.1'!G376</f>
        <v>21013686.960000001</v>
      </c>
      <c r="H1003" s="1084">
        <f>'WP II-I-1.1'!H376</f>
        <v>0</v>
      </c>
      <c r="I1003" s="1085">
        <f>'WP II-I-1.1'!I376</f>
        <v>0</v>
      </c>
      <c r="J1003" s="302">
        <f t="shared" si="119"/>
        <v>21013686.960000001</v>
      </c>
      <c r="K1003" s="302"/>
      <c r="L1003" s="296">
        <f t="shared" si="116"/>
        <v>21013686.960000001</v>
      </c>
      <c r="M1003" s="47"/>
      <c r="N1003" s="839">
        <f t="shared" si="117"/>
        <v>0</v>
      </c>
    </row>
    <row r="1004" spans="2:14" ht="15">
      <c r="B1004" s="17">
        <f t="shared" si="115"/>
        <v>36</v>
      </c>
      <c r="C1004" s="8"/>
      <c r="D1004" s="297" t="s">
        <v>491</v>
      </c>
      <c r="E1004" s="20"/>
      <c r="F1004" s="896">
        <f>SUM(F990:F1003)</f>
        <v>14202012.300000001</v>
      </c>
      <c r="G1004" s="896">
        <f>SUM(G990:G1003)</f>
        <v>398920722.42999995</v>
      </c>
      <c r="H1004" s="896">
        <f>SUM(H990:H1003)</f>
        <v>17195294.84</v>
      </c>
      <c r="I1004" s="896">
        <f>SUM(I990:I1003)</f>
        <v>0</v>
      </c>
      <c r="J1004" s="299">
        <f t="shared" si="119"/>
        <v>430318029.56999993</v>
      </c>
      <c r="K1004" s="300"/>
      <c r="L1004" s="22">
        <f t="shared" si="116"/>
        <v>416116017.26999992</v>
      </c>
      <c r="M1004" s="67"/>
      <c r="N1004" s="839">
        <f t="shared" si="117"/>
        <v>0</v>
      </c>
    </row>
    <row r="1005" spans="2:14" ht="14.25">
      <c r="B1005" s="17"/>
      <c r="C1005" s="1"/>
      <c r="D1005" s="1"/>
      <c r="E1005" s="17"/>
      <c r="F1005" s="894"/>
      <c r="G1005" s="894"/>
      <c r="H1005" s="894"/>
      <c r="I1005" s="894"/>
      <c r="J1005" s="1"/>
      <c r="K1005" s="1"/>
      <c r="L1005" s="19"/>
      <c r="M1005" s="67"/>
      <c r="N1005" s="839">
        <f t="shared" si="117"/>
        <v>0</v>
      </c>
    </row>
    <row r="1006" spans="2:14" ht="15">
      <c r="B1006" s="874"/>
      <c r="C1006" s="874"/>
      <c r="D1006" s="874"/>
      <c r="E1006" s="874"/>
      <c r="F1006" s="874"/>
      <c r="G1006" s="874"/>
      <c r="H1006" s="874"/>
      <c r="I1006" s="874"/>
      <c r="J1006" s="874"/>
      <c r="K1006" s="874"/>
      <c r="L1006" s="874"/>
      <c r="M1006" s="134" t="str">
        <f>$M$2</f>
        <v xml:space="preserve"> </v>
      </c>
      <c r="N1006" s="839">
        <f t="shared" si="117"/>
        <v>0</v>
      </c>
    </row>
    <row r="1007" spans="2:14" ht="15.75" thickBot="1">
      <c r="B1007" s="874"/>
      <c r="C1007" s="874"/>
      <c r="D1007" s="874"/>
      <c r="E1007" s="874"/>
      <c r="F1007" s="874"/>
      <c r="G1007" s="874"/>
      <c r="H1007" s="874"/>
      <c r="I1007" s="874"/>
      <c r="J1007" s="874"/>
      <c r="K1007" s="874"/>
      <c r="L1007" s="874"/>
      <c r="M1007" s="67"/>
      <c r="N1007" s="839">
        <f t="shared" si="117"/>
        <v>0</v>
      </c>
    </row>
    <row r="1008" spans="2:14" ht="15">
      <c r="B1008" s="920" t="str">
        <f>$B$4</f>
        <v>2022 RATE CASE</v>
      </c>
      <c r="C1008" s="926"/>
      <c r="D1008" s="927"/>
      <c r="E1008" s="874"/>
      <c r="F1008" s="874"/>
      <c r="G1008" s="874"/>
      <c r="H1008" s="874"/>
      <c r="I1008" s="874"/>
      <c r="J1008" s="874"/>
      <c r="K1008" s="874"/>
      <c r="L1008" s="874"/>
      <c r="N1008" s="839">
        <f t="shared" si="117"/>
        <v>0</v>
      </c>
    </row>
    <row r="1009" spans="2:14" ht="15">
      <c r="B1009" s="917" t="str">
        <f>$B$5</f>
        <v>ONCOR ELECTRIC DELIVERY COMPANY LLC</v>
      </c>
      <c r="C1009" s="369"/>
      <c r="D1009" s="928"/>
      <c r="E1009" s="874"/>
      <c r="F1009" s="874"/>
      <c r="G1009" s="874"/>
      <c r="H1009" s="874"/>
      <c r="I1009" s="874"/>
      <c r="J1009" s="874"/>
      <c r="K1009" s="874"/>
      <c r="L1009" s="874"/>
      <c r="M1009" s="67"/>
      <c r="N1009" s="839">
        <f t="shared" si="117"/>
        <v>0</v>
      </c>
    </row>
    <row r="1010" spans="2:14" ht="15">
      <c r="B1010" s="406" t="str">
        <f>$B$6</f>
        <v>CONSOLIDATED FUNCTIONALIZED COST OF SERVICE</v>
      </c>
      <c r="C1010" s="369"/>
      <c r="D1010" s="928"/>
      <c r="E1010" s="874"/>
      <c r="F1010" s="874"/>
      <c r="G1010" s="874"/>
      <c r="H1010" s="874"/>
      <c r="I1010" s="874"/>
      <c r="J1010" s="874"/>
      <c r="K1010" s="874"/>
      <c r="L1010" s="874"/>
      <c r="M1010" s="67"/>
      <c r="N1010" s="839">
        <f t="shared" si="117"/>
        <v>0</v>
      </c>
    </row>
    <row r="1011" spans="2:14" ht="15.75">
      <c r="B1011" s="406" t="str">
        <f>$B$7</f>
        <v>TEST YEAR ENDING 12/31/2021</v>
      </c>
      <c r="C1011" s="840"/>
      <c r="D1011" s="921"/>
      <c r="E1011" s="67"/>
      <c r="F1011" s="664"/>
      <c r="G1011" s="664"/>
      <c r="H1011" s="664"/>
      <c r="I1011" s="664"/>
      <c r="J1011" s="67"/>
      <c r="K1011" s="67"/>
      <c r="L1011" s="67"/>
      <c r="M1011" s="67"/>
      <c r="N1011" s="839">
        <f t="shared" si="117"/>
        <v>0</v>
      </c>
    </row>
    <row r="1012" spans="2:14" ht="15">
      <c r="B1012" s="406" t="str">
        <f>$B$8</f>
        <v>SPONSOR:  MATTHEW A. TROXLE</v>
      </c>
      <c r="C1012" s="369"/>
      <c r="D1012" s="928"/>
      <c r="E1012" s="369"/>
      <c r="F1012" s="369"/>
      <c r="G1012" s="369"/>
      <c r="H1012" s="369"/>
      <c r="I1012" s="369"/>
      <c r="J1012" s="369"/>
      <c r="K1012" s="369"/>
      <c r="L1012" s="369"/>
      <c r="M1012" s="67"/>
      <c r="N1012" s="839">
        <f t="shared" si="117"/>
        <v>0</v>
      </c>
    </row>
    <row r="1013" spans="2:14" ht="15.75" thickBot="1">
      <c r="B1013" s="410"/>
      <c r="C1013" s="934"/>
      <c r="D1013" s="936"/>
      <c r="F1013" s="737"/>
      <c r="G1013" s="737"/>
      <c r="H1013" s="737"/>
      <c r="I1013" s="737"/>
      <c r="J1013" s="332"/>
      <c r="K1013" s="43"/>
      <c r="L1013" s="43"/>
      <c r="M1013" s="67"/>
      <c r="N1013" s="839">
        <f t="shared" si="117"/>
        <v>0</v>
      </c>
    </row>
    <row r="1014" spans="2:14" ht="14.25">
      <c r="B1014" s="13"/>
      <c r="C1014" s="14"/>
      <c r="D1014" s="14"/>
      <c r="E1014" s="14"/>
      <c r="F1014" s="1099" t="s">
        <v>6</v>
      </c>
      <c r="G1014" s="738" t="s">
        <v>7</v>
      </c>
      <c r="H1014" s="738" t="s">
        <v>8</v>
      </c>
      <c r="I1014" s="952" t="s">
        <v>9</v>
      </c>
      <c r="J1014" s="13" t="s">
        <v>10</v>
      </c>
      <c r="K1014" s="17"/>
      <c r="L1014" s="139" t="s">
        <v>966</v>
      </c>
      <c r="M1014" s="67"/>
      <c r="N1014" s="839"/>
    </row>
    <row r="1015" spans="2:14" ht="15">
      <c r="B1015" s="15" t="s">
        <v>2</v>
      </c>
      <c r="C1015" s="15" t="s">
        <v>370</v>
      </c>
      <c r="D1015" s="287" t="s">
        <v>701</v>
      </c>
      <c r="E1015" s="15" t="s">
        <v>371</v>
      </c>
      <c r="F1015" s="744"/>
      <c r="G1015" s="743"/>
      <c r="H1015" s="743"/>
      <c r="I1015" s="743"/>
      <c r="J1015" s="15"/>
      <c r="K1015" s="17"/>
      <c r="L1015" s="97" t="s">
        <v>967</v>
      </c>
      <c r="M1015" s="67"/>
      <c r="N1015" s="839"/>
    </row>
    <row r="1016" spans="2:14" ht="14.25">
      <c r="B1016" s="15"/>
      <c r="C1016" s="15"/>
      <c r="D1016" s="15"/>
      <c r="E1016" s="15"/>
      <c r="F1016" s="744"/>
      <c r="G1016" s="743"/>
      <c r="H1016" s="743"/>
      <c r="I1016" s="743"/>
      <c r="J1016" s="15"/>
      <c r="K1016" s="17"/>
      <c r="L1016" s="97"/>
      <c r="M1016" s="67"/>
      <c r="N1016" s="839"/>
    </row>
    <row r="1017" spans="2:14" ht="15" thickBot="1">
      <c r="B1017" s="16"/>
      <c r="C1017" s="16" t="s">
        <v>13</v>
      </c>
      <c r="D1017" s="16" t="s">
        <v>14</v>
      </c>
      <c r="E1017" s="16" t="s">
        <v>15</v>
      </c>
      <c r="F1017" s="747" t="s">
        <v>16</v>
      </c>
      <c r="G1017" s="747" t="s">
        <v>17</v>
      </c>
      <c r="H1017" s="747" t="s">
        <v>18</v>
      </c>
      <c r="I1017" s="747" t="s">
        <v>21</v>
      </c>
      <c r="J1017" s="16" t="s">
        <v>22</v>
      </c>
      <c r="K1017" s="17"/>
      <c r="L1017" s="1125" t="s">
        <v>418</v>
      </c>
      <c r="M1017" s="67"/>
      <c r="N1017" s="839"/>
    </row>
    <row r="1018" spans="2:14" ht="14.25">
      <c r="B1018" s="67"/>
      <c r="C1018" s="333"/>
      <c r="D1018" s="333"/>
      <c r="E1018" s="333"/>
      <c r="F1018" s="749"/>
      <c r="G1018" s="749"/>
      <c r="H1018" s="749"/>
      <c r="I1018" s="691"/>
      <c r="J1018" s="43"/>
      <c r="K1018" s="43"/>
      <c r="L1018" s="43"/>
      <c r="M1018" s="67"/>
      <c r="N1018" s="839"/>
    </row>
    <row r="1019" spans="2:14" ht="15">
      <c r="B1019" s="17">
        <f>B1005+1</f>
        <v>1</v>
      </c>
      <c r="C1019" s="34" t="s">
        <v>702</v>
      </c>
      <c r="D1019" s="8"/>
      <c r="E1019" s="20" t="s">
        <v>297</v>
      </c>
      <c r="F1019" s="896"/>
      <c r="G1019" s="896"/>
      <c r="H1019" s="896"/>
      <c r="I1019" s="896"/>
      <c r="J1019" s="8"/>
      <c r="K1019" s="8"/>
      <c r="L1019" s="22"/>
      <c r="M1019" s="67"/>
      <c r="N1019" s="839"/>
    </row>
    <row r="1020" spans="2:14" ht="14.25">
      <c r="B1020" s="17">
        <f t="shared" si="120" ref="B1020:B1040">B1019+1</f>
        <v>2</v>
      </c>
      <c r="C1020" s="1"/>
      <c r="D1020" s="1"/>
      <c r="E1020" s="17"/>
      <c r="F1020" s="894"/>
      <c r="G1020" s="894"/>
      <c r="H1020" s="894"/>
      <c r="I1020" s="894"/>
      <c r="J1020" s="1"/>
      <c r="K1020" s="1"/>
      <c r="L1020" s="19"/>
      <c r="M1020" s="67"/>
      <c r="N1020" s="839">
        <f t="shared" si="117"/>
        <v>0</v>
      </c>
    </row>
    <row r="1021" spans="2:14" s="386" customFormat="1" ht="14.25">
      <c r="B1021" s="17">
        <f t="shared" si="120"/>
        <v>3</v>
      </c>
      <c r="C1021" s="1" t="s">
        <v>703</v>
      </c>
      <c r="D1021" s="1" t="s">
        <v>42</v>
      </c>
      <c r="E1021" s="17"/>
      <c r="F1021" s="1087">
        <f>'WP II-I-1.1'!F378</f>
        <v>1237.1900000000001</v>
      </c>
      <c r="G1021" s="1089">
        <f>'WP II-I-1.1'!G378</f>
        <v>1610.53</v>
      </c>
      <c r="H1021" s="1089">
        <f>'WP II-I-1.1'!H378</f>
        <v>68.370000000000005</v>
      </c>
      <c r="I1021" s="1090">
        <f>'WP II-I-1.1'!I378</f>
        <v>0.26000000000000001</v>
      </c>
      <c r="J1021" s="290">
        <f t="shared" si="121" ref="J1021:J1033">SUM(F1021:I1021)</f>
        <v>2916.3500000000004</v>
      </c>
      <c r="K1021" s="290"/>
      <c r="L1021" s="18">
        <f t="shared" si="116"/>
        <v>1679.1600000000001</v>
      </c>
      <c r="M1021" s="47"/>
      <c r="N1021" s="839">
        <f t="shared" si="117"/>
        <v>0</v>
      </c>
    </row>
    <row r="1022" spans="2:14" s="386" customFormat="1" ht="14.25">
      <c r="B1022" s="17">
        <f t="shared" si="120"/>
        <v>4</v>
      </c>
      <c r="C1022" s="1" t="s">
        <v>93</v>
      </c>
      <c r="D1022" s="1" t="s">
        <v>44</v>
      </c>
      <c r="E1022" s="17"/>
      <c r="F1022" s="1081">
        <f>'WP II-I-1.1'!F379</f>
        <v>1787386.47</v>
      </c>
      <c r="G1022" s="893">
        <f>'WP II-I-1.1'!G379</f>
        <v>2871490.2400000002</v>
      </c>
      <c r="H1022" s="893">
        <f>'WP II-I-1.1'!H379</f>
        <v>489731.73999999999</v>
      </c>
      <c r="I1022" s="1082">
        <f>'WP II-I-1.1'!I379</f>
        <v>269972.15999999997</v>
      </c>
      <c r="J1022" s="290">
        <f t="shared" si="121"/>
        <v>5418580.6100000003</v>
      </c>
      <c r="K1022" s="290"/>
      <c r="L1022" s="18">
        <f t="shared" si="116"/>
        <v>3631194.1400000006</v>
      </c>
      <c r="M1022" s="47"/>
      <c r="N1022" s="839">
        <f t="shared" si="117"/>
        <v>0</v>
      </c>
    </row>
    <row r="1023" spans="2:14" s="386" customFormat="1" ht="14.25">
      <c r="B1023" s="17">
        <f t="shared" si="120"/>
        <v>5</v>
      </c>
      <c r="C1023" s="1" t="s">
        <v>94</v>
      </c>
      <c r="D1023" s="1" t="s">
        <v>95</v>
      </c>
      <c r="E1023" s="17"/>
      <c r="F1023" s="1081">
        <f>'WP II-I-1.1'!F380</f>
        <v>8815814.3399999999</v>
      </c>
      <c r="G1023" s="893">
        <f>'WP II-I-1.1'!G380</f>
        <v>11253947.6</v>
      </c>
      <c r="H1023" s="893">
        <f>'WP II-I-1.1'!H380</f>
        <v>8476613.7300000004</v>
      </c>
      <c r="I1023" s="1082">
        <f>'WP II-I-1.1'!I380</f>
        <v>10258435.65</v>
      </c>
      <c r="J1023" s="290">
        <f t="shared" si="121"/>
        <v>38804811.32</v>
      </c>
      <c r="K1023" s="290"/>
      <c r="L1023" s="18">
        <f t="shared" si="116"/>
        <v>29988996.979999997</v>
      </c>
      <c r="M1023" s="47"/>
      <c r="N1023" s="839">
        <f t="shared" si="117"/>
        <v>0</v>
      </c>
    </row>
    <row r="1024" spans="2:14" s="386" customFormat="1" ht="14.25">
      <c r="B1024" s="17">
        <f t="shared" si="120"/>
        <v>6</v>
      </c>
      <c r="C1024" s="1" t="s">
        <v>96</v>
      </c>
      <c r="D1024" s="1" t="s">
        <v>704</v>
      </c>
      <c r="E1024" s="17"/>
      <c r="F1024" s="1081">
        <f>'WP II-I-1.1'!F381</f>
        <v>734898.93999999994</v>
      </c>
      <c r="G1024" s="893">
        <f>'WP II-I-1.1'!G381</f>
        <v>1013262.58</v>
      </c>
      <c r="H1024" s="893">
        <f>'WP II-I-1.1'!H381</f>
        <v>0</v>
      </c>
      <c r="I1024" s="1082">
        <f>'WP II-I-1.1'!I381</f>
        <v>0</v>
      </c>
      <c r="J1024" s="290">
        <f t="shared" si="121"/>
        <v>1748161.52</v>
      </c>
      <c r="K1024" s="290"/>
      <c r="L1024" s="18">
        <f t="shared" si="116"/>
        <v>1013262.58</v>
      </c>
      <c r="M1024" s="47"/>
      <c r="N1024" s="839">
        <f t="shared" si="117"/>
        <v>0</v>
      </c>
    </row>
    <row r="1025" spans="2:14" s="386" customFormat="1" ht="14.25">
      <c r="B1025" s="17">
        <f t="shared" si="120"/>
        <v>7</v>
      </c>
      <c r="C1025" s="1" t="s">
        <v>99</v>
      </c>
      <c r="D1025" s="1" t="s">
        <v>705</v>
      </c>
      <c r="E1025" s="17"/>
      <c r="F1025" s="1081">
        <f>'WP II-I-1.1'!F382</f>
        <v>66490.550000000003</v>
      </c>
      <c r="G1025" s="893">
        <f>'WP II-I-1.1'!G382</f>
        <v>179893.10999999999</v>
      </c>
      <c r="H1025" s="893">
        <f>'WP II-I-1.1'!H382</f>
        <v>32050.389999999999</v>
      </c>
      <c r="I1025" s="1082">
        <f>'WP II-I-1.1'!I382</f>
        <v>0</v>
      </c>
      <c r="J1025" s="290">
        <f t="shared" si="121"/>
        <v>278434.04999999999</v>
      </c>
      <c r="K1025" s="290"/>
      <c r="L1025" s="18">
        <f t="shared" si="116"/>
        <v>211943.5</v>
      </c>
      <c r="M1025" s="47"/>
      <c r="N1025" s="839">
        <f t="shared" si="117"/>
        <v>0</v>
      </c>
    </row>
    <row r="1026" spans="2:14" s="386" customFormat="1" ht="14.25">
      <c r="B1026" s="17">
        <f t="shared" si="120"/>
        <v>8</v>
      </c>
      <c r="C1026" s="1" t="s">
        <v>101</v>
      </c>
      <c r="D1026" s="1" t="s">
        <v>706</v>
      </c>
      <c r="E1026" s="17"/>
      <c r="F1026" s="1081">
        <f>'WP II-I-1.1'!F383</f>
        <v>989704.43999999994</v>
      </c>
      <c r="G1026" s="893">
        <f>'WP II-I-1.1'!G383</f>
        <v>1613751</v>
      </c>
      <c r="H1026" s="893">
        <f>'WP II-I-1.1'!H383</f>
        <v>160870.84</v>
      </c>
      <c r="I1026" s="1082">
        <f>'WP II-I-1.1'!I383</f>
        <v>0</v>
      </c>
      <c r="J1026" s="290">
        <f t="shared" si="121"/>
        <v>2764326.2799999998</v>
      </c>
      <c r="K1026" s="290"/>
      <c r="L1026" s="18">
        <f t="shared" si="116"/>
        <v>1774621.8400000001</v>
      </c>
      <c r="M1026" s="47"/>
      <c r="N1026" s="839">
        <f t="shared" si="117"/>
        <v>0</v>
      </c>
    </row>
    <row r="1027" spans="2:14" s="386" customFormat="1" ht="14.25">
      <c r="B1027" s="17">
        <f t="shared" si="120"/>
        <v>9</v>
      </c>
      <c r="C1027" s="1" t="s">
        <v>103</v>
      </c>
      <c r="D1027" s="1" t="s">
        <v>707</v>
      </c>
      <c r="E1027" s="17"/>
      <c r="F1027" s="1081">
        <f>'WP II-I-1.1'!F384</f>
        <v>1976031.21</v>
      </c>
      <c r="G1027" s="893">
        <f>'WP II-I-1.1'!G384</f>
        <v>1151258.3999999999</v>
      </c>
      <c r="H1027" s="893">
        <f>'WP II-I-1.1'!H384</f>
        <v>242609.72</v>
      </c>
      <c r="I1027" s="1082">
        <f>'WP II-I-1.1'!I384</f>
        <v>0</v>
      </c>
      <c r="J1027" s="290">
        <f t="shared" si="121"/>
        <v>3369899.3300000001</v>
      </c>
      <c r="K1027" s="290"/>
      <c r="L1027" s="18">
        <f t="shared" si="116"/>
        <v>1393868.1199999999</v>
      </c>
      <c r="M1027" s="47"/>
      <c r="N1027" s="839">
        <f t="shared" si="117"/>
        <v>0</v>
      </c>
    </row>
    <row r="1028" spans="2:14" s="386" customFormat="1" ht="14.25">
      <c r="B1028" s="17">
        <f t="shared" si="120"/>
        <v>10</v>
      </c>
      <c r="C1028" s="1" t="s">
        <v>105</v>
      </c>
      <c r="D1028" s="1" t="s">
        <v>106</v>
      </c>
      <c r="E1028" s="17"/>
      <c r="F1028" s="1081">
        <f>'WP II-I-1.1'!F385</f>
        <v>194373.67999999999</v>
      </c>
      <c r="G1028" s="893">
        <f>'WP II-I-1.1'!G385</f>
        <v>479878.02000000002</v>
      </c>
      <c r="H1028" s="893">
        <f>'WP II-I-1.1'!H385</f>
        <v>61487.510000000002</v>
      </c>
      <c r="I1028" s="1082">
        <f>'WP II-I-1.1'!I385</f>
        <v>0</v>
      </c>
      <c r="J1028" s="290">
        <f t="shared" si="121"/>
        <v>735739.20999999996</v>
      </c>
      <c r="K1028" s="290"/>
      <c r="L1028" s="18">
        <f t="shared" si="116"/>
        <v>541365.53000000003</v>
      </c>
      <c r="M1028" s="47"/>
      <c r="N1028" s="839">
        <f t="shared" si="117"/>
        <v>0</v>
      </c>
    </row>
    <row r="1029" spans="2:14" s="386" customFormat="1" ht="14.25">
      <c r="B1029" s="17">
        <f t="shared" si="120"/>
        <v>11</v>
      </c>
      <c r="C1029" s="1" t="s">
        <v>107</v>
      </c>
      <c r="D1029" s="1" t="s">
        <v>108</v>
      </c>
      <c r="E1029" s="17"/>
      <c r="F1029" s="1081">
        <f>'WP II-I-1.1'!F386</f>
        <v>5747202.3499999996</v>
      </c>
      <c r="G1029" s="893">
        <f>'WP II-I-1.1'!G386</f>
        <v>3522760.3300000001</v>
      </c>
      <c r="H1029" s="893">
        <f>'WP II-I-1.1'!H386</f>
        <v>289426.59999999998</v>
      </c>
      <c r="I1029" s="1082">
        <f>'WP II-I-1.1'!I386</f>
        <v>133407.13000000001</v>
      </c>
      <c r="J1029" s="290">
        <f t="shared" si="121"/>
        <v>9692796.4100000001</v>
      </c>
      <c r="K1029" s="290"/>
      <c r="L1029" s="18">
        <f t="shared" si="116"/>
        <v>3945594.0600000001</v>
      </c>
      <c r="M1029" s="47"/>
      <c r="N1029" s="839">
        <f t="shared" si="117"/>
        <v>0</v>
      </c>
    </row>
    <row r="1030" spans="2:14" s="386" customFormat="1" ht="14.25">
      <c r="B1030" s="17">
        <f t="shared" si="120"/>
        <v>12</v>
      </c>
      <c r="C1030" s="1" t="s">
        <v>110</v>
      </c>
      <c r="D1030" s="1" t="s">
        <v>708</v>
      </c>
      <c r="E1030" s="17"/>
      <c r="F1030" s="1081">
        <f>'WP II-I-1.1'!F387</f>
        <v>352648.52000000002</v>
      </c>
      <c r="G1030" s="893">
        <f>'WP II-I-1.1'!G387</f>
        <v>349716.01000000001</v>
      </c>
      <c r="H1030" s="893">
        <f>'WP II-I-1.1'!H387</f>
        <v>71826.929999999993</v>
      </c>
      <c r="I1030" s="1082">
        <f>'WP II-I-1.1'!I387</f>
        <v>0</v>
      </c>
      <c r="J1030" s="290">
        <f t="shared" si="121"/>
        <v>774191.45999999996</v>
      </c>
      <c r="K1030" s="290"/>
      <c r="L1030" s="18">
        <f t="shared" si="116"/>
        <v>421542.94</v>
      </c>
      <c r="M1030" s="47"/>
      <c r="N1030" s="839">
        <f t="shared" si="117"/>
        <v>0</v>
      </c>
    </row>
    <row r="1031" spans="2:14" s="386" customFormat="1" ht="14.25">
      <c r="B1031" s="17">
        <f t="shared" si="120"/>
        <v>13</v>
      </c>
      <c r="C1031" s="1" t="s">
        <v>112</v>
      </c>
      <c r="D1031" s="1" t="s">
        <v>302</v>
      </c>
      <c r="E1031" s="17"/>
      <c r="F1031" s="1081">
        <f>'WP II-I-1.1'!F388</f>
        <v>0</v>
      </c>
      <c r="G1031" s="893">
        <f>'WP II-I-1.1'!G388</f>
        <v>0</v>
      </c>
      <c r="H1031" s="893">
        <f>'WP II-I-1.1'!H388</f>
        <v>0</v>
      </c>
      <c r="I1031" s="1082">
        <f>'WP II-I-1.1'!I388</f>
        <v>0</v>
      </c>
      <c r="J1031" s="290">
        <f t="shared" si="121"/>
        <v>0</v>
      </c>
      <c r="K1031" s="290"/>
      <c r="L1031" s="18">
        <f t="shared" si="116"/>
        <v>0</v>
      </c>
      <c r="M1031" s="47"/>
      <c r="N1031" s="839">
        <f t="shared" si="117"/>
        <v>0</v>
      </c>
    </row>
    <row r="1032" spans="2:14" s="386" customFormat="1" ht="16.5">
      <c r="B1032" s="17">
        <f t="shared" si="120"/>
        <v>14</v>
      </c>
      <c r="C1032" s="1" t="s">
        <v>112</v>
      </c>
      <c r="D1032" s="1" t="s">
        <v>303</v>
      </c>
      <c r="E1032" s="17"/>
      <c r="F1032" s="1083">
        <f>'WP II-I-1.1'!F389</f>
        <v>0</v>
      </c>
      <c r="G1032" s="1084">
        <f>'WP II-I-1.1'!G389</f>
        <v>0</v>
      </c>
      <c r="H1032" s="1084">
        <f>'WP II-I-1.1'!H389</f>
        <v>0</v>
      </c>
      <c r="I1032" s="1085">
        <f>'WP II-I-1.1'!I389</f>
        <v>0</v>
      </c>
      <c r="J1032" s="302">
        <f t="shared" si="121"/>
        <v>0</v>
      </c>
      <c r="K1032" s="302"/>
      <c r="L1032" s="296">
        <f t="shared" si="116"/>
        <v>0</v>
      </c>
      <c r="M1032" s="47"/>
      <c r="N1032" s="839">
        <f t="shared" si="117"/>
        <v>0</v>
      </c>
    </row>
    <row r="1033" spans="2:14" ht="15">
      <c r="B1033" s="17">
        <f t="shared" si="120"/>
        <v>15</v>
      </c>
      <c r="C1033" s="8"/>
      <c r="D1033" s="297" t="s">
        <v>491</v>
      </c>
      <c r="E1033" s="20"/>
      <c r="F1033" s="896">
        <f>SUM(F1021:F1032)</f>
        <v>20665787.690000001</v>
      </c>
      <c r="G1033" s="896">
        <f>SUM(G1021:G1032)</f>
        <v>22437567.819999997</v>
      </c>
      <c r="H1033" s="896">
        <f>SUM(H1021:H1032)</f>
        <v>9824685.8300000001</v>
      </c>
      <c r="I1033" s="896">
        <f>SUM(I1021:I1032)</f>
        <v>10661815.200000001</v>
      </c>
      <c r="J1033" s="299">
        <f t="shared" si="121"/>
        <v>63589856.539999999</v>
      </c>
      <c r="K1033" s="300"/>
      <c r="L1033" s="22">
        <f t="shared" si="116"/>
        <v>42924068.850000001</v>
      </c>
      <c r="M1033" s="67"/>
      <c r="N1033" s="839">
        <f t="shared" si="117"/>
        <v>0</v>
      </c>
    </row>
    <row r="1034" spans="2:14" ht="15.75" thickBot="1">
      <c r="B1034" s="17">
        <f t="shared" si="120"/>
        <v>16</v>
      </c>
      <c r="C1034" s="8"/>
      <c r="D1034" s="297"/>
      <c r="E1034" s="20"/>
      <c r="F1034" s="896"/>
      <c r="G1034" s="896"/>
      <c r="H1034" s="896"/>
      <c r="I1034" s="896"/>
      <c r="J1034" s="299"/>
      <c r="K1034" s="300"/>
      <c r="L1034" s="22"/>
      <c r="M1034" s="67"/>
      <c r="N1034" s="839">
        <f t="shared" si="117"/>
        <v>0</v>
      </c>
    </row>
    <row r="1035" spans="2:14" ht="15.75" thickBot="1">
      <c r="B1035" s="17">
        <f t="shared" si="120"/>
        <v>17</v>
      </c>
      <c r="C1035" s="284" t="s">
        <v>709</v>
      </c>
      <c r="D1035" s="285"/>
      <c r="E1035" s="374" t="s">
        <v>297</v>
      </c>
      <c r="F1035" s="903">
        <f>F975+F987+F1004+F1033</f>
        <v>374144896.06</v>
      </c>
      <c r="G1035" s="903">
        <f>G975+G987+G1004+G1033</f>
        <v>459817144.95999992</v>
      </c>
      <c r="H1035" s="903">
        <f>H975+H987+H1004+H1033</f>
        <v>30914363.670000002</v>
      </c>
      <c r="I1035" s="903">
        <f>I975+I987+I1004+I1033</f>
        <v>32929277.090000004</v>
      </c>
      <c r="J1035" s="380">
        <f>SUM(F1035:I1035)</f>
        <v>897805681.77999997</v>
      </c>
      <c r="K1035" s="896"/>
      <c r="L1035" s="257">
        <f t="shared" si="122" ref="L1035:L1097">SUM(G1035:I1035)</f>
        <v>523660785.71999991</v>
      </c>
      <c r="M1035" s="67"/>
      <c r="N1035" s="839">
        <f t="shared" si="117"/>
        <v>0</v>
      </c>
    </row>
    <row r="1036" spans="2:14" ht="14.25" customHeight="1">
      <c r="B1036" s="17">
        <f t="shared" si="120"/>
        <v>18</v>
      </c>
      <c r="C1036" s="8"/>
      <c r="D1036" s="297"/>
      <c r="E1036" s="20"/>
      <c r="F1036" s="896"/>
      <c r="G1036" s="896"/>
      <c r="H1036" s="896"/>
      <c r="I1036" s="896"/>
      <c r="J1036" s="299"/>
      <c r="K1036" s="300"/>
      <c r="L1036" s="22"/>
      <c r="M1036" s="67"/>
      <c r="N1036" s="839">
        <f t="shared" si="123" ref="N1036:N1099">J1036-L1036-F1036</f>
        <v>0</v>
      </c>
    </row>
    <row r="1037" spans="2:14" ht="15">
      <c r="B1037" s="17">
        <f t="shared" si="120"/>
        <v>19</v>
      </c>
      <c r="C1037" s="8" t="s">
        <v>710</v>
      </c>
      <c r="D1037" s="297"/>
      <c r="E1037" s="20" t="s">
        <v>330</v>
      </c>
      <c r="F1037" s="1087">
        <f>'WP II-I-1.1'!F436</f>
        <v>22721.029999999999</v>
      </c>
      <c r="G1037" s="1089">
        <f>'WP II-I-1.1'!G436</f>
        <v>97.260000000002037</v>
      </c>
      <c r="H1037" s="1089">
        <f>'WP II-I-1.1'!H436</f>
        <v>0</v>
      </c>
      <c r="I1037" s="1090">
        <f>'WP II-I-1.1'!I436</f>
        <v>0</v>
      </c>
      <c r="J1037" s="118">
        <f>SUM(F1037:I1037)</f>
        <v>22818.290000000001</v>
      </c>
      <c r="K1037" s="290"/>
      <c r="L1037" s="18">
        <f t="shared" si="122"/>
        <v>97.260000000002037</v>
      </c>
      <c r="M1037" s="67"/>
      <c r="N1037" s="839">
        <f t="shared" si="123"/>
        <v>0</v>
      </c>
    </row>
    <row r="1038" spans="2:14" ht="16.5">
      <c r="B1038" s="17">
        <f t="shared" si="120"/>
        <v>20</v>
      </c>
      <c r="C1038" s="8" t="s">
        <v>711</v>
      </c>
      <c r="D1038" s="297"/>
      <c r="E1038" s="20" t="s">
        <v>333</v>
      </c>
      <c r="F1038" s="1083">
        <f>'WP II-I-1.1'!F437</f>
        <v>1145044.3400000001</v>
      </c>
      <c r="G1038" s="1084">
        <f>'WP II-I-1.1'!G437</f>
        <v>-2773001.1500000004</v>
      </c>
      <c r="H1038" s="1084">
        <f>'WP II-I-1.1'!H437</f>
        <v>25459958.16</v>
      </c>
      <c r="I1038" s="1085">
        <f>'WP II-I-1.1'!I437</f>
        <v>0</v>
      </c>
      <c r="J1038" s="295">
        <f>SUM(F1038:I1038)</f>
        <v>23832001.350000001</v>
      </c>
      <c r="K1038" s="302"/>
      <c r="L1038" s="296">
        <f t="shared" si="122"/>
        <v>22686957.009999998</v>
      </c>
      <c r="M1038" s="67"/>
      <c r="N1038" s="839">
        <f t="shared" si="123"/>
        <v>3.4924596548080444E-09</v>
      </c>
    </row>
    <row r="1039" spans="2:14" ht="15.75" thickBot="1">
      <c r="B1039" s="17">
        <f t="shared" si="120"/>
        <v>21</v>
      </c>
      <c r="C1039" s="8"/>
      <c r="D1039" s="297"/>
      <c r="E1039" s="20"/>
      <c r="F1039" s="896"/>
      <c r="G1039" s="896"/>
      <c r="H1039" s="896"/>
      <c r="I1039" s="896"/>
      <c r="J1039" s="299"/>
      <c r="K1039" s="300"/>
      <c r="L1039" s="22"/>
      <c r="M1039" s="67"/>
      <c r="N1039" s="839">
        <f t="shared" si="123"/>
        <v>0</v>
      </c>
    </row>
    <row r="1040" spans="2:16" ht="15.75" thickBot="1">
      <c r="B1040" s="17">
        <f t="shared" si="120"/>
        <v>22</v>
      </c>
      <c r="C1040" s="284" t="s">
        <v>712</v>
      </c>
      <c r="D1040" s="285"/>
      <c r="E1040" s="374"/>
      <c r="F1040" s="903">
        <f>SUM(F1035:F1038)</f>
        <v>375312661.42999995</v>
      </c>
      <c r="G1040" s="903">
        <f>SUM(G1035:G1038)</f>
        <v>457044241.06999993</v>
      </c>
      <c r="H1040" s="903">
        <f>SUM(H1035:H1038)</f>
        <v>56374321.829999998</v>
      </c>
      <c r="I1040" s="903">
        <f>SUM(I1035:I1038)</f>
        <v>32929277.090000004</v>
      </c>
      <c r="J1040" s="380">
        <f>SUM(F1040:I1040)</f>
        <v>921660501.41999996</v>
      </c>
      <c r="K1040" s="22"/>
      <c r="L1040" s="257">
        <f t="shared" si="122"/>
        <v>546347839.98999989</v>
      </c>
      <c r="M1040" s="67"/>
      <c r="N1040" s="839">
        <f t="shared" si="123"/>
        <v>0</v>
      </c>
      <c r="P1040" s="664" t="s">
        <v>1263</v>
      </c>
    </row>
    <row r="1041" spans="2:14" ht="14.25">
      <c r="B1041" s="67"/>
      <c r="C1041" s="67"/>
      <c r="D1041" s="67"/>
      <c r="E1041" s="67"/>
      <c r="F1041" s="664"/>
      <c r="G1041" s="664"/>
      <c r="H1041" s="664"/>
      <c r="I1041" s="664"/>
      <c r="J1041" s="67"/>
      <c r="K1041" s="47"/>
      <c r="L1041" s="47"/>
      <c r="M1041" s="67"/>
      <c r="N1041" s="839">
        <f t="shared" si="123"/>
        <v>0</v>
      </c>
    </row>
    <row r="1042" spans="2:14" ht="15">
      <c r="B1042" s="874"/>
      <c r="C1042" s="874"/>
      <c r="D1042" s="874"/>
      <c r="E1042" s="874"/>
      <c r="F1042" s="874"/>
      <c r="G1042" s="874"/>
      <c r="H1042" s="874"/>
      <c r="I1042" s="874"/>
      <c r="J1042" s="874"/>
      <c r="K1042" s="874"/>
      <c r="L1042" s="874"/>
      <c r="M1042" s="134" t="str">
        <f>$M$2</f>
        <v xml:space="preserve"> </v>
      </c>
      <c r="N1042" s="839">
        <f t="shared" si="123"/>
        <v>0</v>
      </c>
    </row>
    <row r="1043" spans="2:14" ht="15.75" thickBot="1">
      <c r="B1043" s="874"/>
      <c r="C1043" s="874"/>
      <c r="D1043" s="874"/>
      <c r="E1043" s="874"/>
      <c r="F1043" s="874"/>
      <c r="G1043" s="874"/>
      <c r="H1043" s="874"/>
      <c r="I1043" s="874"/>
      <c r="J1043" s="874"/>
      <c r="K1043" s="874"/>
      <c r="L1043" s="874"/>
      <c r="M1043" s="67"/>
      <c r="N1043" s="839">
        <f t="shared" si="123"/>
        <v>0</v>
      </c>
    </row>
    <row r="1044" spans="2:14" ht="15">
      <c r="B1044" s="920" t="str">
        <f>$B$4</f>
        <v>2022 RATE CASE</v>
      </c>
      <c r="C1044" s="926"/>
      <c r="D1044" s="927"/>
      <c r="E1044" s="874"/>
      <c r="F1044" s="874"/>
      <c r="G1044" s="874"/>
      <c r="H1044" s="874"/>
      <c r="I1044" s="874"/>
      <c r="J1044" s="874"/>
      <c r="K1044" s="874"/>
      <c r="L1044" s="874"/>
      <c r="N1044" s="839">
        <f t="shared" si="123"/>
        <v>0</v>
      </c>
    </row>
    <row r="1045" spans="2:14" ht="15">
      <c r="B1045" s="917" t="str">
        <f>$B$5</f>
        <v>ONCOR ELECTRIC DELIVERY COMPANY LLC</v>
      </c>
      <c r="C1045" s="369"/>
      <c r="D1045" s="928"/>
      <c r="E1045" s="874"/>
      <c r="F1045" s="874"/>
      <c r="G1045" s="874"/>
      <c r="H1045" s="874"/>
      <c r="I1045" s="874"/>
      <c r="J1045" s="874"/>
      <c r="K1045" s="874"/>
      <c r="L1045" s="874"/>
      <c r="M1045" s="67"/>
      <c r="N1045" s="839">
        <f t="shared" si="123"/>
        <v>0</v>
      </c>
    </row>
    <row r="1046" spans="2:14" ht="15">
      <c r="B1046" s="406" t="str">
        <f>$B$6</f>
        <v>CONSOLIDATED FUNCTIONALIZED COST OF SERVICE</v>
      </c>
      <c r="C1046" s="369"/>
      <c r="D1046" s="928"/>
      <c r="E1046" s="874"/>
      <c r="F1046" s="874"/>
      <c r="G1046" s="874"/>
      <c r="H1046" s="874"/>
      <c r="I1046" s="874"/>
      <c r="J1046" s="874"/>
      <c r="K1046" s="874"/>
      <c r="L1046" s="874"/>
      <c r="M1046" s="67"/>
      <c r="N1046" s="839">
        <f t="shared" si="123"/>
        <v>0</v>
      </c>
    </row>
    <row r="1047" spans="2:14" ht="15.75">
      <c r="B1047" s="406" t="str">
        <f>$B$7</f>
        <v>TEST YEAR ENDING 12/31/2021</v>
      </c>
      <c r="C1047" s="840"/>
      <c r="D1047" s="921"/>
      <c r="E1047" s="67"/>
      <c r="F1047" s="664"/>
      <c r="G1047" s="664"/>
      <c r="H1047" s="664"/>
      <c r="I1047" s="664"/>
      <c r="J1047" s="67"/>
      <c r="K1047" s="67"/>
      <c r="L1047" s="67"/>
      <c r="M1047" s="67"/>
      <c r="N1047" s="839">
        <f t="shared" si="123"/>
        <v>0</v>
      </c>
    </row>
    <row r="1048" spans="2:14" ht="15">
      <c r="B1048" s="406" t="str">
        <f>$B$8</f>
        <v>SPONSOR:  MATTHEW A. TROXLE</v>
      </c>
      <c r="C1048" s="369"/>
      <c r="D1048" s="928"/>
      <c r="E1048" s="369"/>
      <c r="F1048" s="369"/>
      <c r="G1048" s="369"/>
      <c r="H1048" s="369"/>
      <c r="I1048" s="369"/>
      <c r="J1048" s="369"/>
      <c r="K1048" s="369"/>
      <c r="L1048" s="369"/>
      <c r="M1048" s="67"/>
      <c r="N1048" s="839">
        <f t="shared" si="123"/>
        <v>0</v>
      </c>
    </row>
    <row r="1049" spans="2:14" ht="15.75" thickBot="1">
      <c r="B1049" s="410"/>
      <c r="C1049" s="934"/>
      <c r="D1049" s="936"/>
      <c r="F1049" s="737"/>
      <c r="G1049" s="737"/>
      <c r="H1049" s="737"/>
      <c r="I1049" s="737"/>
      <c r="J1049" s="332"/>
      <c r="K1049" s="43"/>
      <c r="L1049" s="43"/>
      <c r="M1049" s="67"/>
      <c r="N1049" s="839">
        <f t="shared" si="123"/>
        <v>0</v>
      </c>
    </row>
    <row r="1050" spans="2:14" ht="14.25">
      <c r="B1050" s="13"/>
      <c r="C1050" s="14"/>
      <c r="D1050" s="14"/>
      <c r="E1050" s="14"/>
      <c r="F1050" s="1099" t="s">
        <v>6</v>
      </c>
      <c r="G1050" s="738" t="s">
        <v>7</v>
      </c>
      <c r="H1050" s="738" t="s">
        <v>8</v>
      </c>
      <c r="I1050" s="952" t="s">
        <v>9</v>
      </c>
      <c r="J1050" s="13" t="s">
        <v>10</v>
      </c>
      <c r="K1050" s="17"/>
      <c r="L1050" s="139" t="s">
        <v>966</v>
      </c>
      <c r="M1050" s="67"/>
      <c r="N1050" s="839"/>
    </row>
    <row r="1051" spans="2:14" ht="15">
      <c r="B1051" s="15" t="s">
        <v>2</v>
      </c>
      <c r="C1051" s="15" t="s">
        <v>370</v>
      </c>
      <c r="D1051" s="287" t="s">
        <v>304</v>
      </c>
      <c r="E1051" s="15" t="s">
        <v>371</v>
      </c>
      <c r="F1051" s="744"/>
      <c r="G1051" s="743"/>
      <c r="H1051" s="743"/>
      <c r="I1051" s="743"/>
      <c r="J1051" s="15"/>
      <c r="K1051" s="17"/>
      <c r="L1051" s="97" t="s">
        <v>967</v>
      </c>
      <c r="M1051" s="67"/>
      <c r="N1051" s="839"/>
    </row>
    <row r="1052" spans="2:14" ht="14.25">
      <c r="B1052" s="15"/>
      <c r="C1052" s="15"/>
      <c r="D1052" s="15"/>
      <c r="E1052" s="15"/>
      <c r="F1052" s="744"/>
      <c r="G1052" s="743"/>
      <c r="H1052" s="743"/>
      <c r="I1052" s="743"/>
      <c r="J1052" s="15"/>
      <c r="K1052" s="17"/>
      <c r="L1052" s="97"/>
      <c r="M1052" s="67"/>
      <c r="N1052" s="839"/>
    </row>
    <row r="1053" spans="2:14" ht="15" thickBot="1">
      <c r="B1053" s="16"/>
      <c r="C1053" s="16" t="s">
        <v>13</v>
      </c>
      <c r="D1053" s="16" t="s">
        <v>14</v>
      </c>
      <c r="E1053" s="16" t="s">
        <v>15</v>
      </c>
      <c r="F1053" s="747" t="s">
        <v>16</v>
      </c>
      <c r="G1053" s="747" t="s">
        <v>17</v>
      </c>
      <c r="H1053" s="747" t="s">
        <v>18</v>
      </c>
      <c r="I1053" s="747" t="s">
        <v>21</v>
      </c>
      <c r="J1053" s="16" t="s">
        <v>22</v>
      </c>
      <c r="K1053" s="17"/>
      <c r="L1053" s="1125" t="s">
        <v>418</v>
      </c>
      <c r="M1053" s="67"/>
      <c r="N1053" s="839"/>
    </row>
    <row r="1054" spans="2:14" ht="14.25">
      <c r="B1054" s="67"/>
      <c r="C1054" s="333"/>
      <c r="D1054" s="333"/>
      <c r="E1054" s="333"/>
      <c r="F1054" s="749"/>
      <c r="G1054" s="749"/>
      <c r="H1054" s="749"/>
      <c r="I1054" s="691"/>
      <c r="J1054" s="43"/>
      <c r="K1054" s="43"/>
      <c r="L1054" s="43"/>
      <c r="M1054" s="67"/>
      <c r="N1054" s="839"/>
    </row>
    <row r="1055" spans="2:14" ht="15">
      <c r="B1055" s="17">
        <f t="shared" si="124" ref="B1055:B1072">B1054+1</f>
        <v>1</v>
      </c>
      <c r="C1055" s="366" t="s">
        <v>304</v>
      </c>
      <c r="D1055" s="366"/>
      <c r="E1055" s="20"/>
      <c r="F1055" s="896"/>
      <c r="G1055" s="896"/>
      <c r="H1055" s="896"/>
      <c r="I1055" s="8"/>
      <c r="J1055" s="8"/>
      <c r="K1055" s="8"/>
      <c r="L1055" s="8"/>
      <c r="M1055" s="67"/>
      <c r="N1055" s="839"/>
    </row>
    <row r="1056" spans="2:14" ht="14.25">
      <c r="B1056" s="17">
        <f t="shared" si="124"/>
        <v>2</v>
      </c>
      <c r="C1056" s="1"/>
      <c r="D1056" s="1"/>
      <c r="E1056" s="17"/>
      <c r="F1056" s="894"/>
      <c r="G1056" s="894"/>
      <c r="H1056" s="894"/>
      <c r="I1056" s="730"/>
      <c r="J1056" s="1"/>
      <c r="K1056" s="1"/>
      <c r="L1056" s="1"/>
      <c r="M1056" s="67"/>
      <c r="N1056" s="839"/>
    </row>
    <row r="1057" spans="2:14" ht="15">
      <c r="B1057" s="17">
        <f t="shared" si="124"/>
        <v>3</v>
      </c>
      <c r="C1057" s="8" t="s">
        <v>306</v>
      </c>
      <c r="D1057" s="8"/>
      <c r="E1057" s="20" t="s">
        <v>305</v>
      </c>
      <c r="F1057" s="896"/>
      <c r="G1057" s="896"/>
      <c r="H1057" s="896"/>
      <c r="I1057" s="8"/>
      <c r="J1057" s="8"/>
      <c r="K1057" s="8"/>
      <c r="L1057" s="8"/>
      <c r="M1057" s="67"/>
      <c r="N1057" s="839"/>
    </row>
    <row r="1058" spans="2:14" s="386" customFormat="1" ht="14.25">
      <c r="B1058" s="17">
        <f t="shared" si="124"/>
        <v>4</v>
      </c>
      <c r="C1058" s="1"/>
      <c r="D1058" s="1" t="s">
        <v>307</v>
      </c>
      <c r="E1058" s="17"/>
      <c r="F1058" s="1087">
        <f>'WP II-I-1.1'!F393</f>
        <v>3815149.1299999999</v>
      </c>
      <c r="G1058" s="1089">
        <f>'WP II-I-1.1'!G393</f>
        <v>10525362.25</v>
      </c>
      <c r="H1058" s="1089">
        <f>'WP II-I-1.1'!H393</f>
        <v>2869720.4100000001</v>
      </c>
      <c r="I1058" s="1090">
        <f>'WP II-I-1.1'!I393</f>
        <v>115481.33000000194</v>
      </c>
      <c r="J1058" s="290">
        <f>SUM(F1058:I1058)</f>
        <v>17325713.120000001</v>
      </c>
      <c r="K1058" s="290"/>
      <c r="L1058" s="18">
        <f t="shared" si="122"/>
        <v>13510563.990000002</v>
      </c>
      <c r="M1058" s="47"/>
      <c r="N1058" s="839">
        <f t="shared" si="123"/>
        <v>0</v>
      </c>
    </row>
    <row r="1059" spans="2:14" s="386" customFormat="1" ht="14.25">
      <c r="B1059" s="17">
        <f t="shared" si="124"/>
        <v>5</v>
      </c>
      <c r="C1059" s="1"/>
      <c r="D1059" s="1" t="s">
        <v>308</v>
      </c>
      <c r="E1059" s="17"/>
      <c r="F1059" s="1081">
        <f>'WP II-I-1.1'!F394</f>
        <v>47755.769999999997</v>
      </c>
      <c r="G1059" s="893">
        <f>'WP II-I-1.1'!G394</f>
        <v>131750.22</v>
      </c>
      <c r="H1059" s="893">
        <f>'WP II-I-1.1'!H394</f>
        <v>35921.449999999997</v>
      </c>
      <c r="I1059" s="1082">
        <f>'WP II-I-1.1'!I394</f>
        <v>1445.5200000000041</v>
      </c>
      <c r="J1059" s="290">
        <f>SUM(F1059:I1059)</f>
        <v>216872.96000000002</v>
      </c>
      <c r="K1059" s="290"/>
      <c r="L1059" s="18">
        <f t="shared" si="122"/>
        <v>169117.19</v>
      </c>
      <c r="M1059" s="47"/>
      <c r="N1059" s="839">
        <f t="shared" si="123"/>
        <v>0</v>
      </c>
    </row>
    <row r="1060" spans="2:14" s="386" customFormat="1" ht="16.5">
      <c r="B1060" s="17">
        <f t="shared" si="124"/>
        <v>6</v>
      </c>
      <c r="C1060" s="1"/>
      <c r="D1060" s="1" t="s">
        <v>309</v>
      </c>
      <c r="E1060" s="17"/>
      <c r="F1060" s="1083">
        <f>'WP II-I-1.1'!F395</f>
        <v>65637.589999999997</v>
      </c>
      <c r="G1060" s="1084">
        <f>'WP II-I-1.1'!G395</f>
        <v>181083.20999999999</v>
      </c>
      <c r="H1060" s="1084">
        <f>'WP II-I-1.1'!H395</f>
        <v>49372</v>
      </c>
      <c r="I1060" s="1085">
        <f>'WP II-I-1.1'!I395</f>
        <v>1986.7999999999884</v>
      </c>
      <c r="J1060" s="302">
        <f>SUM(F1060:I1060)</f>
        <v>298079.59999999998</v>
      </c>
      <c r="K1060" s="302"/>
      <c r="L1060" s="296">
        <f t="shared" si="122"/>
        <v>232442.00999999998</v>
      </c>
      <c r="M1060" s="47"/>
      <c r="N1060" s="839">
        <f t="shared" si="123"/>
        <v>0</v>
      </c>
    </row>
    <row r="1061" spans="2:14" ht="15">
      <c r="B1061" s="17">
        <f t="shared" si="124"/>
        <v>7</v>
      </c>
      <c r="C1061" s="8"/>
      <c r="D1061" s="297" t="s">
        <v>713</v>
      </c>
      <c r="E1061" s="20"/>
      <c r="F1061" s="252">
        <f>SUM(F1058:F1060)</f>
        <v>3928542.4899999998</v>
      </c>
      <c r="G1061" s="252">
        <f>SUM(G1058:G1060)</f>
        <v>10838195.680000002</v>
      </c>
      <c r="H1061" s="252">
        <f>SUM(H1058:H1060)</f>
        <v>2955013.8600000003</v>
      </c>
      <c r="I1061" s="252">
        <f>SUM(I1058:I1060)</f>
        <v>118913.65000000193</v>
      </c>
      <c r="J1061" s="299">
        <f>SUM(F1061:I1061)</f>
        <v>17840665.680000003</v>
      </c>
      <c r="K1061" s="300"/>
      <c r="L1061" s="252">
        <f t="shared" si="122"/>
        <v>13912123.190000005</v>
      </c>
      <c r="M1061" s="67"/>
      <c r="N1061" s="839">
        <f t="shared" si="123"/>
        <v>0</v>
      </c>
    </row>
    <row r="1062" spans="2:14" ht="14.25">
      <c r="B1062" s="17">
        <f t="shared" si="124"/>
        <v>8</v>
      </c>
      <c r="C1062" s="1"/>
      <c r="D1062" s="1"/>
      <c r="E1062" s="17"/>
      <c r="F1062" s="894"/>
      <c r="G1062" s="894"/>
      <c r="H1062" s="894"/>
      <c r="I1062" s="894"/>
      <c r="J1062" s="1"/>
      <c r="K1062" s="1"/>
      <c r="L1062" s="19">
        <f t="shared" si="122"/>
        <v>0</v>
      </c>
      <c r="M1062" s="67"/>
      <c r="N1062" s="839">
        <f t="shared" si="123"/>
        <v>0</v>
      </c>
    </row>
    <row r="1063" spans="2:14" ht="15">
      <c r="B1063" s="17">
        <f t="shared" si="124"/>
        <v>9</v>
      </c>
      <c r="C1063" s="8" t="s">
        <v>310</v>
      </c>
      <c r="D1063" s="8"/>
      <c r="E1063" s="20" t="s">
        <v>305</v>
      </c>
      <c r="F1063" s="896"/>
      <c r="G1063" s="896"/>
      <c r="H1063" s="896"/>
      <c r="I1063" s="896"/>
      <c r="J1063" s="381"/>
      <c r="K1063" s="381"/>
      <c r="L1063" s="22">
        <f t="shared" si="122"/>
        <v>0</v>
      </c>
      <c r="M1063" s="67"/>
      <c r="N1063" s="839">
        <f t="shared" si="123"/>
        <v>0</v>
      </c>
    </row>
    <row r="1064" spans="2:14" s="386" customFormat="1" ht="16.5">
      <c r="B1064" s="17">
        <f t="shared" si="124"/>
        <v>10</v>
      </c>
      <c r="C1064" s="383"/>
      <c r="D1064" s="1" t="s">
        <v>311</v>
      </c>
      <c r="E1064" s="19"/>
      <c r="F1064" s="1093">
        <f>'WP II-I-1.1'!F397</f>
        <v>141317043.76999998</v>
      </c>
      <c r="G1064" s="1094">
        <f>'WP II-I-1.1'!G397</f>
        <v>132463225.04000001</v>
      </c>
      <c r="H1064" s="1094">
        <f>'WP II-I-1.1'!H397</f>
        <v>4504909.1100000003</v>
      </c>
      <c r="I1064" s="1095">
        <f>'WP II-I-1.1'!I397</f>
        <v>3841558.0100000342</v>
      </c>
      <c r="J1064" s="302">
        <f>SUM(F1064:I1064)</f>
        <v>282126735.93000007</v>
      </c>
      <c r="K1064" s="302"/>
      <c r="L1064" s="296">
        <f t="shared" si="122"/>
        <v>140809692.16000003</v>
      </c>
      <c r="M1064" s="613"/>
      <c r="N1064" s="839">
        <f t="shared" si="123"/>
        <v>0</v>
      </c>
    </row>
    <row r="1065" spans="2:14" ht="15">
      <c r="B1065" s="17">
        <f t="shared" si="124"/>
        <v>11</v>
      </c>
      <c r="C1065" s="8"/>
      <c r="D1065" s="297" t="s">
        <v>714</v>
      </c>
      <c r="E1065" s="20"/>
      <c r="F1065" s="896">
        <f>+F1064</f>
        <v>141317043.76999998</v>
      </c>
      <c r="G1065" s="896">
        <f>+G1064</f>
        <v>132463225.04000001</v>
      </c>
      <c r="H1065" s="896">
        <f>+H1064</f>
        <v>4504909.1100000003</v>
      </c>
      <c r="I1065" s="896">
        <f>+I1064</f>
        <v>3841558.0100000342</v>
      </c>
      <c r="J1065" s="300">
        <f>SUM(F1065:I1065)</f>
        <v>282126735.93000007</v>
      </c>
      <c r="K1065" s="300"/>
      <c r="L1065" s="22">
        <f t="shared" si="122"/>
        <v>140809692.16000003</v>
      </c>
      <c r="M1065" s="67"/>
      <c r="N1065" s="839">
        <f t="shared" si="123"/>
        <v>0</v>
      </c>
    </row>
    <row r="1066" spans="2:14" ht="14.25">
      <c r="B1066" s="17">
        <f t="shared" si="124"/>
        <v>12</v>
      </c>
      <c r="C1066" s="1"/>
      <c r="D1066" s="1"/>
      <c r="E1066" s="17"/>
      <c r="F1066" s="894"/>
      <c r="G1066" s="894"/>
      <c r="H1066" s="894"/>
      <c r="I1066" s="894"/>
      <c r="J1066" s="1"/>
      <c r="K1066" s="1"/>
      <c r="L1066" s="19">
        <f t="shared" si="122"/>
        <v>0</v>
      </c>
      <c r="M1066" s="67"/>
      <c r="N1066" s="839">
        <f t="shared" si="123"/>
        <v>0</v>
      </c>
    </row>
    <row r="1067" spans="2:14" ht="15">
      <c r="B1067" s="17">
        <f t="shared" si="124"/>
        <v>13</v>
      </c>
      <c r="C1067" s="8" t="s">
        <v>312</v>
      </c>
      <c r="D1067" s="8"/>
      <c r="E1067" s="20" t="s">
        <v>305</v>
      </c>
      <c r="F1067" s="896"/>
      <c r="G1067" s="896"/>
      <c r="H1067" s="896"/>
      <c r="I1067" s="896"/>
      <c r="J1067" s="8"/>
      <c r="K1067" s="8"/>
      <c r="L1067" s="22">
        <f t="shared" si="122"/>
        <v>0</v>
      </c>
      <c r="M1067" s="67"/>
      <c r="N1067" s="839">
        <f t="shared" si="123"/>
        <v>0</v>
      </c>
    </row>
    <row r="1068" spans="2:14" s="386" customFormat="1" ht="14.25">
      <c r="B1068" s="17">
        <f t="shared" si="124"/>
        <v>14</v>
      </c>
      <c r="C1068" s="1"/>
      <c r="D1068" s="1" t="s">
        <v>313</v>
      </c>
      <c r="E1068" s="17"/>
      <c r="F1068" s="1087">
        <f>'WP II-I-1.1'!F399</f>
        <v>5047172.1800000006</v>
      </c>
      <c r="G1068" s="1089">
        <f>'WP II-I-1.1'!G399</f>
        <v>21065900.859999999</v>
      </c>
      <c r="H1068" s="1089">
        <f>'WP II-I-1.1'!H399</f>
        <v>1078537.3899999999</v>
      </c>
      <c r="I1068" s="1090">
        <f>'WP II-I-1.1'!I399</f>
        <v>549068.12999999966</v>
      </c>
      <c r="J1068" s="290">
        <f>SUM(F1068:I1068)</f>
        <v>27740678.559999999</v>
      </c>
      <c r="K1068" s="290"/>
      <c r="L1068" s="18">
        <f t="shared" si="122"/>
        <v>22693506.379999999</v>
      </c>
      <c r="M1068" s="47"/>
      <c r="N1068" s="839">
        <f t="shared" si="123"/>
        <v>0</v>
      </c>
    </row>
    <row r="1069" spans="2:14" s="386" customFormat="1" ht="16.5">
      <c r="B1069" s="17">
        <f t="shared" si="124"/>
        <v>15</v>
      </c>
      <c r="C1069" s="1"/>
      <c r="D1069" s="1" t="s">
        <v>314</v>
      </c>
      <c r="E1069" s="17"/>
      <c r="F1069" s="1083">
        <f>'WP II-I-1.1'!F400</f>
        <v>0</v>
      </c>
      <c r="G1069" s="1084">
        <f>'WP II-I-1.1'!G400</f>
        <v>283082877</v>
      </c>
      <c r="H1069" s="1084">
        <f>'WP II-I-1.1'!H400</f>
        <v>0</v>
      </c>
      <c r="I1069" s="1085">
        <f>'WP II-I-1.1'!I400</f>
        <v>0</v>
      </c>
      <c r="J1069" s="302">
        <f>SUM(F1069:I1069)</f>
        <v>283082877</v>
      </c>
      <c r="K1069" s="302"/>
      <c r="L1069" s="296">
        <f t="shared" si="122"/>
        <v>283082877</v>
      </c>
      <c r="M1069" s="47"/>
      <c r="N1069" s="839">
        <f t="shared" si="123"/>
        <v>0</v>
      </c>
    </row>
    <row r="1070" spans="2:14" ht="15">
      <c r="B1070" s="17">
        <f t="shared" si="124"/>
        <v>16</v>
      </c>
      <c r="C1070" s="8"/>
      <c r="D1070" s="297" t="s">
        <v>715</v>
      </c>
      <c r="E1070" s="20"/>
      <c r="F1070" s="896">
        <f>SUM(F1068:F1069)</f>
        <v>5047172.1800000006</v>
      </c>
      <c r="G1070" s="896">
        <f>SUM(G1068:G1069)</f>
        <v>304148777.86000001</v>
      </c>
      <c r="H1070" s="896">
        <f>SUM(H1068:H1069)</f>
        <v>1078537.3899999999</v>
      </c>
      <c r="I1070" s="896">
        <f>SUM(I1068:I1069)</f>
        <v>549068.12999999966</v>
      </c>
      <c r="J1070" s="299">
        <f>SUM(F1070:I1070)</f>
        <v>310823555.56</v>
      </c>
      <c r="K1070" s="300"/>
      <c r="L1070" s="22">
        <f t="shared" si="122"/>
        <v>305776383.38</v>
      </c>
      <c r="M1070" s="67"/>
      <c r="N1070" s="839">
        <f t="shared" si="123"/>
        <v>0</v>
      </c>
    </row>
    <row r="1071" spans="2:14" ht="15" thickBot="1">
      <c r="B1071" s="17">
        <f t="shared" si="124"/>
        <v>17</v>
      </c>
      <c r="C1071" s="1"/>
      <c r="D1071" s="1"/>
      <c r="E1071" s="17"/>
      <c r="F1071" s="753"/>
      <c r="G1071" s="753"/>
      <c r="H1071" s="753"/>
      <c r="I1071" s="753"/>
      <c r="J1071" s="385"/>
      <c r="K1071" s="385"/>
      <c r="L1071" s="128"/>
      <c r="M1071" s="67"/>
      <c r="N1071" s="839">
        <f t="shared" si="123"/>
        <v>0</v>
      </c>
    </row>
    <row r="1072" spans="2:14" ht="15.75" thickBot="1">
      <c r="B1072" s="17">
        <f t="shared" si="124"/>
        <v>18</v>
      </c>
      <c r="C1072" s="284" t="s">
        <v>716</v>
      </c>
      <c r="D1072" s="285"/>
      <c r="E1072" s="374" t="s">
        <v>305</v>
      </c>
      <c r="F1072" s="903">
        <f>+F1070+F1065+F1061</f>
        <v>150292758.44</v>
      </c>
      <c r="G1072" s="903">
        <f>+G1070+G1065+G1061</f>
        <v>447450198.58000004</v>
      </c>
      <c r="H1072" s="903">
        <f>+H1070+H1065+H1061</f>
        <v>8538460.3599999994</v>
      </c>
      <c r="I1072" s="903">
        <f>+I1070+I1065+I1061</f>
        <v>4509539.7900000364</v>
      </c>
      <c r="J1072" s="256">
        <f>SUM(F1072:I1072)</f>
        <v>610790957.17000008</v>
      </c>
      <c r="K1072" s="252"/>
      <c r="L1072" s="257">
        <f t="shared" si="122"/>
        <v>460498198.73000008</v>
      </c>
      <c r="M1072" s="67"/>
      <c r="N1072" s="839">
        <f t="shared" si="123"/>
        <v>0</v>
      </c>
    </row>
    <row r="1073" spans="2:14" ht="15.75" thickBot="1">
      <c r="B1073" s="874"/>
      <c r="C1073" s="874"/>
      <c r="D1073" s="874"/>
      <c r="E1073" s="874"/>
      <c r="F1073" s="874"/>
      <c r="G1073" s="874"/>
      <c r="H1073" s="874"/>
      <c r="I1073" s="874"/>
      <c r="J1073" s="874"/>
      <c r="K1073" s="874"/>
      <c r="L1073" s="874"/>
      <c r="M1073" s="67"/>
      <c r="N1073" s="839">
        <f t="shared" si="123"/>
        <v>0</v>
      </c>
    </row>
    <row r="1074" spans="2:14" ht="15">
      <c r="B1074" s="920" t="str">
        <f>$B$4</f>
        <v>2022 RATE CASE</v>
      </c>
      <c r="C1074" s="926"/>
      <c r="D1074" s="927"/>
      <c r="E1074" s="874"/>
      <c r="F1074" s="874"/>
      <c r="G1074" s="874"/>
      <c r="H1074" s="874"/>
      <c r="I1074" s="874"/>
      <c r="J1074" s="874"/>
      <c r="K1074" s="874"/>
      <c r="L1074" s="874"/>
      <c r="M1074" s="134" t="str">
        <f>$M$2</f>
        <v xml:space="preserve"> </v>
      </c>
      <c r="N1074" s="839">
        <f t="shared" si="123"/>
        <v>0</v>
      </c>
    </row>
    <row r="1075" spans="2:14" ht="15">
      <c r="B1075" s="917" t="str">
        <f>$B$5</f>
        <v>ONCOR ELECTRIC DELIVERY COMPANY LLC</v>
      </c>
      <c r="C1075" s="369"/>
      <c r="D1075" s="928"/>
      <c r="E1075" s="874"/>
      <c r="F1075" s="874"/>
      <c r="G1075" s="874"/>
      <c r="H1075" s="874"/>
      <c r="I1075" s="874"/>
      <c r="J1075" s="874"/>
      <c r="K1075" s="874"/>
      <c r="L1075" s="874"/>
      <c r="M1075" s="67"/>
      <c r="N1075" s="839">
        <f t="shared" si="123"/>
        <v>0</v>
      </c>
    </row>
    <row r="1076" spans="2:14" ht="15">
      <c r="B1076" s="406" t="str">
        <f>$B$6</f>
        <v>CONSOLIDATED FUNCTIONALIZED COST OF SERVICE</v>
      </c>
      <c r="C1076" s="369"/>
      <c r="D1076" s="928"/>
      <c r="E1076" s="874"/>
      <c r="F1076" s="874"/>
      <c r="G1076" s="874"/>
      <c r="H1076" s="874"/>
      <c r="I1076" s="874"/>
      <c r="J1076" s="874"/>
      <c r="K1076" s="874"/>
      <c r="L1076" s="874"/>
      <c r="M1076" s="67"/>
      <c r="N1076" s="839">
        <f t="shared" si="123"/>
        <v>0</v>
      </c>
    </row>
    <row r="1077" spans="2:14" ht="15">
      <c r="B1077" s="406" t="str">
        <f>$B$7</f>
        <v>TEST YEAR ENDING 12/31/2021</v>
      </c>
      <c r="C1077" s="369"/>
      <c r="D1077" s="928"/>
      <c r="E1077" s="874"/>
      <c r="F1077" s="874"/>
      <c r="G1077" s="874"/>
      <c r="H1077" s="874"/>
      <c r="I1077" s="874"/>
      <c r="J1077" s="874"/>
      <c r="K1077" s="874"/>
      <c r="L1077" s="874"/>
      <c r="M1077" s="67"/>
      <c r="N1077" s="839">
        <f t="shared" si="123"/>
        <v>0</v>
      </c>
    </row>
    <row r="1078" spans="2:14" ht="15.75">
      <c r="B1078" s="406" t="str">
        <f>$B$8</f>
        <v>SPONSOR:  MATTHEW A. TROXLE</v>
      </c>
      <c r="C1078" s="840"/>
      <c r="D1078" s="921"/>
      <c r="E1078" s="67"/>
      <c r="F1078" s="664"/>
      <c r="G1078" s="664"/>
      <c r="H1078" s="664"/>
      <c r="I1078" s="664"/>
      <c r="J1078" s="67"/>
      <c r="K1078" s="67"/>
      <c r="L1078" s="67"/>
      <c r="M1078" s="67"/>
      <c r="N1078" s="839">
        <f t="shared" si="123"/>
        <v>0</v>
      </c>
    </row>
    <row r="1079" spans="2:14" ht="15.75" thickBot="1">
      <c r="B1079" s="410"/>
      <c r="C1079" s="931"/>
      <c r="D1079" s="932"/>
      <c r="E1079" s="369"/>
      <c r="F1079" s="369"/>
      <c r="G1079" s="369"/>
      <c r="H1079" s="369"/>
      <c r="I1079" s="369"/>
      <c r="J1079" s="369"/>
      <c r="K1079" s="369"/>
      <c r="L1079" s="369"/>
      <c r="M1079" s="67"/>
      <c r="N1079" s="839">
        <f t="shared" si="123"/>
        <v>0</v>
      </c>
    </row>
    <row r="1080" spans="2:14" ht="14.25">
      <c r="B1080" s="13"/>
      <c r="C1080" s="14"/>
      <c r="D1080" s="14"/>
      <c r="E1080" s="14"/>
      <c r="F1080" s="1099" t="s">
        <v>6</v>
      </c>
      <c r="G1080" s="738" t="s">
        <v>7</v>
      </c>
      <c r="H1080" s="738" t="s">
        <v>8</v>
      </c>
      <c r="I1080" s="952" t="s">
        <v>9</v>
      </c>
      <c r="J1080" s="13" t="s">
        <v>10</v>
      </c>
      <c r="K1080" s="17"/>
      <c r="L1080" s="139" t="s">
        <v>966</v>
      </c>
      <c r="M1080" s="67"/>
      <c r="N1080" s="839"/>
    </row>
    <row r="1081" spans="2:14" ht="15">
      <c r="B1081" s="15" t="s">
        <v>2</v>
      </c>
      <c r="C1081" s="15" t="s">
        <v>370</v>
      </c>
      <c r="D1081" s="287" t="s">
        <v>315</v>
      </c>
      <c r="E1081" s="15" t="s">
        <v>371</v>
      </c>
      <c r="F1081" s="744"/>
      <c r="G1081" s="743"/>
      <c r="H1081" s="743"/>
      <c r="I1081" s="743"/>
      <c r="J1081" s="15"/>
      <c r="K1081" s="17"/>
      <c r="L1081" s="97" t="s">
        <v>967</v>
      </c>
      <c r="M1081" s="67"/>
      <c r="N1081" s="839"/>
    </row>
    <row r="1082" spans="2:14" ht="14.25">
      <c r="B1082" s="15"/>
      <c r="C1082" s="15"/>
      <c r="D1082" s="15"/>
      <c r="E1082" s="15"/>
      <c r="F1082" s="744"/>
      <c r="G1082" s="743"/>
      <c r="H1082" s="743"/>
      <c r="I1082" s="743"/>
      <c r="J1082" s="15"/>
      <c r="K1082" s="17"/>
      <c r="L1082" s="97"/>
      <c r="M1082" s="67"/>
      <c r="N1082" s="839"/>
    </row>
    <row r="1083" spans="2:14" ht="15" thickBot="1">
      <c r="B1083" s="16"/>
      <c r="C1083" s="16" t="s">
        <v>13</v>
      </c>
      <c r="D1083" s="16" t="s">
        <v>14</v>
      </c>
      <c r="E1083" s="16" t="s">
        <v>15</v>
      </c>
      <c r="F1083" s="747" t="s">
        <v>16</v>
      </c>
      <c r="G1083" s="747" t="s">
        <v>17</v>
      </c>
      <c r="H1083" s="747" t="s">
        <v>18</v>
      </c>
      <c r="I1083" s="747" t="s">
        <v>21</v>
      </c>
      <c r="J1083" s="16" t="s">
        <v>22</v>
      </c>
      <c r="K1083" s="17"/>
      <c r="L1083" s="1125" t="s">
        <v>418</v>
      </c>
      <c r="M1083" s="67"/>
      <c r="N1083" s="839"/>
    </row>
    <row r="1084" spans="2:14" ht="14.25">
      <c r="B1084" s="67"/>
      <c r="C1084" s="333"/>
      <c r="D1084" s="333"/>
      <c r="E1084" s="333"/>
      <c r="F1084" s="749"/>
      <c r="G1084" s="749"/>
      <c r="H1084" s="749"/>
      <c r="I1084" s="691"/>
      <c r="J1084" s="43"/>
      <c r="K1084" s="43"/>
      <c r="L1084" s="43"/>
      <c r="M1084" s="67"/>
      <c r="N1084" s="839">
        <f t="shared" si="123"/>
        <v>0</v>
      </c>
    </row>
    <row r="1085" spans="2:14" ht="15">
      <c r="B1085" s="17">
        <f t="shared" si="125" ref="B1085:B1132">B1084+1</f>
        <v>1</v>
      </c>
      <c r="C1085" s="366" t="s">
        <v>315</v>
      </c>
      <c r="D1085" s="8"/>
      <c r="E1085" s="20"/>
      <c r="F1085" s="896"/>
      <c r="G1085" s="896"/>
      <c r="H1085" s="896"/>
      <c r="I1085" s="8"/>
      <c r="J1085" s="8"/>
      <c r="K1085" s="8"/>
      <c r="L1085" s="8"/>
      <c r="M1085" s="67"/>
      <c r="N1085" s="839">
        <f t="shared" si="123"/>
        <v>0</v>
      </c>
    </row>
    <row r="1086" spans="2:14" ht="14.25">
      <c r="B1086" s="17">
        <f t="shared" si="125"/>
        <v>2</v>
      </c>
      <c r="C1086" s="1"/>
      <c r="D1086" s="1"/>
      <c r="E1086" s="17"/>
      <c r="F1086" s="894"/>
      <c r="G1086" s="894"/>
      <c r="H1086" s="894"/>
      <c r="I1086" s="730"/>
      <c r="J1086" s="1"/>
      <c r="K1086" s="1"/>
      <c r="L1086" s="1"/>
      <c r="M1086" s="67"/>
      <c r="N1086" s="839">
        <f t="shared" si="123"/>
        <v>0</v>
      </c>
    </row>
    <row r="1087" spans="2:14" ht="15">
      <c r="B1087" s="17">
        <f t="shared" si="125"/>
        <v>3</v>
      </c>
      <c r="C1087" s="8"/>
      <c r="D1087" s="34" t="s">
        <v>361</v>
      </c>
      <c r="E1087" s="20" t="s">
        <v>510</v>
      </c>
      <c r="F1087" s="896">
        <f>+F599</f>
        <v>636401498.7682904</v>
      </c>
      <c r="G1087" s="896">
        <f>+G599</f>
        <v>638839835.45845962</v>
      </c>
      <c r="H1087" s="896">
        <f>+H599</f>
        <v>29703069.880629234</v>
      </c>
      <c r="I1087" s="896">
        <f>+I599</f>
        <v>14457604.669049725</v>
      </c>
      <c r="J1087" s="895">
        <f>SUM(F1087:I1087)</f>
        <v>1319402008.7764289</v>
      </c>
      <c r="K1087" s="21"/>
      <c r="L1087" s="22">
        <f t="shared" si="122"/>
        <v>683000510.00813854</v>
      </c>
      <c r="M1087" s="47"/>
      <c r="N1087" s="839">
        <f t="shared" si="123"/>
        <v>0</v>
      </c>
    </row>
    <row r="1088" spans="2:14" ht="14.25">
      <c r="B1088" s="17">
        <f t="shared" si="125"/>
        <v>4</v>
      </c>
      <c r="C1088" s="1"/>
      <c r="D1088" s="1"/>
      <c r="E1088" s="17"/>
      <c r="F1088" s="894"/>
      <c r="G1088" s="894"/>
      <c r="H1088" s="894"/>
      <c r="I1088" s="730"/>
      <c r="J1088" s="18"/>
      <c r="K1088" s="18"/>
      <c r="L1088" s="1"/>
      <c r="M1088" s="67"/>
      <c r="N1088" s="839">
        <f t="shared" si="123"/>
        <v>0</v>
      </c>
    </row>
    <row r="1089" spans="2:13" ht="15">
      <c r="B1089" s="17">
        <f t="shared" si="125"/>
        <v>5</v>
      </c>
      <c r="C1089" s="1"/>
      <c r="D1089" s="8" t="s">
        <v>317</v>
      </c>
      <c r="E1089" s="1135" t="s">
        <v>316</v>
      </c>
      <c r="F1089" s="894"/>
      <c r="G1089" s="894"/>
      <c r="H1089" s="894"/>
      <c r="I1089" s="730"/>
      <c r="J1089" s="18"/>
      <c r="K1089" s="18"/>
      <c r="L1089" s="1"/>
      <c r="M1089" s="67"/>
    </row>
    <row r="1090" spans="2:14" s="386" customFormat="1" ht="14.25">
      <c r="B1090" s="17">
        <f t="shared" si="125"/>
        <v>6</v>
      </c>
      <c r="C1090" s="1"/>
      <c r="D1090" s="19" t="s">
        <v>318</v>
      </c>
      <c r="E1090" s="17"/>
      <c r="F1090" s="1087">
        <f>'WP II-I-1.1'!F404</f>
        <v>217550015.89000002</v>
      </c>
      <c r="G1090" s="1089">
        <f>'WP II-I-1.1'!G404</f>
        <v>218383546.59</v>
      </c>
      <c r="H1090" s="1089">
        <f>'WP II-I-1.1'!H404</f>
        <v>10153815.380000001</v>
      </c>
      <c r="I1090" s="1090">
        <f>'WP II-I-1.1'!I404</f>
        <v>4942244.9999999348</v>
      </c>
      <c r="J1090" s="18">
        <f t="shared" si="126" ref="J1090:J1099">SUM(F1090:I1090)</f>
        <v>451029622.85999995</v>
      </c>
      <c r="K1090" s="18"/>
      <c r="L1090" s="18">
        <f t="shared" si="122"/>
        <v>233479606.96999994</v>
      </c>
      <c r="M1090" s="47"/>
      <c r="N1090" s="839">
        <f t="shared" si="123"/>
        <v>0</v>
      </c>
    </row>
    <row r="1091" spans="2:14" s="386" customFormat="1" ht="14.25">
      <c r="B1091" s="17">
        <f t="shared" si="125"/>
        <v>7</v>
      </c>
      <c r="C1091" s="1"/>
      <c r="D1091" s="19" t="s">
        <v>319</v>
      </c>
      <c r="E1091" s="17"/>
      <c r="F1091" s="1081">
        <f>'WP II-I-1.1'!F405</f>
        <v>580486.72999999998</v>
      </c>
      <c r="G1091" s="893">
        <f>'WP II-I-1.1'!G405</f>
        <v>191147.98999999999</v>
      </c>
      <c r="H1091" s="893">
        <f>'WP II-I-1.1'!H405</f>
        <v>0</v>
      </c>
      <c r="I1091" s="1082">
        <f>'WP II-I-1.1'!I405</f>
        <v>0</v>
      </c>
      <c r="J1091" s="18">
        <f t="shared" si="126"/>
        <v>771634.71999999997</v>
      </c>
      <c r="K1091" s="18"/>
      <c r="L1091" s="18">
        <f t="shared" si="122"/>
        <v>191147.98999999999</v>
      </c>
      <c r="M1091" s="47"/>
      <c r="N1091" s="839">
        <f t="shared" si="123"/>
        <v>0</v>
      </c>
    </row>
    <row r="1092" spans="2:14" s="386" customFormat="1" ht="14.25">
      <c r="B1092" s="17">
        <f t="shared" si="125"/>
        <v>8</v>
      </c>
      <c r="C1092" s="1"/>
      <c r="D1092" s="19" t="s">
        <v>1247</v>
      </c>
      <c r="E1092" s="17"/>
      <c r="F1092" s="1081">
        <f>'WP II-I-1.1'!F406</f>
        <v>8494637.3499999996</v>
      </c>
      <c r="G1092" s="893">
        <f>'WP II-I-1.1'!G406</f>
        <v>7133574.9500000002</v>
      </c>
      <c r="H1092" s="893">
        <f>'WP II-I-1.1'!H406</f>
        <v>242603.98999999999</v>
      </c>
      <c r="I1092" s="1082">
        <f>'WP II-I-1.1'!I406</f>
        <v>206880.70000000042</v>
      </c>
      <c r="J1092" s="18">
        <f t="shared" si="126"/>
        <v>16077696.990000002</v>
      </c>
      <c r="K1092" s="18"/>
      <c r="L1092" s="18">
        <f t="shared" si="122"/>
        <v>7583059.6400000006</v>
      </c>
      <c r="M1092" s="47"/>
      <c r="N1092" s="839">
        <f t="shared" si="123"/>
        <v>0</v>
      </c>
    </row>
    <row r="1093" spans="2:14" s="386" customFormat="1" ht="14.25">
      <c r="B1093" s="17">
        <f t="shared" si="125"/>
        <v>9</v>
      </c>
      <c r="C1093" s="1"/>
      <c r="D1093" s="19" t="s">
        <v>1248</v>
      </c>
      <c r="E1093" s="17"/>
      <c r="F1093" s="1081">
        <f>'WP II-I-1.1'!F407</f>
        <v>13164047.740000002</v>
      </c>
      <c r="G1093" s="893">
        <f>'WP II-I-1.1'!G407</f>
        <v>20604260.02</v>
      </c>
      <c r="H1093" s="893">
        <f>'WP II-I-1.1'!H407</f>
        <v>2549533.1000000001</v>
      </c>
      <c r="I1093" s="1082">
        <f>'WP II-I-1.1'!I407</f>
        <v>-217593.92999998515</v>
      </c>
      <c r="J1093" s="18">
        <f t="shared" si="126"/>
        <v>36100246.930000022</v>
      </c>
      <c r="K1093" s="18"/>
      <c r="L1093" s="18">
        <f t="shared" si="122"/>
        <v>22936199.190000016</v>
      </c>
      <c r="M1093" s="47"/>
      <c r="N1093" s="839">
        <f t="shared" si="123"/>
        <v>0</v>
      </c>
    </row>
    <row r="1094" spans="2:14" s="386" customFormat="1" ht="14.25">
      <c r="B1094" s="17">
        <f>B1093+1</f>
        <v>10</v>
      </c>
      <c r="C1094" s="1"/>
      <c r="D1094" s="19" t="s">
        <v>1249</v>
      </c>
      <c r="E1094" s="17"/>
      <c r="F1094" s="1081">
        <f>'WP II-I-1.1'!F408</f>
        <v>43508.65000000014</v>
      </c>
      <c r="G1094" s="893">
        <f>'WP II-I-1.1'!G408</f>
        <v>-1676942.8500000001</v>
      </c>
      <c r="H1094" s="893">
        <f>'WP II-I-1.1'!H408</f>
        <v>-57030.739999999998</v>
      </c>
      <c r="I1094" s="1082">
        <f>'WP II-I-1.1'!I408</f>
        <v>-48632.919999999918</v>
      </c>
      <c r="J1094" s="18">
        <f t="shared" si="126"/>
        <v>-1739097.8599999999</v>
      </c>
      <c r="K1094" s="18"/>
      <c r="L1094" s="18">
        <f t="shared" si="122"/>
        <v>-1782606.51</v>
      </c>
      <c r="M1094" s="47"/>
      <c r="N1094" s="839">
        <f t="shared" si="123"/>
        <v>0</v>
      </c>
    </row>
    <row r="1095" spans="2:14" s="386" customFormat="1" ht="14.25">
      <c r="B1095" s="17">
        <f t="shared" si="125"/>
        <v>11</v>
      </c>
      <c r="C1095" s="1"/>
      <c r="D1095" s="19" t="s">
        <v>1250</v>
      </c>
      <c r="E1095" s="17"/>
      <c r="F1095" s="1081">
        <f>'WP II-I-1.1'!F409</f>
        <v>233885.85000000001</v>
      </c>
      <c r="G1095" s="893">
        <f>'WP II-I-1.1'!G409</f>
        <v>253322.39000000001</v>
      </c>
      <c r="H1095" s="893">
        <f>'WP II-I-1.1'!H409</f>
        <v>8615.1800000000003</v>
      </c>
      <c r="I1095" s="1082">
        <f>'WP II-I-1.1'!I409</f>
        <v>7346.580000000009</v>
      </c>
      <c r="J1095" s="18">
        <f t="shared" si="126"/>
        <v>503170</v>
      </c>
      <c r="K1095" s="18"/>
      <c r="L1095" s="18">
        <f t="shared" si="122"/>
        <v>269284.15000000002</v>
      </c>
      <c r="M1095" s="47"/>
      <c r="N1095" s="839">
        <f t="shared" si="123"/>
        <v>0</v>
      </c>
    </row>
    <row r="1096" spans="2:14" ht="14.25">
      <c r="B1096" s="17">
        <f>B1095+1</f>
        <v>12</v>
      </c>
      <c r="C1096" s="1"/>
      <c r="D1096" s="19" t="s">
        <v>998</v>
      </c>
      <c r="E1096" s="17"/>
      <c r="F1096" s="1081">
        <f>'WP II-I-1.1'!F410</f>
        <v>28038.459999999999</v>
      </c>
      <c r="G1096" s="893">
        <f>'WP II-I-1.1'!G410</f>
        <v>85706.160000000003</v>
      </c>
      <c r="H1096" s="893">
        <f>'WP II-I-1.1'!H410</f>
        <v>4388.0100000000002</v>
      </c>
      <c r="I1096" s="1082">
        <f>'WP II-I-1.1'!I410</f>
        <v>2233.8599999999951</v>
      </c>
      <c r="J1096" s="18">
        <f t="shared" si="126"/>
        <v>120366.48999999999</v>
      </c>
      <c r="K1096" s="18"/>
      <c r="L1096" s="18">
        <f t="shared" si="122"/>
        <v>92328.029999999999</v>
      </c>
      <c r="M1096" s="118"/>
      <c r="N1096" s="839">
        <f t="shared" si="123"/>
        <v>0</v>
      </c>
    </row>
    <row r="1097" spans="2:14" ht="14.25">
      <c r="B1097" s="17">
        <f t="shared" si="125"/>
        <v>13</v>
      </c>
      <c r="C1097" s="1"/>
      <c r="D1097" s="1"/>
      <c r="E1097" s="17"/>
      <c r="F1097" s="1081"/>
      <c r="G1097" s="893"/>
      <c r="H1097" s="893"/>
      <c r="I1097" s="1082"/>
      <c r="J1097" s="18">
        <f t="shared" si="126"/>
        <v>0</v>
      </c>
      <c r="K1097" s="18"/>
      <c r="L1097" s="18">
        <f t="shared" si="122"/>
        <v>0</v>
      </c>
      <c r="M1097" s="67"/>
      <c r="N1097" s="839">
        <f t="shared" si="123"/>
        <v>0</v>
      </c>
    </row>
    <row r="1098" spans="2:14" ht="16.5">
      <c r="B1098" s="17">
        <f t="shared" si="125"/>
        <v>14</v>
      </c>
      <c r="C1098" s="1"/>
      <c r="D1098" s="1"/>
      <c r="E1098" s="17"/>
      <c r="F1098" s="1081"/>
      <c r="G1098" s="893"/>
      <c r="H1098" s="893"/>
      <c r="I1098" s="1082"/>
      <c r="J1098" s="296">
        <f t="shared" si="126"/>
        <v>0</v>
      </c>
      <c r="K1098" s="296"/>
      <c r="L1098" s="296">
        <f t="shared" si="127" ref="L1098:L1158">SUM(G1098:I1098)</f>
        <v>0</v>
      </c>
      <c r="M1098" s="118"/>
      <c r="N1098" s="839">
        <f t="shared" si="123"/>
        <v>0</v>
      </c>
    </row>
    <row r="1099" spans="2:14" ht="15">
      <c r="B1099" s="17">
        <f>B1098+1</f>
        <v>15</v>
      </c>
      <c r="C1099" s="8"/>
      <c r="D1099" s="297" t="s">
        <v>491</v>
      </c>
      <c r="E1099" s="1135"/>
      <c r="F1099" s="1178">
        <f>SUM(F1090:F1098)</f>
        <v>240094620.67000002</v>
      </c>
      <c r="G1099" s="497">
        <f>SUM(G1090:G1098)</f>
        <v>244974615.25</v>
      </c>
      <c r="H1099" s="497">
        <f>SUM(H1090:H1098)</f>
        <v>12901924.92</v>
      </c>
      <c r="I1099" s="498">
        <f>SUM(I1090:I1098)</f>
        <v>4892479.2899999507</v>
      </c>
      <c r="J1099" s="300">
        <f t="shared" si="126"/>
        <v>502863640.13</v>
      </c>
      <c r="K1099" s="300"/>
      <c r="L1099" s="22">
        <f t="shared" si="127"/>
        <v>262769019.45999995</v>
      </c>
      <c r="M1099" s="67"/>
      <c r="N1099" s="839">
        <f t="shared" si="123"/>
        <v>0</v>
      </c>
    </row>
    <row r="1100" spans="2:14" ht="14.25">
      <c r="B1100" s="17">
        <f t="shared" si="125"/>
        <v>16</v>
      </c>
      <c r="C1100" s="1"/>
      <c r="D1100" s="1"/>
      <c r="E1100" s="17"/>
      <c r="F1100" s="753"/>
      <c r="G1100" s="753"/>
      <c r="H1100" s="753"/>
      <c r="I1100" s="753"/>
      <c r="J1100" s="128"/>
      <c r="K1100" s="128"/>
      <c r="L1100" s="128"/>
      <c r="M1100" s="67"/>
      <c r="N1100" s="839">
        <f t="shared" si="128" ref="N1100:N1165">J1100-L1100-F1100</f>
        <v>0</v>
      </c>
    </row>
    <row r="1101" spans="2:14" ht="15">
      <c r="B1101" s="17">
        <f t="shared" si="125"/>
        <v>17</v>
      </c>
      <c r="C1101" s="8"/>
      <c r="D1101" s="8" t="s">
        <v>321</v>
      </c>
      <c r="E1101" s="1135" t="s">
        <v>316</v>
      </c>
      <c r="F1101" s="896"/>
      <c r="G1101" s="896"/>
      <c r="H1101" s="896"/>
      <c r="I1101" s="8"/>
      <c r="J1101" s="8"/>
      <c r="K1101" s="8"/>
      <c r="L1101" s="8"/>
      <c r="M1101" s="67"/>
      <c r="N1101" s="839">
        <f t="shared" si="128"/>
        <v>0</v>
      </c>
    </row>
    <row r="1102" spans="2:14" s="386" customFormat="1" ht="14.25">
      <c r="B1102" s="17">
        <f t="shared" si="125"/>
        <v>18</v>
      </c>
      <c r="C1102" s="1"/>
      <c r="D1102" s="1" t="s">
        <v>323</v>
      </c>
      <c r="E1102" s="17"/>
      <c r="F1102" s="1087">
        <f>'WP II-I-1.1'!F415</f>
        <v>130507.04999999999</v>
      </c>
      <c r="G1102" s="1089">
        <f>'WP II-I-1.1'!G415</f>
        <v>141352.53</v>
      </c>
      <c r="H1102" s="1089">
        <f>'WP II-I-1.1'!H415</f>
        <v>4807.2200000000003</v>
      </c>
      <c r="I1102" s="1090">
        <f>'WP II-I-1.1'!I415</f>
        <v>4099.3500000000358</v>
      </c>
      <c r="J1102" s="18">
        <f t="shared" si="129" ref="J1102:J1109">SUM(F1102:I1102)</f>
        <v>280766.14999999997</v>
      </c>
      <c r="K1102" s="18"/>
      <c r="L1102" s="18">
        <f t="shared" si="127"/>
        <v>150259.10000000004</v>
      </c>
      <c r="M1102" s="47"/>
      <c r="N1102" s="839">
        <f t="shared" si="128"/>
        <v>0</v>
      </c>
    </row>
    <row r="1103" spans="2:14" s="386" customFormat="1" ht="14.25">
      <c r="B1103" s="17">
        <f t="shared" si="125"/>
        <v>19</v>
      </c>
      <c r="C1103" s="1"/>
      <c r="D1103" s="1" t="s">
        <v>1251</v>
      </c>
      <c r="E1103" s="17"/>
      <c r="F1103" s="1081">
        <f>'WP II-I-1.1'!F416</f>
        <v>373833.14000000001</v>
      </c>
      <c r="G1103" s="893">
        <f>'WP II-I-1.1'!G416</f>
        <v>1031343.5</v>
      </c>
      <c r="H1103" s="893">
        <f>'WP II-I-1.1'!H416</f>
        <v>281193.88</v>
      </c>
      <c r="I1103" s="1082">
        <f>'WP II-I-1.1'!I416</f>
        <v>11315.619999999995</v>
      </c>
      <c r="J1103" s="18">
        <f t="shared" si="129"/>
        <v>1697686.1400000001</v>
      </c>
      <c r="K1103" s="18"/>
      <c r="L1103" s="18">
        <f t="shared" si="127"/>
        <v>1323853</v>
      </c>
      <c r="M1103" s="47"/>
      <c r="N1103" s="839">
        <f t="shared" si="128"/>
        <v>0</v>
      </c>
    </row>
    <row r="1104" spans="2:14" s="386" customFormat="1" ht="14.25">
      <c r="B1104" s="17">
        <f t="shared" si="125"/>
        <v>20</v>
      </c>
      <c r="C1104" s="1"/>
      <c r="D1104" s="1" t="s">
        <v>1252</v>
      </c>
      <c r="E1104" s="17"/>
      <c r="F1104" s="1081">
        <f>'WP II-I-1.1'!F417</f>
        <v>0</v>
      </c>
      <c r="G1104" s="893">
        <f>'WP II-I-1.1'!G417</f>
        <v>0</v>
      </c>
      <c r="H1104" s="893">
        <f>'WP II-I-1.1'!H417</f>
        <v>0</v>
      </c>
      <c r="I1104" s="1082">
        <f>'WP II-I-1.1'!I417</f>
        <v>0</v>
      </c>
      <c r="J1104" s="18">
        <f t="shared" si="129"/>
        <v>0</v>
      </c>
      <c r="K1104" s="18"/>
      <c r="L1104" s="18">
        <f t="shared" si="127"/>
        <v>0</v>
      </c>
      <c r="M1104" s="47"/>
      <c r="N1104" s="839">
        <f t="shared" si="128"/>
        <v>0</v>
      </c>
    </row>
    <row r="1105" spans="2:14" s="386" customFormat="1" ht="14.25">
      <c r="B1105" s="17">
        <f t="shared" si="125"/>
        <v>21</v>
      </c>
      <c r="C1105" s="1"/>
      <c r="D1105" s="1" t="s">
        <v>1253</v>
      </c>
      <c r="E1105" s="17"/>
      <c r="F1105" s="1081">
        <f>'WP II-I-1.1'!F418</f>
        <v>312761.56</v>
      </c>
      <c r="G1105" s="893">
        <f>'WP II-I-1.1'!G418</f>
        <v>862857.16000000003</v>
      </c>
      <c r="H1105" s="893">
        <f>'WP II-I-1.1'!H418</f>
        <v>235256.39999999999</v>
      </c>
      <c r="I1105" s="1082">
        <f>'WP II-I-1.1'!I418</f>
        <v>9467.0199999998149</v>
      </c>
      <c r="J1105" s="18">
        <f t="shared" si="129"/>
        <v>1420342.1399999997</v>
      </c>
      <c r="K1105" s="18"/>
      <c r="L1105" s="18">
        <f t="shared" si="127"/>
        <v>1107580.5799999998</v>
      </c>
      <c r="M1105" s="47"/>
      <c r="N1105" s="839">
        <f t="shared" si="128"/>
        <v>0</v>
      </c>
    </row>
    <row r="1106" spans="2:14" s="386" customFormat="1" ht="14.25">
      <c r="B1106" s="17">
        <f t="shared" si="125"/>
        <v>22</v>
      </c>
      <c r="C1106" s="1"/>
      <c r="D1106" s="28" t="s">
        <v>1254</v>
      </c>
      <c r="E1106" s="17"/>
      <c r="F1106" s="1081">
        <f>'WP II-I-1.1'!F419</f>
        <v>-1426489.3000000001</v>
      </c>
      <c r="G1106" s="893">
        <f>'WP II-I-1.1'!G419</f>
        <v>-2460478.1699999999</v>
      </c>
      <c r="H1106" s="893">
        <f>'WP II-I-1.1'!H419</f>
        <v>-815018.30000000005</v>
      </c>
      <c r="I1106" s="1082">
        <f>'WP II-I-1.1'!I419</f>
        <v>-267715.65999999997</v>
      </c>
      <c r="J1106" s="18">
        <f t="shared" si="129"/>
        <v>-4969701.4299999997</v>
      </c>
      <c r="K1106" s="18"/>
      <c r="L1106" s="18">
        <f t="shared" si="127"/>
        <v>-3543212.1299999999</v>
      </c>
      <c r="M1106" s="47"/>
      <c r="N1106" s="839">
        <f t="shared" si="128"/>
        <v>0</v>
      </c>
    </row>
    <row r="1107" spans="2:14" s="386" customFormat="1" ht="14.25">
      <c r="B1107" s="17">
        <f t="shared" si="125"/>
        <v>23</v>
      </c>
      <c r="C1107" s="1"/>
      <c r="D1107" s="1338" t="s">
        <v>1374</v>
      </c>
      <c r="E1107" s="17"/>
      <c r="F1107" s="1081">
        <f>'WP II-I-1.1'!F420</f>
        <v>0</v>
      </c>
      <c r="G1107" s="893">
        <f>'WP II-I-1.1'!G420</f>
        <v>0</v>
      </c>
      <c r="H1107" s="893">
        <f>'WP II-I-1.1'!H420</f>
        <v>0</v>
      </c>
      <c r="I1107" s="1082">
        <f>'WP II-I-1.1'!I420</f>
        <v>0</v>
      </c>
      <c r="J1107" s="18">
        <f t="shared" si="130" ref="J1107">SUM(F1107:I1107)</f>
        <v>0</v>
      </c>
      <c r="K1107" s="18"/>
      <c r="L1107" s="18"/>
      <c r="M1107" s="47"/>
      <c r="N1107" s="839"/>
    </row>
    <row r="1108" spans="2:14" s="386" customFormat="1" ht="16.5">
      <c r="B1108" s="17">
        <f t="shared" si="125"/>
        <v>24</v>
      </c>
      <c r="C1108" s="1"/>
      <c r="D1108" s="28" t="s">
        <v>322</v>
      </c>
      <c r="F1108" s="1146">
        <f>'WP II-I-1.1'!F421</f>
        <v>0</v>
      </c>
      <c r="G1108" s="1054">
        <f>'WP II-I-1.1'!G421</f>
        <v>0</v>
      </c>
      <c r="H1108" s="1054">
        <f>'WP II-I-1.1'!H421</f>
        <v>0</v>
      </c>
      <c r="I1108" s="1085">
        <f>'WP II-I-1.1'!I421</f>
        <v>0</v>
      </c>
      <c r="J1108" s="296">
        <f t="shared" si="129"/>
        <v>0</v>
      </c>
      <c r="K1108" s="296"/>
      <c r="L1108" s="296">
        <f t="shared" si="127"/>
        <v>0</v>
      </c>
      <c r="M1108" s="47"/>
      <c r="N1108" s="839">
        <f t="shared" si="128"/>
        <v>0</v>
      </c>
    </row>
    <row r="1109" spans="2:14" s="386" customFormat="1" ht="15">
      <c r="B1109" s="17">
        <f t="shared" si="125"/>
        <v>25</v>
      </c>
      <c r="C1109" s="1"/>
      <c r="D1109" s="297" t="s">
        <v>491</v>
      </c>
      <c r="E1109" s="17"/>
      <c r="F1109" s="896">
        <f>SUM(F1102:F1108)</f>
        <v>-609387.55000000005</v>
      </c>
      <c r="G1109" s="896">
        <f>SUM(G1102:G1108)</f>
        <v>-424924.97999999998</v>
      </c>
      <c r="H1109" s="896">
        <f>SUM(H1102:H1108)</f>
        <v>-293760.80000000005</v>
      </c>
      <c r="I1109" s="896">
        <f>SUM(I1102:I1108)</f>
        <v>-242833.67000000013</v>
      </c>
      <c r="J1109" s="896">
        <f t="shared" si="129"/>
        <v>-1570907.0000000002</v>
      </c>
      <c r="K1109" s="896"/>
      <c r="L1109" s="896">
        <f t="shared" si="127"/>
        <v>-961519.45000000019</v>
      </c>
      <c r="M1109" s="47"/>
      <c r="N1109" s="839">
        <f t="shared" si="128"/>
        <v>0</v>
      </c>
    </row>
    <row r="1110" spans="2:14" s="386" customFormat="1" ht="14.25">
      <c r="B1110" s="17">
        <f t="shared" si="125"/>
        <v>26</v>
      </c>
      <c r="C1110" s="1"/>
      <c r="D1110" s="28"/>
      <c r="E1110" s="17"/>
      <c r="F1110" s="894"/>
      <c r="G1110" s="894"/>
      <c r="H1110" s="894"/>
      <c r="I1110" s="730"/>
      <c r="J1110" s="18"/>
      <c r="K1110" s="18"/>
      <c r="L1110" s="1"/>
      <c r="M1110" s="47"/>
      <c r="N1110" s="839">
        <f t="shared" si="128"/>
        <v>0</v>
      </c>
    </row>
    <row r="1111" spans="2:14" s="386" customFormat="1" ht="15">
      <c r="B1111" s="17">
        <f t="shared" si="125"/>
        <v>27</v>
      </c>
      <c r="C1111" s="8"/>
      <c r="D1111" s="8" t="s">
        <v>435</v>
      </c>
      <c r="E1111" s="1333"/>
      <c r="F1111" s="896">
        <f>+F1087-F1099+F1109</f>
        <v>395697490.54829037</v>
      </c>
      <c r="G1111" s="896">
        <f>+G1087-G1099+G1109</f>
        <v>393440295.2284596</v>
      </c>
      <c r="H1111" s="896">
        <f>+H1087-H1099+H1109</f>
        <v>16507384.160629232</v>
      </c>
      <c r="I1111" s="896">
        <f>+I1087-I1099+I1109</f>
        <v>9322291.7090497743</v>
      </c>
      <c r="J1111" s="300">
        <f>SUM(F1111:I1111)</f>
        <v>814967461.64642906</v>
      </c>
      <c r="K1111" s="300"/>
      <c r="L1111" s="896">
        <f t="shared" si="127"/>
        <v>419269971.09813857</v>
      </c>
      <c r="M1111" s="47"/>
      <c r="N1111" s="839">
        <f t="shared" si="128"/>
        <v>0</v>
      </c>
    </row>
    <row r="1112" spans="2:14" s="386" customFormat="1" ht="15">
      <c r="B1112" s="17">
        <f t="shared" si="125"/>
        <v>28</v>
      </c>
      <c r="C1112" s="8"/>
      <c r="D1112" s="8" t="s">
        <v>436</v>
      </c>
      <c r="E1112" s="1333" t="s">
        <v>316</v>
      </c>
      <c r="F1112" s="902">
        <f>0.21/(1-0.21)</f>
        <v>0.26582278481012656</v>
      </c>
      <c r="G1112" s="902">
        <f t="shared" si="131" ref="G1112:I1112">0.21/(1-0.21)</f>
        <v>0.26582278481012656</v>
      </c>
      <c r="H1112" s="902">
        <f t="shared" si="131"/>
        <v>0.26582278481012656</v>
      </c>
      <c r="I1112" s="902">
        <f t="shared" si="131"/>
        <v>0.26582278481012656</v>
      </c>
      <c r="J1112" s="122">
        <f>J1114/J1111</f>
        <v>0.26582278481012656</v>
      </c>
      <c r="K1112" s="122"/>
      <c r="L1112" s="122">
        <f t="shared" si="127"/>
        <v>0.79746835443037967</v>
      </c>
      <c r="M1112" s="47"/>
      <c r="N1112" s="839">
        <f t="shared" si="128"/>
        <v>-0.79746835443037967</v>
      </c>
    </row>
    <row r="1113" spans="2:14" s="386" customFormat="1" ht="15">
      <c r="B1113" s="17">
        <f t="shared" si="125"/>
        <v>29</v>
      </c>
      <c r="C1113" s="1"/>
      <c r="D1113" s="1"/>
      <c r="E1113" s="17"/>
      <c r="F1113" s="894"/>
      <c r="G1113" s="894"/>
      <c r="H1113" s="894"/>
      <c r="I1113" s="730"/>
      <c r="J1113" s="8"/>
      <c r="K1113" s="8"/>
      <c r="L1113" s="1"/>
      <c r="M1113" s="47"/>
      <c r="N1113" s="839">
        <f t="shared" si="128"/>
        <v>0</v>
      </c>
    </row>
    <row r="1114" spans="2:14" s="386" customFormat="1" ht="15">
      <c r="B1114" s="17">
        <f t="shared" si="125"/>
        <v>30</v>
      </c>
      <c r="C1114" s="8"/>
      <c r="D1114" s="8" t="s">
        <v>717</v>
      </c>
      <c r="E1114" s="1333"/>
      <c r="F1114" s="896">
        <f>+F1111*F1112</f>
        <v>105185408.87992528</v>
      </c>
      <c r="G1114" s="896">
        <f>+G1111*G1112</f>
        <v>104585394.93414748</v>
      </c>
      <c r="H1114" s="896">
        <f>+H1111*H1112</f>
        <v>4388038.8275090354</v>
      </c>
      <c r="I1114" s="896">
        <f>+I1111*I1112</f>
        <v>2478077.5429119649</v>
      </c>
      <c r="J1114" s="300">
        <f>SUM(F1114:I1114)</f>
        <v>216636920.18449378</v>
      </c>
      <c r="K1114" s="300"/>
      <c r="L1114" s="896">
        <f t="shared" si="127"/>
        <v>111451511.30456847</v>
      </c>
      <c r="M1114" s="47"/>
      <c r="N1114" s="839">
        <f t="shared" si="128"/>
        <v>0</v>
      </c>
    </row>
    <row r="1115" spans="2:14" s="386" customFormat="1" ht="14.25">
      <c r="B1115" s="17">
        <f t="shared" si="125"/>
        <v>31</v>
      </c>
      <c r="C1115" s="1"/>
      <c r="D1115" s="1"/>
      <c r="E1115" s="17"/>
      <c r="F1115" s="894"/>
      <c r="G1115" s="894"/>
      <c r="H1115" s="894"/>
      <c r="I1115" s="730"/>
      <c r="J1115" s="1"/>
      <c r="K1115" s="1"/>
      <c r="L1115" s="1"/>
      <c r="M1115" s="47"/>
      <c r="N1115" s="839">
        <f t="shared" si="128"/>
        <v>0</v>
      </c>
    </row>
    <row r="1116" spans="2:14" s="386" customFormat="1" ht="15">
      <c r="B1116" s="17">
        <f t="shared" si="125"/>
        <v>32</v>
      </c>
      <c r="C1116" s="8"/>
      <c r="D1116" s="8" t="s">
        <v>324</v>
      </c>
      <c r="E1116" s="1333" t="s">
        <v>316</v>
      </c>
      <c r="F1116" s="896"/>
      <c r="G1116" s="896"/>
      <c r="H1116" s="896"/>
      <c r="I1116" s="8"/>
      <c r="J1116" s="8"/>
      <c r="K1116" s="8"/>
      <c r="L1116" s="8"/>
      <c r="M1116" s="47"/>
      <c r="N1116" s="839">
        <f t="shared" si="128"/>
        <v>0</v>
      </c>
    </row>
    <row r="1117" spans="2:14" s="386" customFormat="1" ht="14.25">
      <c r="B1117" s="17">
        <f t="shared" si="125"/>
        <v>33</v>
      </c>
      <c r="C1117" s="1"/>
      <c r="D1117" s="778" t="s">
        <v>319</v>
      </c>
      <c r="E1117" s="17"/>
      <c r="F1117" s="1087">
        <f>'WP II-I-1.1'!F423</f>
        <v>580486.72999999998</v>
      </c>
      <c r="G1117" s="1089">
        <f>'WP II-I-1.1'!G423</f>
        <v>191147.98999999999</v>
      </c>
      <c r="H1117" s="1089">
        <f>'WP II-I-1.1'!H423</f>
        <v>0</v>
      </c>
      <c r="I1117" s="1090">
        <f>'WP II-I-1.1'!I423</f>
        <v>0</v>
      </c>
      <c r="J1117" s="18">
        <f>SUM(F1117:I1117)</f>
        <v>771634.71999999997</v>
      </c>
      <c r="K1117" s="18"/>
      <c r="L1117" s="18">
        <f t="shared" si="127"/>
        <v>191147.98999999999</v>
      </c>
      <c r="M1117" s="47"/>
      <c r="N1117" s="839">
        <f t="shared" si="128"/>
        <v>0</v>
      </c>
    </row>
    <row r="1118" spans="2:14" s="386" customFormat="1" ht="14.25">
      <c r="B1118" s="17">
        <f t="shared" si="125"/>
        <v>34</v>
      </c>
      <c r="C1118" s="1"/>
      <c r="D1118" s="778" t="s">
        <v>1247</v>
      </c>
      <c r="E1118" s="17"/>
      <c r="F1118" s="1081">
        <f>'WP II-I-1.1'!F424</f>
        <v>8494637.3499999996</v>
      </c>
      <c r="G1118" s="893">
        <f>'WP II-I-1.1'!G424</f>
        <v>7133574.9500000002</v>
      </c>
      <c r="H1118" s="893">
        <f>'WP II-I-1.1'!H424</f>
        <v>242603.98999999999</v>
      </c>
      <c r="I1118" s="1082">
        <f>'WP II-I-1.1'!I424</f>
        <v>206880.70000000042</v>
      </c>
      <c r="J1118" s="18">
        <f>SUM(F1118:I1118)</f>
        <v>16077696.990000002</v>
      </c>
      <c r="K1118" s="18"/>
      <c r="L1118" s="18">
        <f t="shared" si="127"/>
        <v>7583059.6400000006</v>
      </c>
      <c r="M1118" s="47"/>
      <c r="N1118" s="839">
        <f t="shared" si="128"/>
        <v>0</v>
      </c>
    </row>
    <row r="1119" spans="2:14" s="386" customFormat="1" ht="14.25">
      <c r="B1119" s="17">
        <f t="shared" si="125"/>
        <v>35</v>
      </c>
      <c r="C1119" s="1"/>
      <c r="D1119" s="778" t="s">
        <v>1248</v>
      </c>
      <c r="E1119" s="17"/>
      <c r="F1119" s="1081">
        <f>'WP II-I-1.1'!F425</f>
        <v>13164047.740000002</v>
      </c>
      <c r="G1119" s="893">
        <f>'WP II-I-1.1'!G425</f>
        <v>20604260.02</v>
      </c>
      <c r="H1119" s="893">
        <f>'WP II-I-1.1'!H425</f>
        <v>2549533.1000000001</v>
      </c>
      <c r="I1119" s="1082">
        <f>'WP II-I-1.1'!I425</f>
        <v>-217593.92999998515</v>
      </c>
      <c r="J1119" s="18">
        <f>SUM(F1119:I1119)</f>
        <v>36100246.930000022</v>
      </c>
      <c r="K1119" s="18"/>
      <c r="L1119" s="18">
        <f t="shared" si="127"/>
        <v>22936199.190000016</v>
      </c>
      <c r="M1119" s="47"/>
      <c r="N1119" s="839">
        <f t="shared" si="128"/>
        <v>0</v>
      </c>
    </row>
    <row r="1120" spans="2:14" s="386" customFormat="1" ht="14.25">
      <c r="B1120" s="17">
        <f t="shared" si="125"/>
        <v>36</v>
      </c>
      <c r="C1120" s="1"/>
      <c r="D1120" s="778" t="s">
        <v>1249</v>
      </c>
      <c r="E1120" s="17"/>
      <c r="F1120" s="1081">
        <f>'WP II-I-1.1'!F426</f>
        <v>43508.65000000014</v>
      </c>
      <c r="G1120" s="893">
        <f>'WP II-I-1.1'!G426</f>
        <v>-1676942.8500000001</v>
      </c>
      <c r="H1120" s="893">
        <f>'WP II-I-1.1'!H426</f>
        <v>-57030.739999999998</v>
      </c>
      <c r="I1120" s="1082">
        <f>'WP II-I-1.1'!I426</f>
        <v>-48632.919999999918</v>
      </c>
      <c r="J1120" s="18">
        <f t="shared" si="132" ref="J1120:J1121">SUM(F1120:I1120)</f>
        <v>-1739097.8599999999</v>
      </c>
      <c r="K1120" s="18"/>
      <c r="L1120" s="18">
        <f t="shared" si="127"/>
        <v>-1782606.51</v>
      </c>
      <c r="M1120" s="47"/>
      <c r="N1120" s="839">
        <f t="shared" si="128"/>
        <v>0</v>
      </c>
    </row>
    <row r="1121" spans="2:14" s="386" customFormat="1" ht="14.25">
      <c r="B1121" s="17">
        <f t="shared" si="125"/>
        <v>37</v>
      </c>
      <c r="C1121" s="1"/>
      <c r="D1121" s="778" t="s">
        <v>1250</v>
      </c>
      <c r="E1121" s="17"/>
      <c r="F1121" s="1083">
        <f>'WP II-I-1.1'!F427</f>
        <v>233885.85000000001</v>
      </c>
      <c r="G1121" s="1084">
        <f>'WP II-I-1.1'!G427</f>
        <v>253322.39000000001</v>
      </c>
      <c r="H1121" s="1084">
        <f>'WP II-I-1.1'!H427</f>
        <v>8615.1800000000003</v>
      </c>
      <c r="I1121" s="1085">
        <f>'WP II-I-1.1'!I427</f>
        <v>7346.580000000009</v>
      </c>
      <c r="J1121" s="18">
        <f t="shared" si="132"/>
        <v>503170</v>
      </c>
      <c r="K1121" s="18"/>
      <c r="L1121" s="18">
        <f t="shared" si="127"/>
        <v>269284.15000000002</v>
      </c>
      <c r="M1121" s="47"/>
      <c r="N1121" s="839">
        <f t="shared" si="128"/>
        <v>0</v>
      </c>
    </row>
    <row r="1122" spans="2:14" s="386" customFormat="1" ht="15">
      <c r="B1122" s="17">
        <f t="shared" si="125"/>
        <v>38</v>
      </c>
      <c r="C1122" s="1"/>
      <c r="D1122" s="297" t="s">
        <v>491</v>
      </c>
      <c r="E1122" s="17"/>
      <c r="F1122" s="896">
        <f>SUM(F1117:F1121)</f>
        <v>22516566.32</v>
      </c>
      <c r="G1122" s="896">
        <f t="shared" si="133" ref="G1122:I1122">SUM(G1117:G1121)</f>
        <v>26505362.5</v>
      </c>
      <c r="H1122" s="896">
        <f t="shared" si="133"/>
        <v>2743721.5299999998</v>
      </c>
      <c r="I1122" s="896">
        <f t="shared" si="133"/>
        <v>-51999.56999998464</v>
      </c>
      <c r="J1122" s="896">
        <f>SUM(F1122:I1122)</f>
        <v>51713650.780000016</v>
      </c>
      <c r="K1122" s="896"/>
      <c r="L1122" s="896">
        <f t="shared" si="127"/>
        <v>29197084.460000016</v>
      </c>
      <c r="M1122" s="47"/>
      <c r="N1122" s="839">
        <f t="shared" si="128"/>
        <v>0</v>
      </c>
    </row>
    <row r="1123" spans="2:14" s="386" customFormat="1" ht="14.25">
      <c r="B1123" s="17">
        <f t="shared" si="125"/>
        <v>39</v>
      </c>
      <c r="C1123" s="1"/>
      <c r="D1123" s="1"/>
      <c r="E1123" s="17"/>
      <c r="F1123" s="893"/>
      <c r="G1123" s="893"/>
      <c r="H1123" s="893"/>
      <c r="I1123" s="893"/>
      <c r="J1123" s="18"/>
      <c r="K1123" s="18"/>
      <c r="L1123" s="18"/>
      <c r="M1123" s="47"/>
      <c r="N1123" s="839">
        <f t="shared" si="128"/>
        <v>0</v>
      </c>
    </row>
    <row r="1124" spans="2:14" s="386" customFormat="1" ht="15">
      <c r="B1124" s="17">
        <f t="shared" si="125"/>
        <v>40</v>
      </c>
      <c r="C1124" s="8"/>
      <c r="D1124" s="8" t="s">
        <v>325</v>
      </c>
      <c r="E1124" s="1333" t="s">
        <v>316</v>
      </c>
      <c r="F1124" s="896"/>
      <c r="G1124" s="896"/>
      <c r="H1124" s="896"/>
      <c r="I1124" s="8"/>
      <c r="J1124" s="18"/>
      <c r="K1124" s="18"/>
      <c r="L1124" s="8"/>
      <c r="M1124" s="47"/>
      <c r="N1124" s="839">
        <f t="shared" si="128"/>
        <v>0</v>
      </c>
    </row>
    <row r="1125" spans="2:14" s="386" customFormat="1" ht="14.25">
      <c r="B1125" s="17">
        <f t="shared" si="125"/>
        <v>41</v>
      </c>
      <c r="C1125" s="1"/>
      <c r="D1125" s="778" t="s">
        <v>323</v>
      </c>
      <c r="E1125" s="17"/>
      <c r="F1125" s="1087">
        <f>'WP II-I-1.1'!F429</f>
        <v>130507.04999999999</v>
      </c>
      <c r="G1125" s="1089">
        <f>'WP II-I-1.1'!G429</f>
        <v>141352.53</v>
      </c>
      <c r="H1125" s="1089">
        <f>'WP II-I-1.1'!H429</f>
        <v>4807.2200000000003</v>
      </c>
      <c r="I1125" s="1090">
        <f>'WP II-I-1.1'!I429</f>
        <v>4099.3500000000358</v>
      </c>
      <c r="J1125" s="18">
        <f t="shared" si="134" ref="J1125:J1130">SUM(F1125:I1125)</f>
        <v>280766.14999999997</v>
      </c>
      <c r="K1125" s="18"/>
      <c r="L1125" s="18">
        <f t="shared" si="127"/>
        <v>150259.10000000004</v>
      </c>
      <c r="M1125" s="47"/>
      <c r="N1125" s="839">
        <f t="shared" si="128"/>
        <v>0</v>
      </c>
    </row>
    <row r="1126" spans="2:14" s="386" customFormat="1" ht="14.25">
      <c r="B1126" s="17">
        <f t="shared" si="125"/>
        <v>42</v>
      </c>
      <c r="C1126" s="1"/>
      <c r="D1126" s="1311" t="s">
        <v>1380</v>
      </c>
      <c r="E1126" s="17"/>
      <c r="F1126" s="1081">
        <f>'WP II-I-1.1'!F430</f>
        <v>0</v>
      </c>
      <c r="G1126" s="893">
        <f>'WP II-I-1.1'!G430</f>
        <v>0</v>
      </c>
      <c r="H1126" s="893">
        <f>'WP II-I-1.1'!H430</f>
        <v>0</v>
      </c>
      <c r="I1126" s="1082">
        <f>'WP II-I-1.1'!I430</f>
        <v>0</v>
      </c>
      <c r="J1126" s="18">
        <f t="shared" si="134"/>
        <v>0</v>
      </c>
      <c r="K1126" s="18"/>
      <c r="L1126" s="18"/>
      <c r="M1126" s="47"/>
      <c r="N1126" s="839"/>
    </row>
    <row r="1127" spans="2:14" s="386" customFormat="1" ht="14.25">
      <c r="B1127" s="17">
        <f t="shared" si="125"/>
        <v>43</v>
      </c>
      <c r="C1127" s="1"/>
      <c r="D1127" s="778" t="s">
        <v>326</v>
      </c>
      <c r="F1127" s="1081">
        <f>'WP II-I-1.1'!F431</f>
        <v>0</v>
      </c>
      <c r="G1127" s="893">
        <f>'WP II-I-1.1'!G431</f>
        <v>0</v>
      </c>
      <c r="H1127" s="893">
        <f>'WP II-I-1.1'!H431</f>
        <v>0</v>
      </c>
      <c r="I1127" s="1082">
        <f>'WP II-I-1.1'!I431</f>
        <v>0</v>
      </c>
      <c r="J1127" s="18">
        <f t="shared" si="134"/>
        <v>0</v>
      </c>
      <c r="K1127" s="18"/>
      <c r="L1127" s="18">
        <f t="shared" si="127"/>
        <v>0</v>
      </c>
      <c r="M1127" s="47"/>
      <c r="N1127" s="839">
        <f t="shared" si="128"/>
        <v>0</v>
      </c>
    </row>
    <row r="1128" spans="2:14" s="386" customFormat="1" ht="14.25">
      <c r="B1128" s="17">
        <f t="shared" si="125"/>
        <v>44</v>
      </c>
      <c r="C1128" s="1"/>
      <c r="D1128" s="894"/>
      <c r="E1128" s="17"/>
      <c r="F1128" s="1081"/>
      <c r="G1128" s="893"/>
      <c r="H1128" s="893"/>
      <c r="I1128" s="1082"/>
      <c r="J1128" s="18">
        <f t="shared" si="134"/>
        <v>0</v>
      </c>
      <c r="K1128" s="18"/>
      <c r="L1128" s="18">
        <f t="shared" si="127"/>
        <v>0</v>
      </c>
      <c r="M1128" s="47"/>
      <c r="N1128" s="839">
        <f t="shared" si="128"/>
        <v>0</v>
      </c>
    </row>
    <row r="1129" spans="2:14" ht="14.25">
      <c r="B1129" s="17">
        <f t="shared" si="125"/>
        <v>45</v>
      </c>
      <c r="C1129" s="1"/>
      <c r="D1129" s="19"/>
      <c r="E1129" s="17"/>
      <c r="F1129" s="1083"/>
      <c r="G1129" s="1084"/>
      <c r="H1129" s="1084"/>
      <c r="I1129" s="1085"/>
      <c r="J1129" s="18">
        <f t="shared" si="134"/>
        <v>0</v>
      </c>
      <c r="K1129" s="18"/>
      <c r="L1129" s="18">
        <f t="shared" si="127"/>
        <v>0</v>
      </c>
      <c r="M1129" s="67"/>
      <c r="N1129" s="839">
        <f t="shared" si="128"/>
        <v>0</v>
      </c>
    </row>
    <row r="1130" spans="2:14" ht="15">
      <c r="B1130" s="17">
        <f t="shared" si="125"/>
        <v>46</v>
      </c>
      <c r="C1130" s="1"/>
      <c r="D1130" s="297" t="s">
        <v>491</v>
      </c>
      <c r="E1130" s="17"/>
      <c r="F1130" s="896">
        <f>SUM(F1125:F1129)</f>
        <v>130507.04999999999</v>
      </c>
      <c r="G1130" s="896">
        <f>SUM(G1125:G1127)</f>
        <v>141352.53</v>
      </c>
      <c r="H1130" s="896">
        <f>SUM(H1125:H1129)</f>
        <v>4807.2200000000003</v>
      </c>
      <c r="I1130" s="896">
        <f>SUM(I1125:I1129)</f>
        <v>4099.3500000000358</v>
      </c>
      <c r="J1130" s="22">
        <f t="shared" si="134"/>
        <v>280766.14999999997</v>
      </c>
      <c r="K1130" s="22"/>
      <c r="L1130" s="22">
        <f t="shared" si="127"/>
        <v>150259.10000000004</v>
      </c>
      <c r="M1130" s="67"/>
      <c r="N1130" s="839">
        <f t="shared" si="128"/>
        <v>0</v>
      </c>
    </row>
    <row r="1131" spans="2:14" ht="15" thickBot="1">
      <c r="B1131" s="17">
        <f t="shared" si="125"/>
        <v>47</v>
      </c>
      <c r="C1131" s="1"/>
      <c r="D1131" s="1"/>
      <c r="E1131" s="17"/>
      <c r="F1131" s="894"/>
      <c r="G1131" s="894"/>
      <c r="H1131" s="894"/>
      <c r="I1131" s="730"/>
      <c r="J1131" s="1"/>
      <c r="K1131" s="1"/>
      <c r="L1131" s="1"/>
      <c r="M1131" s="67"/>
      <c r="N1131" s="839">
        <f t="shared" si="128"/>
        <v>0</v>
      </c>
    </row>
    <row r="1132" spans="2:16" ht="15.75" thickBot="1">
      <c r="B1132" s="17">
        <f t="shared" si="125"/>
        <v>48</v>
      </c>
      <c r="C1132" s="284" t="s">
        <v>718</v>
      </c>
      <c r="D1132" s="285"/>
      <c r="E1132" s="374" t="s">
        <v>316</v>
      </c>
      <c r="F1132" s="903">
        <f>+F1114-SUM(F1117:F1121)+SUM(F1125:F1129)</f>
        <v>82799349.609925285</v>
      </c>
      <c r="G1132" s="903">
        <f>+G1114-SUM(G1117:G1121)+SUM(G1125:G1127)</f>
        <v>78221384.964147478</v>
      </c>
      <c r="H1132" s="903">
        <f t="shared" si="135" ref="H1132:J1132">+H1114-SUM(H1117:H1121)+SUM(H1125:H1129)</f>
        <v>1649124.5175090355</v>
      </c>
      <c r="I1132" s="903">
        <f t="shared" si="135"/>
        <v>2534176.4629119495</v>
      </c>
      <c r="J1132" s="380">
        <f t="shared" si="135"/>
        <v>165204035.55449376</v>
      </c>
      <c r="K1132" s="22"/>
      <c r="L1132" s="257">
        <f t="shared" si="127"/>
        <v>82404685.944568455</v>
      </c>
      <c r="M1132" s="67"/>
      <c r="N1132" s="839">
        <f t="shared" si="128"/>
        <v>0</v>
      </c>
      <c r="P1132" s="692"/>
    </row>
    <row r="1133" spans="2:14" ht="14.25">
      <c r="B1133" s="67"/>
      <c r="C1133" s="67"/>
      <c r="D1133" s="67"/>
      <c r="E1133" s="67"/>
      <c r="F1133" s="951"/>
      <c r="G1133" s="951"/>
      <c r="H1133" s="951"/>
      <c r="I1133" s="951"/>
      <c r="J1133" s="392"/>
      <c r="K1133" s="47"/>
      <c r="L1133" s="47"/>
      <c r="M1133" s="67"/>
      <c r="N1133" s="839">
        <f t="shared" si="128"/>
        <v>0</v>
      </c>
    </row>
    <row r="1134" spans="2:14" ht="15">
      <c r="B1134" s="874"/>
      <c r="C1134" s="874"/>
      <c r="D1134" s="874"/>
      <c r="E1134" s="874"/>
      <c r="F1134" s="874"/>
      <c r="G1134" s="874"/>
      <c r="H1134" s="874"/>
      <c r="I1134" s="874"/>
      <c r="J1134" s="874"/>
      <c r="K1134" s="874"/>
      <c r="L1134" s="874"/>
      <c r="M1134" s="134" t="str">
        <f>$M$2</f>
        <v xml:space="preserve"> </v>
      </c>
      <c r="N1134" s="839">
        <f t="shared" si="128"/>
        <v>0</v>
      </c>
    </row>
    <row r="1135" spans="2:14" ht="15.75" thickBot="1">
      <c r="B1135" s="874"/>
      <c r="C1135" s="874"/>
      <c r="D1135" s="874"/>
      <c r="E1135" s="874"/>
      <c r="F1135" s="874"/>
      <c r="G1135" s="1222"/>
      <c r="H1135" s="874"/>
      <c r="I1135" s="874"/>
      <c r="J1135" s="874"/>
      <c r="K1135" s="874"/>
      <c r="L1135" s="874"/>
      <c r="M1135" s="67"/>
      <c r="N1135" s="839">
        <f t="shared" si="128"/>
        <v>0</v>
      </c>
    </row>
    <row r="1136" spans="2:14" ht="15">
      <c r="B1136" s="920" t="str">
        <f>$B$4</f>
        <v>2022 RATE CASE</v>
      </c>
      <c r="C1136" s="926"/>
      <c r="D1136" s="927"/>
      <c r="E1136" s="874"/>
      <c r="F1136" s="874"/>
      <c r="G1136" s="874"/>
      <c r="H1136" s="874"/>
      <c r="I1136" s="874"/>
      <c r="J1136" s="874"/>
      <c r="K1136" s="874"/>
      <c r="L1136" s="874"/>
      <c r="N1136" s="839">
        <f t="shared" si="128"/>
        <v>0</v>
      </c>
    </row>
    <row r="1137" spans="2:14" ht="15">
      <c r="B1137" s="917" t="str">
        <f>$B$5</f>
        <v>ONCOR ELECTRIC DELIVERY COMPANY LLC</v>
      </c>
      <c r="C1137" s="369"/>
      <c r="D1137" s="928"/>
      <c r="E1137" s="874"/>
      <c r="F1137" s="874"/>
      <c r="G1137" s="874"/>
      <c r="H1137" s="874"/>
      <c r="I1137" s="874"/>
      <c r="J1137" s="874"/>
      <c r="K1137" s="874"/>
      <c r="L1137" s="874"/>
      <c r="M1137" s="67"/>
      <c r="N1137" s="839">
        <f t="shared" si="128"/>
        <v>0</v>
      </c>
    </row>
    <row r="1138" spans="2:14" ht="15">
      <c r="B1138" s="406" t="str">
        <f>$B$6</f>
        <v>CONSOLIDATED FUNCTIONALIZED COST OF SERVICE</v>
      </c>
      <c r="C1138" s="369"/>
      <c r="D1138" s="928"/>
      <c r="E1138" s="874"/>
      <c r="F1138" s="874"/>
      <c r="G1138" s="874"/>
      <c r="H1138" s="874"/>
      <c r="I1138" s="874"/>
      <c r="J1138" s="874"/>
      <c r="K1138" s="874"/>
      <c r="L1138" s="874"/>
      <c r="M1138" s="67"/>
      <c r="N1138" s="839">
        <f t="shared" si="128"/>
        <v>0</v>
      </c>
    </row>
    <row r="1139" spans="2:14" ht="15.75">
      <c r="B1139" s="406" t="str">
        <f>$B$7</f>
        <v>TEST YEAR ENDING 12/31/2021</v>
      </c>
      <c r="C1139" s="840"/>
      <c r="D1139" s="921"/>
      <c r="E1139" s="67"/>
      <c r="F1139" s="664"/>
      <c r="G1139" s="664"/>
      <c r="H1139" s="664"/>
      <c r="I1139" s="664"/>
      <c r="J1139" s="67"/>
      <c r="K1139" s="67"/>
      <c r="L1139" s="67"/>
      <c r="M1139" s="67"/>
      <c r="N1139" s="839">
        <f t="shared" si="128"/>
        <v>0</v>
      </c>
    </row>
    <row r="1140" spans="2:14" ht="15">
      <c r="B1140" s="406" t="str">
        <f>$B$8</f>
        <v>SPONSOR:  MATTHEW A. TROXLE</v>
      </c>
      <c r="C1140" s="369"/>
      <c r="D1140" s="928"/>
      <c r="E1140" s="369"/>
      <c r="F1140" s="369"/>
      <c r="G1140" s="369"/>
      <c r="H1140" s="369"/>
      <c r="I1140" s="369"/>
      <c r="J1140" s="369"/>
      <c r="K1140" s="369"/>
      <c r="L1140" s="369"/>
      <c r="M1140" s="67"/>
      <c r="N1140" s="839">
        <f t="shared" si="128"/>
        <v>0</v>
      </c>
    </row>
    <row r="1141" spans="2:14" ht="15.75" thickBot="1">
      <c r="B1141" s="410"/>
      <c r="C1141" s="934"/>
      <c r="D1141" s="936"/>
      <c r="F1141" s="737"/>
      <c r="G1141" s="737"/>
      <c r="H1141" s="737"/>
      <c r="I1141" s="737"/>
      <c r="J1141" s="332"/>
      <c r="K1141" s="43"/>
      <c r="L1141" s="43"/>
      <c r="M1141" s="67"/>
      <c r="N1141" s="839">
        <f t="shared" si="128"/>
        <v>0</v>
      </c>
    </row>
    <row r="1142" spans="2:14" ht="14.25">
      <c r="B1142" s="13"/>
      <c r="C1142" s="14"/>
      <c r="D1142" s="14"/>
      <c r="E1142" s="14"/>
      <c r="F1142" s="1099" t="s">
        <v>6</v>
      </c>
      <c r="G1142" s="738" t="s">
        <v>7</v>
      </c>
      <c r="H1142" s="738" t="s">
        <v>8</v>
      </c>
      <c r="I1142" s="952" t="s">
        <v>9</v>
      </c>
      <c r="J1142" s="13" t="s">
        <v>10</v>
      </c>
      <c r="K1142" s="17"/>
      <c r="L1142" s="139" t="s">
        <v>966</v>
      </c>
      <c r="M1142" s="67"/>
      <c r="N1142" s="839"/>
    </row>
    <row r="1143" spans="2:14" ht="15">
      <c r="B1143" s="15" t="s">
        <v>2</v>
      </c>
      <c r="C1143" s="15" t="s">
        <v>370</v>
      </c>
      <c r="D1143" s="287" t="s">
        <v>719</v>
      </c>
      <c r="E1143" s="15" t="s">
        <v>371</v>
      </c>
      <c r="F1143" s="744"/>
      <c r="G1143" s="743"/>
      <c r="H1143" s="743"/>
      <c r="I1143" s="743"/>
      <c r="J1143" s="15"/>
      <c r="K1143" s="17"/>
      <c r="L1143" s="97" t="s">
        <v>967</v>
      </c>
      <c r="M1143" s="67"/>
      <c r="N1143" s="839"/>
    </row>
    <row r="1144" spans="2:14" ht="14.25">
      <c r="B1144" s="15"/>
      <c r="C1144" s="15"/>
      <c r="D1144" s="15"/>
      <c r="E1144" s="15"/>
      <c r="F1144" s="744"/>
      <c r="G1144" s="743"/>
      <c r="H1144" s="743"/>
      <c r="I1144" s="743"/>
      <c r="J1144" s="15"/>
      <c r="K1144" s="17"/>
      <c r="L1144" s="97"/>
      <c r="M1144" s="67"/>
      <c r="N1144" s="839"/>
    </row>
    <row r="1145" spans="2:14" ht="15" thickBot="1">
      <c r="B1145" s="16"/>
      <c r="C1145" s="16" t="s">
        <v>13</v>
      </c>
      <c r="D1145" s="16" t="s">
        <v>14</v>
      </c>
      <c r="E1145" s="16" t="s">
        <v>15</v>
      </c>
      <c r="F1145" s="747" t="s">
        <v>16</v>
      </c>
      <c r="G1145" s="747" t="s">
        <v>17</v>
      </c>
      <c r="H1145" s="747" t="s">
        <v>18</v>
      </c>
      <c r="I1145" s="747" t="s">
        <v>21</v>
      </c>
      <c r="J1145" s="16" t="s">
        <v>22</v>
      </c>
      <c r="K1145" s="17"/>
      <c r="L1145" s="1125" t="s">
        <v>418</v>
      </c>
      <c r="M1145" s="67"/>
      <c r="N1145" s="839"/>
    </row>
    <row r="1146" spans="2:14" ht="14.25">
      <c r="B1146" s="67"/>
      <c r="C1146" s="333"/>
      <c r="D1146" s="333"/>
      <c r="E1146" s="333"/>
      <c r="F1146" s="749"/>
      <c r="G1146" s="749"/>
      <c r="H1146" s="749"/>
      <c r="I1146" s="691"/>
      <c r="J1146" s="43"/>
      <c r="K1146" s="43"/>
      <c r="L1146" s="43"/>
      <c r="M1146" s="67"/>
      <c r="N1146" s="839"/>
    </row>
    <row r="1147" spans="2:14" ht="15">
      <c r="B1147" s="17">
        <f t="shared" si="136" ref="B1147:B1158">B1146+1</f>
        <v>1</v>
      </c>
      <c r="C1147" s="366" t="s">
        <v>719</v>
      </c>
      <c r="D1147" s="8"/>
      <c r="E1147" s="20"/>
      <c r="F1147" s="896"/>
      <c r="G1147" s="896"/>
      <c r="H1147" s="896"/>
      <c r="I1147" s="8"/>
      <c r="J1147" s="8"/>
      <c r="K1147" s="8"/>
      <c r="L1147" s="8"/>
      <c r="M1147" s="67"/>
      <c r="N1147" s="839"/>
    </row>
    <row r="1148" spans="2:14" ht="14.25">
      <c r="B1148" s="17">
        <f t="shared" si="136"/>
        <v>2</v>
      </c>
      <c r="D1148" s="1"/>
      <c r="E1148" s="17"/>
      <c r="F1148" s="894"/>
      <c r="G1148" s="894"/>
      <c r="H1148" s="894"/>
      <c r="I1148" s="730"/>
      <c r="J1148" s="1"/>
      <c r="K1148" s="1"/>
      <c r="L1148" s="1"/>
      <c r="M1148" s="67"/>
      <c r="N1148" s="839"/>
    </row>
    <row r="1149" spans="2:3" ht="15">
      <c r="B1149" s="17">
        <f t="shared" si="136"/>
        <v>3</v>
      </c>
      <c r="C1149" s="8" t="s">
        <v>720</v>
      </c>
    </row>
    <row r="1150" spans="2:14" s="404" customFormat="1" ht="15">
      <c r="B1150" s="17">
        <f t="shared" si="136"/>
        <v>4</v>
      </c>
      <c r="C1150" s="730" t="s">
        <v>328</v>
      </c>
      <c r="D1150" s="1" t="s">
        <v>329</v>
      </c>
      <c r="E1150" s="1135" t="s">
        <v>330</v>
      </c>
      <c r="F1150" s="893">
        <f>F1037</f>
        <v>22721.029999999999</v>
      </c>
      <c r="G1150" s="893">
        <f>G1037</f>
        <v>97.260000000002037</v>
      </c>
      <c r="H1150" s="893">
        <f>H1037</f>
        <v>0</v>
      </c>
      <c r="I1150" s="893">
        <f>I1037</f>
        <v>0</v>
      </c>
      <c r="J1150" s="24">
        <f>SUM(F1150:I1150)</f>
        <v>22818.290000000001</v>
      </c>
      <c r="K1150" s="24"/>
      <c r="L1150" s="18">
        <f>SUM(G1150:I1150)</f>
        <v>97.260000000002037</v>
      </c>
      <c r="M1150" s="1"/>
      <c r="N1150" s="1141"/>
    </row>
    <row r="1151" spans="2:14" ht="15" thickBot="1">
      <c r="B1151" s="17">
        <f t="shared" si="136"/>
        <v>5</v>
      </c>
      <c r="C1151" s="1"/>
      <c r="D1151" s="1"/>
      <c r="E1151" s="17"/>
      <c r="F1151" s="894"/>
      <c r="G1151" s="894"/>
      <c r="H1151" s="894"/>
      <c r="I1151" s="730"/>
      <c r="J1151" s="1"/>
      <c r="K1151" s="1"/>
      <c r="L1151" s="1"/>
      <c r="M1151" s="67"/>
      <c r="N1151" s="839">
        <f t="shared" si="128"/>
        <v>0</v>
      </c>
    </row>
    <row r="1152" spans="2:14" ht="15.75" thickBot="1">
      <c r="B1152" s="17">
        <f t="shared" si="136"/>
        <v>6</v>
      </c>
      <c r="C1152" s="284" t="s">
        <v>721</v>
      </c>
      <c r="D1152" s="336"/>
      <c r="E1152" s="337"/>
      <c r="F1152" s="905">
        <f>+F1150+F1072+F1040-F1038-F1037</f>
        <v>524460375.53000003</v>
      </c>
      <c r="G1152" s="905">
        <f>+G1150+G1072+G1040-G1038-G1037</f>
        <v>907267440.79999995</v>
      </c>
      <c r="H1152" s="905">
        <f>+H1150+H1072+H1040-H1038-H1037</f>
        <v>39452824.030000001</v>
      </c>
      <c r="I1152" s="905">
        <f>+I1150+I1072+I1040-I1038-I1037</f>
        <v>37438816.88000004</v>
      </c>
      <c r="J1152" s="279">
        <f>SUM(F1152:I1152)</f>
        <v>1508619457.24</v>
      </c>
      <c r="K1152" s="39"/>
      <c r="L1152" s="280">
        <f t="shared" si="127"/>
        <v>984159081.70999992</v>
      </c>
      <c r="M1152" s="67"/>
      <c r="N1152" s="839">
        <f t="shared" si="128"/>
        <v>0</v>
      </c>
    </row>
    <row r="1153" spans="2:14" ht="15.75" thickBot="1">
      <c r="B1153" s="17">
        <f t="shared" si="136"/>
        <v>7</v>
      </c>
      <c r="C1153" s="8"/>
      <c r="D1153" s="36"/>
      <c r="E1153" s="37"/>
      <c r="F1153" s="898"/>
      <c r="G1153" s="898"/>
      <c r="H1153" s="898"/>
      <c r="I1153" s="896"/>
      <c r="J1153" s="290"/>
      <c r="K1153" s="290"/>
      <c r="L1153" s="22"/>
      <c r="M1153" s="47"/>
      <c r="N1153" s="839">
        <f t="shared" si="128"/>
        <v>0</v>
      </c>
    </row>
    <row r="1154" spans="2:14" ht="15.75" thickBot="1">
      <c r="B1154" s="17">
        <f t="shared" si="136"/>
        <v>8</v>
      </c>
      <c r="C1154" s="284" t="s">
        <v>722</v>
      </c>
      <c r="D1154" s="336"/>
      <c r="E1154" s="337"/>
      <c r="F1154" s="905">
        <f>F1152+F1132</f>
        <v>607259725.13992536</v>
      </c>
      <c r="G1154" s="905">
        <f>G1152+G1132</f>
        <v>985488825.7641474</v>
      </c>
      <c r="H1154" s="905">
        <f>H1152+H1132</f>
        <v>41101948.547509037</v>
      </c>
      <c r="I1154" s="905">
        <f>I1152+I1132</f>
        <v>39972993.342911988</v>
      </c>
      <c r="J1154" s="279">
        <f>SUM(F1154:I1154)</f>
        <v>1673823492.7944937</v>
      </c>
      <c r="K1154" s="39"/>
      <c r="L1154" s="280">
        <f t="shared" si="127"/>
        <v>1066563767.6545684</v>
      </c>
      <c r="M1154" s="67"/>
      <c r="N1154" s="839">
        <f t="shared" si="128"/>
        <v>0</v>
      </c>
    </row>
    <row r="1155" spans="2:14" ht="15.75" thickBot="1">
      <c r="B1155" s="17">
        <f t="shared" si="136"/>
        <v>9</v>
      </c>
      <c r="C1155" s="8"/>
      <c r="D1155" s="36"/>
      <c r="E1155" s="37"/>
      <c r="F1155" s="898"/>
      <c r="G1155" s="898"/>
      <c r="H1155" s="898"/>
      <c r="I1155" s="896"/>
      <c r="J1155" s="290"/>
      <c r="K1155" s="290"/>
      <c r="L1155" s="22"/>
      <c r="M1155" s="47"/>
      <c r="N1155" s="839">
        <f t="shared" si="128"/>
        <v>0</v>
      </c>
    </row>
    <row r="1156" spans="2:14" ht="15.75" thickBot="1">
      <c r="B1156" s="17">
        <f t="shared" si="136"/>
        <v>10</v>
      </c>
      <c r="C1156" s="284" t="s">
        <v>723</v>
      </c>
      <c r="D1156" s="336"/>
      <c r="E1156" s="337"/>
      <c r="F1156" s="905">
        <f>F1132+F1072+F1040+F762</f>
        <v>851798189.45992517</v>
      </c>
      <c r="G1156" s="905">
        <f>G1132+G1072+G1040+G762</f>
        <v>3373712708.5941477</v>
      </c>
      <c r="H1156" s="905">
        <f>H1132+H1072+H1040+H762</f>
        <v>175732623.48750904</v>
      </c>
      <c r="I1156" s="905">
        <f>I1132+I1072+I1040+I762</f>
        <v>90126801.302911997</v>
      </c>
      <c r="J1156" s="279">
        <f>SUM(F1156:I1156)</f>
        <v>4491370322.8444939</v>
      </c>
      <c r="K1156" s="39"/>
      <c r="L1156" s="280">
        <f t="shared" si="127"/>
        <v>3639572133.3845692</v>
      </c>
      <c r="M1156" s="67"/>
      <c r="N1156" s="839">
        <f t="shared" si="128"/>
        <v>0</v>
      </c>
    </row>
    <row r="1157" spans="2:14" ht="15.75" thickBot="1">
      <c r="B1157" s="17">
        <f t="shared" si="136"/>
        <v>11</v>
      </c>
      <c r="C1157" s="8"/>
      <c r="D1157" s="36"/>
      <c r="E1157" s="37"/>
      <c r="F1157" s="898"/>
      <c r="G1157" s="898"/>
      <c r="H1157" s="898"/>
      <c r="I1157" s="896"/>
      <c r="J1157" s="290"/>
      <c r="K1157" s="290"/>
      <c r="L1157" s="22"/>
      <c r="M1157" s="47"/>
      <c r="N1157" s="839">
        <f t="shared" si="128"/>
        <v>0</v>
      </c>
    </row>
    <row r="1158" spans="2:14" ht="15.75" thickBot="1">
      <c r="B1158" s="17">
        <f t="shared" si="136"/>
        <v>12</v>
      </c>
      <c r="C1158" s="284" t="s">
        <v>1382</v>
      </c>
      <c r="D1158" s="336"/>
      <c r="E1158" s="337"/>
      <c r="F1158" s="905">
        <f>F1156-F622</f>
        <v>851798189.45992517</v>
      </c>
      <c r="G1158" s="905">
        <f>G1156-G622-(0.727923*G753)</f>
        <v>1719544061.3801124</v>
      </c>
      <c r="H1158" s="905">
        <f>H1156-H622</f>
        <v>175732623.48750904</v>
      </c>
      <c r="I1158" s="905">
        <f>I1156-I622</f>
        <v>90126801.302911997</v>
      </c>
      <c r="J1158" s="279">
        <f>SUM(F1158:I1158)</f>
        <v>2837201675.6304588</v>
      </c>
      <c r="K1158" s="39"/>
      <c r="L1158" s="280">
        <f t="shared" si="127"/>
        <v>1985403486.1705334</v>
      </c>
      <c r="M1158" s="67"/>
      <c r="N1158" s="839">
        <f t="shared" si="128"/>
        <v>0</v>
      </c>
    </row>
    <row r="1159" spans="2:14" ht="14.25">
      <c r="B1159" s="67"/>
      <c r="C1159" s="67"/>
      <c r="D1159" s="67"/>
      <c r="E1159" s="67"/>
      <c r="F1159" s="664"/>
      <c r="G1159" s="664"/>
      <c r="H1159" s="664"/>
      <c r="I1159" s="664"/>
      <c r="J1159" s="67"/>
      <c r="K1159" s="47"/>
      <c r="L1159" s="47"/>
      <c r="M1159" s="67"/>
      <c r="N1159" s="839">
        <f t="shared" si="128"/>
        <v>0</v>
      </c>
    </row>
    <row r="1160" spans="2:14" ht="14.25">
      <c r="B1160" s="67"/>
      <c r="C1160" s="67"/>
      <c r="D1160" s="67"/>
      <c r="E1160" s="67"/>
      <c r="F1160" s="664"/>
      <c r="G1160" s="664"/>
      <c r="H1160" s="664"/>
      <c r="I1160" s="664"/>
      <c r="J1160" s="67"/>
      <c r="K1160" s="47"/>
      <c r="L1160" s="47"/>
      <c r="M1160" s="134" t="str">
        <f>$M$2</f>
        <v xml:space="preserve"> </v>
      </c>
      <c r="N1160" s="839">
        <f t="shared" si="128"/>
        <v>0</v>
      </c>
    </row>
    <row r="1161" spans="2:14" ht="15.75" thickBot="1">
      <c r="B1161" s="874"/>
      <c r="C1161" s="874"/>
      <c r="D1161" s="874"/>
      <c r="E1161" s="874"/>
      <c r="F1161" s="874"/>
      <c r="G1161" s="874"/>
      <c r="H1161" s="874"/>
      <c r="I1161" s="874"/>
      <c r="J1161" s="874"/>
      <c r="K1161" s="874"/>
      <c r="L1161" s="874"/>
      <c r="M1161" s="67"/>
      <c r="N1161" s="839">
        <f t="shared" si="128"/>
        <v>0</v>
      </c>
    </row>
    <row r="1162" spans="2:14" ht="15">
      <c r="B1162" s="920" t="str">
        <f>$B$4</f>
        <v>2022 RATE CASE</v>
      </c>
      <c r="C1162" s="926"/>
      <c r="D1162" s="927"/>
      <c r="E1162" s="874"/>
      <c r="F1162" s="874"/>
      <c r="G1162" s="874"/>
      <c r="H1162" s="874"/>
      <c r="I1162" s="874"/>
      <c r="J1162" s="874"/>
      <c r="K1162" s="874"/>
      <c r="L1162" s="874"/>
      <c r="N1162" s="839">
        <f t="shared" si="128"/>
        <v>0</v>
      </c>
    </row>
    <row r="1163" spans="2:14" ht="15">
      <c r="B1163" s="917" t="str">
        <f>$B$5</f>
        <v>ONCOR ELECTRIC DELIVERY COMPANY LLC</v>
      </c>
      <c r="C1163" s="369"/>
      <c r="D1163" s="928"/>
      <c r="E1163" s="874"/>
      <c r="F1163" s="874"/>
      <c r="G1163" s="874"/>
      <c r="H1163" s="874"/>
      <c r="I1163" s="874"/>
      <c r="J1163" s="874"/>
      <c r="K1163" s="874"/>
      <c r="L1163" s="874"/>
      <c r="M1163" s="67"/>
      <c r="N1163" s="839">
        <f t="shared" si="128"/>
        <v>0</v>
      </c>
    </row>
    <row r="1164" spans="2:14" ht="15">
      <c r="B1164" s="406" t="str">
        <f>$B$6</f>
        <v>CONSOLIDATED FUNCTIONALIZED COST OF SERVICE</v>
      </c>
      <c r="C1164" s="369"/>
      <c r="D1164" s="928"/>
      <c r="E1164" s="874"/>
      <c r="F1164" s="874"/>
      <c r="G1164" s="874"/>
      <c r="H1164" s="874"/>
      <c r="I1164" s="874"/>
      <c r="J1164" s="874"/>
      <c r="K1164" s="874"/>
      <c r="L1164" s="874"/>
      <c r="M1164" s="67"/>
      <c r="N1164" s="839">
        <f t="shared" si="128"/>
        <v>0</v>
      </c>
    </row>
    <row r="1165" spans="2:14" ht="15">
      <c r="B1165" s="406" t="str">
        <f>$B$7</f>
        <v>TEST YEAR ENDING 12/31/2021</v>
      </c>
      <c r="C1165" s="369"/>
      <c r="D1165" s="928"/>
      <c r="E1165" s="874"/>
      <c r="F1165" s="874"/>
      <c r="G1165" s="874"/>
      <c r="H1165" s="874"/>
      <c r="I1165" s="874"/>
      <c r="J1165" s="874"/>
      <c r="K1165" s="874"/>
      <c r="L1165" s="874"/>
      <c r="M1165" s="67"/>
      <c r="N1165" s="839">
        <f t="shared" si="128"/>
        <v>0</v>
      </c>
    </row>
    <row r="1166" spans="2:14" ht="15.75">
      <c r="B1166" s="406" t="str">
        <f>$B$8</f>
        <v>SPONSOR:  MATTHEW A. TROXLE</v>
      </c>
      <c r="C1166" s="840"/>
      <c r="D1166" s="921"/>
      <c r="E1166" s="67"/>
      <c r="F1166" s="664"/>
      <c r="G1166" s="664"/>
      <c r="H1166" s="664"/>
      <c r="I1166" s="664"/>
      <c r="J1166" s="67"/>
      <c r="K1166" s="67"/>
      <c r="L1166" s="67"/>
      <c r="M1166" s="67"/>
      <c r="N1166" s="839">
        <f t="shared" si="137" ref="N1166:N1167">J1166-L1166-F1166</f>
        <v>0</v>
      </c>
    </row>
    <row r="1167" spans="2:14" ht="15.75" thickBot="1">
      <c r="B1167" s="410"/>
      <c r="C1167" s="931"/>
      <c r="D1167" s="932"/>
      <c r="E1167" s="369"/>
      <c r="F1167" s="369"/>
      <c r="G1167" s="369"/>
      <c r="H1167" s="369"/>
      <c r="I1167" s="369"/>
      <c r="J1167" s="369"/>
      <c r="K1167" s="369"/>
      <c r="L1167" s="369"/>
      <c r="M1167" s="67"/>
      <c r="N1167" s="839">
        <f t="shared" si="137"/>
        <v>0</v>
      </c>
    </row>
    <row r="1168" spans="2:14" ht="14.25">
      <c r="B1168" s="13"/>
      <c r="C1168" s="14"/>
      <c r="D1168" s="14"/>
      <c r="E1168" s="14"/>
      <c r="F1168" s="1099"/>
      <c r="G1168" s="738"/>
      <c r="H1168" s="738"/>
      <c r="I1168" s="952"/>
      <c r="J1168" s="13"/>
      <c r="K1168" s="17"/>
      <c r="L1168" s="139" t="s">
        <v>966</v>
      </c>
      <c r="M1168" s="67"/>
      <c r="N1168" s="839"/>
    </row>
    <row r="1169" spans="2:14" ht="15">
      <c r="B1169" s="15" t="s">
        <v>2</v>
      </c>
      <c r="C1169" s="15" t="s">
        <v>370</v>
      </c>
      <c r="D1169" s="287" t="s">
        <v>334</v>
      </c>
      <c r="E1169" s="15" t="s">
        <v>371</v>
      </c>
      <c r="F1169" s="744" t="s">
        <v>6</v>
      </c>
      <c r="G1169" s="743" t="s">
        <v>7</v>
      </c>
      <c r="H1169" s="743" t="s">
        <v>8</v>
      </c>
      <c r="I1169" s="743" t="s">
        <v>9</v>
      </c>
      <c r="J1169" s="743" t="s">
        <v>10</v>
      </c>
      <c r="K1169" s="17"/>
      <c r="L1169" s="97" t="s">
        <v>967</v>
      </c>
      <c r="M1169" s="67"/>
      <c r="N1169" s="839"/>
    </row>
    <row r="1170" spans="2:14" ht="14.25">
      <c r="B1170" s="15"/>
      <c r="C1170" s="15"/>
      <c r="D1170" s="15"/>
      <c r="E1170" s="15"/>
      <c r="F1170" s="744"/>
      <c r="G1170" s="743"/>
      <c r="H1170" s="743"/>
      <c r="I1170" s="743"/>
      <c r="J1170" s="15"/>
      <c r="K1170" s="17"/>
      <c r="L1170" s="97"/>
      <c r="M1170" s="67"/>
      <c r="N1170" s="839"/>
    </row>
    <row r="1171" spans="2:14" ht="15" thickBot="1">
      <c r="B1171" s="16"/>
      <c r="C1171" s="16" t="s">
        <v>13</v>
      </c>
      <c r="D1171" s="16" t="s">
        <v>14</v>
      </c>
      <c r="E1171" s="16" t="s">
        <v>15</v>
      </c>
      <c r="F1171" s="747" t="s">
        <v>16</v>
      </c>
      <c r="G1171" s="747" t="s">
        <v>17</v>
      </c>
      <c r="H1171" s="747" t="s">
        <v>18</v>
      </c>
      <c r="I1171" s="747" t="s">
        <v>21</v>
      </c>
      <c r="J1171" s="16" t="s">
        <v>22</v>
      </c>
      <c r="K1171" s="17"/>
      <c r="L1171" s="1125" t="s">
        <v>418</v>
      </c>
      <c r="M1171" s="67"/>
      <c r="N1171" s="839"/>
    </row>
    <row r="1172" spans="2:14" ht="14.25">
      <c r="B1172" s="67"/>
      <c r="C1172" s="100"/>
      <c r="D1172" s="100"/>
      <c r="E1172" s="315"/>
      <c r="F1172" s="757"/>
      <c r="G1172" s="757"/>
      <c r="H1172" s="757"/>
      <c r="I1172" s="730"/>
      <c r="J1172" s="1"/>
      <c r="K1172" s="1"/>
      <c r="L1172" s="1"/>
      <c r="M1172" s="67"/>
      <c r="N1172" s="839"/>
    </row>
    <row r="1173" spans="2:14" ht="15">
      <c r="B1173" s="17">
        <f t="shared" si="138" ref="B1173:B1196">B1172+1</f>
        <v>1</v>
      </c>
      <c r="C1173" s="8" t="s">
        <v>724</v>
      </c>
      <c r="D1173" s="8"/>
      <c r="E1173" s="1135" t="s">
        <v>335</v>
      </c>
      <c r="F1173" s="896"/>
      <c r="G1173" s="896"/>
      <c r="H1173" s="896"/>
      <c r="I1173" s="8"/>
      <c r="J1173" s="8"/>
      <c r="K1173" s="8"/>
      <c r="L1173" s="8"/>
      <c r="M1173" s="67"/>
      <c r="N1173" s="839"/>
    </row>
    <row r="1174" spans="2:14" ht="15">
      <c r="B1174" s="17">
        <f t="shared" si="138"/>
        <v>2</v>
      </c>
      <c r="C1174" s="8" t="s">
        <v>336</v>
      </c>
      <c r="D1174" s="8"/>
      <c r="E1174" s="1135"/>
      <c r="F1174" s="896"/>
      <c r="G1174" s="896"/>
      <c r="H1174" s="896"/>
      <c r="I1174" s="8"/>
      <c r="J1174" s="8"/>
      <c r="K1174" s="8"/>
      <c r="L1174" s="8"/>
      <c r="M1174" s="67"/>
      <c r="N1174" s="839"/>
    </row>
    <row r="1175" spans="2:14" s="386" customFormat="1" ht="14.25">
      <c r="B1175" s="17">
        <f t="shared" si="138"/>
        <v>3</v>
      </c>
      <c r="C1175" s="1" t="s">
        <v>337</v>
      </c>
      <c r="D1175" s="1" t="s">
        <v>338</v>
      </c>
      <c r="E1175" s="17"/>
      <c r="F1175" s="1087">
        <f>'WP II-I-1.1'!F441</f>
        <v>0</v>
      </c>
      <c r="G1175" s="1089">
        <f>'WP II-I-1.1'!G441</f>
        <v>17616778</v>
      </c>
      <c r="H1175" s="1089">
        <f>'WP II-I-1.1'!H441</f>
        <v>0</v>
      </c>
      <c r="I1175" s="1090">
        <f>'WP II-I-1.1'!I441</f>
        <v>0</v>
      </c>
      <c r="J1175" s="290">
        <f t="shared" si="139" ref="J1175:J1186">SUM(F1175:I1175)</f>
        <v>17616778</v>
      </c>
      <c r="K1175" s="290"/>
      <c r="L1175" s="18">
        <f t="shared" si="140" ref="L1175:L1196">SUM(G1175:I1175)</f>
        <v>17616778</v>
      </c>
      <c r="M1175" s="47"/>
      <c r="N1175" s="839">
        <f>J1175-L1175+'WP II-I-1.1'!F441</f>
        <v>0</v>
      </c>
    </row>
    <row r="1176" spans="2:14" s="386" customFormat="1" ht="14.25">
      <c r="B1176" s="17">
        <f t="shared" si="138"/>
        <v>4</v>
      </c>
      <c r="C1176" s="1" t="s">
        <v>339</v>
      </c>
      <c r="D1176" s="1" t="s">
        <v>340</v>
      </c>
      <c r="E1176" s="17"/>
      <c r="F1176" s="1081">
        <f>'WP II-I-1.1'!F442</f>
        <v>0</v>
      </c>
      <c r="G1176" s="893">
        <f>'WP II-I-1.1'!G442</f>
        <v>1070706.0600000001</v>
      </c>
      <c r="H1176" s="893">
        <f>'WP II-I-1.1'!H442</f>
        <v>0</v>
      </c>
      <c r="I1176" s="1082">
        <f>'WP II-I-1.1'!I442</f>
        <v>0</v>
      </c>
      <c r="J1176" s="290">
        <f t="shared" si="139"/>
        <v>1070706.0600000001</v>
      </c>
      <c r="K1176" s="290"/>
      <c r="L1176" s="18">
        <f t="shared" si="140"/>
        <v>1070706.0600000001</v>
      </c>
      <c r="M1176" s="47"/>
      <c r="N1176" s="839">
        <f>J1176-L1176+'WP II-I-1.1'!F442</f>
        <v>0</v>
      </c>
    </row>
    <row r="1177" spans="2:14" s="386" customFormat="1" ht="14.25">
      <c r="B1177" s="17">
        <f t="shared" si="138"/>
        <v>5</v>
      </c>
      <c r="C1177" s="1" t="s">
        <v>725</v>
      </c>
      <c r="D1177" s="28" t="s">
        <v>342</v>
      </c>
      <c r="E1177" s="17"/>
      <c r="F1177" s="1081">
        <f>'WP II-I-1.1'!F443</f>
        <v>0</v>
      </c>
      <c r="G1177" s="893">
        <f>'WP II-I-1.1'!G443</f>
        <v>17168857.82</v>
      </c>
      <c r="H1177" s="893">
        <f>'WP II-I-1.1'!H443</f>
        <v>5094630.9699999997</v>
      </c>
      <c r="I1177" s="1082">
        <f>'WP II-I-1.1'!I443</f>
        <v>205014.6500000013</v>
      </c>
      <c r="J1177" s="290">
        <f t="shared" si="139"/>
        <v>22468503.440000001</v>
      </c>
      <c r="K1177" s="290"/>
      <c r="L1177" s="18">
        <f t="shared" si="140"/>
        <v>22468503.440000001</v>
      </c>
      <c r="M1177" s="47"/>
      <c r="N1177" s="839">
        <f>J1177-L1177-'WP II-I-1.1'!F443</f>
        <v>0</v>
      </c>
    </row>
    <row r="1178" spans="2:14" s="386" customFormat="1" ht="14.25">
      <c r="B1178" s="17">
        <f t="shared" si="138"/>
        <v>6</v>
      </c>
      <c r="C1178" s="1" t="s">
        <v>725</v>
      </c>
      <c r="D1178" s="1" t="s">
        <v>344</v>
      </c>
      <c r="E1178" s="17"/>
      <c r="F1178" s="1081">
        <f>'WP II-I-1.1'!F444</f>
        <v>0</v>
      </c>
      <c r="G1178" s="893">
        <f>'WP II-I-1.1'!G444</f>
        <v>456565.46000000002</v>
      </c>
      <c r="H1178" s="893">
        <f>'WP II-I-1.1'!H444</f>
        <v>0</v>
      </c>
      <c r="I1178" s="1082">
        <f>'WP II-I-1.1'!I444</f>
        <v>0</v>
      </c>
      <c r="J1178" s="290">
        <f t="shared" si="139"/>
        <v>456565.46000000002</v>
      </c>
      <c r="K1178" s="290"/>
      <c r="L1178" s="18">
        <f t="shared" si="140"/>
        <v>456565.46000000002</v>
      </c>
      <c r="M1178" s="47"/>
      <c r="N1178" s="839">
        <f>J1178-L1178+'WP II-I-1.1'!F444</f>
        <v>0</v>
      </c>
    </row>
    <row r="1179" spans="2:14" s="386" customFormat="1" ht="14.25">
      <c r="B1179" s="17">
        <f t="shared" si="138"/>
        <v>7</v>
      </c>
      <c r="C1179" s="1" t="s">
        <v>345</v>
      </c>
      <c r="D1179" s="1" t="s">
        <v>346</v>
      </c>
      <c r="E1179" s="17"/>
      <c r="F1179" s="1081">
        <f>'WP II-I-1.1'!F446</f>
        <v>0</v>
      </c>
      <c r="G1179" s="893">
        <f>'WP II-I-1.1'!G446</f>
        <v>8281656.0099999998</v>
      </c>
      <c r="H1179" s="893">
        <f>'WP II-I-1.1'!H446</f>
        <v>0</v>
      </c>
      <c r="I1179" s="1082">
        <f>'WP II-I-1.1'!I446</f>
        <v>0</v>
      </c>
      <c r="J1179" s="290">
        <f t="shared" si="139"/>
        <v>8281656.0099999998</v>
      </c>
      <c r="K1179" s="290"/>
      <c r="L1179" s="18">
        <f t="shared" si="140"/>
        <v>8281656.0099999998</v>
      </c>
      <c r="M1179" s="47"/>
      <c r="N1179" s="839">
        <f>J1179-L1179+'WP II-I-1.1'!F445</f>
        <v>0</v>
      </c>
    </row>
    <row r="1180" spans="2:14" s="386" customFormat="1" ht="14.25">
      <c r="B1180" s="17">
        <f t="shared" si="138"/>
        <v>8</v>
      </c>
      <c r="C1180" s="1" t="s">
        <v>372</v>
      </c>
      <c r="D1180" s="1" t="s">
        <v>959</v>
      </c>
      <c r="E1180" s="17" t="s">
        <v>961</v>
      </c>
      <c r="F1180" s="1087">
        <f>'WP II-I-1.2'!F17</f>
        <v>115360.67999999999</v>
      </c>
      <c r="G1180" s="1089">
        <f>'WP II-I-1.2'!G17</f>
        <v>127189.3152</v>
      </c>
      <c r="H1180" s="1089">
        <f>'WP II-I-1.2'!H17</f>
        <v>0</v>
      </c>
      <c r="I1180" s="1090">
        <f>'WP II-I-1.2'!I17</f>
        <v>0</v>
      </c>
      <c r="J1180" s="290">
        <f t="shared" si="139"/>
        <v>242549.99520000001</v>
      </c>
      <c r="K1180" s="290"/>
      <c r="L1180" s="18">
        <f t="shared" si="140"/>
        <v>127189.3152</v>
      </c>
      <c r="M1180" s="47"/>
      <c r="N1180" s="839">
        <f>'WP II-I-1.1'!J447-J1180-J1181</f>
        <v>0</v>
      </c>
    </row>
    <row r="1181" spans="2:14" s="386" customFormat="1" ht="14.25">
      <c r="B1181" s="17">
        <f t="shared" si="138"/>
        <v>9</v>
      </c>
      <c r="C1181" s="1" t="s">
        <v>374</v>
      </c>
      <c r="D1181" s="1" t="s">
        <v>960</v>
      </c>
      <c r="E1181" s="17" t="s">
        <v>961</v>
      </c>
      <c r="F1181" s="1083">
        <f>'WP II-I-1.2'!F18</f>
        <v>845978.32000000007</v>
      </c>
      <c r="G1181" s="1084">
        <f>'WP II-I-1.2'!G18</f>
        <v>932721.64480000001</v>
      </c>
      <c r="H1181" s="1084">
        <f>'WP II-I-1.2'!H18</f>
        <v>0</v>
      </c>
      <c r="I1181" s="1085">
        <f>'WP II-I-1.2'!I18</f>
        <v>0</v>
      </c>
      <c r="J1181" s="290">
        <f t="shared" si="139"/>
        <v>1778699.9648000002</v>
      </c>
      <c r="K1181" s="290"/>
      <c r="L1181" s="18">
        <f t="shared" si="140"/>
        <v>932721.64480000001</v>
      </c>
      <c r="M1181" s="47"/>
      <c r="N1181" s="839">
        <f>SUM(F1180:G1181)-'WP II-I-1.1'!J447</f>
        <v>0</v>
      </c>
    </row>
    <row r="1182" spans="2:14" s="386" customFormat="1" ht="14.25">
      <c r="B1182" s="17">
        <f t="shared" si="138"/>
        <v>10</v>
      </c>
      <c r="C1182" s="1" t="s">
        <v>349</v>
      </c>
      <c r="D1182" s="1" t="s">
        <v>350</v>
      </c>
      <c r="E1182" s="17"/>
      <c r="F1182" s="1081">
        <f>'WP II-I-1.1'!F448</f>
        <v>14538318.33</v>
      </c>
      <c r="G1182" s="893">
        <f>'WP II-I-1.1'!G448</f>
        <v>0</v>
      </c>
      <c r="H1182" s="893">
        <f>'WP II-I-1.1'!H448</f>
        <v>0</v>
      </c>
      <c r="I1182" s="1082">
        <f>'WP II-I-1.1'!I448</f>
        <v>0</v>
      </c>
      <c r="J1182" s="290">
        <f t="shared" si="139"/>
        <v>14538318.33</v>
      </c>
      <c r="K1182" s="290"/>
      <c r="L1182" s="18">
        <f t="shared" si="140"/>
        <v>0</v>
      </c>
      <c r="M1182" s="47"/>
      <c r="N1182" s="839">
        <f>J1182-L1182-'WP II-I-1.1'!F448</f>
        <v>0</v>
      </c>
    </row>
    <row r="1183" spans="2:14" s="386" customFormat="1" ht="14.25">
      <c r="B1183" s="17">
        <f t="shared" si="138"/>
        <v>11</v>
      </c>
      <c r="C1183" s="1" t="s">
        <v>351</v>
      </c>
      <c r="D1183" s="1" t="s">
        <v>352</v>
      </c>
      <c r="E1183" s="17"/>
      <c r="F1183" s="1081">
        <f>'WP II-I-1.1'!F449</f>
        <v>609106.56000000006</v>
      </c>
      <c r="G1183" s="893">
        <f>'WP II-I-1.1'!G449</f>
        <v>16700</v>
      </c>
      <c r="H1183" s="893">
        <f>'WP II-I-1.1'!H449</f>
        <v>0</v>
      </c>
      <c r="I1183" s="1082">
        <f>'WP II-I-1.1'!I449</f>
        <v>0</v>
      </c>
      <c r="J1183" s="290">
        <f t="shared" si="139"/>
        <v>625806.56000000006</v>
      </c>
      <c r="K1183" s="290"/>
      <c r="L1183" s="18">
        <f t="shared" si="140"/>
        <v>16700</v>
      </c>
      <c r="M1183" s="47"/>
      <c r="N1183" s="839">
        <f>J1183-L1183-'WP II-I-1.1'!F449</f>
        <v>0</v>
      </c>
    </row>
    <row r="1184" spans="2:14" s="386" customFormat="1" ht="14.25">
      <c r="B1184" s="17">
        <f t="shared" si="138"/>
        <v>12</v>
      </c>
      <c r="C1184" s="1" t="s">
        <v>353</v>
      </c>
      <c r="D1184" s="1" t="s">
        <v>354</v>
      </c>
      <c r="E1184" s="17"/>
      <c r="F1184" s="1081">
        <f>'WP II-I-1.1'!F450</f>
        <v>464684.04000000004</v>
      </c>
      <c r="G1184" s="893">
        <f>'WP II-I-1.1'!G450</f>
        <v>0</v>
      </c>
      <c r="H1184" s="893">
        <f>'WP II-I-1.1'!H450</f>
        <v>0</v>
      </c>
      <c r="I1184" s="1082">
        <f>'WP II-I-1.1'!I450</f>
        <v>0</v>
      </c>
      <c r="J1184" s="290">
        <f t="shared" si="139"/>
        <v>464684.04000000004</v>
      </c>
      <c r="K1184" s="290"/>
      <c r="L1184" s="18">
        <f t="shared" si="140"/>
        <v>0</v>
      </c>
      <c r="M1184" s="47"/>
      <c r="N1184" s="839">
        <f>J1184-L1184-'WP II-I-1.1'!F450</f>
        <v>0</v>
      </c>
    </row>
    <row r="1185" spans="2:14" s="386" customFormat="1" ht="16.5">
      <c r="B1185" s="17">
        <f t="shared" si="138"/>
        <v>13</v>
      </c>
      <c r="C1185" s="1" t="s">
        <v>355</v>
      </c>
      <c r="D1185" s="1" t="s">
        <v>356</v>
      </c>
      <c r="E1185" s="17"/>
      <c r="F1185" s="1083">
        <f>'WP II-I-1.1'!F451</f>
        <v>26449886.82</v>
      </c>
      <c r="G1185" s="1084">
        <f>'WP II-I-1.1'!G451</f>
        <v>6086807.6699999981</v>
      </c>
      <c r="H1185" s="1084">
        <f>'WP II-I-1.1'!H451</f>
        <v>0</v>
      </c>
      <c r="I1185" s="1085">
        <f>'WP II-I-1.1'!I451</f>
        <v>0</v>
      </c>
      <c r="J1185" s="302">
        <f t="shared" si="139"/>
        <v>32536694.489999998</v>
      </c>
      <c r="K1185" s="302"/>
      <c r="L1185" s="296">
        <f t="shared" si="140"/>
        <v>6086807.6699999981</v>
      </c>
      <c r="M1185" s="47"/>
      <c r="N1185" s="839">
        <f>J1185-L1185-'WP II-I-1.1'!F451</f>
        <v>0</v>
      </c>
    </row>
    <row r="1186" spans="2:14" ht="15">
      <c r="B1186" s="17">
        <f t="shared" si="138"/>
        <v>14</v>
      </c>
      <c r="C1186" s="252"/>
      <c r="D1186" s="388" t="s">
        <v>491</v>
      </c>
      <c r="E1186" s="252"/>
      <c r="F1186" s="896">
        <f>SUM(F1175:F1185)</f>
        <v>43023334.75</v>
      </c>
      <c r="G1186" s="896">
        <f>SUM(G1175:G1185)</f>
        <v>51757981.979999989</v>
      </c>
      <c r="H1186" s="896">
        <f>SUM(H1175:H1185)</f>
        <v>5094630.9699999997</v>
      </c>
      <c r="I1186" s="896">
        <f>SUM(I1175:I1185)</f>
        <v>205014.6500000013</v>
      </c>
      <c r="J1186" s="22">
        <f t="shared" si="139"/>
        <v>100080962.34999999</v>
      </c>
      <c r="K1186" s="22"/>
      <c r="L1186" s="22">
        <f t="shared" si="140"/>
        <v>57057627.599999987</v>
      </c>
      <c r="M1186" s="67"/>
      <c r="N1186" s="839">
        <f>J1186-L1186-F1186</f>
        <v>0</v>
      </c>
    </row>
    <row r="1187" spans="2:13" ht="15" thickBot="1">
      <c r="B1187" s="17">
        <f t="shared" si="138"/>
        <v>15</v>
      </c>
      <c r="C1187" s="1"/>
      <c r="D1187" s="1"/>
      <c r="E1187" s="17"/>
      <c r="F1187" s="894"/>
      <c r="G1187" s="894"/>
      <c r="H1187" s="894"/>
      <c r="I1187" s="730"/>
      <c r="J1187" s="24"/>
      <c r="K1187" s="24"/>
      <c r="L1187" s="1"/>
      <c r="M1187" s="67"/>
    </row>
    <row r="1188" spans="2:14" ht="15.75" thickBot="1">
      <c r="B1188" s="17">
        <f t="shared" si="138"/>
        <v>16</v>
      </c>
      <c r="C1188" s="284" t="s">
        <v>727</v>
      </c>
      <c r="D1188" s="316"/>
      <c r="E1188" s="316" t="s">
        <v>335</v>
      </c>
      <c r="F1188" s="903">
        <f>+F1186</f>
        <v>43023334.75</v>
      </c>
      <c r="G1188" s="903">
        <f>+G1186</f>
        <v>51757981.979999989</v>
      </c>
      <c r="H1188" s="903">
        <f>+H1186</f>
        <v>5094630.9699999997</v>
      </c>
      <c r="I1188" s="903">
        <f>+I1186</f>
        <v>205014.6500000013</v>
      </c>
      <c r="J1188" s="256">
        <f>SUM(F1188:I1188)</f>
        <v>100080962.34999999</v>
      </c>
      <c r="K1188" s="252"/>
      <c r="L1188" s="257">
        <f t="shared" si="140"/>
        <v>57057627.599999987</v>
      </c>
      <c r="M1188" s="67"/>
      <c r="N1188" s="839">
        <f>J1188-L1188-F1188</f>
        <v>0</v>
      </c>
    </row>
    <row r="1189" spans="2:13" ht="15" thickBot="1">
      <c r="B1189" s="17">
        <f t="shared" si="138"/>
        <v>17</v>
      </c>
      <c r="C1189" s="67"/>
      <c r="D1189" s="67"/>
      <c r="E1189" s="67"/>
      <c r="F1189" s="664"/>
      <c r="G1189" s="664"/>
      <c r="H1189" s="664"/>
      <c r="I1189" s="664"/>
      <c r="J1189" s="67"/>
      <c r="K1189" s="47"/>
      <c r="L1189" s="47"/>
      <c r="M1189" s="67"/>
    </row>
    <row r="1190" spans="2:14" ht="15.75" thickBot="1">
      <c r="B1190" s="17">
        <f t="shared" si="138"/>
        <v>18</v>
      </c>
      <c r="C1190" s="284" t="s">
        <v>511</v>
      </c>
      <c r="D1190" s="316"/>
      <c r="E1190" s="316"/>
      <c r="F1190" s="903">
        <f>F599+F1156</f>
        <v>1488199688.2282157</v>
      </c>
      <c r="G1190" s="903">
        <f>G599+G1156</f>
        <v>4012552544.0526075</v>
      </c>
      <c r="H1190" s="903">
        <f>H599+H1156</f>
        <v>205435693.36813828</v>
      </c>
      <c r="I1190" s="903">
        <f>I599+I1156</f>
        <v>104584405.97196172</v>
      </c>
      <c r="J1190" s="256">
        <f>SUM(F1190:I1190)</f>
        <v>5810772331.620923</v>
      </c>
      <c r="K1190" s="252"/>
      <c r="L1190" s="257">
        <f t="shared" si="140"/>
        <v>4322572643.3927078</v>
      </c>
      <c r="M1190" s="129"/>
      <c r="N1190" s="839">
        <f>J1190-L1190-F1190</f>
        <v>0</v>
      </c>
    </row>
    <row r="1191" spans="2:13" ht="15" thickBot="1">
      <c r="B1191" s="17">
        <f t="shared" si="138"/>
        <v>19</v>
      </c>
      <c r="C1191" s="67"/>
      <c r="D1191" s="67"/>
      <c r="E1191" s="67"/>
      <c r="F1191" s="664"/>
      <c r="G1191" s="664"/>
      <c r="H1191" s="664"/>
      <c r="I1191" s="664"/>
      <c r="J1191" s="67"/>
      <c r="K1191" s="47"/>
      <c r="L1191" s="47"/>
      <c r="M1191" s="67"/>
    </row>
    <row r="1192" spans="2:14" ht="15.75" thickBot="1">
      <c r="B1192" s="17">
        <f t="shared" si="138"/>
        <v>20</v>
      </c>
      <c r="C1192" s="284" t="s">
        <v>728</v>
      </c>
      <c r="D1192" s="316"/>
      <c r="E1192" s="316"/>
      <c r="F1192" s="903">
        <f>F1190-F1188</f>
        <v>1445176353.4782157</v>
      </c>
      <c r="G1192" s="903">
        <f>G1190-G1188</f>
        <v>3960794562.0726075</v>
      </c>
      <c r="H1192" s="903">
        <f>H1190-H1188</f>
        <v>200341062.39813829</v>
      </c>
      <c r="I1192" s="903">
        <f>I1190-I1188</f>
        <v>104379391.32196172</v>
      </c>
      <c r="J1192" s="256">
        <f>SUM(F1192:I1192)</f>
        <v>5710691369.2709227</v>
      </c>
      <c r="K1192" s="252"/>
      <c r="L1192" s="257">
        <f t="shared" si="140"/>
        <v>4265515015.7927079</v>
      </c>
      <c r="M1192" s="129"/>
      <c r="N1192" s="839">
        <f>J1192-L1192-F1192</f>
        <v>0</v>
      </c>
    </row>
    <row r="1193" spans="2:13" ht="15" thickBot="1">
      <c r="B1193" s="17">
        <f t="shared" si="138"/>
        <v>21</v>
      </c>
      <c r="C1193" s="67"/>
      <c r="D1193" s="67"/>
      <c r="E1193" s="67"/>
      <c r="F1193" s="664"/>
      <c r="G1193" s="664"/>
      <c r="H1193" s="664"/>
      <c r="I1193" s="664"/>
      <c r="J1193" s="67"/>
      <c r="K1193" s="47"/>
      <c r="L1193" s="47"/>
      <c r="M1193" s="67"/>
    </row>
    <row r="1194" spans="2:14" ht="15">
      <c r="B1194" s="17">
        <f t="shared" si="138"/>
        <v>22</v>
      </c>
      <c r="C1194" s="319" t="s">
        <v>1389</v>
      </c>
      <c r="D1194" s="305"/>
      <c r="E1194" s="305"/>
      <c r="F1194" s="908">
        <f>F1190-F622</f>
        <v>1488199688.2282157</v>
      </c>
      <c r="G1194" s="1476">
        <f>G1190-G622-('WP II-I-2.2'!$P$45)*G753</f>
        <v>2358383897.1357965</v>
      </c>
      <c r="H1194" s="908">
        <f>H1190-H622</f>
        <v>205435693.36813828</v>
      </c>
      <c r="I1194" s="908">
        <f>I1190-I622</f>
        <v>104584405.97196172</v>
      </c>
      <c r="J1194" s="307">
        <f>SUM(F1194:I1194)</f>
        <v>4156603684.7041121</v>
      </c>
      <c r="K1194" s="252"/>
      <c r="L1194" s="308">
        <f t="shared" si="140"/>
        <v>2668403996.4758964</v>
      </c>
      <c r="M1194" s="129"/>
      <c r="N1194" s="839">
        <f>J1194-L1194-F1194</f>
        <v>0</v>
      </c>
    </row>
    <row r="1195" spans="2:13" ht="14.25">
      <c r="B1195" s="17">
        <f t="shared" si="138"/>
        <v>23</v>
      </c>
      <c r="C1195" s="389"/>
      <c r="D1195" s="390"/>
      <c r="E1195" s="390"/>
      <c r="F1195" s="950"/>
      <c r="G1195" s="950"/>
      <c r="H1195" s="950"/>
      <c r="I1195" s="950"/>
      <c r="J1195" s="301"/>
      <c r="K1195" s="1"/>
      <c r="L1195" s="391"/>
      <c r="M1195" s="67"/>
    </row>
    <row r="1196" spans="2:14" ht="15.75" thickBot="1">
      <c r="B1196" s="17">
        <f t="shared" si="138"/>
        <v>24</v>
      </c>
      <c r="C1196" s="326" t="s">
        <v>1404</v>
      </c>
      <c r="D1196" s="311"/>
      <c r="E1196" s="311"/>
      <c r="F1196" s="312">
        <f>F1194-F1188</f>
        <v>1445176353.4782157</v>
      </c>
      <c r="G1196" s="312">
        <f>G1194-G1188</f>
        <v>2306625915.1557965</v>
      </c>
      <c r="H1196" s="312">
        <f>H1194-H1188</f>
        <v>200341062.39813829</v>
      </c>
      <c r="I1196" s="312">
        <f>I1194-I1188</f>
        <v>104379391.32196172</v>
      </c>
      <c r="J1196" s="313">
        <f>SUM(F1196:I1196)</f>
        <v>4056522722.3541121</v>
      </c>
      <c r="K1196" s="252"/>
      <c r="L1196" s="314">
        <f t="shared" si="140"/>
        <v>2611346368.8758969</v>
      </c>
      <c r="M1196" s="129"/>
      <c r="N1196" s="839">
        <f>J1196-L1196-F1196</f>
        <v>0</v>
      </c>
    </row>
    <row r="1197" spans="10:12" ht="14.25">
      <c r="J1197" s="233"/>
      <c r="K1197" s="233"/>
      <c r="L1197" s="233"/>
    </row>
    <row r="1198" spans="8:12" ht="14.25">
      <c r="H1198" s="370"/>
      <c r="J1198" s="233"/>
      <c r="K1198" s="233"/>
      <c r="L1198" s="233"/>
    </row>
    <row r="1199" spans="3:12" s="1056" customFormat="1" ht="14.25">
      <c r="C1199" s="1056" t="s">
        <v>728</v>
      </c>
      <c r="F1199" s="1057" t="b">
        <f>IF(ROUND(F1192-'WP II-I-1.1'!F467,0)=0,TRUE,F1192-'WP II-I-1.1'!F467)</f>
        <v>1</v>
      </c>
      <c r="G1199" s="1057" t="b">
        <f>IF(ROUND(G1192-'WP II-I-1.1'!G467,0)=0,TRUE,G1192-'WP II-I-1.1'!G467)</f>
        <v>1</v>
      </c>
      <c r="H1199" s="1057" t="b">
        <f>IF(ROUND(H1192-'WP II-I-1.1'!H467,0)=0,TRUE,H1192-'WP II-I-1.1'!H467)</f>
        <v>1</v>
      </c>
      <c r="I1199" s="1057" t="b">
        <f>IF(ROUND(I1192-'WP II-I-1.1'!I467,0)=0,TRUE,I1192-'WP II-I-1.1'!I467)</f>
        <v>1</v>
      </c>
      <c r="J1199" s="1057" t="b">
        <f>IF(ROUND(J1192-'WP II-I-1.1'!J467,0)=0,TRUE,J1192-'WP II-I-1.1'!J467)</f>
        <v>1</v>
      </c>
      <c r="K1199" s="1057"/>
      <c r="L1199" s="1058"/>
    </row>
    <row r="1201" spans="6:10" ht="14.25">
      <c r="F1201">
        <v>1488199688.2282155</v>
      </c>
      <c r="G1201">
        <v>4012552544.0526066</v>
      </c>
      <c r="H1201">
        <v>205435693.36813831</v>
      </c>
      <c r="I1201">
        <v>104584405.97196171</v>
      </c>
      <c r="J1201">
        <v>5810772331.620923</v>
      </c>
    </row>
  </sheetData>
  <printOptions horizontalCentered="1"/>
  <pageMargins left="0.5" right="0.5" top="1.5" bottom="0.75" header="1.5" footer="0.5"/>
  <pageSetup fitToHeight="35" orientation="landscape" pageOrder="overThenDown" scale="49" r:id="rId1"/>
  <headerFooter alignWithMargins="0">
    <oddHeader>&amp;RWP/ II-I-1.4
Page &amp;P of &amp;N</oddHeader>
  </headerFooter>
  <rowBreaks count="33" manualBreakCount="33">
    <brk id="39" max="13" man="1"/>
    <brk id="88" max="13" man="1"/>
    <brk id="118" max="16383" man="1"/>
    <brk id="164" max="16383" man="1"/>
    <brk id="195" max="16383" man="1"/>
    <brk id="219" max="16383" man="1"/>
    <brk id="237" max="13" man="1"/>
    <brk id="266" max="13" man="1"/>
    <brk id="316" max="16383" man="1"/>
    <brk id="355" max="16383" man="1"/>
    <brk id="375" max="16383" man="1"/>
    <brk id="400" max="16383" man="1"/>
    <brk id="422" max="16383" man="1"/>
    <brk id="442" max="16383" man="1"/>
    <brk id="465" max="16383" man="1"/>
    <brk id="486" max="16383" man="1"/>
    <brk id="536" max="11" man="1"/>
    <brk id="554" max="11" man="1"/>
    <brk id="600" max="16383" man="1"/>
    <brk id="641" max="16383" man="1"/>
    <brk id="687" max="16383" man="1"/>
    <brk id="731" max="16383" man="1"/>
    <brk id="765" max="16383" man="1"/>
    <brk id="805" max="16383" man="1"/>
    <brk id="851" max="13" man="1"/>
    <brk id="902" max="16383" man="1"/>
    <brk id="935" max="16383" man="1"/>
    <brk id="955" max="13" man="1"/>
    <brk id="1005" max="16383" man="1"/>
    <brk id="1041" max="16383" man="1"/>
    <brk id="1072" max="13" man="1"/>
    <brk id="1133" max="16383" man="1"/>
    <brk id="116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1"/>
  <dimension ref="A1:Z1412"/>
  <sheetViews>
    <sheetView view="pageBreakPreview" zoomScale="75" zoomScaleNormal="75" zoomScaleSheetLayoutView="75" workbookViewId="0" topLeftCell="A482">
      <selection pane="topLeft" activeCell="Q613" sqref="Q613"/>
    </sheetView>
  </sheetViews>
  <sheetFormatPr defaultRowHeight="14.25"/>
  <cols>
    <col min="1" max="1" width="1" customWidth="1"/>
    <col min="2" max="2" width="4.5" customWidth="1"/>
    <col min="3" max="3" width="7.125" customWidth="1"/>
    <col min="4" max="4" width="46.375" customWidth="1"/>
    <col min="5" max="5" width="11.125" customWidth="1"/>
    <col min="6" max="6" width="17.375" customWidth="1"/>
    <col min="7" max="7" width="12.25" customWidth="1"/>
    <col min="8" max="8" width="12.5" customWidth="1"/>
    <col min="9" max="9" width="1.625" customWidth="1"/>
    <col min="10" max="10" width="16.875" customWidth="1"/>
    <col min="11" max="11" width="13.75" customWidth="1"/>
    <col min="12" max="12" width="15.75" customWidth="1"/>
    <col min="13" max="13" width="12.875" customWidth="1"/>
    <col min="14" max="15" width="12.625" customWidth="1"/>
    <col min="16" max="16" width="12.125" customWidth="1"/>
    <col min="17" max="17" width="14.625" customWidth="1"/>
    <col min="18" max="18" width="11.5" customWidth="1"/>
    <col min="19" max="19" width="13" customWidth="1"/>
    <col min="20" max="20" width="0.625" customWidth="1"/>
    <col min="21" max="21" width="16.5" customWidth="1"/>
    <col min="22" max="22" width="1.25" customWidth="1"/>
    <col min="23" max="23" width="12.75" customWidth="1"/>
    <col min="24" max="24" width="13.25" customWidth="1"/>
    <col min="25" max="25" width="22" customWidth="1"/>
    <col min="28" max="28" width="9" customWidth="1"/>
  </cols>
  <sheetData>
    <row r="1" spans="1:21" ht="15">
      <c r="A1" s="129"/>
      <c r="B1" s="1245"/>
      <c r="J1" s="129"/>
      <c r="U1" s="233"/>
    </row>
    <row r="2" spans="2:21" ht="15">
      <c r="B2" s="1246"/>
      <c r="H2" s="134"/>
      <c r="U2" s="134"/>
    </row>
    <row r="3" spans="1:23" ht="15" thickBo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29"/>
      <c r="W3" s="129"/>
    </row>
    <row r="4" spans="1:24" ht="15.75">
      <c r="A4" s="67"/>
      <c r="B4" s="920" t="str">
        <f>'WP II-I-1.1'!B3</f>
        <v>2022 RATE CASE</v>
      </c>
      <c r="C4" s="964"/>
      <c r="D4" s="965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167"/>
      <c r="V4" s="167"/>
      <c r="W4" s="167"/>
      <c r="X4" s="167"/>
    </row>
    <row r="5" spans="1:24" ht="15.75">
      <c r="A5" s="67"/>
      <c r="B5" s="917" t="str">
        <f>'WP II-I-1.1'!B4</f>
        <v>ONCOR ELECTRIC DELIVERY COMPANY LLC</v>
      </c>
      <c r="C5" s="840"/>
      <c r="D5" s="9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34"/>
      <c r="V5" s="67"/>
      <c r="W5" s="67"/>
      <c r="X5" s="167"/>
    </row>
    <row r="6" spans="1:24" ht="15.75">
      <c r="A6" s="67"/>
      <c r="B6" s="406" t="str">
        <f>"II-I-1-DIST:  CLASS REVENUE REQUIREMENT"</f>
        <v>II-I-1-DIST:  CLASS REVENUE REQUIREMENT</v>
      </c>
      <c r="C6" s="840"/>
      <c r="D6" s="921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167"/>
    </row>
    <row r="7" spans="1:24" ht="15.75">
      <c r="A7" s="67"/>
      <c r="B7" s="406" t="str">
        <f>'WP II-I-1.1'!B6</f>
        <v>TEST YEAR ENDING 12/31/2021</v>
      </c>
      <c r="C7" s="840"/>
      <c r="D7" s="921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167"/>
    </row>
    <row r="8" spans="1:24" ht="15.75">
      <c r="A8" s="67"/>
      <c r="B8" s="406" t="str">
        <f>'WP II-I-2.2'!$B$7</f>
        <v>SPONSOR:  MATTHEW A. TROXLE</v>
      </c>
      <c r="C8" s="840"/>
      <c r="D8" s="921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167"/>
    </row>
    <row r="9" spans="1:24" ht="16.5" thickBot="1">
      <c r="A9" s="67"/>
      <c r="B9" s="406"/>
      <c r="C9" s="840"/>
      <c r="D9" s="921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167"/>
    </row>
    <row r="10" spans="1:24" ht="15.75" thickBot="1">
      <c r="A10" s="67"/>
      <c r="B10" s="13"/>
      <c r="C10" s="1375"/>
      <c r="D10" s="237"/>
      <c r="E10" s="238"/>
      <c r="F10" s="238"/>
      <c r="G10" s="238"/>
      <c r="H10" s="238"/>
      <c r="I10" s="471"/>
      <c r="J10" s="14"/>
      <c r="K10" s="238"/>
      <c r="L10" s="14"/>
      <c r="M10" s="238"/>
      <c r="N10" s="238"/>
      <c r="O10" s="238"/>
      <c r="P10" s="238"/>
      <c r="Q10" s="14"/>
      <c r="R10" s="393" t="str">
        <f>" "</f>
        <v xml:space="preserve"> </v>
      </c>
      <c r="S10" s="394"/>
      <c r="T10" s="238"/>
      <c r="U10" s="13"/>
      <c r="V10" s="67"/>
      <c r="W10" s="67"/>
      <c r="X10" s="167"/>
    </row>
    <row r="11" spans="1:24" ht="15.75">
      <c r="A11" s="67"/>
      <c r="B11" s="15" t="s">
        <v>2</v>
      </c>
      <c r="C11" s="1376"/>
      <c r="D11" s="241" t="s">
        <v>729</v>
      </c>
      <c r="E11" s="242" t="s">
        <v>371</v>
      </c>
      <c r="F11" s="287" t="s">
        <v>7</v>
      </c>
      <c r="G11" s="242"/>
      <c r="H11" s="242"/>
      <c r="I11" s="395"/>
      <c r="J11" s="15" t="s">
        <v>730</v>
      </c>
      <c r="K11" s="242" t="s">
        <v>409</v>
      </c>
      <c r="L11" s="15" t="s">
        <v>409</v>
      </c>
      <c r="M11" s="242" t="s">
        <v>410</v>
      </c>
      <c r="N11" s="242" t="s">
        <v>410</v>
      </c>
      <c r="O11" s="242" t="s">
        <v>410</v>
      </c>
      <c r="P11" s="242" t="s">
        <v>411</v>
      </c>
      <c r="Q11" s="15" t="s">
        <v>412</v>
      </c>
      <c r="R11" s="396" t="s">
        <v>407</v>
      </c>
      <c r="S11" s="13" t="s">
        <v>407</v>
      </c>
      <c r="T11" s="242"/>
      <c r="U11" s="15" t="s">
        <v>10</v>
      </c>
      <c r="V11" s="67"/>
      <c r="W11" s="67"/>
      <c r="X11" s="167"/>
    </row>
    <row r="12" spans="1:23" ht="15">
      <c r="A12" s="67"/>
      <c r="B12" s="15"/>
      <c r="C12" s="1376"/>
      <c r="D12" s="242"/>
      <c r="E12" s="242"/>
      <c r="F12" s="242"/>
      <c r="G12" s="242"/>
      <c r="H12" s="242"/>
      <c r="I12" s="395"/>
      <c r="J12" s="15"/>
      <c r="K12" s="242" t="s">
        <v>731</v>
      </c>
      <c r="L12" s="15" t="s">
        <v>732</v>
      </c>
      <c r="M12" s="242" t="s">
        <v>731</v>
      </c>
      <c r="N12" s="242" t="s">
        <v>732</v>
      </c>
      <c r="O12" s="242" t="s">
        <v>414</v>
      </c>
      <c r="P12" s="242"/>
      <c r="Q12" s="15"/>
      <c r="R12" s="235" t="s">
        <v>458</v>
      </c>
      <c r="S12" s="15" t="s">
        <v>415</v>
      </c>
      <c r="T12" s="242"/>
      <c r="U12" s="15"/>
      <c r="V12" s="67"/>
      <c r="W12" s="67"/>
    </row>
    <row r="13" spans="1:23" ht="15" thickBot="1">
      <c r="A13" s="67"/>
      <c r="B13" s="16"/>
      <c r="C13" s="473"/>
      <c r="D13" s="245"/>
      <c r="E13" s="245"/>
      <c r="F13" s="16" t="s">
        <v>13</v>
      </c>
      <c r="G13" s="16" t="s">
        <v>14</v>
      </c>
      <c r="H13" s="16" t="s">
        <v>15</v>
      </c>
      <c r="I13" s="243"/>
      <c r="J13" s="16" t="s">
        <v>16</v>
      </c>
      <c r="K13" s="243" t="s">
        <v>17</v>
      </c>
      <c r="L13" s="16" t="s">
        <v>18</v>
      </c>
      <c r="M13" s="16" t="s">
        <v>19</v>
      </c>
      <c r="N13" s="16" t="s">
        <v>20</v>
      </c>
      <c r="O13" s="16" t="s">
        <v>21</v>
      </c>
      <c r="P13" s="16" t="s">
        <v>22</v>
      </c>
      <c r="Q13" s="16" t="s">
        <v>418</v>
      </c>
      <c r="R13" s="243" t="s">
        <v>419</v>
      </c>
      <c r="S13" s="16" t="s">
        <v>733</v>
      </c>
      <c r="T13" s="16"/>
      <c r="U13" s="16" t="s">
        <v>734</v>
      </c>
      <c r="V13" s="67"/>
      <c r="W13" s="67"/>
    </row>
    <row r="14" spans="1:23" ht="14.25">
      <c r="A14" s="67"/>
      <c r="B14" s="67"/>
      <c r="C14" s="12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12"/>
      <c r="V14" s="67"/>
      <c r="W14" s="67"/>
    </row>
    <row r="15" spans="1:24" ht="15">
      <c r="A15" s="67"/>
      <c r="B15" s="17">
        <f t="shared" si="0" ref="B15:B24">B14+1</f>
        <v>1</v>
      </c>
      <c r="C15" s="12"/>
      <c r="D15" s="247" t="s">
        <v>642</v>
      </c>
      <c r="E15" s="58" t="s">
        <v>253</v>
      </c>
      <c r="F15" s="121">
        <f>F638+F686</f>
        <v>1967625126.8699999</v>
      </c>
      <c r="G15" s="246"/>
      <c r="H15" s="246"/>
      <c r="I15" s="246"/>
      <c r="J15" s="121">
        <f t="shared" si="1" ref="J15:Q15">J638+J686</f>
        <v>925628833.10099077</v>
      </c>
      <c r="K15" s="121">
        <f t="shared" si="1"/>
        <v>25721820.585483331</v>
      </c>
      <c r="L15" s="121">
        <f t="shared" si="1"/>
        <v>658414733.63081193</v>
      </c>
      <c r="M15" s="121">
        <f t="shared" si="1"/>
        <v>291840.01456292707</v>
      </c>
      <c r="N15" s="121">
        <f t="shared" si="1"/>
        <v>160201273.62697214</v>
      </c>
      <c r="O15" s="121">
        <f>O638+O686</f>
        <v>47191842.007465109</v>
      </c>
      <c r="P15" s="121">
        <f t="shared" si="1"/>
        <v>137854134.38382378</v>
      </c>
      <c r="Q15" s="121">
        <f t="shared" si="1"/>
        <v>10957440.883090312</v>
      </c>
      <c r="R15" s="121">
        <f>R638+R686</f>
        <v>214703.74389727382</v>
      </c>
      <c r="S15" s="121">
        <f>S638+S686</f>
        <v>1148504.8929023938</v>
      </c>
      <c r="T15" s="246"/>
      <c r="U15" s="121">
        <f>SUM(I15:T15)</f>
        <v>1967625126.8699999</v>
      </c>
      <c r="V15" s="67"/>
      <c r="W15" s="67"/>
      <c r="X15" s="370">
        <f>U15-F15</f>
        <v>0</v>
      </c>
    </row>
    <row r="16" spans="1:24" ht="15">
      <c r="A16" s="67"/>
      <c r="B16" s="17">
        <f t="shared" si="0"/>
        <v>2</v>
      </c>
      <c r="C16" s="12"/>
      <c r="D16" s="247" t="s">
        <v>643</v>
      </c>
      <c r="E16" s="58" t="s">
        <v>253</v>
      </c>
      <c r="F16" s="24">
        <f>F706+F716+F726</f>
        <v>245305.53</v>
      </c>
      <c r="G16" s="246"/>
      <c r="H16" s="246"/>
      <c r="I16" s="246"/>
      <c r="J16" s="121">
        <f t="shared" si="2" ref="J16:Q16">J706+J716+J726</f>
        <v>211382.27115438183</v>
      </c>
      <c r="K16" s="121">
        <f t="shared" si="2"/>
        <v>20459.034674143855</v>
      </c>
      <c r="L16" s="121">
        <f t="shared" si="2"/>
        <v>10111.178373824361</v>
      </c>
      <c r="M16" s="121">
        <f t="shared" si="2"/>
        <v>238.26143515301391</v>
      </c>
      <c r="N16" s="121">
        <f t="shared" si="2"/>
        <v>203.54548295348263</v>
      </c>
      <c r="O16" s="121">
        <f>O706+O716+O726</f>
        <v>-91.058921478263471</v>
      </c>
      <c r="P16" s="121">
        <f t="shared" si="2"/>
        <v>-384.86850408314456</v>
      </c>
      <c r="Q16" s="121">
        <f t="shared" si="2"/>
        <v>3371.953089149315</v>
      </c>
      <c r="R16" s="121">
        <f>R706+R716+R726</f>
        <v>4.3069900105113224</v>
      </c>
      <c r="S16" s="121">
        <f>S706+S716+S726</f>
        <v>10.906225945007437</v>
      </c>
      <c r="T16" s="246"/>
      <c r="U16" s="121">
        <f>SUM(I16:T16)</f>
        <v>245305.53000000003</v>
      </c>
      <c r="V16" s="67"/>
      <c r="W16" s="67"/>
      <c r="X16" s="370">
        <f t="shared" si="3" ref="X16:X79">U16-F16</f>
        <v>0</v>
      </c>
    </row>
    <row r="17" spans="1:24" ht="16.5">
      <c r="A17" s="67"/>
      <c r="B17" s="17">
        <f t="shared" si="0"/>
        <v>3</v>
      </c>
      <c r="C17" s="12"/>
      <c r="D17" s="632" t="s">
        <v>644</v>
      </c>
      <c r="E17" s="58" t="s">
        <v>253</v>
      </c>
      <c r="F17" s="266">
        <f>F760</f>
        <v>423126451.5800001</v>
      </c>
      <c r="G17" s="246"/>
      <c r="H17" s="246"/>
      <c r="I17" s="246"/>
      <c r="J17" s="265">
        <f t="shared" si="4" ref="J17:Q17">J760</f>
        <v>228351197.69918948</v>
      </c>
      <c r="K17" s="265">
        <f t="shared" si="4"/>
        <v>7879417.5337146763</v>
      </c>
      <c r="L17" s="265">
        <f t="shared" si="4"/>
        <v>144052746.12633011</v>
      </c>
      <c r="M17" s="265">
        <f t="shared" si="4"/>
        <v>73200.400360594373</v>
      </c>
      <c r="N17" s="265">
        <f t="shared" si="4"/>
        <v>24811551.005587529</v>
      </c>
      <c r="O17" s="265">
        <f>O760</f>
        <v>2275900.9610185553</v>
      </c>
      <c r="P17" s="265">
        <f t="shared" si="4"/>
        <v>333312.71977059619</v>
      </c>
      <c r="Q17" s="265">
        <f t="shared" si="4"/>
        <v>13755288.878110368</v>
      </c>
      <c r="R17" s="265">
        <f>R760</f>
        <v>268581.45248894574</v>
      </c>
      <c r="S17" s="265">
        <f>S760</f>
        <v>1325254.8034290271</v>
      </c>
      <c r="T17" s="246"/>
      <c r="U17" s="265">
        <f>SUM(I17:T17)</f>
        <v>423126451.57999986</v>
      </c>
      <c r="V17" s="67"/>
      <c r="W17" s="67"/>
      <c r="X17" s="370">
        <f t="shared" si="3"/>
        <v>0</v>
      </c>
    </row>
    <row r="18" spans="1:26" ht="15.75">
      <c r="A18" s="118"/>
      <c r="B18" s="17">
        <f t="shared" si="0"/>
        <v>4</v>
      </c>
      <c r="C18" s="167"/>
      <c r="D18" s="247" t="s">
        <v>506</v>
      </c>
      <c r="E18" s="58"/>
      <c r="F18" s="896">
        <f>SUM(F15:F17)</f>
        <v>2390996883.98</v>
      </c>
      <c r="G18" s="58"/>
      <c r="H18" s="20"/>
      <c r="I18" s="58"/>
      <c r="J18" s="53">
        <f t="shared" si="5" ref="J18:Q18">SUM(J15:J17)</f>
        <v>1154191413.0713346</v>
      </c>
      <c r="K18" s="53">
        <f t="shared" si="5"/>
        <v>33621697.153872155</v>
      </c>
      <c r="L18" s="53">
        <f t="shared" si="5"/>
        <v>802477590.93551588</v>
      </c>
      <c r="M18" s="53">
        <f t="shared" si="5"/>
        <v>365278.67635867448</v>
      </c>
      <c r="N18" s="53">
        <f t="shared" si="5"/>
        <v>185013028.17804262</v>
      </c>
      <c r="O18" s="53">
        <f>SUM(O15:O17)</f>
        <v>49467651.909562185</v>
      </c>
      <c r="P18" s="53">
        <f t="shared" si="5"/>
        <v>138187062.23509032</v>
      </c>
      <c r="Q18" s="53">
        <f t="shared" si="5"/>
        <v>24716101.714289829</v>
      </c>
      <c r="R18" s="53">
        <f>SUM(R15:R17)</f>
        <v>483289.50337623007</v>
      </c>
      <c r="S18" s="53">
        <f>SUM(S15:S17)</f>
        <v>2473770.6025573658</v>
      </c>
      <c r="T18" s="50"/>
      <c r="U18" s="251">
        <f>SUM(I18:T18)</f>
        <v>2390996883.9799991</v>
      </c>
      <c r="V18" s="67"/>
      <c r="W18" s="67"/>
      <c r="X18" s="370">
        <f t="shared" si="3"/>
        <v>0</v>
      </c>
      <c r="Y18" s="692" t="b">
        <f>'WP II-I-1.1'!$G$462=U18</f>
        <v>1</v>
      </c>
      <c r="Z18" s="664" t="s">
        <v>1265</v>
      </c>
    </row>
    <row r="19" spans="1:24" ht="15.75">
      <c r="A19" s="118"/>
      <c r="B19" s="17">
        <f t="shared" si="0"/>
        <v>5</v>
      </c>
      <c r="C19" s="167"/>
      <c r="D19" s="247"/>
      <c r="E19" s="58"/>
      <c r="F19" s="19"/>
      <c r="G19" s="58"/>
      <c r="H19" s="20"/>
      <c r="I19" s="58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121"/>
      <c r="V19" s="67"/>
      <c r="W19" s="67"/>
      <c r="X19" s="370">
        <f t="shared" si="3"/>
        <v>0</v>
      </c>
    </row>
    <row r="20" spans="1:24" ht="15.75">
      <c r="A20" s="118"/>
      <c r="B20" s="17">
        <f t="shared" si="0"/>
        <v>6</v>
      </c>
      <c r="C20" s="167"/>
      <c r="D20" s="214" t="s">
        <v>640</v>
      </c>
      <c r="E20" s="58" t="s">
        <v>297</v>
      </c>
      <c r="F20" s="19">
        <f>F1035</f>
        <v>459817144.95999992</v>
      </c>
      <c r="G20" s="58"/>
      <c r="H20" s="20"/>
      <c r="I20" s="58"/>
      <c r="J20" s="50">
        <f t="shared" si="6" ref="J20:Q20">J1035</f>
        <v>245541115.9493264</v>
      </c>
      <c r="K20" s="50">
        <f t="shared" si="6"/>
        <v>10276120.921946548</v>
      </c>
      <c r="L20" s="50">
        <f t="shared" si="6"/>
        <v>152545188.60102925</v>
      </c>
      <c r="M20" s="50">
        <f t="shared" si="6"/>
        <v>53564.307646005793</v>
      </c>
      <c r="N20" s="50">
        <f t="shared" si="6"/>
        <v>22671111.715072885</v>
      </c>
      <c r="O20" s="50">
        <f>O1035</f>
        <v>1729044.1579440564</v>
      </c>
      <c r="P20" s="50">
        <f t="shared" si="6"/>
        <v>355894.64544424589</v>
      </c>
      <c r="Q20" s="50">
        <f t="shared" si="6"/>
        <v>25207217.0691224</v>
      </c>
      <c r="R20" s="50">
        <f>R1035</f>
        <v>207236.76421000628</v>
      </c>
      <c r="S20" s="50">
        <f>S1035</f>
        <v>1230650.828258262</v>
      </c>
      <c r="T20" s="50"/>
      <c r="U20" s="121">
        <f>SUM(I20:T20)</f>
        <v>459817144.96000004</v>
      </c>
      <c r="V20" s="67"/>
      <c r="W20" s="67"/>
      <c r="X20" s="370">
        <f t="shared" si="3"/>
        <v>0</v>
      </c>
    </row>
    <row r="21" spans="1:24" ht="17.25">
      <c r="A21" s="118"/>
      <c r="B21" s="17">
        <f t="shared" si="0"/>
        <v>7</v>
      </c>
      <c r="C21" s="167"/>
      <c r="D21" s="633" t="s">
        <v>641</v>
      </c>
      <c r="E21" s="58" t="s">
        <v>330</v>
      </c>
      <c r="F21" s="901">
        <f>F1037+F1038</f>
        <v>-2772903.8900000006</v>
      </c>
      <c r="G21" s="58"/>
      <c r="H21" s="20"/>
      <c r="I21" s="58"/>
      <c r="J21" s="630">
        <f t="shared" si="7" ref="J21:Q21">J1037+J1038</f>
        <v>-1543390.5515567327</v>
      </c>
      <c r="K21" s="630">
        <f t="shared" si="7"/>
        <v>-51305.984354939697</v>
      </c>
      <c r="L21" s="630">
        <f t="shared" si="7"/>
        <v>-976083.77518535266</v>
      </c>
      <c r="M21" s="630">
        <f t="shared" si="7"/>
        <v>-353.45193577617982</v>
      </c>
      <c r="N21" s="630">
        <f t="shared" si="7"/>
        <v>-149598.65391797083</v>
      </c>
      <c r="O21" s="630">
        <f>O1037+O1038</f>
        <v>-14829.983075911421</v>
      </c>
      <c r="P21" s="630">
        <f t="shared" si="7"/>
        <v>-2808.1133578213053</v>
      </c>
      <c r="Q21" s="630">
        <f t="shared" si="7"/>
        <v>-24635.280438396596</v>
      </c>
      <c r="R21" s="630">
        <f>R1037+R1038</f>
        <v>-1777.4662907368477</v>
      </c>
      <c r="S21" s="630">
        <f>S1037+S1038</f>
        <v>-8120.6298863619722</v>
      </c>
      <c r="T21" s="50"/>
      <c r="U21" s="265">
        <f>SUM(I21:T21)</f>
        <v>-2772903.8900000001</v>
      </c>
      <c r="V21" s="67"/>
      <c r="W21" s="67"/>
      <c r="X21" s="370">
        <f t="shared" si="3"/>
        <v>0</v>
      </c>
    </row>
    <row r="22" spans="1:25" ht="15.75">
      <c r="A22" s="118"/>
      <c r="B22" s="17">
        <f t="shared" si="0"/>
        <v>8</v>
      </c>
      <c r="C22" s="167"/>
      <c r="D22" s="12" t="s">
        <v>507</v>
      </c>
      <c r="E22" s="58"/>
      <c r="F22" s="896">
        <f>SUM(F20:F21)</f>
        <v>457044241.06999993</v>
      </c>
      <c r="G22" s="58"/>
      <c r="H22" s="58"/>
      <c r="I22" s="58"/>
      <c r="J22" s="53">
        <f t="shared" si="8" ref="J22:Q22">SUM(J20:J21)</f>
        <v>243997725.39776966</v>
      </c>
      <c r="K22" s="53">
        <f t="shared" si="8"/>
        <v>10224814.937591609</v>
      </c>
      <c r="L22" s="53">
        <f t="shared" si="8"/>
        <v>151569104.8258439</v>
      </c>
      <c r="M22" s="53">
        <f t="shared" si="8"/>
        <v>53210.855710229611</v>
      </c>
      <c r="N22" s="53">
        <f t="shared" si="8"/>
        <v>22521513.061154913</v>
      </c>
      <c r="O22" s="53">
        <f>SUM(O20:O21)</f>
        <v>1714214.174868145</v>
      </c>
      <c r="P22" s="53">
        <f t="shared" si="8"/>
        <v>353086.53208642459</v>
      </c>
      <c r="Q22" s="53">
        <f t="shared" si="8"/>
        <v>25182581.788684003</v>
      </c>
      <c r="R22" s="53">
        <f>SUM(R20:R21)</f>
        <v>205459.29791926942</v>
      </c>
      <c r="S22" s="53">
        <f>SUM(S20:S21)</f>
        <v>1222530.1983719</v>
      </c>
      <c r="T22" s="50"/>
      <c r="U22" s="251">
        <f>SUM(I22:T22)</f>
        <v>457044241.07000005</v>
      </c>
      <c r="V22" s="67"/>
      <c r="W22" s="67"/>
      <c r="X22" s="370">
        <f t="shared" si="3"/>
        <v>0</v>
      </c>
      <c r="Y22" s="692" t="b">
        <f>'WP II-I-1.1'!$G$463=U22</f>
        <v>1</v>
      </c>
    </row>
    <row r="23" spans="1:24" ht="15.75">
      <c r="A23" s="118"/>
      <c r="B23" s="17">
        <f t="shared" si="0"/>
        <v>9</v>
      </c>
      <c r="C23" s="167"/>
      <c r="D23" s="12"/>
      <c r="E23" s="58"/>
      <c r="F23" s="19"/>
      <c r="G23" s="58"/>
      <c r="H23" s="58"/>
      <c r="I23" s="58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121"/>
      <c r="V23" s="67"/>
      <c r="W23" s="67"/>
      <c r="X23" s="370">
        <f t="shared" si="3"/>
        <v>0</v>
      </c>
    </row>
    <row r="24" spans="1:25" ht="15.75">
      <c r="A24" s="118"/>
      <c r="B24" s="17">
        <f t="shared" si="0"/>
        <v>10</v>
      </c>
      <c r="C24" s="167"/>
      <c r="D24" s="12" t="s">
        <v>364</v>
      </c>
      <c r="E24" s="58" t="s">
        <v>305</v>
      </c>
      <c r="F24" s="19">
        <f>+F1072</f>
        <v>447450198.58000004</v>
      </c>
      <c r="G24" s="58"/>
      <c r="H24" s="58"/>
      <c r="I24" s="58"/>
      <c r="J24" s="50">
        <f t="shared" si="9" ref="J24:Q24">+J1072</f>
        <v>203428715.90736896</v>
      </c>
      <c r="K24" s="50">
        <f t="shared" si="9"/>
        <v>7522309.0925597213</v>
      </c>
      <c r="L24" s="50">
        <f t="shared" si="9"/>
        <v>175192550.21805555</v>
      </c>
      <c r="M24" s="50">
        <f t="shared" si="9"/>
        <v>23085.309625855549</v>
      </c>
      <c r="N24" s="50">
        <f t="shared" si="9"/>
        <v>27643693.561539356</v>
      </c>
      <c r="O24" s="50">
        <f>+O1072</f>
        <v>3816059.1758927209</v>
      </c>
      <c r="P24" s="50">
        <f t="shared" si="9"/>
        <v>22715111.199533135</v>
      </c>
      <c r="Q24" s="50">
        <f t="shared" si="9"/>
        <v>5980508.7794760233</v>
      </c>
      <c r="R24" s="50">
        <f>+R1072</f>
        <v>326076.81255177851</v>
      </c>
      <c r="S24" s="50">
        <f>+S1072</f>
        <v>802088.5233968125</v>
      </c>
      <c r="T24" s="50"/>
      <c r="U24" s="121">
        <f>SUM(I24:T24)</f>
        <v>447450198.57999992</v>
      </c>
      <c r="V24" s="67"/>
      <c r="W24" s="67"/>
      <c r="X24" s="370">
        <f t="shared" si="3"/>
        <v>0</v>
      </c>
      <c r="Y24" s="692" t="b">
        <f>'WP II-I-1.1'!$G$464=U24</f>
        <v>1</v>
      </c>
    </row>
    <row r="25" spans="1:25" ht="15.75">
      <c r="A25" s="118"/>
      <c r="B25" s="17">
        <f t="shared" si="10" ref="B25:B39">B24+1</f>
        <v>11</v>
      </c>
      <c r="C25" s="167"/>
      <c r="D25" s="247" t="s">
        <v>508</v>
      </c>
      <c r="E25" s="58" t="s">
        <v>316</v>
      </c>
      <c r="F25" s="50">
        <f>+F1130</f>
        <v>78221384.964147478</v>
      </c>
      <c r="G25" s="58"/>
      <c r="H25" s="58"/>
      <c r="I25" s="58"/>
      <c r="J25" s="50">
        <f t="shared" si="11" ref="J25:Q25">+J1130</f>
        <v>43523262.399335511</v>
      </c>
      <c r="K25" s="50">
        <f t="shared" si="11"/>
        <v>1413378.3039685555</v>
      </c>
      <c r="L25" s="50">
        <f t="shared" si="11"/>
        <v>27675493.672436036</v>
      </c>
      <c r="M25" s="50">
        <f t="shared" si="11"/>
        <v>10069.516607757541</v>
      </c>
      <c r="N25" s="50">
        <f t="shared" si="11"/>
        <v>4281733.0776786599</v>
      </c>
      <c r="O25" s="50">
        <f>+O1130</f>
        <v>430785.88604914851</v>
      </c>
      <c r="P25" s="50">
        <f t="shared" si="11"/>
        <v>136515.78952741998</v>
      </c>
      <c r="Q25" s="50">
        <f t="shared" si="11"/>
        <v>468980.55176922469</v>
      </c>
      <c r="R25" s="50">
        <f>+R1130</f>
        <v>51351.15506097996</v>
      </c>
      <c r="S25" s="50">
        <f>+S1130</f>
        <v>229814.61171414371</v>
      </c>
      <c r="T25" s="50"/>
      <c r="U25" s="121">
        <f>SUM(I25:T25)</f>
        <v>78221384.964147449</v>
      </c>
      <c r="V25" s="67"/>
      <c r="W25" s="67"/>
      <c r="X25" s="370">
        <f t="shared" si="3"/>
        <v>0</v>
      </c>
      <c r="Y25" s="692">
        <f>'WP II-I-1.1'!$G$465-U25</f>
        <v>0</v>
      </c>
    </row>
    <row r="26" spans="1:24" ht="15.75">
      <c r="A26" s="118"/>
      <c r="B26" s="17">
        <f t="shared" si="10"/>
        <v>12</v>
      </c>
      <c r="C26" s="167"/>
      <c r="D26" s="151"/>
      <c r="E26" s="248"/>
      <c r="F26" s="50"/>
      <c r="G26" s="248"/>
      <c r="H26" s="248"/>
      <c r="I26" s="248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67"/>
      <c r="W26" s="67"/>
      <c r="X26" s="370">
        <f t="shared" si="3"/>
        <v>0</v>
      </c>
    </row>
    <row r="27" spans="1:25" ht="15.75">
      <c r="A27" s="118"/>
      <c r="B27" s="17">
        <f t="shared" si="10"/>
        <v>13</v>
      </c>
      <c r="C27" s="167"/>
      <c r="D27" s="12" t="s">
        <v>509</v>
      </c>
      <c r="E27" s="58" t="s">
        <v>510</v>
      </c>
      <c r="F27" s="50">
        <f>+F83</f>
        <v>638839835.45845962</v>
      </c>
      <c r="G27" s="58"/>
      <c r="H27" s="58"/>
      <c r="I27" s="58"/>
      <c r="J27" s="50">
        <f t="shared" si="12" ref="J27:Q27">+J83</f>
        <v>355272832.23113191</v>
      </c>
      <c r="K27" s="50">
        <f t="shared" si="12"/>
        <v>11529736.593214385</v>
      </c>
      <c r="L27" s="50">
        <f t="shared" si="12"/>
        <v>226242269.25939763</v>
      </c>
      <c r="M27" s="50">
        <f t="shared" si="12"/>
        <v>82109.80870428143</v>
      </c>
      <c r="N27" s="50">
        <f t="shared" si="12"/>
        <v>34931887.255133517</v>
      </c>
      <c r="O27" s="50">
        <f>+O83</f>
        <v>3501360.2412508894</v>
      </c>
      <c r="P27" s="50">
        <f t="shared" si="12"/>
        <v>1107731.7001616287</v>
      </c>
      <c r="Q27" s="50">
        <f t="shared" si="12"/>
        <v>3875733.6648428761</v>
      </c>
      <c r="R27" s="50">
        <f>+R83</f>
        <v>418676.58700630709</v>
      </c>
      <c r="S27" s="50">
        <f>+S83</f>
        <v>1877498.1176160574</v>
      </c>
      <c r="T27" s="50"/>
      <c r="U27" s="121">
        <f>SUM(I27:T27)</f>
        <v>638839835.45845938</v>
      </c>
      <c r="V27" s="67"/>
      <c r="W27" s="67"/>
      <c r="X27" s="370">
        <f t="shared" si="3"/>
        <v>0</v>
      </c>
      <c r="Y27" s="692" t="b">
        <f>'WP II-I-1.1'!$G$461=U27</f>
        <v>1</v>
      </c>
    </row>
    <row r="28" spans="1:24" ht="15.75">
      <c r="A28" s="118"/>
      <c r="B28" s="17">
        <f t="shared" si="10"/>
        <v>14</v>
      </c>
      <c r="C28" s="167"/>
      <c r="D28" s="247"/>
      <c r="E28" s="248"/>
      <c r="F28" s="12"/>
      <c r="G28" s="248"/>
      <c r="H28" s="248"/>
      <c r="I28" s="24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1"/>
      <c r="V28" s="67"/>
      <c r="W28" s="67"/>
      <c r="X28" s="370">
        <f t="shared" si="3"/>
        <v>0</v>
      </c>
    </row>
    <row r="29" spans="1:25" ht="15.75">
      <c r="A29" s="118"/>
      <c r="B29" s="17">
        <f t="shared" si="10"/>
        <v>15</v>
      </c>
      <c r="C29" s="249"/>
      <c r="D29" s="250" t="s">
        <v>511</v>
      </c>
      <c r="E29" s="248"/>
      <c r="F29" s="53">
        <f>+F18+F22+F24+F25+F27</f>
        <v>4012552544.0526075</v>
      </c>
      <c r="G29" s="248"/>
      <c r="H29" s="248"/>
      <c r="I29" s="248"/>
      <c r="J29" s="53">
        <f t="shared" si="13" ref="J29:Q29">+J18+J22+J24+J25+J27</f>
        <v>2000413949.0069408</v>
      </c>
      <c r="K29" s="53">
        <f t="shared" si="13"/>
        <v>64311936.081206426</v>
      </c>
      <c r="L29" s="53">
        <f t="shared" si="13"/>
        <v>1383157008.9112492</v>
      </c>
      <c r="M29" s="53">
        <f t="shared" si="13"/>
        <v>533754.16700679855</v>
      </c>
      <c r="N29" s="53">
        <f t="shared" si="13"/>
        <v>274391855.13354903</v>
      </c>
      <c r="O29" s="53">
        <f>+O18+O22+O24+O25+O27</f>
        <v>58930071.387623087</v>
      </c>
      <c r="P29" s="53">
        <f t="shared" si="13"/>
        <v>162499507.45639893</v>
      </c>
      <c r="Q29" s="53">
        <f t="shared" si="13"/>
        <v>60223906.499061957</v>
      </c>
      <c r="R29" s="53">
        <f>+R18+R22+R24+R25+R27</f>
        <v>1484853.3559145653</v>
      </c>
      <c r="S29" s="53">
        <f>+S18+S22+S24+S25+S27</f>
        <v>6605702.0536562791</v>
      </c>
      <c r="T29" s="53"/>
      <c r="U29" s="251">
        <f>SUM(I29:T29)</f>
        <v>4012552544.0526075</v>
      </c>
      <c r="V29" s="133"/>
      <c r="W29" s="133"/>
      <c r="X29" s="370">
        <f t="shared" si="3"/>
        <v>0</v>
      </c>
      <c r="Y29" s="692" t="b">
        <f>'WP II-I-1.1'!$G$476=U29</f>
        <v>1</v>
      </c>
    </row>
    <row r="30" spans="1:24" ht="15.75">
      <c r="A30" s="118"/>
      <c r="B30" s="17">
        <f t="shared" si="10"/>
        <v>16</v>
      </c>
      <c r="C30" s="167"/>
      <c r="D30" s="12"/>
      <c r="E30" s="58"/>
      <c r="F30" s="12"/>
      <c r="G30" s="58"/>
      <c r="H30" s="58"/>
      <c r="I30" s="5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67"/>
      <c r="W30" s="67"/>
      <c r="X30" s="370">
        <f t="shared" si="3"/>
        <v>0</v>
      </c>
    </row>
    <row r="31" spans="1:25" ht="15.75">
      <c r="A31" s="118"/>
      <c r="B31" s="17">
        <f t="shared" si="10"/>
        <v>17</v>
      </c>
      <c r="C31" s="167"/>
      <c r="D31" s="12" t="s">
        <v>512</v>
      </c>
      <c r="E31" s="58" t="s">
        <v>335</v>
      </c>
      <c r="F31" s="50">
        <f>+F1186</f>
        <v>51757981.979999989</v>
      </c>
      <c r="G31" s="58"/>
      <c r="H31" s="58"/>
      <c r="I31" s="58"/>
      <c r="J31" s="50">
        <f t="shared" si="14" ref="J31:Q31">+J1186</f>
        <v>33855632.526791662</v>
      </c>
      <c r="K31" s="50">
        <f t="shared" si="14"/>
        <v>1962762.0071621498</v>
      </c>
      <c r="L31" s="50">
        <f t="shared" si="14"/>
        <v>13167153.063852251</v>
      </c>
      <c r="M31" s="50">
        <f t="shared" si="14"/>
        <v>18570.773788421666</v>
      </c>
      <c r="N31" s="50">
        <f t="shared" si="14"/>
        <v>2013214.4519353835</v>
      </c>
      <c r="O31" s="50">
        <f>+O1186</f>
        <v>118085.82765535745</v>
      </c>
      <c r="P31" s="50">
        <f t="shared" si="14"/>
        <v>37812.599969035866</v>
      </c>
      <c r="Q31" s="50">
        <f t="shared" si="14"/>
        <v>527901.21999979834</v>
      </c>
      <c r="R31" s="50">
        <f>+R1186</f>
        <v>3613.0677866034262</v>
      </c>
      <c r="S31" s="50">
        <f>+S1186</f>
        <v>53236.441059334698</v>
      </c>
      <c r="T31" s="50"/>
      <c r="U31" s="121">
        <f>SUM(I31:T31)</f>
        <v>51757981.979999997</v>
      </c>
      <c r="V31" s="67"/>
      <c r="W31" s="67"/>
      <c r="X31" s="370">
        <f t="shared" si="3"/>
        <v>0</v>
      </c>
      <c r="Y31" s="692" t="b">
        <f>'WP II-I-1.1'!$G$466=-U31</f>
        <v>1</v>
      </c>
    </row>
    <row r="32" spans="1:24" ht="15.75" thickBot="1">
      <c r="A32" s="118"/>
      <c r="B32" s="17">
        <f t="shared" si="10"/>
        <v>18</v>
      </c>
      <c r="C32" s="167"/>
      <c r="D32" s="12"/>
      <c r="E32" s="12"/>
      <c r="F32" s="121"/>
      <c r="G32" s="12"/>
      <c r="H32" s="12"/>
      <c r="I32" s="12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2"/>
      <c r="U32" s="12"/>
      <c r="V32" s="67"/>
      <c r="W32" s="67"/>
      <c r="X32" s="370">
        <f t="shared" si="3"/>
        <v>0</v>
      </c>
    </row>
    <row r="33" spans="1:25" ht="16.5" thickBot="1">
      <c r="A33" s="118"/>
      <c r="B33" s="17">
        <f t="shared" si="10"/>
        <v>19</v>
      </c>
      <c r="C33" s="167"/>
      <c r="D33" s="253" t="s">
        <v>358</v>
      </c>
      <c r="E33" s="254"/>
      <c r="F33" s="255">
        <f>+F29-F31</f>
        <v>3960794562.0726075</v>
      </c>
      <c r="G33" s="254"/>
      <c r="H33" s="397"/>
      <c r="I33" s="616"/>
      <c r="J33" s="446">
        <f t="shared" si="15" ref="J33:Q33">+J29-J31</f>
        <v>1966558316.4801493</v>
      </c>
      <c r="K33" s="903">
        <f t="shared" si="15"/>
        <v>62349174.07404428</v>
      </c>
      <c r="L33" s="903">
        <f t="shared" si="15"/>
        <v>1369989855.8473969</v>
      </c>
      <c r="M33" s="903">
        <f t="shared" si="15"/>
        <v>515183.39321837691</v>
      </c>
      <c r="N33" s="903">
        <f t="shared" si="15"/>
        <v>272378640.68161362</v>
      </c>
      <c r="O33" s="903">
        <f>+O29-O31</f>
        <v>58811985.559967726</v>
      </c>
      <c r="P33" s="903">
        <f t="shared" si="15"/>
        <v>162461694.85642991</v>
      </c>
      <c r="Q33" s="903">
        <f t="shared" si="15"/>
        <v>59696005.279062159</v>
      </c>
      <c r="R33" s="903">
        <f>+R29-R31</f>
        <v>1481240.2881279618</v>
      </c>
      <c r="S33" s="380">
        <f>+S29-S31</f>
        <v>6552465.612596944</v>
      </c>
      <c r="T33" s="1011"/>
      <c r="U33" s="256">
        <f>SUM(I33:T33)</f>
        <v>3960794562.072607</v>
      </c>
      <c r="V33" s="67"/>
      <c r="W33" s="67" t="b">
        <f>IF(' WP II-I-1.4'!G33=U33,TRUE,' WP II-I-1.4'!G33-G33)</f>
        <v>1</v>
      </c>
      <c r="X33" s="370">
        <f t="shared" si="3"/>
        <v>0</v>
      </c>
      <c r="Y33" s="692" t="b">
        <f>'WP II-I-1.1'!$G$467=U33</f>
        <v>1</v>
      </c>
    </row>
    <row r="34" spans="1:24" ht="16.5" thickBot="1">
      <c r="A34" s="67"/>
      <c r="B34" s="17">
        <f t="shared" si="10"/>
        <v>20</v>
      </c>
      <c r="C34" s="167"/>
      <c r="D34" s="12"/>
      <c r="E34" s="150"/>
      <c r="F34" s="121"/>
      <c r="G34" s="150"/>
      <c r="H34" s="150"/>
      <c r="I34" s="150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7"/>
      <c r="W34" s="67"/>
      <c r="X34" s="370">
        <f t="shared" si="3"/>
        <v>0</v>
      </c>
    </row>
    <row r="35" spans="1:24" ht="15.75">
      <c r="A35" s="67"/>
      <c r="B35" s="17">
        <f t="shared" si="10"/>
        <v>21</v>
      </c>
      <c r="C35" s="167"/>
      <c r="D35" s="398" t="s">
        <v>735</v>
      </c>
      <c r="E35" s="399"/>
      <c r="F35" s="400">
        <f>'WP II-I-1.5'!D54</f>
        <v>0</v>
      </c>
      <c r="G35" s="399"/>
      <c r="H35" s="401"/>
      <c r="I35" s="482"/>
      <c r="J35" s="635">
        <f>'WP II-I-1.5'!F54</f>
        <v>0</v>
      </c>
      <c r="K35" s="400">
        <f>'WP II-I-1.5'!G54</f>
        <v>0</v>
      </c>
      <c r="L35" s="400">
        <f>'WP II-I-1.5'!H54</f>
        <v>0</v>
      </c>
      <c r="M35" s="400">
        <f>'WP II-I-1.5'!I54</f>
        <v>0</v>
      </c>
      <c r="N35" s="400">
        <f>'WP II-I-1.5'!J54</f>
        <v>0</v>
      </c>
      <c r="O35" s="400">
        <f>'WP II-I-1.5'!K54</f>
        <v>0</v>
      </c>
      <c r="P35" s="400">
        <f>'WP II-I-1.5'!L54</f>
        <v>0</v>
      </c>
      <c r="Q35" s="400">
        <f>'WP II-I-1.5'!M54</f>
        <v>0</v>
      </c>
      <c r="R35" s="400">
        <f>'WP II-I-1.5'!N54</f>
        <v>0</v>
      </c>
      <c r="S35" s="400">
        <f>'WP II-I-1.5'!O54</f>
        <v>0</v>
      </c>
      <c r="T35" s="1465"/>
      <c r="U35" s="402">
        <f>SUM(I35:T35)</f>
        <v>0</v>
      </c>
      <c r="V35" s="67"/>
      <c r="W35" s="67"/>
      <c r="X35" s="370">
        <f t="shared" si="3"/>
        <v>0</v>
      </c>
    </row>
    <row r="36" spans="1:24" ht="15">
      <c r="A36" s="67"/>
      <c r="B36" s="17">
        <f t="shared" si="10"/>
        <v>22</v>
      </c>
      <c r="C36" s="167"/>
      <c r="D36" s="403" t="s">
        <v>736</v>
      </c>
      <c r="E36" s="404"/>
      <c r="F36" s="404"/>
      <c r="G36" s="404"/>
      <c r="H36" s="405"/>
      <c r="I36" s="483"/>
      <c r="J36" s="483"/>
      <c r="K36" s="404"/>
      <c r="L36" s="404"/>
      <c r="M36" s="404"/>
      <c r="N36" s="404"/>
      <c r="O36" s="404"/>
      <c r="P36" s="404"/>
      <c r="Q36" s="404"/>
      <c r="R36" s="404"/>
      <c r="S36" s="404"/>
      <c r="T36" s="1466"/>
      <c r="U36" s="405"/>
      <c r="V36" s="67"/>
      <c r="W36" s="67"/>
      <c r="X36" s="370">
        <f t="shared" si="3"/>
        <v>0</v>
      </c>
    </row>
    <row r="37" spans="1:24" ht="15.75">
      <c r="A37" s="67"/>
      <c r="B37" s="17">
        <f t="shared" si="10"/>
        <v>23</v>
      </c>
      <c r="C37" s="167"/>
      <c r="D37" s="406" t="s">
        <v>737</v>
      </c>
      <c r="E37" s="150"/>
      <c r="F37" s="22">
        <f>F33+F35</f>
        <v>3960794562.0726075</v>
      </c>
      <c r="G37" s="150"/>
      <c r="H37" s="407"/>
      <c r="I37" s="484"/>
      <c r="J37" s="636">
        <f t="shared" si="16" ref="J37:Q37">J33+J35</f>
        <v>1966558316.4801493</v>
      </c>
      <c r="K37" s="896">
        <f t="shared" si="16"/>
        <v>62349174.07404428</v>
      </c>
      <c r="L37" s="896">
        <f t="shared" si="16"/>
        <v>1369989855.8473969</v>
      </c>
      <c r="M37" s="896">
        <f t="shared" si="16"/>
        <v>515183.39321837691</v>
      </c>
      <c r="N37" s="896">
        <f t="shared" si="16"/>
        <v>272378640.68161362</v>
      </c>
      <c r="O37" s="896">
        <f>O33+O35</f>
        <v>58811985.559967726</v>
      </c>
      <c r="P37" s="896">
        <f t="shared" si="16"/>
        <v>162461694.85642991</v>
      </c>
      <c r="Q37" s="896">
        <f t="shared" si="16"/>
        <v>59696005.279062159</v>
      </c>
      <c r="R37" s="896">
        <f>R33+R35</f>
        <v>1481240.2881279618</v>
      </c>
      <c r="S37" s="896">
        <f>S33+S35</f>
        <v>6552465.612596944</v>
      </c>
      <c r="T37" s="324"/>
      <c r="U37" s="408">
        <f>SUM(I37:T37)</f>
        <v>3960794562.072607</v>
      </c>
      <c r="V37" s="67"/>
      <c r="W37" s="67"/>
      <c r="X37" s="370">
        <f t="shared" si="3"/>
        <v>0</v>
      </c>
    </row>
    <row r="38" spans="1:24" ht="15.75">
      <c r="A38" s="67"/>
      <c r="B38" s="17">
        <f t="shared" si="10"/>
        <v>24</v>
      </c>
      <c r="C38" s="167"/>
      <c r="D38" s="403"/>
      <c r="E38" s="150"/>
      <c r="F38" s="24"/>
      <c r="G38" s="150"/>
      <c r="H38" s="407"/>
      <c r="I38" s="484"/>
      <c r="J38" s="637"/>
      <c r="K38" s="24"/>
      <c r="L38" s="24"/>
      <c r="M38" s="24"/>
      <c r="N38" s="24"/>
      <c r="O38" s="24"/>
      <c r="P38" s="24"/>
      <c r="Q38" s="24"/>
      <c r="R38" s="24"/>
      <c r="S38" s="24"/>
      <c r="T38" s="1467"/>
      <c r="U38" s="409"/>
      <c r="V38" s="67"/>
      <c r="W38" s="67"/>
      <c r="X38" s="370">
        <f t="shared" si="3"/>
        <v>0</v>
      </c>
    </row>
    <row r="39" spans="1:25" ht="16.5" thickBot="1">
      <c r="A39" s="67"/>
      <c r="B39" s="17">
        <f t="shared" si="10"/>
        <v>25</v>
      </c>
      <c r="C39" s="167"/>
      <c r="D39" s="410" t="s">
        <v>1378</v>
      </c>
      <c r="E39" s="411"/>
      <c r="F39" s="412">
        <f>+F37-F622-(0.727923)*F753</f>
        <v>2306625914.858572</v>
      </c>
      <c r="G39" s="411"/>
      <c r="H39" s="413"/>
      <c r="I39" s="1225"/>
      <c r="J39" s="1060">
        <f>+J37-J622-(0.727923)*J753</f>
        <v>1207545357.7283404</v>
      </c>
      <c r="K39" s="412">
        <f>+K37-K622-(0.727923)*K753</f>
        <v>41122596.197384663</v>
      </c>
      <c r="L39" s="412">
        <f t="shared" si="17" ref="L39:S39">+L37-L622-(0.727923)*L753</f>
        <v>818254176.40634346</v>
      </c>
      <c r="M39" s="412">
        <f t="shared" si="17"/>
        <v>295364.15068427072</v>
      </c>
      <c r="N39" s="412">
        <f t="shared" si="17"/>
        <v>133694018.94102408</v>
      </c>
      <c r="O39" s="412">
        <f t="shared" si="17"/>
        <v>13404714.996930279</v>
      </c>
      <c r="P39" s="412">
        <f t="shared" si="17"/>
        <v>24606814.600160129</v>
      </c>
      <c r="Q39" s="412">
        <f t="shared" si="17"/>
        <v>59672372.365106717</v>
      </c>
      <c r="R39" s="412">
        <f t="shared" si="17"/>
        <v>1480635.4328071722</v>
      </c>
      <c r="S39" s="412">
        <f t="shared" si="17"/>
        <v>6549864.0397905577</v>
      </c>
      <c r="T39" s="314"/>
      <c r="U39" s="414">
        <f>SUM(I39:T39)</f>
        <v>2306625914.8585715</v>
      </c>
      <c r="V39" s="67"/>
      <c r="W39" s="67"/>
      <c r="X39" s="370">
        <f t="shared" si="3"/>
        <v>0</v>
      </c>
      <c r="Y39" s="692">
        <f>ROUND('WP II-I-1.1'!$G$467-'WP II-I-1.1'!$G$199-('WP II-I-1.1'!$G$258*(0.727923)),0)-U39</f>
        <v>0.14142847061157227</v>
      </c>
    </row>
    <row r="40" spans="1:24" ht="15">
      <c r="A40" s="67"/>
      <c r="B40" s="67"/>
      <c r="C40" s="67"/>
      <c r="D40" s="67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67"/>
      <c r="V40" s="67"/>
      <c r="W40" s="118">
        <f>U39-F39</f>
        <v>0</v>
      </c>
      <c r="X40" s="370">
        <f t="shared" si="3"/>
        <v>0</v>
      </c>
    </row>
    <row r="41" spans="1:24" ht="15.75" thickBot="1">
      <c r="A41" s="67"/>
      <c r="B41" s="67"/>
      <c r="C41" s="67"/>
      <c r="D41" s="67"/>
      <c r="E41" s="150"/>
      <c r="F41" s="150"/>
      <c r="G41" s="150"/>
      <c r="H41" s="134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34"/>
      <c r="V41" s="134">
        <f>$H$2</f>
        <v>0</v>
      </c>
      <c r="W41" s="134"/>
      <c r="X41" s="370"/>
    </row>
    <row r="42" spans="1:24" ht="15.75">
      <c r="A42" s="67"/>
      <c r="B42" s="920" t="str">
        <f>+$B$4</f>
        <v>2022 RATE CASE</v>
      </c>
      <c r="C42" s="964"/>
      <c r="D42" s="965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134"/>
      <c r="V42" s="167"/>
      <c r="W42" s="167"/>
      <c r="X42" s="370">
        <f t="shared" si="3"/>
        <v>0</v>
      </c>
    </row>
    <row r="43" spans="1:24" ht="15.75">
      <c r="A43" s="118"/>
      <c r="B43" s="917" t="str">
        <f>+$B$5</f>
        <v>ONCOR ELECTRIC DELIVERY COMPANY LLC</v>
      </c>
      <c r="C43" s="840"/>
      <c r="D43" s="9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134"/>
      <c r="V43" s="67"/>
      <c r="W43" s="67"/>
      <c r="X43" s="370">
        <f t="shared" si="3"/>
        <v>0</v>
      </c>
    </row>
    <row r="44" spans="1:24" ht="15.75">
      <c r="A44" s="67"/>
      <c r="B44" s="917" t="str">
        <f>+$B$6</f>
        <v>II-I-1-DIST:  CLASS REVENUE REQUIREMENT</v>
      </c>
      <c r="C44" s="840"/>
      <c r="D44" s="921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370">
        <f t="shared" si="3"/>
        <v>0</v>
      </c>
    </row>
    <row r="45" spans="1:24" ht="15.75">
      <c r="A45" s="67"/>
      <c r="B45" s="406" t="str">
        <f>+$B$7</f>
        <v>TEST YEAR ENDING 12/31/2021</v>
      </c>
      <c r="C45" s="840"/>
      <c r="D45" s="921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370">
        <f t="shared" si="3"/>
        <v>0</v>
      </c>
    </row>
    <row r="46" spans="1:24" ht="15.75">
      <c r="A46" s="67"/>
      <c r="B46" s="406" t="str">
        <f>+$B$8</f>
        <v>SPONSOR:  MATTHEW A. TROXLE</v>
      </c>
      <c r="C46" s="840"/>
      <c r="D46" s="921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370">
        <f t="shared" si="3"/>
        <v>0</v>
      </c>
    </row>
    <row r="47" spans="1:24" ht="16.5" thickBot="1">
      <c r="A47" s="67"/>
      <c r="B47" s="410"/>
      <c r="C47" s="840"/>
      <c r="D47" s="92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370">
        <f t="shared" si="3"/>
        <v>0</v>
      </c>
    </row>
    <row r="48" spans="1:24" ht="15.75" thickBot="1">
      <c r="A48" s="67"/>
      <c r="B48" s="235"/>
      <c r="C48" s="236"/>
      <c r="D48" s="259"/>
      <c r="E48" s="238"/>
      <c r="F48" s="14"/>
      <c r="G48" s="238"/>
      <c r="H48" s="238"/>
      <c r="I48" s="238"/>
      <c r="J48" s="238"/>
      <c r="K48" s="238"/>
      <c r="L48" s="14"/>
      <c r="M48" s="238"/>
      <c r="N48" s="238"/>
      <c r="O48" s="238"/>
      <c r="P48" s="238"/>
      <c r="Q48" s="14"/>
      <c r="R48" s="393" t="str">
        <f>R$10</f>
        <v xml:space="preserve"> </v>
      </c>
      <c r="S48" s="394"/>
      <c r="T48" s="238"/>
      <c r="U48" s="13"/>
      <c r="V48" s="67"/>
      <c r="W48" s="67"/>
      <c r="X48" s="370">
        <f t="shared" si="3"/>
        <v>0</v>
      </c>
    </row>
    <row r="49" spans="1:24" ht="15.75">
      <c r="A49" s="67"/>
      <c r="B49" s="235" t="s">
        <v>2</v>
      </c>
      <c r="C49" s="240"/>
      <c r="D49" s="241" t="s">
        <v>738</v>
      </c>
      <c r="E49" s="242" t="s">
        <v>371</v>
      </c>
      <c r="F49" s="287" t="str">
        <f>F$11</f>
        <v>DIST</v>
      </c>
      <c r="G49" s="242"/>
      <c r="H49" s="242"/>
      <c r="I49" s="242"/>
      <c r="J49" s="242" t="s">
        <v>730</v>
      </c>
      <c r="K49" s="242" t="s">
        <v>409</v>
      </c>
      <c r="L49" s="15" t="s">
        <v>409</v>
      </c>
      <c r="M49" s="242" t="s">
        <v>410</v>
      </c>
      <c r="N49" s="242" t="s">
        <v>410</v>
      </c>
      <c r="O49" s="242" t="s">
        <v>410</v>
      </c>
      <c r="P49" s="242" t="s">
        <v>411</v>
      </c>
      <c r="Q49" s="15" t="s">
        <v>412</v>
      </c>
      <c r="R49" s="396" t="str">
        <f>R$11</f>
        <v>Wholesale</v>
      </c>
      <c r="S49" s="13" t="str">
        <f>S$11</f>
        <v>Wholesale</v>
      </c>
      <c r="T49" s="242"/>
      <c r="U49" s="15" t="s">
        <v>10</v>
      </c>
      <c r="V49" s="67"/>
      <c r="W49" s="67"/>
      <c r="X49" s="370"/>
    </row>
    <row r="50" spans="1:24" ht="15">
      <c r="A50" s="67"/>
      <c r="B50" s="235"/>
      <c r="C50" s="240"/>
      <c r="D50" s="242"/>
      <c r="E50" s="242"/>
      <c r="F50" s="15"/>
      <c r="G50" s="242"/>
      <c r="H50" s="242"/>
      <c r="I50" s="242"/>
      <c r="J50" s="242"/>
      <c r="K50" s="242" t="s">
        <v>731</v>
      </c>
      <c r="L50" s="15" t="s">
        <v>732</v>
      </c>
      <c r="M50" s="242" t="s">
        <v>731</v>
      </c>
      <c r="N50" s="242" t="s">
        <v>732</v>
      </c>
      <c r="O50" s="242" t="s">
        <v>414</v>
      </c>
      <c r="P50" s="242"/>
      <c r="Q50" s="15"/>
      <c r="R50" s="235" t="str">
        <f>R$12</f>
        <v>XFMR</v>
      </c>
      <c r="S50" s="15" t="str">
        <f>S$12</f>
        <v>DLS</v>
      </c>
      <c r="T50" s="242"/>
      <c r="U50" s="15"/>
      <c r="V50" s="67"/>
      <c r="W50" s="67"/>
      <c r="X50" s="370">
        <f t="shared" si="3"/>
        <v>0</v>
      </c>
    </row>
    <row r="51" spans="1:24" ht="15" thickBot="1">
      <c r="A51" s="67"/>
      <c r="B51" s="243"/>
      <c r="C51" s="243"/>
      <c r="D51" s="245"/>
      <c r="E51" s="245"/>
      <c r="F51" s="16" t="s">
        <v>13</v>
      </c>
      <c r="G51" s="16" t="s">
        <v>14</v>
      </c>
      <c r="H51" s="16" t="s">
        <v>15</v>
      </c>
      <c r="I51" s="16"/>
      <c r="J51" s="243" t="str">
        <f t="shared" si="18" ref="J51:Q51">J$13</f>
        <v>(d)</v>
      </c>
      <c r="K51" s="243" t="str">
        <f t="shared" si="18"/>
        <v>(e)</v>
      </c>
      <c r="L51" s="16" t="str">
        <f t="shared" si="18"/>
        <v>(f)</v>
      </c>
      <c r="M51" s="243" t="str">
        <f t="shared" si="18"/>
        <v>(g)</v>
      </c>
      <c r="N51" s="243" t="str">
        <f t="shared" si="18"/>
        <v>(h)</v>
      </c>
      <c r="O51" s="243" t="str">
        <f>O$13</f>
        <v>(i)</v>
      </c>
      <c r="P51" s="243" t="str">
        <f t="shared" si="18"/>
        <v>(j)</v>
      </c>
      <c r="Q51" s="243" t="str">
        <f t="shared" si="18"/>
        <v>(k)</v>
      </c>
      <c r="R51" s="243" t="str">
        <f>R$13</f>
        <v>(l)</v>
      </c>
      <c r="S51" s="16" t="str">
        <f>S$13</f>
        <v>(m)</v>
      </c>
      <c r="T51" s="16"/>
      <c r="U51" s="16" t="s">
        <v>734</v>
      </c>
      <c r="V51" s="67"/>
      <c r="W51" s="67"/>
      <c r="X51" s="370"/>
    </row>
    <row r="52" spans="1:24" ht="14.25">
      <c r="A52" s="67"/>
      <c r="B52" s="6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1"/>
      <c r="V52" s="67"/>
      <c r="W52" s="67"/>
      <c r="X52" s="370">
        <f t="shared" si="3"/>
        <v>0</v>
      </c>
    </row>
    <row r="53" spans="1:24" ht="15">
      <c r="A53" s="67"/>
      <c r="B53" s="17">
        <f t="shared" si="19" ref="B53:B59">B52+1</f>
        <v>1</v>
      </c>
      <c r="C53" s="12"/>
      <c r="D53" s="260" t="s">
        <v>646</v>
      </c>
      <c r="E53" s="261" t="s">
        <v>24</v>
      </c>
      <c r="F53" s="121">
        <f>F106</f>
        <v>323333372.81999999</v>
      </c>
      <c r="G53" s="12"/>
      <c r="H53" s="12"/>
      <c r="I53" s="12"/>
      <c r="J53" s="121">
        <f t="shared" si="20" ref="J53:Q53">J106</f>
        <v>179966451.20410517</v>
      </c>
      <c r="K53" s="121">
        <f t="shared" si="20"/>
        <v>5982514.2253065258</v>
      </c>
      <c r="L53" s="121">
        <f t="shared" si="20"/>
        <v>113815866.58077741</v>
      </c>
      <c r="M53" s="121">
        <f t="shared" si="20"/>
        <v>41214.124635336797</v>
      </c>
      <c r="N53" s="121">
        <f t="shared" si="20"/>
        <v>17443892.489410948</v>
      </c>
      <c r="O53" s="121">
        <f>O106</f>
        <v>1729244.3723312593</v>
      </c>
      <c r="P53" s="121">
        <f t="shared" si="20"/>
        <v>327438.95903483982</v>
      </c>
      <c r="Q53" s="121">
        <f t="shared" si="20"/>
        <v>2872587.2336359047</v>
      </c>
      <c r="R53" s="121">
        <f>R106</f>
        <v>207260.76115743036</v>
      </c>
      <c r="S53" s="121">
        <f>S106</f>
        <v>946902.86960515939</v>
      </c>
      <c r="T53" s="12"/>
      <c r="U53" s="121">
        <f>SUM(I53:T53)</f>
        <v>323333372.82000005</v>
      </c>
      <c r="V53" s="67"/>
      <c r="W53" s="67"/>
      <c r="X53" s="370">
        <f t="shared" si="3"/>
        <v>0</v>
      </c>
    </row>
    <row r="54" spans="1:24" ht="15">
      <c r="A54" s="67"/>
      <c r="B54" s="17">
        <f t="shared" si="19"/>
        <v>2</v>
      </c>
      <c r="C54" s="12"/>
      <c r="D54" s="260" t="s">
        <v>647</v>
      </c>
      <c r="E54" s="261" t="s">
        <v>24</v>
      </c>
      <c r="F54" s="121">
        <f>F118</f>
        <v>381860650.86000001</v>
      </c>
      <c r="G54" s="12"/>
      <c r="H54" s="12"/>
      <c r="I54" s="12"/>
      <c r="J54" s="121">
        <f t="shared" si="21" ref="J54:Q54">J118</f>
        <v>200982037.20894235</v>
      </c>
      <c r="K54" s="121">
        <f t="shared" si="21"/>
        <v>4908024.6976150116</v>
      </c>
      <c r="L54" s="121">
        <f t="shared" si="21"/>
        <v>129406773.75201213</v>
      </c>
      <c r="M54" s="121">
        <f t="shared" si="21"/>
        <v>73158.983194750224</v>
      </c>
      <c r="N54" s="121">
        <f t="shared" si="21"/>
        <v>30964564.910100192</v>
      </c>
      <c r="O54" s="121">
        <f>O118</f>
        <v>11197862.036053781</v>
      </c>
      <c r="P54" s="121">
        <f t="shared" si="21"/>
        <v>0</v>
      </c>
      <c r="Q54" s="121">
        <f t="shared" si="21"/>
        <v>1305252.9491979284</v>
      </c>
      <c r="R54" s="121">
        <f>R118</f>
        <v>1342133.8510991004</v>
      </c>
      <c r="S54" s="121">
        <f>S118</f>
        <v>1680842.4717847591</v>
      </c>
      <c r="T54" s="12"/>
      <c r="U54" s="121">
        <f>SUM(I54:T54)</f>
        <v>381860650.85999995</v>
      </c>
      <c r="V54" s="67"/>
      <c r="W54" s="67"/>
      <c r="X54" s="370">
        <f t="shared" si="3"/>
        <v>0</v>
      </c>
    </row>
    <row r="55" spans="1:24" ht="16.5">
      <c r="A55" s="67"/>
      <c r="B55" s="17">
        <f t="shared" si="19"/>
        <v>3</v>
      </c>
      <c r="C55" s="12"/>
      <c r="D55" s="631" t="s">
        <v>645</v>
      </c>
      <c r="E55" s="261" t="s">
        <v>24</v>
      </c>
      <c r="F55" s="265">
        <f>F154</f>
        <v>14618819732.849999</v>
      </c>
      <c r="G55" s="12"/>
      <c r="H55" s="12"/>
      <c r="I55" s="12"/>
      <c r="J55" s="265">
        <f t="shared" si="22" ref="J55:Q55">J154</f>
        <v>7962407816.8215485</v>
      </c>
      <c r="K55" s="265">
        <f t="shared" si="22"/>
        <v>328024348.37338626</v>
      </c>
      <c r="L55" s="265">
        <f t="shared" si="22"/>
        <v>4953493727.9056091</v>
      </c>
      <c r="M55" s="265">
        <f t="shared" si="22"/>
        <v>1681815.4966361574</v>
      </c>
      <c r="N55" s="265">
        <f t="shared" si="22"/>
        <v>711828989.93789768</v>
      </c>
      <c r="O55" s="265">
        <f>O154</f>
        <v>56528373.001764901</v>
      </c>
      <c r="P55" s="265">
        <f t="shared" si="22"/>
        <v>13437739.420612058</v>
      </c>
      <c r="Q55" s="265">
        <f t="shared" si="22"/>
        <v>546001590.56291771</v>
      </c>
      <c r="R55" s="265">
        <f>R154</f>
        <v>6775279.3085814686</v>
      </c>
      <c r="S55" s="265">
        <f>S154</f>
        <v>38640052.021043979</v>
      </c>
      <c r="T55" s="12"/>
      <c r="U55" s="265">
        <f>SUM(I55:T55)</f>
        <v>14618819732.849997</v>
      </c>
      <c r="V55" s="67"/>
      <c r="W55" s="67"/>
      <c r="X55" s="370">
        <f t="shared" si="3"/>
        <v>0</v>
      </c>
    </row>
    <row r="56" spans="1:24" ht="15.75">
      <c r="A56" s="118"/>
      <c r="B56" s="17">
        <f t="shared" si="19"/>
        <v>4</v>
      </c>
      <c r="C56" s="167"/>
      <c r="D56" s="260" t="s">
        <v>515</v>
      </c>
      <c r="E56" s="261"/>
      <c r="F56" s="269">
        <f>SUM(F53:F55)</f>
        <v>15324013756.529999</v>
      </c>
      <c r="G56" s="261"/>
      <c r="H56" s="261"/>
      <c r="I56" s="261"/>
      <c r="J56" s="269">
        <f t="shared" si="23" ref="J56:Q56">SUM(J53:J55)</f>
        <v>8343356305.2345963</v>
      </c>
      <c r="K56" s="269">
        <f t="shared" si="23"/>
        <v>338914887.2963078</v>
      </c>
      <c r="L56" s="269">
        <f t="shared" si="23"/>
        <v>5196716368.2383986</v>
      </c>
      <c r="M56" s="269">
        <f t="shared" si="23"/>
        <v>1796188.6044662444</v>
      </c>
      <c r="N56" s="269">
        <f t="shared" si="23"/>
        <v>760237447.33740878</v>
      </c>
      <c r="O56" s="269">
        <f>SUM(O53:O55)</f>
        <v>69455479.410149947</v>
      </c>
      <c r="P56" s="269">
        <f t="shared" si="23"/>
        <v>13765178.379646897</v>
      </c>
      <c r="Q56" s="269">
        <f t="shared" si="23"/>
        <v>550179430.7457515</v>
      </c>
      <c r="R56" s="269">
        <f>SUM(R53:R55)</f>
        <v>8324673.9208379993</v>
      </c>
      <c r="S56" s="269">
        <f>SUM(S53:S55)</f>
        <v>41267797.362433895</v>
      </c>
      <c r="T56" s="262"/>
      <c r="U56" s="251">
        <f>SUM(I56:T56)</f>
        <v>15324013756.529997</v>
      </c>
      <c r="V56" s="67"/>
      <c r="W56" s="67"/>
      <c r="X56" s="370">
        <f t="shared" si="3"/>
        <v>0</v>
      </c>
    </row>
    <row r="57" spans="1:24" ht="15.75">
      <c r="A57" s="118"/>
      <c r="B57" s="17">
        <f t="shared" si="19"/>
        <v>5</v>
      </c>
      <c r="C57" s="167"/>
      <c r="D57" s="260"/>
      <c r="E57" s="261"/>
      <c r="F57" s="262"/>
      <c r="G57" s="261"/>
      <c r="H57" s="261"/>
      <c r="I57" s="261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121"/>
      <c r="V57" s="67"/>
      <c r="W57" s="67"/>
      <c r="X57" s="370">
        <f t="shared" si="3"/>
        <v>0</v>
      </c>
    </row>
    <row r="58" spans="1:24" ht="15.75">
      <c r="A58" s="118"/>
      <c r="B58" s="17">
        <f t="shared" si="19"/>
        <v>6</v>
      </c>
      <c r="C58" s="167"/>
      <c r="D58" s="260" t="s">
        <v>516</v>
      </c>
      <c r="E58" s="261" t="s">
        <v>90</v>
      </c>
      <c r="F58" s="262">
        <f>+F194</f>
        <v>330131994.91000003</v>
      </c>
      <c r="G58" s="261"/>
      <c r="H58" s="261"/>
      <c r="I58" s="261"/>
      <c r="J58" s="262">
        <f t="shared" si="24" ref="J58:Q58">+J194</f>
        <v>183750545.2490347</v>
      </c>
      <c r="K58" s="262">
        <f t="shared" si="24"/>
        <v>6108306.5399419563</v>
      </c>
      <c r="L58" s="262">
        <f t="shared" si="24"/>
        <v>116209034.52994341</v>
      </c>
      <c r="M58" s="262">
        <f t="shared" si="24"/>
        <v>42080.720173316724</v>
      </c>
      <c r="N58" s="262">
        <f t="shared" si="24"/>
        <v>17810679.350228183</v>
      </c>
      <c r="O58" s="262">
        <f>+O194</f>
        <v>1765604.6121858822</v>
      </c>
      <c r="P58" s="262">
        <f t="shared" si="24"/>
        <v>334323.90790542896</v>
      </c>
      <c r="Q58" s="262">
        <f t="shared" si="24"/>
        <v>2932988.159317404</v>
      </c>
      <c r="R58" s="262">
        <f>+R194</f>
        <v>211618.76347839582</v>
      </c>
      <c r="S58" s="262">
        <f>+S194</f>
        <v>966813.07779132738</v>
      </c>
      <c r="T58" s="262"/>
      <c r="U58" s="121">
        <f>SUM(I58:T58)</f>
        <v>330131994.90999997</v>
      </c>
      <c r="V58" s="67"/>
      <c r="W58" s="67"/>
      <c r="X58" s="370">
        <f t="shared" si="3"/>
        <v>0</v>
      </c>
    </row>
    <row r="59" spans="1:24" ht="17.25">
      <c r="A59" s="118"/>
      <c r="B59" s="17">
        <f t="shared" si="19"/>
        <v>7</v>
      </c>
      <c r="C59" s="167"/>
      <c r="D59" s="260" t="s">
        <v>517</v>
      </c>
      <c r="E59" s="261" t="s">
        <v>109</v>
      </c>
      <c r="F59" s="264">
        <f>+F212</f>
        <v>61337953.159999996</v>
      </c>
      <c r="G59" s="261"/>
      <c r="H59" s="261"/>
      <c r="I59" s="261"/>
      <c r="J59" s="264">
        <f t="shared" si="25" ref="J59:Q59">+J212</f>
        <v>34140533.21515353</v>
      </c>
      <c r="K59" s="264">
        <f t="shared" si="25"/>
        <v>1134912.7809802969</v>
      </c>
      <c r="L59" s="264">
        <f t="shared" si="25"/>
        <v>21591437.445224665</v>
      </c>
      <c r="M59" s="264">
        <f t="shared" si="25"/>
        <v>7818.5249619129936</v>
      </c>
      <c r="N59" s="264">
        <f t="shared" si="25"/>
        <v>3309193.3910553041</v>
      </c>
      <c r="O59" s="264">
        <f>+O212</f>
        <v>328046.28049111622</v>
      </c>
      <c r="P59" s="264">
        <f t="shared" si="25"/>
        <v>62116.803337894802</v>
      </c>
      <c r="Q59" s="264">
        <f t="shared" si="25"/>
        <v>544944.12268065836</v>
      </c>
      <c r="R59" s="264">
        <f>+R212</f>
        <v>39318.399919261428</v>
      </c>
      <c r="S59" s="264">
        <f>+S212</f>
        <v>179632.1961953635</v>
      </c>
      <c r="T59" s="264"/>
      <c r="U59" s="265">
        <f>SUM(I59:T59)</f>
        <v>61337953.159999996</v>
      </c>
      <c r="V59" s="67"/>
      <c r="W59" s="67"/>
      <c r="X59" s="370">
        <f t="shared" si="3"/>
        <v>0</v>
      </c>
    </row>
    <row r="60" spans="1:24" ht="15.75">
      <c r="A60" s="118"/>
      <c r="B60" s="17">
        <f t="shared" si="26" ref="B60:B89">B59+1</f>
        <v>8</v>
      </c>
      <c r="C60" s="249"/>
      <c r="D60" s="268" t="s">
        <v>518</v>
      </c>
      <c r="E60" s="261"/>
      <c r="F60" s="269">
        <f>+F56+F58+F59</f>
        <v>15715483704.599999</v>
      </c>
      <c r="G60" s="261"/>
      <c r="H60" s="261"/>
      <c r="I60" s="261"/>
      <c r="J60" s="269">
        <f t="shared" si="27" ref="J60:Q60">+J56+J58+J59</f>
        <v>8561247383.6987848</v>
      </c>
      <c r="K60" s="269">
        <f t="shared" si="27"/>
        <v>346158106.61723006</v>
      </c>
      <c r="L60" s="269">
        <f t="shared" si="27"/>
        <v>5334516840.2135668</v>
      </c>
      <c r="M60" s="269">
        <f t="shared" si="27"/>
        <v>1846087.8496014741</v>
      </c>
      <c r="N60" s="269">
        <f t="shared" si="27"/>
        <v>781357320.07869232</v>
      </c>
      <c r="O60" s="269">
        <f>+O56+O58+O59</f>
        <v>71549130.302826941</v>
      </c>
      <c r="P60" s="269">
        <f t="shared" si="27"/>
        <v>14161619.090890221</v>
      </c>
      <c r="Q60" s="269">
        <f t="shared" si="27"/>
        <v>553657363.02774954</v>
      </c>
      <c r="R60" s="269">
        <f>+R56+R58+R59</f>
        <v>8575611.084235657</v>
      </c>
      <c r="S60" s="269">
        <f>+S56+S58+S59</f>
        <v>42414242.636420585</v>
      </c>
      <c r="T60" s="269"/>
      <c r="U60" s="251">
        <f>SUM(I60:T60)</f>
        <v>15715483704.600002</v>
      </c>
      <c r="V60" s="133"/>
      <c r="W60" s="133"/>
      <c r="X60" s="370">
        <f t="shared" si="3"/>
        <v>0</v>
      </c>
    </row>
    <row r="61" spans="1:24" ht="15.75">
      <c r="A61" s="118"/>
      <c r="B61" s="17">
        <f t="shared" si="26"/>
        <v>9</v>
      </c>
      <c r="C61" s="167"/>
      <c r="D61" s="260"/>
      <c r="E61" s="261"/>
      <c r="F61" s="262"/>
      <c r="G61" s="261"/>
      <c r="H61" s="261"/>
      <c r="I61" s="261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67"/>
      <c r="W61" s="67"/>
      <c r="X61" s="370">
        <f t="shared" si="3"/>
        <v>0</v>
      </c>
    </row>
    <row r="62" spans="1:24" ht="15.75">
      <c r="A62" s="118"/>
      <c r="B62" s="17">
        <f t="shared" si="26"/>
        <v>10</v>
      </c>
      <c r="C62" s="167"/>
      <c r="D62" s="270" t="s">
        <v>519</v>
      </c>
      <c r="E62" s="261" t="s">
        <v>36</v>
      </c>
      <c r="F62" s="262">
        <f>+F349+F308</f>
        <v>5869820991.1499996</v>
      </c>
      <c r="G62" s="261"/>
      <c r="H62" s="261"/>
      <c r="I62" s="261"/>
      <c r="J62" s="262">
        <f t="shared" si="28" ref="J62:Q62">+J349+J308</f>
        <v>3081179047.917717</v>
      </c>
      <c r="K62" s="262">
        <f t="shared" si="28"/>
        <v>163987560.07864133</v>
      </c>
      <c r="L62" s="262">
        <f t="shared" si="28"/>
        <v>1868766849.6699212</v>
      </c>
      <c r="M62" s="262">
        <f t="shared" si="28"/>
        <v>591097.16722760478</v>
      </c>
      <c r="N62" s="262">
        <f t="shared" si="28"/>
        <v>250182080.22482353</v>
      </c>
      <c r="O62" s="262">
        <f>+O349+O308</f>
        <v>18892775.375359334</v>
      </c>
      <c r="P62" s="262">
        <f t="shared" si="28"/>
        <v>4190939.2263810704</v>
      </c>
      <c r="Q62" s="262">
        <f t="shared" si="28"/>
        <v>466185646.85236299</v>
      </c>
      <c r="R62" s="262">
        <f>+R349+R308</f>
        <v>2264417.3763563503</v>
      </c>
      <c r="S62" s="262">
        <f>+S349+S308</f>
        <v>13580577.261209276</v>
      </c>
      <c r="T62" s="262"/>
      <c r="U62" s="121">
        <f>SUM(I62:T62)</f>
        <v>5869820991.1500006</v>
      </c>
      <c r="V62" s="67"/>
      <c r="W62" s="67"/>
      <c r="X62" s="370">
        <f t="shared" si="3"/>
        <v>0</v>
      </c>
    </row>
    <row r="63" spans="1:24" ht="16.5" thickBot="1">
      <c r="A63" s="118"/>
      <c r="B63" s="17">
        <f t="shared" si="26"/>
        <v>11</v>
      </c>
      <c r="C63" s="167"/>
      <c r="D63" s="260"/>
      <c r="E63" s="261"/>
      <c r="F63" s="271"/>
      <c r="G63" s="261"/>
      <c r="H63" s="261"/>
      <c r="I63" s="26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62"/>
      <c r="V63" s="67"/>
      <c r="W63" s="67"/>
      <c r="X63" s="370">
        <f t="shared" si="3"/>
        <v>0</v>
      </c>
    </row>
    <row r="64" spans="1:24" ht="16.5" thickBot="1">
      <c r="A64" s="118"/>
      <c r="B64" s="17">
        <f t="shared" si="26"/>
        <v>12</v>
      </c>
      <c r="C64" s="249"/>
      <c r="D64" s="1018" t="s">
        <v>520</v>
      </c>
      <c r="E64" s="1013"/>
      <c r="F64" s="1019">
        <f>+F60-F62</f>
        <v>9845662713.4499989</v>
      </c>
      <c r="G64" s="1013"/>
      <c r="H64" s="1013"/>
      <c r="I64" s="1016"/>
      <c r="J64" s="1019">
        <f t="shared" si="29" ref="J64:Q64">+J60-J62</f>
        <v>5480068335.7810678</v>
      </c>
      <c r="K64" s="1019">
        <f t="shared" si="29"/>
        <v>182170546.53858873</v>
      </c>
      <c r="L64" s="1019">
        <f t="shared" si="29"/>
        <v>3465749990.5436459</v>
      </c>
      <c r="M64" s="1019">
        <f t="shared" si="29"/>
        <v>1254990.6823738692</v>
      </c>
      <c r="N64" s="1019">
        <f t="shared" si="29"/>
        <v>531175239.85386878</v>
      </c>
      <c r="O64" s="1019">
        <f>+O60-O62</f>
        <v>52656354.927467607</v>
      </c>
      <c r="P64" s="1019">
        <f t="shared" si="29"/>
        <v>9970679.8645091504</v>
      </c>
      <c r="Q64" s="1019">
        <f t="shared" si="29"/>
        <v>87471716.175386548</v>
      </c>
      <c r="R64" s="1019">
        <f>+R60-R62</f>
        <v>6311193.7078793067</v>
      </c>
      <c r="S64" s="1019">
        <f>+S60-S62</f>
        <v>28833665.37521131</v>
      </c>
      <c r="T64" s="1020"/>
      <c r="U64" s="1015">
        <f>SUM(I64:T64)</f>
        <v>9845662713.4499989</v>
      </c>
      <c r="V64" s="133"/>
      <c r="W64" s="133"/>
      <c r="X64" s="370">
        <f t="shared" si="3"/>
        <v>0</v>
      </c>
    </row>
    <row r="65" spans="1:24" ht="15.75">
      <c r="A65" s="118"/>
      <c r="B65" s="17">
        <f t="shared" si="26"/>
        <v>13</v>
      </c>
      <c r="C65" s="167"/>
      <c r="D65" s="260"/>
      <c r="E65" s="261"/>
      <c r="F65" s="12"/>
      <c r="G65" s="261"/>
      <c r="H65" s="261"/>
      <c r="I65" s="26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7"/>
      <c r="W65" s="67"/>
      <c r="X65" s="370">
        <f t="shared" si="3"/>
        <v>0</v>
      </c>
    </row>
    <row r="66" spans="1:24" ht="15.75">
      <c r="A66" s="118"/>
      <c r="B66" s="17">
        <f t="shared" si="26"/>
        <v>14</v>
      </c>
      <c r="C66" s="167"/>
      <c r="D66" s="274" t="s">
        <v>521</v>
      </c>
      <c r="E66" s="275"/>
      <c r="F66" s="12"/>
      <c r="G66" s="275"/>
      <c r="H66" s="275"/>
      <c r="I66" s="27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7"/>
      <c r="W66" s="67"/>
      <c r="X66" s="370">
        <f t="shared" si="3"/>
        <v>0</v>
      </c>
    </row>
    <row r="67" spans="1:24" ht="15.75">
      <c r="A67" s="118"/>
      <c r="B67" s="17">
        <f t="shared" si="26"/>
        <v>15</v>
      </c>
      <c r="C67" s="167"/>
      <c r="D67" s="41"/>
      <c r="E67" s="261"/>
      <c r="F67" s="12"/>
      <c r="G67" s="261"/>
      <c r="H67" s="261"/>
      <c r="I67" s="26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7"/>
      <c r="W67" s="67"/>
      <c r="X67" s="370">
        <f t="shared" si="3"/>
        <v>0</v>
      </c>
    </row>
    <row r="68" spans="1:24" ht="15.75">
      <c r="A68" s="118"/>
      <c r="B68" s="17">
        <f t="shared" si="26"/>
        <v>16</v>
      </c>
      <c r="C68" s="167"/>
      <c r="D68" s="41" t="s">
        <v>116</v>
      </c>
      <c r="E68" s="261" t="s">
        <v>117</v>
      </c>
      <c r="F68" s="262">
        <f>+F237</f>
        <v>0</v>
      </c>
      <c r="G68" s="261"/>
      <c r="H68" s="261"/>
      <c r="I68" s="261"/>
      <c r="J68" s="262">
        <f t="shared" si="30" ref="J68:Q68">+J237</f>
        <v>0</v>
      </c>
      <c r="K68" s="262">
        <f t="shared" si="30"/>
        <v>0</v>
      </c>
      <c r="L68" s="262">
        <f t="shared" si="30"/>
        <v>0</v>
      </c>
      <c r="M68" s="262">
        <f t="shared" si="30"/>
        <v>0</v>
      </c>
      <c r="N68" s="262">
        <f t="shared" si="30"/>
        <v>0</v>
      </c>
      <c r="O68" s="262">
        <f>+O237</f>
        <v>0</v>
      </c>
      <c r="P68" s="262">
        <f t="shared" si="30"/>
        <v>0</v>
      </c>
      <c r="Q68" s="262">
        <f t="shared" si="30"/>
        <v>0</v>
      </c>
      <c r="R68" s="262">
        <f>+R237</f>
        <v>0</v>
      </c>
      <c r="S68" s="262">
        <f>+S237</f>
        <v>0</v>
      </c>
      <c r="T68" s="262"/>
      <c r="U68" s="121">
        <f t="shared" si="31" ref="U68:U77">SUM(I68:T68)</f>
        <v>0</v>
      </c>
      <c r="V68" s="67"/>
      <c r="W68" s="67"/>
      <c r="X68" s="370">
        <f t="shared" si="3"/>
        <v>0</v>
      </c>
    </row>
    <row r="69" spans="1:24" ht="15.75">
      <c r="A69" s="118"/>
      <c r="B69" s="17">
        <f t="shared" si="26"/>
        <v>17</v>
      </c>
      <c r="C69" s="167"/>
      <c r="D69" s="41" t="s">
        <v>118</v>
      </c>
      <c r="E69" s="261" t="s">
        <v>119</v>
      </c>
      <c r="F69" s="262">
        <f>+F374</f>
        <v>1745979.3400000001</v>
      </c>
      <c r="G69" s="261"/>
      <c r="H69" s="261"/>
      <c r="I69" s="261"/>
      <c r="J69" s="262">
        <f t="shared" si="32" ref="J69:Q69">+J374</f>
        <v>918949.05612198694</v>
      </c>
      <c r="K69" s="262">
        <f t="shared" si="32"/>
        <v>22440.93415476655</v>
      </c>
      <c r="L69" s="262">
        <f t="shared" si="32"/>
        <v>591685.87524851703</v>
      </c>
      <c r="M69" s="262">
        <f t="shared" si="32"/>
        <v>334.50441386345329</v>
      </c>
      <c r="N69" s="262">
        <f t="shared" si="32"/>
        <v>141579.1087229487</v>
      </c>
      <c r="O69" s="262">
        <f>+O374</f>
        <v>51199.922597649958</v>
      </c>
      <c r="P69" s="262">
        <f t="shared" si="32"/>
        <v>0</v>
      </c>
      <c r="Q69" s="262">
        <f t="shared" si="32"/>
        <v>5968.0008339198394</v>
      </c>
      <c r="R69" s="262">
        <f>+R374</f>
        <v>6136.6311775150507</v>
      </c>
      <c r="S69" s="262">
        <f>+S374</f>
        <v>7685.3067288325165</v>
      </c>
      <c r="T69" s="262"/>
      <c r="U69" s="121">
        <f t="shared" si="31"/>
        <v>1745979.3399999996</v>
      </c>
      <c r="V69" s="67"/>
      <c r="W69" s="67"/>
      <c r="X69" s="370">
        <f t="shared" si="3"/>
        <v>0</v>
      </c>
    </row>
    <row r="70" spans="1:24" ht="15.75">
      <c r="A70" s="118"/>
      <c r="B70" s="17">
        <f t="shared" si="26"/>
        <v>18</v>
      </c>
      <c r="C70" s="167"/>
      <c r="D70" s="42" t="s">
        <v>522</v>
      </c>
      <c r="E70" s="261" t="s">
        <v>523</v>
      </c>
      <c r="F70" s="121">
        <f>F395</f>
        <v>0</v>
      </c>
      <c r="G70" s="261"/>
      <c r="H70" s="415"/>
      <c r="I70" s="261"/>
      <c r="J70" s="121">
        <f t="shared" si="33" ref="J70:Q70">J395</f>
        <v>0</v>
      </c>
      <c r="K70" s="121">
        <f t="shared" si="33"/>
        <v>0</v>
      </c>
      <c r="L70" s="121">
        <f t="shared" si="33"/>
        <v>0</v>
      </c>
      <c r="M70" s="121">
        <f t="shared" si="33"/>
        <v>0</v>
      </c>
      <c r="N70" s="121">
        <f t="shared" si="33"/>
        <v>0</v>
      </c>
      <c r="O70" s="121">
        <f>O395</f>
        <v>0</v>
      </c>
      <c r="P70" s="121">
        <f t="shared" si="33"/>
        <v>0</v>
      </c>
      <c r="Q70" s="121">
        <f t="shared" si="33"/>
        <v>0</v>
      </c>
      <c r="R70" s="121">
        <f>R395</f>
        <v>0</v>
      </c>
      <c r="S70" s="121">
        <f>S395</f>
        <v>0</v>
      </c>
      <c r="T70" s="121"/>
      <c r="U70" s="121">
        <f t="shared" si="31"/>
        <v>0</v>
      </c>
      <c r="V70" s="67"/>
      <c r="W70" s="67"/>
      <c r="X70" s="370">
        <f t="shared" si="3"/>
        <v>0</v>
      </c>
    </row>
    <row r="71" spans="1:24" ht="15.75">
      <c r="A71" s="118"/>
      <c r="B71" s="17">
        <f t="shared" si="26"/>
        <v>19</v>
      </c>
      <c r="C71" s="167"/>
      <c r="D71" s="41" t="s">
        <v>524</v>
      </c>
      <c r="E71" s="261" t="s">
        <v>121</v>
      </c>
      <c r="F71" s="262">
        <f>+F421</f>
        <v>74690404.409999996</v>
      </c>
      <c r="G71" s="261"/>
      <c r="H71" s="261"/>
      <c r="I71" s="261"/>
      <c r="J71" s="262">
        <f t="shared" si="34" ref="J71:Q71">+J421</f>
        <v>40688727.204454318</v>
      </c>
      <c r="K71" s="262">
        <f t="shared" si="34"/>
        <v>1645172.968202882</v>
      </c>
      <c r="L71" s="262">
        <f t="shared" si="34"/>
        <v>25353163.008968156</v>
      </c>
      <c r="M71" s="262">
        <f t="shared" si="34"/>
        <v>8773.8341787572026</v>
      </c>
      <c r="N71" s="262">
        <f t="shared" si="34"/>
        <v>3713528.3470981615</v>
      </c>
      <c r="O71" s="262">
        <f>+O421</f>
        <v>340048.93377463811</v>
      </c>
      <c r="P71" s="262">
        <f t="shared" si="34"/>
        <v>67305.408912699393</v>
      </c>
      <c r="Q71" s="262">
        <f t="shared" si="34"/>
        <v>2631347.0922318855</v>
      </c>
      <c r="R71" s="262">
        <f>+R421</f>
        <v>40756.993038461653</v>
      </c>
      <c r="S71" s="262">
        <f>+S421</f>
        <v>201580.61914001708</v>
      </c>
      <c r="T71" s="262"/>
      <c r="U71" s="121">
        <f t="shared" si="31"/>
        <v>74690404.409999967</v>
      </c>
      <c r="V71" s="67"/>
      <c r="W71" s="67"/>
      <c r="X71" s="370">
        <f t="shared" si="3"/>
        <v>0</v>
      </c>
    </row>
    <row r="72" spans="1:24" ht="15.75">
      <c r="A72" s="118"/>
      <c r="B72" s="17">
        <f t="shared" si="26"/>
        <v>20</v>
      </c>
      <c r="C72" s="167"/>
      <c r="D72" s="41" t="s">
        <v>123</v>
      </c>
      <c r="E72" s="261" t="s">
        <v>124</v>
      </c>
      <c r="F72" s="262">
        <f>+F441</f>
        <v>-16695371.95999999</v>
      </c>
      <c r="G72" s="261"/>
      <c r="H72" s="415"/>
      <c r="I72" s="261"/>
      <c r="J72" s="262">
        <f t="shared" si="35" ref="J72:Q72">+J441</f>
        <v>-7854809.1971242856</v>
      </c>
      <c r="K72" s="262">
        <f t="shared" si="35"/>
        <v>-218396.96673154627</v>
      </c>
      <c r="L72" s="262">
        <f t="shared" si="35"/>
        <v>-5586062.7360451138</v>
      </c>
      <c r="M72" s="262">
        <f t="shared" si="35"/>
        <v>-2477.986039597291</v>
      </c>
      <c r="N72" s="262">
        <f t="shared" si="35"/>
        <v>-1359146.0117999921</v>
      </c>
      <c r="O72" s="262">
        <f>+O441</f>
        <v>-400373.8368936826</v>
      </c>
      <c r="P72" s="262">
        <f t="shared" si="35"/>
        <v>-1169548.3535631029</v>
      </c>
      <c r="Q72" s="262">
        <f t="shared" si="35"/>
        <v>-92991.308914977402</v>
      </c>
      <c r="R72" s="262">
        <f>+R441</f>
        <v>-1821.5786534269075</v>
      </c>
      <c r="S72" s="262">
        <f>+S441</f>
        <v>-9743.9842342662214</v>
      </c>
      <c r="T72" s="262"/>
      <c r="U72" s="121">
        <f t="shared" si="31"/>
        <v>-16695371.959999992</v>
      </c>
      <c r="V72" s="67"/>
      <c r="W72" s="67"/>
      <c r="X72" s="370">
        <f t="shared" si="3"/>
        <v>0</v>
      </c>
    </row>
    <row r="73" spans="1:24" ht="15.75">
      <c r="A73" s="118"/>
      <c r="B73" s="17">
        <f t="shared" si="26"/>
        <v>21</v>
      </c>
      <c r="C73" s="167"/>
      <c r="D73" s="41" t="s">
        <v>125</v>
      </c>
      <c r="E73" s="261" t="s">
        <v>126</v>
      </c>
      <c r="F73" s="262">
        <f>+F462</f>
        <v>100121671.99538463</v>
      </c>
      <c r="G73" s="261"/>
      <c r="H73" s="261"/>
      <c r="I73" s="261"/>
      <c r="J73" s="262">
        <f t="shared" si="36" ref="J73:Q73">+J462</f>
        <v>40207408.474143699</v>
      </c>
      <c r="K73" s="262">
        <f t="shared" si="36"/>
        <v>1436286.4206134642</v>
      </c>
      <c r="L73" s="262">
        <f t="shared" si="36"/>
        <v>42096747.43745216</v>
      </c>
      <c r="M73" s="262">
        <f t="shared" si="36"/>
        <v>726.60193012890932</v>
      </c>
      <c r="N73" s="262">
        <f t="shared" si="36"/>
        <v>6768844.4158337116</v>
      </c>
      <c r="O73" s="262">
        <f>+O462</f>
        <v>1065032.1752600581</v>
      </c>
      <c r="P73" s="262">
        <f t="shared" si="36"/>
        <v>7977831.5176789733</v>
      </c>
      <c r="Q73" s="262">
        <f t="shared" si="36"/>
        <v>366503.43469732808</v>
      </c>
      <c r="R73" s="262">
        <f>+R462</f>
        <v>81264.402580053298</v>
      </c>
      <c r="S73" s="262">
        <f>+S462</f>
        <v>121027.11519502339</v>
      </c>
      <c r="T73" s="262"/>
      <c r="U73" s="121">
        <f t="shared" si="31"/>
        <v>100121671.99538459</v>
      </c>
      <c r="V73" s="67"/>
      <c r="W73" s="67"/>
      <c r="X73" s="370">
        <f t="shared" si="3"/>
        <v>0</v>
      </c>
    </row>
    <row r="74" spans="1:24" ht="15.75">
      <c r="A74" s="118"/>
      <c r="B74" s="17">
        <f t="shared" si="26"/>
        <v>22</v>
      </c>
      <c r="C74" s="167"/>
      <c r="D74" s="42" t="s">
        <v>525</v>
      </c>
      <c r="E74" s="261" t="s">
        <v>128</v>
      </c>
      <c r="F74" s="262">
        <f>F483</f>
        <v>-2428360.54</v>
      </c>
      <c r="G74" s="261"/>
      <c r="H74" s="261"/>
      <c r="I74" s="261"/>
      <c r="J74" s="262">
        <f t="shared" si="37" ref="J74:Q74">J483</f>
        <v>-1165559.2189848921</v>
      </c>
      <c r="K74" s="262">
        <f t="shared" si="37"/>
        <v>-28463.207522190372</v>
      </c>
      <c r="L74" s="262">
        <f t="shared" si="37"/>
        <v>-750471.33684362366</v>
      </c>
      <c r="M74" s="262">
        <f t="shared" si="37"/>
        <v>-424.27238025034762</v>
      </c>
      <c r="N74" s="262">
        <f t="shared" si="37"/>
        <v>-179573.43150673149</v>
      </c>
      <c r="O74" s="262">
        <f>O483</f>
        <v>-64939.989216422866</v>
      </c>
      <c r="P74" s="262">
        <f t="shared" si="37"/>
        <v>-213828.29543560359</v>
      </c>
      <c r="Q74" s="262">
        <f t="shared" si="37"/>
        <v>-7569.5799941726054</v>
      </c>
      <c r="R74" s="262">
        <f>R483</f>
        <v>-7783.4641592072112</v>
      </c>
      <c r="S74" s="262">
        <f>S483</f>
        <v>-9747.7439569057733</v>
      </c>
      <c r="T74" s="262"/>
      <c r="U74" s="121">
        <f t="shared" si="31"/>
        <v>-2428360.54</v>
      </c>
      <c r="V74" s="67"/>
      <c r="W74" s="67"/>
      <c r="X74" s="370">
        <f t="shared" si="3"/>
        <v>0</v>
      </c>
    </row>
    <row r="75" spans="1:24" s="386" customFormat="1" ht="15.75">
      <c r="A75" s="290"/>
      <c r="B75" s="17">
        <f t="shared" si="26"/>
        <v>23</v>
      </c>
      <c r="C75" s="684"/>
      <c r="D75" s="42" t="s">
        <v>526</v>
      </c>
      <c r="E75" s="415" t="s">
        <v>132</v>
      </c>
      <c r="F75" s="263">
        <f>F591</f>
        <v>190520108.74000001</v>
      </c>
      <c r="G75" s="415"/>
      <c r="H75" s="415"/>
      <c r="I75" s="415"/>
      <c r="J75" s="263">
        <f t="shared" si="38" ref="J75:Q75">J591</f>
        <v>103174266.37058717</v>
      </c>
      <c r="K75" s="263">
        <f t="shared" si="38"/>
        <v>3450150.5906876549</v>
      </c>
      <c r="L75" s="263">
        <f t="shared" si="38"/>
        <v>65925144.394149423</v>
      </c>
      <c r="M75" s="263">
        <f t="shared" si="38"/>
        <v>35737.045016034041</v>
      </c>
      <c r="N75" s="263">
        <f t="shared" si="38"/>
        <v>11512082.698676467</v>
      </c>
      <c r="O75" s="263">
        <f>O591</f>
        <v>1171377.9135606894</v>
      </c>
      <c r="P75" s="263">
        <f t="shared" si="38"/>
        <v>100193.36230621353</v>
      </c>
      <c r="Q75" s="263">
        <f t="shared" si="38"/>
        <v>4482480.0722887143</v>
      </c>
      <c r="R75" s="263">
        <f>R591</f>
        <v>126669.34995490091</v>
      </c>
      <c r="S75" s="263">
        <f>S591</f>
        <v>542006.94277267181</v>
      </c>
      <c r="T75" s="263"/>
      <c r="U75" s="24">
        <f t="shared" si="31"/>
        <v>190520108.73999995</v>
      </c>
      <c r="V75" s="47"/>
      <c r="W75" s="47"/>
      <c r="X75" s="839">
        <f t="shared" si="3"/>
        <v>0</v>
      </c>
    </row>
    <row r="76" spans="1:24" ht="17.25">
      <c r="A76" s="118"/>
      <c r="B76" s="17">
        <f t="shared" si="26"/>
        <v>24</v>
      </c>
      <c r="C76" s="167"/>
      <c r="D76" s="42" t="s">
        <v>527</v>
      </c>
      <c r="E76" s="261" t="s">
        <v>528</v>
      </c>
      <c r="F76" s="264">
        <f>+F399</f>
        <v>-1132059195.6699996</v>
      </c>
      <c r="G76" s="261"/>
      <c r="H76" s="261"/>
      <c r="I76" s="261"/>
      <c r="J76" s="264">
        <f t="shared" si="39" ref="J76:Q76">+J399</f>
        <v>-616706364.83718812</v>
      </c>
      <c r="K76" s="264">
        <f t="shared" si="39"/>
        <v>-24935374.253676243</v>
      </c>
      <c r="L76" s="264">
        <f t="shared" si="39"/>
        <v>-384269994.92561561</v>
      </c>
      <c r="M76" s="264">
        <f t="shared" si="39"/>
        <v>-132982.27184342314</v>
      </c>
      <c r="N76" s="264">
        <f t="shared" si="39"/>
        <v>-56284792.496729873</v>
      </c>
      <c r="O76" s="264">
        <f>+O399</f>
        <v>-5154015.7734882683</v>
      </c>
      <c r="P76" s="264">
        <f t="shared" si="39"/>
        <v>-1020127.1191370017</v>
      </c>
      <c r="Q76" s="264">
        <f t="shared" si="39"/>
        <v>-39882508.285921067</v>
      </c>
      <c r="R76" s="264">
        <f>+R399</f>
        <v>-617741.04882033891</v>
      </c>
      <c r="S76" s="264">
        <f>+S399</f>
        <v>-3055294.6575792716</v>
      </c>
      <c r="T76" s="264"/>
      <c r="U76" s="265">
        <f t="shared" si="31"/>
        <v>-1132059195.6699991</v>
      </c>
      <c r="V76" s="67"/>
      <c r="W76" s="67"/>
      <c r="X76" s="370">
        <f t="shared" si="3"/>
        <v>0</v>
      </c>
    </row>
    <row r="77" spans="1:24" ht="15.75">
      <c r="A77" s="118"/>
      <c r="B77" s="17">
        <f t="shared" si="26"/>
        <v>25</v>
      </c>
      <c r="C77" s="249"/>
      <c r="D77" s="213" t="s">
        <v>491</v>
      </c>
      <c r="E77" s="213"/>
      <c r="F77" s="269">
        <f>SUM(F68:F76)</f>
        <v>-784104763.6846149</v>
      </c>
      <c r="G77" s="213"/>
      <c r="H77" s="213"/>
      <c r="I77" s="213"/>
      <c r="J77" s="269">
        <f t="shared" si="40" ref="J77:Q77">SUM(J68:J76)</f>
        <v>-440737382.14799011</v>
      </c>
      <c r="K77" s="269">
        <f t="shared" si="40"/>
        <v>-18628183.514271211</v>
      </c>
      <c r="L77" s="269">
        <f t="shared" si="40"/>
        <v>-256639788.28268609</v>
      </c>
      <c r="M77" s="269">
        <f t="shared" si="40"/>
        <v>-90312.544724487176</v>
      </c>
      <c r="N77" s="269">
        <f t="shared" si="40"/>
        <v>-35687477.369705305</v>
      </c>
      <c r="O77" s="269">
        <f>SUM(O68:O76)</f>
        <v>-2991670.6544053378</v>
      </c>
      <c r="P77" s="269">
        <f t="shared" si="40"/>
        <v>5741826.520762179</v>
      </c>
      <c r="Q77" s="269">
        <f t="shared" si="40"/>
        <v>-32496770.574778371</v>
      </c>
      <c r="R77" s="269">
        <f>SUM(R68:R76)</f>
        <v>-372518.71488204214</v>
      </c>
      <c r="S77" s="269">
        <f>SUM(S68:S76)</f>
        <v>-2202486.4019338987</v>
      </c>
      <c r="T77" s="269"/>
      <c r="U77" s="251">
        <f t="shared" si="31"/>
        <v>-784104763.68461454</v>
      </c>
      <c r="V77" s="133"/>
      <c r="W77" s="133"/>
      <c r="X77" s="370">
        <f t="shared" si="3"/>
        <v>0</v>
      </c>
    </row>
    <row r="78" spans="1:24" ht="15.75" thickBot="1">
      <c r="A78" s="118"/>
      <c r="B78" s="17">
        <f t="shared" si="26"/>
        <v>26</v>
      </c>
      <c r="C78" s="167"/>
      <c r="D78" s="41"/>
      <c r="E78" s="41"/>
      <c r="F78" s="12"/>
      <c r="G78" s="41"/>
      <c r="H78" s="41"/>
      <c r="I78" s="4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7"/>
      <c r="W78" s="67"/>
      <c r="X78" s="370">
        <f t="shared" si="3"/>
        <v>0</v>
      </c>
    </row>
    <row r="79" spans="1:24" ht="16.5" thickBot="1">
      <c r="A79" s="118"/>
      <c r="B79" s="17">
        <f t="shared" si="26"/>
        <v>27</v>
      </c>
      <c r="C79" s="249"/>
      <c r="D79" s="276" t="s">
        <v>529</v>
      </c>
      <c r="E79" s="277"/>
      <c r="F79" s="278">
        <f>+F64+F77</f>
        <v>9061557949.7653847</v>
      </c>
      <c r="G79" s="277"/>
      <c r="H79" s="277"/>
      <c r="I79" s="1002"/>
      <c r="J79" s="356">
        <f t="shared" si="41" ref="J79:Q79">+J64+J77</f>
        <v>5039330953.6330776</v>
      </c>
      <c r="K79" s="905">
        <f t="shared" si="41"/>
        <v>163542363.02431753</v>
      </c>
      <c r="L79" s="905">
        <f t="shared" si="41"/>
        <v>3209110202.2609596</v>
      </c>
      <c r="M79" s="905">
        <f t="shared" si="41"/>
        <v>1164678.137649382</v>
      </c>
      <c r="N79" s="905">
        <f t="shared" si="41"/>
        <v>495487762.48416346</v>
      </c>
      <c r="O79" s="905">
        <f>+O64+O77</f>
        <v>49664684.273062266</v>
      </c>
      <c r="P79" s="905">
        <f t="shared" si="41"/>
        <v>15712506.385271329</v>
      </c>
      <c r="Q79" s="905">
        <f t="shared" si="41"/>
        <v>54974945.600608177</v>
      </c>
      <c r="R79" s="905">
        <f>+R64+R77</f>
        <v>5938674.9929972645</v>
      </c>
      <c r="S79" s="279">
        <f>+S64+S77</f>
        <v>26631178.973277412</v>
      </c>
      <c r="T79" s="1004"/>
      <c r="U79" s="279">
        <f>SUM(I79:T79)</f>
        <v>9061557949.7653866</v>
      </c>
      <c r="V79" s="133"/>
      <c r="W79" s="133"/>
      <c r="X79" s="370">
        <f t="shared" si="3"/>
        <v>0</v>
      </c>
    </row>
    <row r="80" spans="1:24" ht="15">
      <c r="A80" s="118"/>
      <c r="B80" s="17">
        <f t="shared" si="26"/>
        <v>28</v>
      </c>
      <c r="C80" s="167"/>
      <c r="D80" s="281"/>
      <c r="E80" s="281"/>
      <c r="F80" s="262"/>
      <c r="G80" s="281"/>
      <c r="H80" s="281"/>
      <c r="I80" s="281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67"/>
      <c r="W80" s="67"/>
      <c r="X80" s="370">
        <f>U80-F80</f>
        <v>0</v>
      </c>
    </row>
    <row r="81" spans="1:24" ht="15.75">
      <c r="A81" s="67"/>
      <c r="B81" s="17">
        <f t="shared" si="26"/>
        <v>29</v>
      </c>
      <c r="C81" s="167"/>
      <c r="D81" s="48" t="s">
        <v>530</v>
      </c>
      <c r="E81" s="281"/>
      <c r="F81" s="282">
        <f>F597</f>
        <v>0.070499999999999993</v>
      </c>
      <c r="G81" s="281"/>
      <c r="H81" s="281"/>
      <c r="I81" s="281"/>
      <c r="J81" s="282">
        <f t="shared" si="42" ref="J81:Q81">J597</f>
        <v>0.070499999999999993</v>
      </c>
      <c r="K81" s="282">
        <f t="shared" si="42"/>
        <v>0.070499999999999993</v>
      </c>
      <c r="L81" s="282">
        <f t="shared" si="42"/>
        <v>0.070499999999999993</v>
      </c>
      <c r="M81" s="282">
        <f t="shared" si="42"/>
        <v>0.070499999999999993</v>
      </c>
      <c r="N81" s="282">
        <f t="shared" si="42"/>
        <v>0.070499999999999993</v>
      </c>
      <c r="O81" s="282">
        <f>O597</f>
        <v>0.070499999999999993</v>
      </c>
      <c r="P81" s="282">
        <f t="shared" si="42"/>
        <v>0.070499999999999993</v>
      </c>
      <c r="Q81" s="282">
        <f t="shared" si="42"/>
        <v>0.070499999999999993</v>
      </c>
      <c r="R81" s="282">
        <f>R597</f>
        <v>0.070499999999999993</v>
      </c>
      <c r="S81" s="282">
        <f>S597</f>
        <v>0.070499999999999993</v>
      </c>
      <c r="T81" s="282"/>
      <c r="U81" s="282">
        <f>U83/U79</f>
        <v>0.070499999999999952</v>
      </c>
      <c r="V81" s="67"/>
      <c r="W81" s="67"/>
      <c r="X81" s="370">
        <f>U81-F81</f>
        <v>0</v>
      </c>
    </row>
    <row r="82" spans="1:24" ht="15.75" thickBot="1">
      <c r="A82" s="283"/>
      <c r="B82" s="17">
        <f t="shared" si="26"/>
        <v>30</v>
      </c>
      <c r="C82" s="167"/>
      <c r="D82" s="1"/>
      <c r="E82" s="1"/>
      <c r="F82" s="262"/>
      <c r="G82" s="1"/>
      <c r="H82" s="1"/>
      <c r="I82" s="1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67"/>
      <c r="W82" s="67"/>
      <c r="X82" s="167"/>
    </row>
    <row r="83" spans="1:24" ht="16.5" thickBot="1">
      <c r="A83" s="133"/>
      <c r="B83" s="17">
        <f t="shared" si="26"/>
        <v>31</v>
      </c>
      <c r="C83" s="249"/>
      <c r="D83" s="284" t="s">
        <v>531</v>
      </c>
      <c r="E83" s="285"/>
      <c r="F83" s="278">
        <f>+F79*F81</f>
        <v>638839835.45845962</v>
      </c>
      <c r="G83" s="285"/>
      <c r="H83" s="285"/>
      <c r="I83" s="284"/>
      <c r="J83" s="356">
        <f t="shared" si="43" ref="J83:Q83">+J79*J81</f>
        <v>355272832.23113191</v>
      </c>
      <c r="K83" s="905">
        <f t="shared" si="43"/>
        <v>11529736.593214385</v>
      </c>
      <c r="L83" s="905">
        <f t="shared" si="43"/>
        <v>226242269.25939763</v>
      </c>
      <c r="M83" s="905">
        <f t="shared" si="43"/>
        <v>82109.80870428143</v>
      </c>
      <c r="N83" s="905">
        <f t="shared" si="43"/>
        <v>34931887.255133517</v>
      </c>
      <c r="O83" s="905">
        <f>+O79*O81</f>
        <v>3501360.2412508894</v>
      </c>
      <c r="P83" s="905">
        <f t="shared" si="43"/>
        <v>1107731.7001616287</v>
      </c>
      <c r="Q83" s="905">
        <f t="shared" si="43"/>
        <v>3875733.6648428761</v>
      </c>
      <c r="R83" s="905">
        <f>+R79*R81</f>
        <v>418676.58700630709</v>
      </c>
      <c r="S83" s="279">
        <f>+S79*S81</f>
        <v>1877498.1176160574</v>
      </c>
      <c r="T83" s="279"/>
      <c r="U83" s="279">
        <f>SUM(I83:T83)</f>
        <v>638839835.45845938</v>
      </c>
      <c r="V83" s="133"/>
      <c r="W83" s="133"/>
      <c r="X83" s="258" t="b">
        <f>IF(ROUND(U83-'WP II-I-1.1'!G461,2)=0,TRUE,U83-'WP II-I-1.1'!G461)</f>
        <v>1</v>
      </c>
    </row>
    <row r="84" spans="1:24" ht="16.5" thickBot="1">
      <c r="A84" s="133"/>
      <c r="B84" s="17">
        <f t="shared" si="26"/>
        <v>32</v>
      </c>
      <c r="C84" s="249"/>
      <c r="V84" s="133"/>
      <c r="W84" s="133"/>
      <c r="X84" s="249"/>
    </row>
    <row r="85" spans="1:24" ht="15.75">
      <c r="A85" s="133"/>
      <c r="B85" s="17">
        <f t="shared" si="26"/>
        <v>33</v>
      </c>
      <c r="C85" s="249"/>
      <c r="D85" s="416" t="s">
        <v>735</v>
      </c>
      <c r="E85" s="417"/>
      <c r="F85" s="418">
        <f>'WP II-I-1.5'!D54</f>
        <v>0</v>
      </c>
      <c r="G85" s="417"/>
      <c r="H85" s="417"/>
      <c r="I85" s="419"/>
      <c r="J85" s="638">
        <f>'WP II-I-1.5'!F54</f>
        <v>0</v>
      </c>
      <c r="K85" s="418">
        <f>'WP II-I-1.5'!G54</f>
        <v>0</v>
      </c>
      <c r="L85" s="418">
        <f>'WP II-I-1.5'!H54</f>
        <v>0</v>
      </c>
      <c r="M85" s="418">
        <f>'WP II-I-1.5'!I54</f>
        <v>0</v>
      </c>
      <c r="N85" s="418">
        <f>'WP II-I-1.5'!J54</f>
        <v>0</v>
      </c>
      <c r="O85" s="418">
        <f>'WP II-I-1.5'!K54</f>
        <v>0</v>
      </c>
      <c r="P85" s="418">
        <f>'WP II-I-1.5'!L54</f>
        <v>0</v>
      </c>
      <c r="Q85" s="418">
        <f>'WP II-I-1.5'!M54</f>
        <v>0</v>
      </c>
      <c r="R85" s="418">
        <f>'WP II-I-1.5'!N54</f>
        <v>0</v>
      </c>
      <c r="S85" s="420">
        <f>'WP II-I-1.5'!O54</f>
        <v>0</v>
      </c>
      <c r="T85" s="1005"/>
      <c r="U85" s="420">
        <f>SUM(I85:T85)</f>
        <v>0</v>
      </c>
      <c r="V85" s="133"/>
      <c r="W85" s="133"/>
      <c r="X85" s="370">
        <f t="shared" si="44" ref="X85:X148">U85-F85</f>
        <v>0</v>
      </c>
    </row>
    <row r="86" spans="1:24" ht="15.75">
      <c r="A86" s="133"/>
      <c r="B86" s="17">
        <f t="shared" si="26"/>
        <v>34</v>
      </c>
      <c r="C86" s="249"/>
      <c r="D86" s="421" t="s">
        <v>736</v>
      </c>
      <c r="E86" s="422"/>
      <c r="F86" s="422"/>
      <c r="G86" s="422"/>
      <c r="H86" s="422"/>
      <c r="I86" s="423"/>
      <c r="J86" s="423"/>
      <c r="K86" s="422"/>
      <c r="L86" s="422"/>
      <c r="M86" s="422"/>
      <c r="N86" s="422"/>
      <c r="O86" s="422"/>
      <c r="P86" s="422"/>
      <c r="Q86" s="422"/>
      <c r="R86" s="422"/>
      <c r="S86" s="424"/>
      <c r="T86" s="1006"/>
      <c r="U86" s="424"/>
      <c r="V86" s="133"/>
      <c r="W86" s="133"/>
      <c r="X86" s="370">
        <f t="shared" si="44"/>
        <v>0</v>
      </c>
    </row>
    <row r="87" spans="1:24" ht="15.75">
      <c r="A87" s="133"/>
      <c r="B87" s="17">
        <f t="shared" si="26"/>
        <v>35</v>
      </c>
      <c r="C87" s="249"/>
      <c r="D87" s="425" t="s">
        <v>739</v>
      </c>
      <c r="E87" s="422"/>
      <c r="F87" s="269">
        <f>F83+F85</f>
        <v>638839835.45845962</v>
      </c>
      <c r="G87" s="422"/>
      <c r="H87" s="422"/>
      <c r="I87" s="423"/>
      <c r="J87" s="639">
        <f t="shared" si="45" ref="J87:Q87">J83+J85</f>
        <v>355272832.23113191</v>
      </c>
      <c r="K87" s="269">
        <f t="shared" si="45"/>
        <v>11529736.593214385</v>
      </c>
      <c r="L87" s="269">
        <f t="shared" si="45"/>
        <v>226242269.25939763</v>
      </c>
      <c r="M87" s="269">
        <f t="shared" si="45"/>
        <v>82109.80870428143</v>
      </c>
      <c r="N87" s="269">
        <f t="shared" si="45"/>
        <v>34931887.255133517</v>
      </c>
      <c r="O87" s="269">
        <f>O83+O85</f>
        <v>3501360.2412508894</v>
      </c>
      <c r="P87" s="269">
        <f t="shared" si="45"/>
        <v>1107731.7001616287</v>
      </c>
      <c r="Q87" s="269">
        <f t="shared" si="45"/>
        <v>3875733.6648428761</v>
      </c>
      <c r="R87" s="269">
        <f>R83+R85</f>
        <v>418676.58700630709</v>
      </c>
      <c r="S87" s="426">
        <f>S83+S85</f>
        <v>1877498.1176160574</v>
      </c>
      <c r="T87" s="1006"/>
      <c r="U87" s="426">
        <f>SUM(I87:T87)</f>
        <v>638839835.45845938</v>
      </c>
      <c r="V87" s="133"/>
      <c r="W87" s="133"/>
      <c r="X87" s="370">
        <f t="shared" si="44"/>
        <v>0</v>
      </c>
    </row>
    <row r="88" spans="1:24" ht="15.75">
      <c r="A88" s="133"/>
      <c r="B88" s="17">
        <f t="shared" si="26"/>
        <v>36</v>
      </c>
      <c r="C88" s="249"/>
      <c r="D88" s="425"/>
      <c r="E88" s="422"/>
      <c r="F88" s="422"/>
      <c r="G88" s="422"/>
      <c r="H88" s="422"/>
      <c r="I88" s="423"/>
      <c r="J88" s="423"/>
      <c r="K88" s="422"/>
      <c r="L88" s="422"/>
      <c r="M88" s="422"/>
      <c r="N88" s="422"/>
      <c r="O88" s="422"/>
      <c r="P88" s="422"/>
      <c r="Q88" s="422"/>
      <c r="R88" s="422"/>
      <c r="S88" s="424"/>
      <c r="T88" s="1006"/>
      <c r="U88" s="424"/>
      <c r="V88" s="133"/>
      <c r="W88" s="133"/>
      <c r="X88" s="370">
        <f t="shared" si="44"/>
        <v>0</v>
      </c>
    </row>
    <row r="89" spans="1:24" ht="16.5" thickBot="1">
      <c r="A89" s="133"/>
      <c r="B89" s="17">
        <f t="shared" si="26"/>
        <v>37</v>
      </c>
      <c r="C89" s="249"/>
      <c r="D89" s="427" t="s">
        <v>740</v>
      </c>
      <c r="E89" s="428"/>
      <c r="F89" s="429">
        <f>F87/F79</f>
        <v>0.070499999999999993</v>
      </c>
      <c r="G89" s="430"/>
      <c r="H89" s="430"/>
      <c r="I89" s="431"/>
      <c r="J89" s="640">
        <f t="shared" si="46" ref="J89:U89">J87/J79</f>
        <v>0.070499999999999993</v>
      </c>
      <c r="K89" s="429">
        <f t="shared" si="46"/>
        <v>0.070499999999999993</v>
      </c>
      <c r="L89" s="429">
        <f t="shared" si="46"/>
        <v>0.070499999999999993</v>
      </c>
      <c r="M89" s="429">
        <f t="shared" si="46"/>
        <v>0.070499999999999993</v>
      </c>
      <c r="N89" s="429">
        <f t="shared" si="46"/>
        <v>0.070499999999999979</v>
      </c>
      <c r="O89" s="429">
        <f>O87/O79</f>
        <v>0.070499999999999993</v>
      </c>
      <c r="P89" s="429">
        <f t="shared" si="46"/>
        <v>0.070499999999999993</v>
      </c>
      <c r="Q89" s="429">
        <f t="shared" si="46"/>
        <v>0.070499999999999993</v>
      </c>
      <c r="R89" s="429">
        <f>R87/R79</f>
        <v>0.070499999999999993</v>
      </c>
      <c r="S89" s="432">
        <f>S87/S79</f>
        <v>0.070499999999999993</v>
      </c>
      <c r="T89" s="1007"/>
      <c r="U89" s="432">
        <f t="shared" si="46"/>
        <v>0.070499999999999952</v>
      </c>
      <c r="V89" s="133"/>
      <c r="W89" s="133"/>
      <c r="X89" s="370">
        <f t="shared" si="44"/>
        <v>0</v>
      </c>
    </row>
    <row r="90" spans="1:24" ht="15.75" thickBot="1">
      <c r="A90" s="133"/>
      <c r="B90" s="133"/>
      <c r="C90" s="17"/>
      <c r="V90" s="133"/>
      <c r="W90" s="133"/>
      <c r="X90" s="370">
        <f t="shared" si="44"/>
        <v>0</v>
      </c>
    </row>
    <row r="91" spans="1:24" ht="15">
      <c r="A91" s="67"/>
      <c r="B91" s="920" t="str">
        <f>+$B$4</f>
        <v>2022 RATE CASE</v>
      </c>
      <c r="C91" s="935"/>
      <c r="D91" s="401"/>
      <c r="V91" s="134">
        <f>$H$2</f>
        <v>0</v>
      </c>
      <c r="W91" s="134"/>
      <c r="X91" s="370"/>
    </row>
    <row r="92" spans="1:24" ht="15">
      <c r="A92" s="118"/>
      <c r="B92" s="917" t="str">
        <f>+$B$5</f>
        <v>ONCOR ELECTRIC DELIVERY COMPANY LLC</v>
      </c>
      <c r="C92" s="8"/>
      <c r="D92" s="405"/>
      <c r="V92" s="67"/>
      <c r="W92" s="67"/>
      <c r="X92" s="370">
        <f t="shared" si="44"/>
        <v>0</v>
      </c>
    </row>
    <row r="93" spans="1:24" ht="15">
      <c r="A93" s="67"/>
      <c r="B93" s="917" t="str">
        <f>+$B$6</f>
        <v>II-I-1-DIST:  CLASS REVENUE REQUIREMENT</v>
      </c>
      <c r="C93" s="85"/>
      <c r="D93" s="405"/>
      <c r="V93" s="67"/>
      <c r="W93" s="67"/>
      <c r="X93" s="370">
        <f t="shared" si="44"/>
        <v>0</v>
      </c>
    </row>
    <row r="94" spans="1:24" ht="15">
      <c r="A94" s="67"/>
      <c r="B94" s="406" t="str">
        <f>+$B$7</f>
        <v>TEST YEAR ENDING 12/31/2021</v>
      </c>
      <c r="C94" s="85"/>
      <c r="D94" s="405"/>
      <c r="V94" s="67"/>
      <c r="W94" s="67"/>
      <c r="X94" s="370">
        <f t="shared" si="44"/>
        <v>0</v>
      </c>
    </row>
    <row r="95" spans="1:24" ht="15">
      <c r="A95" s="67"/>
      <c r="B95" s="406" t="str">
        <f>+$B$8</f>
        <v>SPONSOR:  MATTHEW A. TROXLE</v>
      </c>
      <c r="C95" s="85"/>
      <c r="D95" s="405"/>
      <c r="V95" s="67"/>
      <c r="W95" s="67"/>
      <c r="X95" s="370">
        <f t="shared" si="44"/>
        <v>0</v>
      </c>
    </row>
    <row r="96" spans="1:24" ht="15.75" thickBot="1">
      <c r="A96" s="67"/>
      <c r="B96" s="410"/>
      <c r="C96" s="934"/>
      <c r="D96" s="93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12"/>
      <c r="V96" s="67"/>
      <c r="W96" s="67"/>
      <c r="X96" s="370">
        <f t="shared" si="44"/>
        <v>0</v>
      </c>
    </row>
    <row r="97" spans="1:24" ht="15" thickBot="1">
      <c r="A97" s="67"/>
      <c r="B97" s="13"/>
      <c r="C97" s="14"/>
      <c r="D97" s="14"/>
      <c r="E97" s="14"/>
      <c r="F97" s="14"/>
      <c r="G97" s="14"/>
      <c r="H97" s="14"/>
      <c r="I97" s="14"/>
      <c r="J97" s="238"/>
      <c r="K97" s="238"/>
      <c r="L97" s="14"/>
      <c r="M97" s="238"/>
      <c r="N97" s="238"/>
      <c r="O97" s="238"/>
      <c r="P97" s="238"/>
      <c r="Q97" s="14"/>
      <c r="R97" s="393" t="str">
        <f>R$10</f>
        <v xml:space="preserve"> </v>
      </c>
      <c r="S97" s="394"/>
      <c r="T97" s="238"/>
      <c r="U97" s="13"/>
      <c r="V97" s="67"/>
      <c r="W97" s="67"/>
      <c r="X97" s="370">
        <f t="shared" si="44"/>
        <v>0</v>
      </c>
    </row>
    <row r="98" spans="1:24" ht="15">
      <c r="A98" s="67"/>
      <c r="B98" s="15" t="s">
        <v>2</v>
      </c>
      <c r="C98" s="15" t="s">
        <v>370</v>
      </c>
      <c r="D98" s="287" t="s">
        <v>532</v>
      </c>
      <c r="E98" s="15" t="s">
        <v>371</v>
      </c>
      <c r="F98" s="287" t="str">
        <f>F$11</f>
        <v>DIST</v>
      </c>
      <c r="G98" s="242" t="s">
        <v>741</v>
      </c>
      <c r="H98" s="242" t="s">
        <v>376</v>
      </c>
      <c r="I98" s="15"/>
      <c r="J98" s="242" t="s">
        <v>730</v>
      </c>
      <c r="K98" s="242" t="s">
        <v>409</v>
      </c>
      <c r="L98" s="15" t="s">
        <v>409</v>
      </c>
      <c r="M98" s="242" t="s">
        <v>410</v>
      </c>
      <c r="N98" s="242" t="s">
        <v>410</v>
      </c>
      <c r="O98" s="242" t="s">
        <v>410</v>
      </c>
      <c r="P98" s="242" t="s">
        <v>411</v>
      </c>
      <c r="Q98" s="15" t="s">
        <v>412</v>
      </c>
      <c r="R98" s="396" t="str">
        <f>R$11</f>
        <v>Wholesale</v>
      </c>
      <c r="S98" s="13" t="str">
        <f>S$11</f>
        <v>Wholesale</v>
      </c>
      <c r="T98" s="242"/>
      <c r="U98" s="15" t="s">
        <v>10</v>
      </c>
      <c r="V98" s="67"/>
      <c r="W98" s="67"/>
      <c r="X98" s="370"/>
    </row>
    <row r="99" spans="1:24" ht="14.25">
      <c r="A99" s="67"/>
      <c r="B99" s="15"/>
      <c r="C99" s="15"/>
      <c r="D99" s="15"/>
      <c r="E99" s="15"/>
      <c r="F99" s="15"/>
      <c r="G99" s="242" t="s">
        <v>742</v>
      </c>
      <c r="H99" s="242" t="s">
        <v>743</v>
      </c>
      <c r="I99" s="15"/>
      <c r="J99" s="242"/>
      <c r="K99" s="242" t="s">
        <v>731</v>
      </c>
      <c r="L99" s="15" t="s">
        <v>732</v>
      </c>
      <c r="M99" s="242" t="s">
        <v>731</v>
      </c>
      <c r="N99" s="242" t="s">
        <v>732</v>
      </c>
      <c r="O99" s="242" t="s">
        <v>414</v>
      </c>
      <c r="P99" s="242"/>
      <c r="Q99" s="15"/>
      <c r="R99" s="235" t="str">
        <f>R$12</f>
        <v>XFMR</v>
      </c>
      <c r="S99" s="15" t="str">
        <f>S$12</f>
        <v>DLS</v>
      </c>
      <c r="T99" s="242"/>
      <c r="U99" s="15"/>
      <c r="V99" s="67"/>
      <c r="W99" s="67"/>
      <c r="X99" s="370">
        <f t="shared" si="44"/>
        <v>0</v>
      </c>
    </row>
    <row r="100" spans="1:24" ht="15" thickBot="1">
      <c r="A100" s="67"/>
      <c r="B100" s="16"/>
      <c r="C100" s="16"/>
      <c r="D100" s="16"/>
      <c r="E100" s="16"/>
      <c r="F100" s="16" t="s">
        <v>13</v>
      </c>
      <c r="G100" s="16" t="s">
        <v>14</v>
      </c>
      <c r="H100" s="16" t="s">
        <v>15</v>
      </c>
      <c r="I100" s="16"/>
      <c r="J100" s="243" t="str">
        <f t="shared" si="47" ref="J100:Q100">J$13</f>
        <v>(d)</v>
      </c>
      <c r="K100" s="243" t="str">
        <f t="shared" si="47"/>
        <v>(e)</v>
      </c>
      <c r="L100" s="16" t="str">
        <f t="shared" si="47"/>
        <v>(f)</v>
      </c>
      <c r="M100" s="243" t="str">
        <f t="shared" si="47"/>
        <v>(g)</v>
      </c>
      <c r="N100" s="243" t="str">
        <f t="shared" si="47"/>
        <v>(h)</v>
      </c>
      <c r="O100" s="243" t="str">
        <f>O$13</f>
        <v>(i)</v>
      </c>
      <c r="P100" s="243" t="str">
        <f t="shared" si="47"/>
        <v>(j)</v>
      </c>
      <c r="Q100" s="243" t="str">
        <f t="shared" si="47"/>
        <v>(k)</v>
      </c>
      <c r="R100" s="243" t="str">
        <f>R$13</f>
        <v>(l)</v>
      </c>
      <c r="S100" s="16" t="str">
        <f>S$13</f>
        <v>(m)</v>
      </c>
      <c r="T100" s="16"/>
      <c r="U100" s="16" t="s">
        <v>734</v>
      </c>
      <c r="V100" s="67"/>
      <c r="W100" s="67"/>
      <c r="X100" s="370"/>
    </row>
    <row r="101" spans="1:24" ht="14.25">
      <c r="A101" s="67"/>
      <c r="B101" s="67"/>
      <c r="C101" s="6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00"/>
      <c r="U101" s="100"/>
      <c r="V101" s="67"/>
      <c r="W101" s="67"/>
      <c r="X101" s="370">
        <f t="shared" si="44"/>
        <v>0</v>
      </c>
    </row>
    <row r="102" spans="1:24" ht="15">
      <c r="A102" s="67"/>
      <c r="B102" s="17">
        <f t="shared" si="48" ref="B102:B118">B101+1</f>
        <v>1</v>
      </c>
      <c r="C102" s="8" t="s">
        <v>533</v>
      </c>
      <c r="D102" s="8"/>
      <c r="E102" s="1059" t="s">
        <v>24</v>
      </c>
      <c r="F102" s="1059"/>
      <c r="G102" s="1059"/>
      <c r="H102" s="1059"/>
      <c r="I102" s="1059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20"/>
      <c r="U102" s="8"/>
      <c r="V102" s="67"/>
      <c r="W102" s="67"/>
      <c r="X102" s="370">
        <f t="shared" si="44"/>
        <v>0</v>
      </c>
    </row>
    <row r="103" spans="1:24" ht="14.25">
      <c r="A103" s="67"/>
      <c r="B103" s="17">
        <f t="shared" si="48"/>
        <v>2</v>
      </c>
      <c r="C103" s="1" t="s">
        <v>25</v>
      </c>
      <c r="D103" s="1" t="s">
        <v>26</v>
      </c>
      <c r="E103" s="17"/>
      <c r="F103" s="121">
        <f>' WP II-I-1.4'!G103</f>
        <v>0</v>
      </c>
      <c r="G103" s="17">
        <v>65</v>
      </c>
      <c r="H103" s="1" t="str">
        <f>VLOOKUP(G103,FactorTable,2)</f>
        <v>PLT_N XINT</v>
      </c>
      <c r="I103" s="17"/>
      <c r="J103" s="434">
        <f t="shared" si="49" ref="J103:S105">$F103*HLOOKUP(J$1318,FactorTable,$G103+1)</f>
        <v>0</v>
      </c>
      <c r="K103" s="434">
        <f t="shared" si="49"/>
        <v>0</v>
      </c>
      <c r="L103" s="434">
        <f t="shared" si="49"/>
        <v>0</v>
      </c>
      <c r="M103" s="434">
        <f t="shared" si="49"/>
        <v>0</v>
      </c>
      <c r="N103" s="434">
        <f t="shared" si="49"/>
        <v>0</v>
      </c>
      <c r="O103" s="434">
        <f t="shared" si="49"/>
        <v>0</v>
      </c>
      <c r="P103" s="434">
        <f t="shared" si="49"/>
        <v>0</v>
      </c>
      <c r="Q103" s="434">
        <f t="shared" si="49"/>
        <v>0</v>
      </c>
      <c r="R103" s="434">
        <f t="shared" si="49"/>
        <v>0</v>
      </c>
      <c r="S103" s="434">
        <f t="shared" si="49"/>
        <v>0</v>
      </c>
      <c r="T103" s="17"/>
      <c r="U103" s="118">
        <f>SUM(I103:T103)</f>
        <v>0</v>
      </c>
      <c r="V103" s="67"/>
      <c r="W103" s="67"/>
      <c r="X103" s="370">
        <f t="shared" si="44"/>
        <v>0</v>
      </c>
    </row>
    <row r="104" spans="1:24" ht="14.25">
      <c r="A104" s="67"/>
      <c r="B104" s="17">
        <f t="shared" si="48"/>
        <v>3</v>
      </c>
      <c r="C104" s="1" t="s">
        <v>27</v>
      </c>
      <c r="D104" s="1" t="s">
        <v>28</v>
      </c>
      <c r="E104" s="17"/>
      <c r="F104" s="121">
        <f>' WP II-I-1.4'!G104</f>
        <v>0</v>
      </c>
      <c r="G104" s="17">
        <v>65</v>
      </c>
      <c r="H104" s="1" t="str">
        <f>VLOOKUP(G104,FactorTable,2)</f>
        <v>PLT_N XINT</v>
      </c>
      <c r="I104" s="17"/>
      <c r="J104" s="434">
        <f t="shared" si="49"/>
        <v>0</v>
      </c>
      <c r="K104" s="434">
        <f t="shared" si="49"/>
        <v>0</v>
      </c>
      <c r="L104" s="434">
        <f t="shared" si="49"/>
        <v>0</v>
      </c>
      <c r="M104" s="434">
        <f t="shared" si="49"/>
        <v>0</v>
      </c>
      <c r="N104" s="434">
        <f t="shared" si="49"/>
        <v>0</v>
      </c>
      <c r="O104" s="434">
        <f t="shared" si="49"/>
        <v>0</v>
      </c>
      <c r="P104" s="434">
        <f t="shared" si="49"/>
        <v>0</v>
      </c>
      <c r="Q104" s="434">
        <f t="shared" si="49"/>
        <v>0</v>
      </c>
      <c r="R104" s="434">
        <f t="shared" si="49"/>
        <v>0</v>
      </c>
      <c r="S104" s="434">
        <f t="shared" si="49"/>
        <v>0</v>
      </c>
      <c r="T104" s="17"/>
      <c r="U104" s="118">
        <f>SUM(I104:T104)</f>
        <v>0</v>
      </c>
      <c r="V104" s="67"/>
      <c r="W104" s="67"/>
      <c r="X104" s="370">
        <f t="shared" si="44"/>
        <v>0</v>
      </c>
    </row>
    <row r="105" spans="1:24" ht="14.25">
      <c r="A105" s="67"/>
      <c r="B105" s="17">
        <f t="shared" si="48"/>
        <v>4</v>
      </c>
      <c r="C105" s="1" t="s">
        <v>29</v>
      </c>
      <c r="D105" s="1" t="s">
        <v>34</v>
      </c>
      <c r="E105" s="17"/>
      <c r="F105" s="121">
        <f>' WP II-I-1.4'!G105</f>
        <v>323333372.81999999</v>
      </c>
      <c r="G105" s="17">
        <v>65</v>
      </c>
      <c r="H105" s="1" t="str">
        <f>VLOOKUP(G105,FactorTable,2)</f>
        <v>PLT_N XINT</v>
      </c>
      <c r="I105" s="17"/>
      <c r="J105" s="435">
        <f t="shared" si="49"/>
        <v>179966451.20410517</v>
      </c>
      <c r="K105" s="435">
        <f t="shared" si="49"/>
        <v>5982514.2253065258</v>
      </c>
      <c r="L105" s="435">
        <f t="shared" si="49"/>
        <v>113815866.58077741</v>
      </c>
      <c r="M105" s="435">
        <f t="shared" si="49"/>
        <v>41214.124635336797</v>
      </c>
      <c r="N105" s="435">
        <f t="shared" si="49"/>
        <v>17443892.489410948</v>
      </c>
      <c r="O105" s="435">
        <f t="shared" si="49"/>
        <v>1729244.3723312593</v>
      </c>
      <c r="P105" s="435">
        <f t="shared" si="49"/>
        <v>327438.95903483982</v>
      </c>
      <c r="Q105" s="435">
        <f t="shared" si="49"/>
        <v>2872587.2336359047</v>
      </c>
      <c r="R105" s="435">
        <f t="shared" si="49"/>
        <v>207260.76115743036</v>
      </c>
      <c r="S105" s="435">
        <f t="shared" si="49"/>
        <v>946902.86960515939</v>
      </c>
      <c r="T105" s="17"/>
      <c r="U105" s="118">
        <f>SUM(I105:T105)</f>
        <v>323333372.82000005</v>
      </c>
      <c r="V105" s="67"/>
      <c r="W105" s="67"/>
      <c r="X105" s="370">
        <f t="shared" si="44"/>
        <v>0</v>
      </c>
    </row>
    <row r="106" spans="1:24" ht="15">
      <c r="A106" s="67"/>
      <c r="B106" s="17">
        <f t="shared" si="48"/>
        <v>5</v>
      </c>
      <c r="C106" s="8"/>
      <c r="D106" s="297" t="s">
        <v>491</v>
      </c>
      <c r="E106" s="1059"/>
      <c r="F106" s="907">
        <f>SUM(F103:F105)</f>
        <v>323333372.81999999</v>
      </c>
      <c r="G106" s="17"/>
      <c r="H106" s="1059"/>
      <c r="I106" s="1059"/>
      <c r="J106" s="907">
        <f t="shared" si="50" ref="J106:Q106">SUM(J103:J105)</f>
        <v>179966451.20410517</v>
      </c>
      <c r="K106" s="907">
        <f t="shared" si="50"/>
        <v>5982514.2253065258</v>
      </c>
      <c r="L106" s="907">
        <f t="shared" si="50"/>
        <v>113815866.58077741</v>
      </c>
      <c r="M106" s="907">
        <f t="shared" si="50"/>
        <v>41214.124635336797</v>
      </c>
      <c r="N106" s="907">
        <f t="shared" si="50"/>
        <v>17443892.489410948</v>
      </c>
      <c r="O106" s="907">
        <f>SUM(O103:O105)</f>
        <v>1729244.3723312593</v>
      </c>
      <c r="P106" s="907">
        <f t="shared" si="50"/>
        <v>327438.95903483982</v>
      </c>
      <c r="Q106" s="907">
        <f t="shared" si="50"/>
        <v>2872587.2336359047</v>
      </c>
      <c r="R106" s="907">
        <f>SUM(R103:R105)</f>
        <v>207260.76115743036</v>
      </c>
      <c r="S106" s="907">
        <f>SUM(S103:S105)</f>
        <v>946902.86960515939</v>
      </c>
      <c r="T106" s="1010"/>
      <c r="U106" s="299">
        <f>SUM(I106:T106)</f>
        <v>323333372.82000005</v>
      </c>
      <c r="V106" s="67"/>
      <c r="W106" s="67"/>
      <c r="X106" s="370">
        <f t="shared" si="44"/>
        <v>0</v>
      </c>
    </row>
    <row r="107" spans="1:24" ht="15">
      <c r="A107" s="67"/>
      <c r="B107" s="17">
        <f t="shared" si="48"/>
        <v>6</v>
      </c>
      <c r="C107" s="8" t="s">
        <v>566</v>
      </c>
      <c r="D107" s="8"/>
      <c r="E107" s="1059" t="s">
        <v>24</v>
      </c>
      <c r="F107" s="1059"/>
      <c r="G107" s="17"/>
      <c r="H107" s="17"/>
      <c r="I107" s="1059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10"/>
      <c r="U107" s="8"/>
      <c r="V107" s="67"/>
      <c r="W107" s="67"/>
      <c r="X107" s="370">
        <f t="shared" si="44"/>
        <v>0</v>
      </c>
    </row>
    <row r="108" spans="1:24" ht="15">
      <c r="A108" s="67"/>
      <c r="B108" s="17">
        <f t="shared" si="48"/>
        <v>7</v>
      </c>
      <c r="C108" s="1" t="s">
        <v>39</v>
      </c>
      <c r="D108" s="1" t="s">
        <v>40</v>
      </c>
      <c r="E108" s="1059"/>
      <c r="F108" s="121">
        <f>' WP II-I-1.4'!G108</f>
        <v>0</v>
      </c>
      <c r="G108" s="17">
        <v>28</v>
      </c>
      <c r="H108" s="28" t="str">
        <f t="shared" si="51" ref="H108:H117">VLOOKUP(G108,FactorTable,2)</f>
        <v>NCP XHV</v>
      </c>
      <c r="I108" s="1059"/>
      <c r="J108" s="19">
        <f t="shared" si="52" ref="J108:S117">$F108*HLOOKUP(J$1318,FactorTable,$G108+1)</f>
        <v>0</v>
      </c>
      <c r="K108" s="19">
        <f t="shared" si="52"/>
        <v>0</v>
      </c>
      <c r="L108" s="19">
        <f t="shared" si="52"/>
        <v>0</v>
      </c>
      <c r="M108" s="19">
        <f t="shared" si="52"/>
        <v>0</v>
      </c>
      <c r="N108" s="19">
        <f t="shared" si="52"/>
        <v>0</v>
      </c>
      <c r="O108" s="19">
        <f t="shared" si="52"/>
        <v>0</v>
      </c>
      <c r="P108" s="19">
        <f t="shared" si="52"/>
        <v>0</v>
      </c>
      <c r="Q108" s="19">
        <f t="shared" si="52"/>
        <v>0</v>
      </c>
      <c r="R108" s="19">
        <f t="shared" si="52"/>
        <v>0</v>
      </c>
      <c r="S108" s="19">
        <f t="shared" si="52"/>
        <v>0</v>
      </c>
      <c r="T108" s="1010"/>
      <c r="U108" s="118">
        <f t="shared" si="53" ref="U108:U118">SUM(I108:T108)</f>
        <v>0</v>
      </c>
      <c r="V108" s="67"/>
      <c r="W108" s="67"/>
      <c r="X108" s="370">
        <f t="shared" si="44"/>
        <v>0</v>
      </c>
    </row>
    <row r="109" spans="1:24" ht="14.25">
      <c r="A109" s="67"/>
      <c r="B109" s="17">
        <f t="shared" si="48"/>
        <v>8</v>
      </c>
      <c r="C109" s="1" t="s">
        <v>41</v>
      </c>
      <c r="D109" s="1" t="s">
        <v>42</v>
      </c>
      <c r="E109" s="17"/>
      <c r="F109" s="121">
        <f>' WP II-I-1.4'!G109</f>
        <v>0</v>
      </c>
      <c r="G109" s="17">
        <v>28</v>
      </c>
      <c r="H109" s="28" t="str">
        <f t="shared" si="51"/>
        <v>NCP XHV</v>
      </c>
      <c r="I109" s="17"/>
      <c r="J109" s="19">
        <f t="shared" si="52"/>
        <v>0</v>
      </c>
      <c r="K109" s="19">
        <f t="shared" si="52"/>
        <v>0</v>
      </c>
      <c r="L109" s="19">
        <f t="shared" si="52"/>
        <v>0</v>
      </c>
      <c r="M109" s="19">
        <f t="shared" si="52"/>
        <v>0</v>
      </c>
      <c r="N109" s="19">
        <f t="shared" si="52"/>
        <v>0</v>
      </c>
      <c r="O109" s="19">
        <f t="shared" si="52"/>
        <v>0</v>
      </c>
      <c r="P109" s="19">
        <f t="shared" si="52"/>
        <v>0</v>
      </c>
      <c r="Q109" s="19">
        <f t="shared" si="52"/>
        <v>0</v>
      </c>
      <c r="R109" s="19">
        <f t="shared" si="52"/>
        <v>0</v>
      </c>
      <c r="S109" s="19">
        <f t="shared" si="52"/>
        <v>0</v>
      </c>
      <c r="T109" s="17"/>
      <c r="U109" s="118">
        <f t="shared" si="53"/>
        <v>0</v>
      </c>
      <c r="V109" s="67"/>
      <c r="W109" s="67"/>
      <c r="X109" s="370">
        <f t="shared" si="44"/>
        <v>0</v>
      </c>
    </row>
    <row r="110" spans="1:24" ht="14.25">
      <c r="A110" s="67"/>
      <c r="B110" s="17">
        <f t="shared" si="48"/>
        <v>9</v>
      </c>
      <c r="C110" s="1" t="s">
        <v>43</v>
      </c>
      <c r="D110" s="1" t="s">
        <v>44</v>
      </c>
      <c r="E110" s="17"/>
      <c r="F110" s="121">
        <f>' WP II-I-1.4'!G110</f>
        <v>0</v>
      </c>
      <c r="G110" s="17">
        <v>28</v>
      </c>
      <c r="H110" s="28" t="str">
        <f t="shared" si="51"/>
        <v>NCP XHV</v>
      </c>
      <c r="I110" s="17"/>
      <c r="J110" s="19">
        <f t="shared" si="52"/>
        <v>0</v>
      </c>
      <c r="K110" s="19">
        <f t="shared" si="52"/>
        <v>0</v>
      </c>
      <c r="L110" s="19">
        <f t="shared" si="52"/>
        <v>0</v>
      </c>
      <c r="M110" s="19">
        <f t="shared" si="52"/>
        <v>0</v>
      </c>
      <c r="N110" s="19">
        <f t="shared" si="52"/>
        <v>0</v>
      </c>
      <c r="O110" s="19">
        <f t="shared" si="52"/>
        <v>0</v>
      </c>
      <c r="P110" s="19">
        <f t="shared" si="52"/>
        <v>0</v>
      </c>
      <c r="Q110" s="19">
        <f t="shared" si="52"/>
        <v>0</v>
      </c>
      <c r="R110" s="19">
        <f t="shared" si="52"/>
        <v>0</v>
      </c>
      <c r="S110" s="19">
        <f t="shared" si="52"/>
        <v>0</v>
      </c>
      <c r="T110" s="17"/>
      <c r="U110" s="118">
        <f t="shared" si="53"/>
        <v>0</v>
      </c>
      <c r="V110" s="67"/>
      <c r="W110" s="67"/>
      <c r="X110" s="370">
        <f t="shared" si="44"/>
        <v>0</v>
      </c>
    </row>
    <row r="111" spans="1:24" ht="14.25">
      <c r="A111" s="67"/>
      <c r="B111" s="17">
        <f t="shared" si="48"/>
        <v>10</v>
      </c>
      <c r="C111" s="1" t="s">
        <v>45</v>
      </c>
      <c r="D111" s="1" t="s">
        <v>46</v>
      </c>
      <c r="E111" s="17"/>
      <c r="F111" s="121">
        <f>' WP II-I-1.4'!G111</f>
        <v>381860650.86000001</v>
      </c>
      <c r="G111" s="17">
        <v>28</v>
      </c>
      <c r="H111" s="28" t="str">
        <f t="shared" si="51"/>
        <v>NCP XHV</v>
      </c>
      <c r="I111" s="17"/>
      <c r="J111" s="19">
        <f t="shared" si="52"/>
        <v>200982037.20894235</v>
      </c>
      <c r="K111" s="19">
        <f t="shared" si="52"/>
        <v>4908024.6976150116</v>
      </c>
      <c r="L111" s="19">
        <f t="shared" si="52"/>
        <v>129406773.75201213</v>
      </c>
      <c r="M111" s="19">
        <f t="shared" si="52"/>
        <v>73158.983194750224</v>
      </c>
      <c r="N111" s="19">
        <f t="shared" si="52"/>
        <v>30964564.910100192</v>
      </c>
      <c r="O111" s="19">
        <f t="shared" si="52"/>
        <v>11197862.036053781</v>
      </c>
      <c r="P111" s="19">
        <f t="shared" si="52"/>
        <v>0</v>
      </c>
      <c r="Q111" s="19">
        <f t="shared" si="52"/>
        <v>1305252.9491979284</v>
      </c>
      <c r="R111" s="19">
        <f t="shared" si="52"/>
        <v>1342133.8510991004</v>
      </c>
      <c r="S111" s="19">
        <f t="shared" si="52"/>
        <v>1680842.4717847591</v>
      </c>
      <c r="T111" s="17"/>
      <c r="U111" s="118">
        <f t="shared" si="53"/>
        <v>381860650.85999995</v>
      </c>
      <c r="V111" s="67"/>
      <c r="W111" s="67"/>
      <c r="X111" s="370">
        <f t="shared" si="44"/>
        <v>0</v>
      </c>
    </row>
    <row r="112" spans="1:24" ht="14.25">
      <c r="A112" s="67"/>
      <c r="B112" s="17">
        <f t="shared" si="48"/>
        <v>11</v>
      </c>
      <c r="C112" s="1" t="s">
        <v>47</v>
      </c>
      <c r="D112" s="1" t="s">
        <v>48</v>
      </c>
      <c r="E112" s="17"/>
      <c r="F112" s="121">
        <f>' WP II-I-1.4'!G112</f>
        <v>0</v>
      </c>
      <c r="G112" s="17">
        <v>28</v>
      </c>
      <c r="H112" s="28" t="str">
        <f t="shared" si="51"/>
        <v>NCP XHV</v>
      </c>
      <c r="I112" s="17"/>
      <c r="J112" s="19">
        <f t="shared" si="52"/>
        <v>0</v>
      </c>
      <c r="K112" s="19">
        <f t="shared" si="52"/>
        <v>0</v>
      </c>
      <c r="L112" s="19">
        <f t="shared" si="52"/>
        <v>0</v>
      </c>
      <c r="M112" s="19">
        <f t="shared" si="52"/>
        <v>0</v>
      </c>
      <c r="N112" s="19">
        <f t="shared" si="52"/>
        <v>0</v>
      </c>
      <c r="O112" s="19">
        <f t="shared" si="52"/>
        <v>0</v>
      </c>
      <c r="P112" s="19">
        <f t="shared" si="52"/>
        <v>0</v>
      </c>
      <c r="Q112" s="19">
        <f t="shared" si="52"/>
        <v>0</v>
      </c>
      <c r="R112" s="19">
        <f t="shared" si="52"/>
        <v>0</v>
      </c>
      <c r="S112" s="19">
        <f t="shared" si="52"/>
        <v>0</v>
      </c>
      <c r="T112" s="17"/>
      <c r="U112" s="118">
        <f t="shared" si="53"/>
        <v>0</v>
      </c>
      <c r="V112" s="67"/>
      <c r="W112" s="67"/>
      <c r="X112" s="370">
        <f t="shared" si="44"/>
        <v>0</v>
      </c>
    </row>
    <row r="113" spans="1:24" ht="14.25">
      <c r="A113" s="67"/>
      <c r="B113" s="17">
        <f t="shared" si="48"/>
        <v>12</v>
      </c>
      <c r="C113" s="1" t="s">
        <v>49</v>
      </c>
      <c r="D113" s="1" t="s">
        <v>50</v>
      </c>
      <c r="E113" s="17"/>
      <c r="F113" s="121">
        <f>' WP II-I-1.4'!G113</f>
        <v>0</v>
      </c>
      <c r="G113" s="17">
        <v>28</v>
      </c>
      <c r="H113" s="28" t="str">
        <f t="shared" si="51"/>
        <v>NCP XHV</v>
      </c>
      <c r="I113" s="17"/>
      <c r="J113" s="19">
        <f t="shared" si="52"/>
        <v>0</v>
      </c>
      <c r="K113" s="19">
        <f t="shared" si="52"/>
        <v>0</v>
      </c>
      <c r="L113" s="19">
        <f t="shared" si="52"/>
        <v>0</v>
      </c>
      <c r="M113" s="19">
        <f t="shared" si="52"/>
        <v>0</v>
      </c>
      <c r="N113" s="19">
        <f t="shared" si="52"/>
        <v>0</v>
      </c>
      <c r="O113" s="19">
        <f t="shared" si="52"/>
        <v>0</v>
      </c>
      <c r="P113" s="19">
        <f t="shared" si="52"/>
        <v>0</v>
      </c>
      <c r="Q113" s="19">
        <f t="shared" si="52"/>
        <v>0</v>
      </c>
      <c r="R113" s="19">
        <f t="shared" si="52"/>
        <v>0</v>
      </c>
      <c r="S113" s="19">
        <f t="shared" si="52"/>
        <v>0</v>
      </c>
      <c r="T113" s="17"/>
      <c r="U113" s="118">
        <f t="shared" si="53"/>
        <v>0</v>
      </c>
      <c r="V113" s="67"/>
      <c r="W113" s="67"/>
      <c r="X113" s="370">
        <f t="shared" si="44"/>
        <v>0</v>
      </c>
    </row>
    <row r="114" spans="1:24" ht="14.25">
      <c r="A114" s="67"/>
      <c r="B114" s="17">
        <f t="shared" si="48"/>
        <v>13</v>
      </c>
      <c r="C114" s="1" t="s">
        <v>51</v>
      </c>
      <c r="D114" s="1" t="s">
        <v>534</v>
      </c>
      <c r="E114" s="17"/>
      <c r="F114" s="121">
        <f>' WP II-I-1.4'!G114</f>
        <v>0</v>
      </c>
      <c r="G114" s="17">
        <v>28</v>
      </c>
      <c r="H114" s="28" t="str">
        <f t="shared" si="51"/>
        <v>NCP XHV</v>
      </c>
      <c r="I114" s="17"/>
      <c r="J114" s="19">
        <f t="shared" si="52"/>
        <v>0</v>
      </c>
      <c r="K114" s="19">
        <f t="shared" si="52"/>
        <v>0</v>
      </c>
      <c r="L114" s="19">
        <f t="shared" si="52"/>
        <v>0</v>
      </c>
      <c r="M114" s="19">
        <f t="shared" si="52"/>
        <v>0</v>
      </c>
      <c r="N114" s="19">
        <f t="shared" si="52"/>
        <v>0</v>
      </c>
      <c r="O114" s="19">
        <f t="shared" si="52"/>
        <v>0</v>
      </c>
      <c r="P114" s="19">
        <f t="shared" si="52"/>
        <v>0</v>
      </c>
      <c r="Q114" s="19">
        <f t="shared" si="52"/>
        <v>0</v>
      </c>
      <c r="R114" s="19">
        <f t="shared" si="52"/>
        <v>0</v>
      </c>
      <c r="S114" s="19">
        <f t="shared" si="52"/>
        <v>0</v>
      </c>
      <c r="T114" s="17"/>
      <c r="U114" s="118">
        <f t="shared" si="53"/>
        <v>0</v>
      </c>
      <c r="V114" s="67"/>
      <c r="W114" s="67"/>
      <c r="X114" s="370">
        <f t="shared" si="44"/>
        <v>0</v>
      </c>
    </row>
    <row r="115" spans="1:24" ht="14.25">
      <c r="A115" s="67"/>
      <c r="B115" s="17">
        <f t="shared" si="48"/>
        <v>14</v>
      </c>
      <c r="C115" s="1" t="s">
        <v>53</v>
      </c>
      <c r="D115" s="1" t="s">
        <v>54</v>
      </c>
      <c r="E115" s="17"/>
      <c r="F115" s="121">
        <f>' WP II-I-1.4'!G115</f>
        <v>0</v>
      </c>
      <c r="G115" s="17">
        <v>28</v>
      </c>
      <c r="H115" s="28" t="str">
        <f t="shared" si="51"/>
        <v>NCP XHV</v>
      </c>
      <c r="I115" s="17"/>
      <c r="J115" s="19">
        <f t="shared" si="52"/>
        <v>0</v>
      </c>
      <c r="K115" s="19">
        <f t="shared" si="52"/>
        <v>0</v>
      </c>
      <c r="L115" s="19">
        <f t="shared" si="52"/>
        <v>0</v>
      </c>
      <c r="M115" s="19">
        <f t="shared" si="52"/>
        <v>0</v>
      </c>
      <c r="N115" s="19">
        <f t="shared" si="52"/>
        <v>0</v>
      </c>
      <c r="O115" s="19">
        <f t="shared" si="52"/>
        <v>0</v>
      </c>
      <c r="P115" s="19">
        <f t="shared" si="52"/>
        <v>0</v>
      </c>
      <c r="Q115" s="19">
        <f t="shared" si="52"/>
        <v>0</v>
      </c>
      <c r="R115" s="19">
        <f t="shared" si="52"/>
        <v>0</v>
      </c>
      <c r="S115" s="19">
        <f t="shared" si="52"/>
        <v>0</v>
      </c>
      <c r="T115" s="17"/>
      <c r="U115" s="118">
        <f t="shared" si="53"/>
        <v>0</v>
      </c>
      <c r="V115" s="67"/>
      <c r="W115" s="67"/>
      <c r="X115" s="370">
        <f t="shared" si="44"/>
        <v>0</v>
      </c>
    </row>
    <row r="116" spans="1:24" ht="14.25">
      <c r="A116" s="67"/>
      <c r="B116" s="17">
        <f t="shared" si="48"/>
        <v>15</v>
      </c>
      <c r="C116" s="1" t="s">
        <v>55</v>
      </c>
      <c r="D116" s="31" t="s">
        <v>535</v>
      </c>
      <c r="E116" s="17"/>
      <c r="F116" s="121">
        <f>' WP II-I-1.4'!G116</f>
        <v>0</v>
      </c>
      <c r="G116" s="17">
        <v>28</v>
      </c>
      <c r="H116" s="28" t="str">
        <f t="shared" si="51"/>
        <v>NCP XHV</v>
      </c>
      <c r="I116" s="17"/>
      <c r="J116" s="19">
        <f t="shared" si="52"/>
        <v>0</v>
      </c>
      <c r="K116" s="19">
        <f t="shared" si="52"/>
        <v>0</v>
      </c>
      <c r="L116" s="19">
        <f t="shared" si="52"/>
        <v>0</v>
      </c>
      <c r="M116" s="19">
        <f t="shared" si="52"/>
        <v>0</v>
      </c>
      <c r="N116" s="19">
        <f t="shared" si="52"/>
        <v>0</v>
      </c>
      <c r="O116" s="19">
        <f t="shared" si="52"/>
        <v>0</v>
      </c>
      <c r="P116" s="19">
        <f t="shared" si="52"/>
        <v>0</v>
      </c>
      <c r="Q116" s="19">
        <f t="shared" si="52"/>
        <v>0</v>
      </c>
      <c r="R116" s="19">
        <f t="shared" si="52"/>
        <v>0</v>
      </c>
      <c r="S116" s="19">
        <f t="shared" si="52"/>
        <v>0</v>
      </c>
      <c r="T116" s="17"/>
      <c r="U116" s="118">
        <f t="shared" si="53"/>
        <v>0</v>
      </c>
      <c r="V116" s="67"/>
      <c r="W116" s="67"/>
      <c r="X116" s="370">
        <f t="shared" si="44"/>
        <v>0</v>
      </c>
    </row>
    <row r="117" spans="1:24" ht="14.25">
      <c r="A117" s="67"/>
      <c r="B117" s="17">
        <f t="shared" si="48"/>
        <v>16</v>
      </c>
      <c r="C117" s="1" t="s">
        <v>57</v>
      </c>
      <c r="D117" s="1" t="s">
        <v>58</v>
      </c>
      <c r="E117" s="17"/>
      <c r="F117" s="121">
        <f>' WP II-I-1.4'!G117</f>
        <v>0</v>
      </c>
      <c r="G117" s="17">
        <v>28</v>
      </c>
      <c r="H117" s="28" t="str">
        <f t="shared" si="51"/>
        <v>NCP XHV</v>
      </c>
      <c r="I117" s="17"/>
      <c r="J117" s="83">
        <f t="shared" si="52"/>
        <v>0</v>
      </c>
      <c r="K117" s="83">
        <f t="shared" si="52"/>
        <v>0</v>
      </c>
      <c r="L117" s="83">
        <f t="shared" si="52"/>
        <v>0</v>
      </c>
      <c r="M117" s="83">
        <f t="shared" si="52"/>
        <v>0</v>
      </c>
      <c r="N117" s="83">
        <f t="shared" si="52"/>
        <v>0</v>
      </c>
      <c r="O117" s="83">
        <f t="shared" si="52"/>
        <v>0</v>
      </c>
      <c r="P117" s="83">
        <f t="shared" si="52"/>
        <v>0</v>
      </c>
      <c r="Q117" s="83">
        <f t="shared" si="52"/>
        <v>0</v>
      </c>
      <c r="R117" s="83">
        <f t="shared" si="52"/>
        <v>0</v>
      </c>
      <c r="S117" s="83">
        <f t="shared" si="52"/>
        <v>0</v>
      </c>
      <c r="T117" s="17"/>
      <c r="U117" s="118">
        <f t="shared" si="53"/>
        <v>0</v>
      </c>
      <c r="V117" s="67"/>
      <c r="W117" s="67"/>
      <c r="X117" s="370">
        <f t="shared" si="44"/>
        <v>0</v>
      </c>
    </row>
    <row r="118" spans="1:24" ht="15">
      <c r="A118" s="67"/>
      <c r="B118" s="17">
        <f t="shared" si="48"/>
        <v>17</v>
      </c>
      <c r="C118" s="8"/>
      <c r="D118" s="297" t="s">
        <v>491</v>
      </c>
      <c r="E118" s="1059"/>
      <c r="F118" s="896">
        <f>SUM(F108:F117)</f>
        <v>381860650.86000001</v>
      </c>
      <c r="G118" s="17"/>
      <c r="H118" s="1059"/>
      <c r="I118" s="1059"/>
      <c r="J118" s="896">
        <f t="shared" si="54" ref="J118:Q118">SUM(J108:J117)</f>
        <v>200982037.20894235</v>
      </c>
      <c r="K118" s="896">
        <f t="shared" si="54"/>
        <v>4908024.6976150116</v>
      </c>
      <c r="L118" s="896">
        <f t="shared" si="54"/>
        <v>129406773.75201213</v>
      </c>
      <c r="M118" s="896">
        <f t="shared" si="54"/>
        <v>73158.983194750224</v>
      </c>
      <c r="N118" s="896">
        <f t="shared" si="54"/>
        <v>30964564.910100192</v>
      </c>
      <c r="O118" s="896">
        <f>SUM(O108:O117)</f>
        <v>11197862.036053781</v>
      </c>
      <c r="P118" s="896">
        <f t="shared" si="54"/>
        <v>0</v>
      </c>
      <c r="Q118" s="896">
        <f t="shared" si="54"/>
        <v>1305252.9491979284</v>
      </c>
      <c r="R118" s="896">
        <f>SUM(R108:R117)</f>
        <v>1342133.8510991004</v>
      </c>
      <c r="S118" s="896">
        <f>SUM(S108:S117)</f>
        <v>1680842.4717847591</v>
      </c>
      <c r="T118" s="20"/>
      <c r="U118" s="299">
        <f t="shared" si="53"/>
        <v>381860650.85999995</v>
      </c>
      <c r="V118" s="67"/>
      <c r="W118" s="67"/>
      <c r="X118" s="370">
        <f t="shared" si="44"/>
        <v>0</v>
      </c>
    </row>
    <row r="119" spans="1:24" ht="14.25">
      <c r="A119" s="67"/>
      <c r="B119" s="17"/>
      <c r="C119" s="1"/>
      <c r="D119" s="1"/>
      <c r="E119" s="17"/>
      <c r="F119" s="19"/>
      <c r="G119" s="17"/>
      <c r="H119" s="134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34"/>
      <c r="V119" s="134">
        <f>$H$2</f>
        <v>0</v>
      </c>
      <c r="W119" s="134"/>
      <c r="X119" s="370"/>
    </row>
    <row r="120" spans="1:24" ht="15" thickBot="1">
      <c r="A120" s="67"/>
      <c r="B120" s="17"/>
      <c r="C120" s="1"/>
      <c r="D120" s="1"/>
      <c r="E120" s="17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"/>
      <c r="V120" s="134"/>
      <c r="W120" s="134"/>
      <c r="X120" s="370">
        <f t="shared" si="44"/>
        <v>0</v>
      </c>
    </row>
    <row r="121" spans="1:24" ht="15">
      <c r="A121" s="67"/>
      <c r="B121" s="920" t="str">
        <f>+$B$4</f>
        <v>2022 RATE CASE</v>
      </c>
      <c r="C121" s="935"/>
      <c r="D121" s="624"/>
      <c r="F121" s="67"/>
      <c r="U121" s="134"/>
      <c r="X121" s="370">
        <f t="shared" si="44"/>
        <v>0</v>
      </c>
    </row>
    <row r="122" spans="1:24" ht="15">
      <c r="A122" s="118"/>
      <c r="B122" s="917" t="str">
        <f>+$B$5</f>
        <v>ONCOR ELECTRIC DELIVERY COMPANY LLC</v>
      </c>
      <c r="C122" s="8"/>
      <c r="D122" s="967"/>
      <c r="F122" s="67"/>
      <c r="U122" s="134"/>
      <c r="V122" s="67"/>
      <c r="W122" s="67"/>
      <c r="X122" s="370">
        <f t="shared" si="44"/>
        <v>0</v>
      </c>
    </row>
    <row r="123" spans="1:24" ht="15">
      <c r="A123" s="67"/>
      <c r="B123" s="917" t="str">
        <f>+$B$6</f>
        <v>II-I-1-DIST:  CLASS REVENUE REQUIREMENT</v>
      </c>
      <c r="C123" s="85"/>
      <c r="D123" s="967"/>
      <c r="F123" s="12"/>
      <c r="U123" s="12"/>
      <c r="V123" s="67"/>
      <c r="W123" s="67"/>
      <c r="X123" s="370">
        <f t="shared" si="44"/>
        <v>0</v>
      </c>
    </row>
    <row r="124" spans="1:24" ht="15">
      <c r="A124" s="67"/>
      <c r="B124" s="406" t="str">
        <f>+$B$7</f>
        <v>TEST YEAR ENDING 12/31/2021</v>
      </c>
      <c r="C124" s="85"/>
      <c r="D124" s="967"/>
      <c r="F124" s="12"/>
      <c r="K124" s="129" t="s">
        <v>0</v>
      </c>
      <c r="U124" s="12"/>
      <c r="V124" s="67"/>
      <c r="W124" s="67"/>
      <c r="X124" s="370">
        <f t="shared" si="44"/>
        <v>0</v>
      </c>
    </row>
    <row r="125" spans="1:24" ht="15">
      <c r="A125" s="67"/>
      <c r="B125" s="406" t="str">
        <f>+$B$8</f>
        <v>SPONSOR:  MATTHEW A. TROXLE</v>
      </c>
      <c r="C125" s="85"/>
      <c r="D125" s="967"/>
      <c r="F125" s="12"/>
      <c r="U125" s="12"/>
      <c r="V125" s="67"/>
      <c r="W125" s="67"/>
      <c r="X125" s="370">
        <f t="shared" si="44"/>
        <v>0</v>
      </c>
    </row>
    <row r="126" spans="1:24" ht="15.75" thickBot="1">
      <c r="A126" s="67"/>
      <c r="B126" s="410"/>
      <c r="C126" s="934"/>
      <c r="D126" s="968"/>
      <c r="F126" s="12"/>
      <c r="U126" s="12"/>
      <c r="V126" s="67"/>
      <c r="W126" s="67"/>
      <c r="X126" s="370">
        <f t="shared" si="44"/>
        <v>0</v>
      </c>
    </row>
    <row r="127" spans="1:24" ht="15" thickBot="1">
      <c r="A127" s="67"/>
      <c r="B127" s="13"/>
      <c r="C127" s="14"/>
      <c r="D127" s="14"/>
      <c r="E127" s="14"/>
      <c r="F127" s="13"/>
      <c r="G127" s="14"/>
      <c r="H127" s="14"/>
      <c r="I127" s="14"/>
      <c r="J127" s="238"/>
      <c r="K127" s="238"/>
      <c r="L127" s="14"/>
      <c r="M127" s="238"/>
      <c r="N127" s="238"/>
      <c r="O127" s="238"/>
      <c r="P127" s="238"/>
      <c r="Q127" s="14"/>
      <c r="R127" s="393" t="str">
        <f>R$10</f>
        <v xml:space="preserve"> </v>
      </c>
      <c r="S127" s="394"/>
      <c r="T127" s="238"/>
      <c r="U127" s="13"/>
      <c r="V127" s="67"/>
      <c r="W127" s="67"/>
      <c r="X127" s="370">
        <f t="shared" si="44"/>
        <v>0</v>
      </c>
    </row>
    <row r="128" spans="1:24" ht="15">
      <c r="A128" s="67"/>
      <c r="B128" s="15" t="s">
        <v>2</v>
      </c>
      <c r="C128" s="15" t="s">
        <v>370</v>
      </c>
      <c r="D128" s="287" t="s">
        <v>567</v>
      </c>
      <c r="E128" s="15" t="s">
        <v>371</v>
      </c>
      <c r="F128" s="287" t="str">
        <f>F$11</f>
        <v>DIST</v>
      </c>
      <c r="G128" s="242" t="s">
        <v>741</v>
      </c>
      <c r="H128" s="242" t="s">
        <v>376</v>
      </c>
      <c r="I128" s="15"/>
      <c r="J128" s="242" t="s">
        <v>730</v>
      </c>
      <c r="K128" s="242" t="s">
        <v>409</v>
      </c>
      <c r="L128" s="15" t="s">
        <v>409</v>
      </c>
      <c r="M128" s="242" t="s">
        <v>410</v>
      </c>
      <c r="N128" s="242" t="s">
        <v>410</v>
      </c>
      <c r="O128" s="242" t="s">
        <v>410</v>
      </c>
      <c r="P128" s="242" t="s">
        <v>411</v>
      </c>
      <c r="Q128" s="15" t="s">
        <v>412</v>
      </c>
      <c r="R128" s="396" t="str">
        <f>R$11</f>
        <v>Wholesale</v>
      </c>
      <c r="S128" s="13" t="str">
        <f>S$11</f>
        <v>Wholesale</v>
      </c>
      <c r="T128" s="242"/>
      <c r="U128" s="15" t="s">
        <v>10</v>
      </c>
      <c r="V128" s="67"/>
      <c r="W128" s="67"/>
      <c r="X128" s="370"/>
    </row>
    <row r="129" spans="1:24" ht="14.25">
      <c r="A129" s="67"/>
      <c r="B129" s="15"/>
      <c r="C129" s="15"/>
      <c r="D129" s="15"/>
      <c r="E129" s="15"/>
      <c r="F129" s="15"/>
      <c r="G129" s="242" t="s">
        <v>742</v>
      </c>
      <c r="H129" s="242" t="s">
        <v>743</v>
      </c>
      <c r="I129" s="15"/>
      <c r="J129" s="242"/>
      <c r="K129" s="242" t="s">
        <v>731</v>
      </c>
      <c r="L129" s="15" t="s">
        <v>732</v>
      </c>
      <c r="M129" s="242" t="s">
        <v>731</v>
      </c>
      <c r="N129" s="242" t="s">
        <v>732</v>
      </c>
      <c r="O129" s="242" t="s">
        <v>414</v>
      </c>
      <c r="P129" s="242"/>
      <c r="Q129" s="15"/>
      <c r="R129" s="235" t="str">
        <f>R$12</f>
        <v>XFMR</v>
      </c>
      <c r="S129" s="15" t="str">
        <f>S$12</f>
        <v>DLS</v>
      </c>
      <c r="T129" s="242"/>
      <c r="U129" s="15"/>
      <c r="V129" s="67"/>
      <c r="W129" s="67"/>
      <c r="X129" s="370">
        <f t="shared" si="44"/>
        <v>0</v>
      </c>
    </row>
    <row r="130" spans="1:24" ht="15" thickBot="1">
      <c r="A130" s="67"/>
      <c r="B130" s="16"/>
      <c r="C130" s="16"/>
      <c r="D130" s="16"/>
      <c r="E130" s="16"/>
      <c r="F130" s="16" t="s">
        <v>13</v>
      </c>
      <c r="G130" s="16" t="s">
        <v>14</v>
      </c>
      <c r="H130" s="16" t="s">
        <v>15</v>
      </c>
      <c r="I130" s="16"/>
      <c r="J130" s="243" t="str">
        <f t="shared" si="55" ref="J130:Q130">J$13</f>
        <v>(d)</v>
      </c>
      <c r="K130" s="243" t="str">
        <f t="shared" si="55"/>
        <v>(e)</v>
      </c>
      <c r="L130" s="16" t="str">
        <f t="shared" si="55"/>
        <v>(f)</v>
      </c>
      <c r="M130" s="243" t="str">
        <f t="shared" si="55"/>
        <v>(g)</v>
      </c>
      <c r="N130" s="243" t="str">
        <f t="shared" si="55"/>
        <v>(h)</v>
      </c>
      <c r="O130" s="243" t="str">
        <f>O$13</f>
        <v>(i)</v>
      </c>
      <c r="P130" s="243" t="str">
        <f t="shared" si="55"/>
        <v>(j)</v>
      </c>
      <c r="Q130" s="243" t="str">
        <f t="shared" si="55"/>
        <v>(k)</v>
      </c>
      <c r="R130" s="243" t="str">
        <f>R$13</f>
        <v>(l)</v>
      </c>
      <c r="S130" s="16" t="str">
        <f>S$13</f>
        <v>(m)</v>
      </c>
      <c r="T130" s="16"/>
      <c r="U130" s="16" t="s">
        <v>734</v>
      </c>
      <c r="V130" s="67"/>
      <c r="W130" s="67"/>
      <c r="X130" s="370"/>
    </row>
    <row r="131" spans="1:24" ht="14.25">
      <c r="A131" s="67"/>
      <c r="B131" s="67"/>
      <c r="C131" s="67"/>
      <c r="D131" s="100"/>
      <c r="E131" s="100"/>
      <c r="F131" s="288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67"/>
      <c r="W131" s="67"/>
      <c r="X131" s="370">
        <f t="shared" si="44"/>
        <v>0</v>
      </c>
    </row>
    <row r="132" spans="1:24" ht="15">
      <c r="A132" s="67"/>
      <c r="B132" s="17">
        <v>1</v>
      </c>
      <c r="C132" s="8" t="s">
        <v>567</v>
      </c>
      <c r="D132" s="8"/>
      <c r="E132" s="1059" t="s">
        <v>24</v>
      </c>
      <c r="F132" s="896"/>
      <c r="G132" s="1059"/>
      <c r="H132" s="1059"/>
      <c r="I132" s="1059"/>
      <c r="J132" s="1059"/>
      <c r="K132" s="1059"/>
      <c r="L132" s="1059"/>
      <c r="M132" s="1059"/>
      <c r="N132" s="1059"/>
      <c r="O132" s="1059"/>
      <c r="P132" s="1059"/>
      <c r="Q132" s="1059"/>
      <c r="R132" s="1059"/>
      <c r="S132" s="1059"/>
      <c r="T132" s="1059"/>
      <c r="U132" s="8"/>
      <c r="V132" s="67"/>
      <c r="W132" s="67"/>
      <c r="X132" s="370">
        <f t="shared" si="44"/>
        <v>0</v>
      </c>
    </row>
    <row r="133" spans="1:24" ht="14.25">
      <c r="A133" s="67"/>
      <c r="B133" s="17">
        <f t="shared" si="56" ref="B133:B163">B132+1</f>
        <v>2</v>
      </c>
      <c r="C133" s="1" t="s">
        <v>61</v>
      </c>
      <c r="D133" s="1" t="s">
        <v>42</v>
      </c>
      <c r="E133" s="17"/>
      <c r="F133" s="118">
        <f>' WP II-I-1.4'!G133</f>
        <v>23046028.010000002</v>
      </c>
      <c r="G133" s="17">
        <v>54</v>
      </c>
      <c r="H133" s="28" t="str">
        <f t="shared" si="57" ref="H133:H153">VLOOKUP(G133,FactorTable,2)</f>
        <v>PLT 362-373</v>
      </c>
      <c r="I133" s="17"/>
      <c r="J133" s="121">
        <f t="shared" si="58" ref="J133:S142">$F133*HLOOKUP(J$1318,FactorTable,$G133+1)</f>
        <v>12552441.094896648</v>
      </c>
      <c r="K133" s="121">
        <f t="shared" si="58"/>
        <v>517118.23927808105</v>
      </c>
      <c r="L133" s="121">
        <f t="shared" si="58"/>
        <v>7808999.4463880276</v>
      </c>
      <c r="M133" s="121">
        <f t="shared" si="58"/>
        <v>2651.3198569671868</v>
      </c>
      <c r="N133" s="121">
        <f t="shared" si="58"/>
        <v>1122172.0453652935</v>
      </c>
      <c r="O133" s="121">
        <f t="shared" si="58"/>
        <v>89114.886931054905</v>
      </c>
      <c r="P133" s="121">
        <f t="shared" si="58"/>
        <v>21184.098630247769</v>
      </c>
      <c r="Q133" s="121">
        <f t="shared" si="58"/>
        <v>860751.29043023055</v>
      </c>
      <c r="R133" s="121">
        <f t="shared" si="58"/>
        <v>10680.976958096822</v>
      </c>
      <c r="S133" s="121">
        <f t="shared" si="58"/>
        <v>60914.611265353509</v>
      </c>
      <c r="T133" s="17"/>
      <c r="U133" s="118">
        <f t="shared" si="59" ref="U133:U154">SUM(I133:T133)</f>
        <v>23046028.010000002</v>
      </c>
      <c r="V133" s="67"/>
      <c r="W133" s="67"/>
      <c r="X133" s="370">
        <f t="shared" si="44"/>
        <v>0</v>
      </c>
    </row>
    <row r="134" spans="1:24" ht="14.25">
      <c r="A134" s="67"/>
      <c r="B134" s="17">
        <f t="shared" si="56"/>
        <v>3</v>
      </c>
      <c r="C134" s="1" t="s">
        <v>62</v>
      </c>
      <c r="D134" s="31" t="s">
        <v>44</v>
      </c>
      <c r="E134" s="17"/>
      <c r="F134" s="118">
        <f>' WP II-I-1.4'!G134</f>
        <v>137062053.49000001</v>
      </c>
      <c r="G134" s="17">
        <v>54</v>
      </c>
      <c r="H134" s="28" t="str">
        <f t="shared" si="57"/>
        <v>PLT 362-373</v>
      </c>
      <c r="I134" s="17"/>
      <c r="J134" s="121">
        <f t="shared" si="58"/>
        <v>74653356.840157658</v>
      </c>
      <c r="K134" s="121">
        <f t="shared" si="58"/>
        <v>3075466.5290622879</v>
      </c>
      <c r="L134" s="121">
        <f t="shared" si="58"/>
        <v>46442601.708189815</v>
      </c>
      <c r="M134" s="121">
        <f t="shared" si="58"/>
        <v>15768.241880859177</v>
      </c>
      <c r="N134" s="121">
        <f t="shared" si="58"/>
        <v>6673913.8232454387</v>
      </c>
      <c r="O134" s="121">
        <f t="shared" si="58"/>
        <v>529994.55671925785</v>
      </c>
      <c r="P134" s="121">
        <f t="shared" si="58"/>
        <v>125988.56767580815</v>
      </c>
      <c r="Q134" s="121">
        <f t="shared" si="58"/>
        <v>5119161.5040710336</v>
      </c>
      <c r="R134" s="121">
        <f t="shared" si="58"/>
        <v>63523.164795291079</v>
      </c>
      <c r="S134" s="121">
        <f t="shared" si="58"/>
        <v>362278.55420255731</v>
      </c>
      <c r="T134" s="17"/>
      <c r="U134" s="118">
        <f t="shared" si="59"/>
        <v>137062053.49000001</v>
      </c>
      <c r="V134" s="67"/>
      <c r="W134" s="67"/>
      <c r="X134" s="370">
        <f t="shared" si="44"/>
        <v>0</v>
      </c>
    </row>
    <row r="135" spans="1:24" ht="14.25">
      <c r="A135" s="67"/>
      <c r="B135" s="17">
        <f t="shared" si="56"/>
        <v>4</v>
      </c>
      <c r="C135" s="1" t="s">
        <v>63</v>
      </c>
      <c r="D135" s="1" t="s">
        <v>46</v>
      </c>
      <c r="E135" s="17"/>
      <c r="F135" s="118">
        <f>' WP II-I-1.4'!G135</f>
        <v>1760200029.54</v>
      </c>
      <c r="G135" s="17">
        <v>28</v>
      </c>
      <c r="H135" s="28" t="str">
        <f t="shared" si="57"/>
        <v>NCP XHV</v>
      </c>
      <c r="I135" s="17"/>
      <c r="J135" s="121">
        <f t="shared" si="58"/>
        <v>926433731.87432814</v>
      </c>
      <c r="K135" s="121">
        <f t="shared" si="58"/>
        <v>22623711.55097704</v>
      </c>
      <c r="L135" s="121">
        <f t="shared" si="58"/>
        <v>596505050.90789926</v>
      </c>
      <c r="M135" s="121">
        <f t="shared" si="58"/>
        <v>337228.89250436996</v>
      </c>
      <c r="N135" s="121">
        <f t="shared" si="58"/>
        <v>142732245.24889347</v>
      </c>
      <c r="O135" s="121">
        <f t="shared" si="58"/>
        <v>51616936.812567994</v>
      </c>
      <c r="P135" s="121">
        <f t="shared" si="58"/>
        <v>0</v>
      </c>
      <c r="Q135" s="121">
        <f t="shared" si="58"/>
        <v>6016609.1336226491</v>
      </c>
      <c r="R135" s="121">
        <f t="shared" si="58"/>
        <v>6186612.9412150299</v>
      </c>
      <c r="S135" s="121">
        <f t="shared" si="58"/>
        <v>7747902.1779919546</v>
      </c>
      <c r="T135" s="17"/>
      <c r="U135" s="118">
        <f t="shared" si="59"/>
        <v>1760200029.5399997</v>
      </c>
      <c r="V135" s="67"/>
      <c r="W135" s="67"/>
      <c r="X135" s="370">
        <f t="shared" si="44"/>
        <v>0</v>
      </c>
    </row>
    <row r="136" spans="1:24" ht="14.25">
      <c r="A136" s="67"/>
      <c r="B136" s="17">
        <f t="shared" si="56"/>
        <v>5</v>
      </c>
      <c r="C136" s="1" t="s">
        <v>64</v>
      </c>
      <c r="D136" s="1" t="s">
        <v>65</v>
      </c>
      <c r="E136" s="17"/>
      <c r="F136" s="118">
        <f>' WP II-I-1.4'!G136</f>
        <v>0</v>
      </c>
      <c r="G136" s="17">
        <v>28</v>
      </c>
      <c r="H136" s="28" t="str">
        <f t="shared" si="57"/>
        <v>NCP XHV</v>
      </c>
      <c r="I136" s="17"/>
      <c r="J136" s="121">
        <f t="shared" si="58"/>
        <v>0</v>
      </c>
      <c r="K136" s="121">
        <f t="shared" si="58"/>
        <v>0</v>
      </c>
      <c r="L136" s="121">
        <f t="shared" si="58"/>
        <v>0</v>
      </c>
      <c r="M136" s="121">
        <f t="shared" si="58"/>
        <v>0</v>
      </c>
      <c r="N136" s="121">
        <f t="shared" si="58"/>
        <v>0</v>
      </c>
      <c r="O136" s="121">
        <f t="shared" si="58"/>
        <v>0</v>
      </c>
      <c r="P136" s="121">
        <f t="shared" si="58"/>
        <v>0</v>
      </c>
      <c r="Q136" s="121">
        <f t="shared" si="58"/>
        <v>0</v>
      </c>
      <c r="R136" s="121">
        <f t="shared" si="58"/>
        <v>0</v>
      </c>
      <c r="S136" s="121">
        <f t="shared" si="58"/>
        <v>0</v>
      </c>
      <c r="T136" s="17"/>
      <c r="U136" s="118">
        <f t="shared" si="59"/>
        <v>0</v>
      </c>
      <c r="V136" s="67"/>
      <c r="W136" s="67"/>
      <c r="X136" s="370">
        <f t="shared" si="44"/>
        <v>0</v>
      </c>
    </row>
    <row r="137" spans="1:24" ht="14.25">
      <c r="A137" s="67"/>
      <c r="B137" s="17">
        <f t="shared" si="56"/>
        <v>6</v>
      </c>
      <c r="C137" s="1" t="s">
        <v>380</v>
      </c>
      <c r="D137" s="31" t="s">
        <v>537</v>
      </c>
      <c r="E137" s="17"/>
      <c r="F137" s="118">
        <f>' WP II-I-1.4'!G137</f>
        <v>2222118466.4489856</v>
      </c>
      <c r="G137" s="17">
        <v>30</v>
      </c>
      <c r="H137" s="28" t="str">
        <f t="shared" si="57"/>
        <v>NCP XSS</v>
      </c>
      <c r="I137" s="17"/>
      <c r="J137" s="121">
        <f t="shared" si="58"/>
        <v>1209263252.1172228</v>
      </c>
      <c r="K137" s="121">
        <f t="shared" si="58"/>
        <v>29530469.437621497</v>
      </c>
      <c r="L137" s="121">
        <f t="shared" si="58"/>
        <v>778611154.74051559</v>
      </c>
      <c r="M137" s="121">
        <f t="shared" si="58"/>
        <v>440180.97919716313</v>
      </c>
      <c r="N137" s="121">
        <f t="shared" si="58"/>
        <v>186306751.50662956</v>
      </c>
      <c r="O137" s="121">
        <f t="shared" si="58"/>
        <v>0</v>
      </c>
      <c r="P137" s="121">
        <f t="shared" si="58"/>
        <v>0</v>
      </c>
      <c r="Q137" s="121">
        <f t="shared" si="58"/>
        <v>7853410.4246429401</v>
      </c>
      <c r="R137" s="121">
        <f t="shared" si="58"/>
        <v>0</v>
      </c>
      <c r="S137" s="121">
        <f t="shared" si="58"/>
        <v>10113247.243155884</v>
      </c>
      <c r="T137" s="17"/>
      <c r="U137" s="118">
        <f t="shared" si="59"/>
        <v>2222118466.4489861</v>
      </c>
      <c r="V137" s="67"/>
      <c r="W137" s="67"/>
      <c r="X137" s="370">
        <f t="shared" si="44"/>
        <v>0</v>
      </c>
    </row>
    <row r="138" spans="1:24" ht="14.25">
      <c r="A138" s="67"/>
      <c r="B138" s="17">
        <f t="shared" si="56"/>
        <v>7</v>
      </c>
      <c r="C138" s="1" t="s">
        <v>382</v>
      </c>
      <c r="D138" s="31" t="s">
        <v>538</v>
      </c>
      <c r="E138" s="17"/>
      <c r="F138" s="118">
        <f>' WP II-I-1.4'!G138</f>
        <v>456239794.36101425</v>
      </c>
      <c r="G138" s="17">
        <v>32</v>
      </c>
      <c r="H138" s="28" t="str">
        <f t="shared" si="57"/>
        <v>NCP SEC</v>
      </c>
      <c r="I138" s="17"/>
      <c r="J138" s="121">
        <f t="shared" si="58"/>
        <v>272416620.1871559</v>
      </c>
      <c r="K138" s="121">
        <f t="shared" si="58"/>
        <v>6652472.6213685749</v>
      </c>
      <c r="L138" s="121">
        <f t="shared" si="58"/>
        <v>175401525.5512526</v>
      </c>
      <c r="M138" s="121">
        <f t="shared" si="58"/>
        <v>0</v>
      </c>
      <c r="N138" s="121">
        <f t="shared" si="58"/>
        <v>0</v>
      </c>
      <c r="O138" s="121">
        <f t="shared" si="58"/>
        <v>0</v>
      </c>
      <c r="P138" s="121">
        <f t="shared" si="58"/>
        <v>0</v>
      </c>
      <c r="Q138" s="121">
        <f t="shared" si="58"/>
        <v>1769176.0012371717</v>
      </c>
      <c r="R138" s="121">
        <f t="shared" si="58"/>
        <v>0</v>
      </c>
      <c r="S138" s="121">
        <f t="shared" si="58"/>
        <v>0</v>
      </c>
      <c r="T138" s="17"/>
      <c r="U138" s="118">
        <f t="shared" si="59"/>
        <v>456239794.36101425</v>
      </c>
      <c r="V138" s="67"/>
      <c r="W138" s="67"/>
      <c r="X138" s="370">
        <f t="shared" si="44"/>
        <v>0</v>
      </c>
    </row>
    <row r="139" spans="1:24" ht="14.25">
      <c r="A139" s="67"/>
      <c r="B139" s="17">
        <f t="shared" si="56"/>
        <v>8</v>
      </c>
      <c r="C139" s="1" t="s">
        <v>385</v>
      </c>
      <c r="D139" s="1" t="s">
        <v>539</v>
      </c>
      <c r="E139" s="17"/>
      <c r="F139" s="118">
        <f>' WP II-I-1.4'!G139</f>
        <v>1423183157.5036314</v>
      </c>
      <c r="G139" s="17">
        <v>30</v>
      </c>
      <c r="H139" s="28" t="str">
        <f t="shared" si="57"/>
        <v>NCP XSS</v>
      </c>
      <c r="I139" s="17"/>
      <c r="J139" s="121">
        <f t="shared" si="58"/>
        <v>774487552.9302969</v>
      </c>
      <c r="K139" s="121">
        <f t="shared" si="58"/>
        <v>18913153.088529762</v>
      </c>
      <c r="L139" s="121">
        <f t="shared" si="58"/>
        <v>498671109.75498253</v>
      </c>
      <c r="M139" s="121">
        <f t="shared" si="58"/>
        <v>281919.3329723588</v>
      </c>
      <c r="N139" s="121">
        <f t="shared" si="58"/>
        <v>119322455.07016791</v>
      </c>
      <c r="O139" s="121">
        <f t="shared" si="58"/>
        <v>0</v>
      </c>
      <c r="P139" s="121">
        <f t="shared" si="58"/>
        <v>0</v>
      </c>
      <c r="Q139" s="121">
        <f t="shared" si="58"/>
        <v>5029813.4928765586</v>
      </c>
      <c r="R139" s="121">
        <f t="shared" si="58"/>
        <v>0</v>
      </c>
      <c r="S139" s="121">
        <f t="shared" si="58"/>
        <v>6477153.8338052481</v>
      </c>
      <c r="T139" s="17"/>
      <c r="U139" s="118">
        <f t="shared" si="59"/>
        <v>1423183157.5036314</v>
      </c>
      <c r="V139" s="67"/>
      <c r="W139" s="67"/>
      <c r="X139" s="370">
        <f t="shared" si="44"/>
        <v>0</v>
      </c>
    </row>
    <row r="140" spans="1:24" ht="14.25">
      <c r="A140" s="67"/>
      <c r="B140" s="17">
        <f t="shared" si="56"/>
        <v>9</v>
      </c>
      <c r="C140" s="1" t="s">
        <v>387</v>
      </c>
      <c r="D140" s="1" t="s">
        <v>540</v>
      </c>
      <c r="E140" s="17"/>
      <c r="F140" s="118">
        <f>' WP II-I-1.4'!G140</f>
        <v>252227700.61636847</v>
      </c>
      <c r="G140" s="17">
        <v>32</v>
      </c>
      <c r="H140" s="28" t="str">
        <f t="shared" si="57"/>
        <v>NCP SEC</v>
      </c>
      <c r="I140" s="17"/>
      <c r="J140" s="121">
        <f t="shared" si="58"/>
        <v>150602859.65568173</v>
      </c>
      <c r="K140" s="121">
        <f t="shared" si="58"/>
        <v>3677754.3156908825</v>
      </c>
      <c r="L140" s="121">
        <f t="shared" si="58"/>
        <v>96969015.024999008</v>
      </c>
      <c r="M140" s="121">
        <f t="shared" si="58"/>
        <v>0</v>
      </c>
      <c r="N140" s="121">
        <f t="shared" si="58"/>
        <v>0</v>
      </c>
      <c r="O140" s="121">
        <f t="shared" si="58"/>
        <v>0</v>
      </c>
      <c r="P140" s="121">
        <f t="shared" si="58"/>
        <v>0</v>
      </c>
      <c r="Q140" s="121">
        <f t="shared" si="58"/>
        <v>978071.61999686388</v>
      </c>
      <c r="R140" s="121">
        <f t="shared" si="58"/>
        <v>0</v>
      </c>
      <c r="S140" s="121">
        <f t="shared" si="58"/>
        <v>0</v>
      </c>
      <c r="T140" s="17"/>
      <c r="U140" s="118">
        <f t="shared" si="59"/>
        <v>252227700.6163685</v>
      </c>
      <c r="V140" s="67"/>
      <c r="W140" s="67"/>
      <c r="X140" s="370">
        <f t="shared" si="44"/>
        <v>0</v>
      </c>
    </row>
    <row r="141" spans="1:24" ht="14.25">
      <c r="A141" s="67"/>
      <c r="B141" s="17">
        <f t="shared" si="56"/>
        <v>10</v>
      </c>
      <c r="C141" s="1" t="s">
        <v>390</v>
      </c>
      <c r="D141" s="1" t="s">
        <v>391</v>
      </c>
      <c r="E141" s="17"/>
      <c r="F141" s="118">
        <f>' WP II-I-1.4'!G141</f>
        <v>656988431.26209927</v>
      </c>
      <c r="G141" s="17">
        <v>30</v>
      </c>
      <c r="H141" s="28" t="str">
        <f t="shared" si="57"/>
        <v>NCP XSS</v>
      </c>
      <c r="I141" s="17"/>
      <c r="J141" s="121">
        <f t="shared" si="58"/>
        <v>357529078.21381348</v>
      </c>
      <c r="K141" s="121">
        <f t="shared" si="58"/>
        <v>8730937.2039286457</v>
      </c>
      <c r="L141" s="121">
        <f t="shared" si="58"/>
        <v>230203082.7067458</v>
      </c>
      <c r="M141" s="121">
        <f t="shared" si="58"/>
        <v>130143.29135039306</v>
      </c>
      <c r="N141" s="121">
        <f t="shared" si="58"/>
        <v>55083193.022323206</v>
      </c>
      <c r="O141" s="121">
        <f t="shared" si="58"/>
        <v>0</v>
      </c>
      <c r="P141" s="121">
        <f t="shared" si="58"/>
        <v>0</v>
      </c>
      <c r="Q141" s="121">
        <f t="shared" si="58"/>
        <v>2321928.3187852637</v>
      </c>
      <c r="R141" s="121">
        <f t="shared" si="58"/>
        <v>0</v>
      </c>
      <c r="S141" s="121">
        <f t="shared" si="58"/>
        <v>2990068.5051524322</v>
      </c>
      <c r="T141" s="17"/>
      <c r="U141" s="118">
        <f t="shared" si="59"/>
        <v>656988431.26209927</v>
      </c>
      <c r="V141" s="67"/>
      <c r="W141" s="67"/>
      <c r="X141" s="370">
        <f t="shared" si="44"/>
        <v>0</v>
      </c>
    </row>
    <row r="142" spans="1:24" ht="14.25">
      <c r="A142" s="67"/>
      <c r="B142" s="17">
        <f t="shared" si="56"/>
        <v>11</v>
      </c>
      <c r="C142" s="1" t="s">
        <v>392</v>
      </c>
      <c r="D142" s="1" t="s">
        <v>393</v>
      </c>
      <c r="E142" s="17"/>
      <c r="F142" s="118">
        <f>' WP II-I-1.4'!G142</f>
        <v>425130046.84790057</v>
      </c>
      <c r="G142" s="17">
        <v>32</v>
      </c>
      <c r="H142" s="28" t="str">
        <f t="shared" si="57"/>
        <v>NCP SEC</v>
      </c>
      <c r="I142" s="17"/>
      <c r="J142" s="121">
        <f t="shared" si="58"/>
        <v>253841273.67607921</v>
      </c>
      <c r="K142" s="121">
        <f t="shared" si="58"/>
        <v>6198858.6531295031</v>
      </c>
      <c r="L142" s="121">
        <f t="shared" si="58"/>
        <v>163441373.8048299</v>
      </c>
      <c r="M142" s="121">
        <f t="shared" si="58"/>
        <v>0</v>
      </c>
      <c r="N142" s="121">
        <f t="shared" si="58"/>
        <v>0</v>
      </c>
      <c r="O142" s="121">
        <f t="shared" si="58"/>
        <v>0</v>
      </c>
      <c r="P142" s="121">
        <f t="shared" si="58"/>
        <v>0</v>
      </c>
      <c r="Q142" s="121">
        <f t="shared" si="58"/>
        <v>1648540.7138619598</v>
      </c>
      <c r="R142" s="121">
        <f t="shared" si="58"/>
        <v>0</v>
      </c>
      <c r="S142" s="121">
        <f t="shared" si="58"/>
        <v>0</v>
      </c>
      <c r="T142" s="17"/>
      <c r="U142" s="118">
        <f t="shared" si="59"/>
        <v>425130046.84790057</v>
      </c>
      <c r="V142" s="67"/>
      <c r="W142" s="67"/>
      <c r="X142" s="370">
        <f t="shared" si="44"/>
        <v>0</v>
      </c>
    </row>
    <row r="143" spans="1:24" ht="14.25">
      <c r="A143" s="67"/>
      <c r="B143" s="17">
        <f t="shared" si="56"/>
        <v>12</v>
      </c>
      <c r="C143" s="1" t="s">
        <v>395</v>
      </c>
      <c r="D143" s="31" t="s">
        <v>541</v>
      </c>
      <c r="E143" s="30"/>
      <c r="F143" s="118">
        <f>' WP II-I-1.4'!G143</f>
        <v>2071962156.2558694</v>
      </c>
      <c r="G143" s="17">
        <v>30</v>
      </c>
      <c r="H143" s="28" t="str">
        <f t="shared" si="57"/>
        <v>NCP XSS</v>
      </c>
      <c r="I143" s="30"/>
      <c r="J143" s="121">
        <f t="shared" si="60" ref="J143:S153">$F143*HLOOKUP(J$1318,FactorTable,$G143+1)</f>
        <v>1127549108.2803202</v>
      </c>
      <c r="K143" s="121">
        <f t="shared" si="60"/>
        <v>27534992.420543376</v>
      </c>
      <c r="L143" s="121">
        <f t="shared" si="60"/>
        <v>725997678.0801698</v>
      </c>
      <c r="M143" s="121">
        <f t="shared" si="60"/>
        <v>410436.41217636777</v>
      </c>
      <c r="N143" s="121">
        <f t="shared" si="60"/>
        <v>173717353.23975569</v>
      </c>
      <c r="O143" s="121">
        <f t="shared" si="60"/>
        <v>0</v>
      </c>
      <c r="P143" s="121">
        <f t="shared" si="60"/>
        <v>0</v>
      </c>
      <c r="Q143" s="121">
        <f t="shared" si="60"/>
        <v>7322728.0377218686</v>
      </c>
      <c r="R143" s="121">
        <f t="shared" si="60"/>
        <v>0</v>
      </c>
      <c r="S143" s="121">
        <f t="shared" si="60"/>
        <v>9429859.7851821817</v>
      </c>
      <c r="T143" s="30"/>
      <c r="U143" s="118">
        <f t="shared" si="59"/>
        <v>2071962156.2558696</v>
      </c>
      <c r="V143" s="67"/>
      <c r="W143" s="67"/>
      <c r="X143" s="370">
        <f t="shared" si="44"/>
        <v>0</v>
      </c>
    </row>
    <row r="144" spans="1:24" ht="14.25">
      <c r="A144" s="67"/>
      <c r="B144" s="17">
        <f t="shared" si="56"/>
        <v>13</v>
      </c>
      <c r="C144" s="1" t="s">
        <v>397</v>
      </c>
      <c r="D144" s="31" t="s">
        <v>542</v>
      </c>
      <c r="E144" s="30"/>
      <c r="F144" s="118">
        <f>' WP II-I-1.4'!G144</f>
        <v>481965371.7141304</v>
      </c>
      <c r="G144" s="17">
        <v>32</v>
      </c>
      <c r="H144" s="28" t="str">
        <f t="shared" si="57"/>
        <v>NCP SEC</v>
      </c>
      <c r="I144" s="30"/>
      <c r="J144" s="121">
        <f t="shared" si="60"/>
        <v>287777127.80073285</v>
      </c>
      <c r="K144" s="121">
        <f t="shared" si="60"/>
        <v>7027579.5303355856</v>
      </c>
      <c r="L144" s="121">
        <f t="shared" si="60"/>
        <v>185291731.46751431</v>
      </c>
      <c r="M144" s="121">
        <f t="shared" si="60"/>
        <v>0</v>
      </c>
      <c r="N144" s="121">
        <f t="shared" si="60"/>
        <v>0</v>
      </c>
      <c r="O144" s="121">
        <f t="shared" si="60"/>
        <v>0</v>
      </c>
      <c r="P144" s="121">
        <f t="shared" si="60"/>
        <v>0</v>
      </c>
      <c r="Q144" s="121">
        <f t="shared" si="60"/>
        <v>1868932.9155476536</v>
      </c>
      <c r="R144" s="121">
        <f t="shared" si="60"/>
        <v>0</v>
      </c>
      <c r="S144" s="121">
        <f t="shared" si="60"/>
        <v>0</v>
      </c>
      <c r="T144" s="30"/>
      <c r="U144" s="118">
        <f t="shared" si="59"/>
        <v>481965371.71413046</v>
      </c>
      <c r="V144" s="67"/>
      <c r="W144" s="67"/>
      <c r="X144" s="370">
        <f t="shared" si="44"/>
        <v>0</v>
      </c>
    </row>
    <row r="145" spans="1:24" ht="14.25">
      <c r="A145" s="67"/>
      <c r="B145" s="17">
        <f t="shared" si="56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18">
        <f>' WP II-I-1.4'!G145</f>
        <v>146592103.22000006</v>
      </c>
      <c r="G145" s="17">
        <v>30</v>
      </c>
      <c r="H145" s="28" t="str">
        <f t="shared" si="57"/>
        <v>NCP XSS</v>
      </c>
      <c r="I145" s="17"/>
      <c r="J145" s="121">
        <f t="shared" si="60"/>
        <v>79774524.24388577</v>
      </c>
      <c r="K145" s="121">
        <f t="shared" si="60"/>
        <v>1948111.0882682318</v>
      </c>
      <c r="L145" s="121">
        <f t="shared" si="60"/>
        <v>51364609.262422256</v>
      </c>
      <c r="M145" s="121">
        <f t="shared" si="60"/>
        <v>29038.530803925802</v>
      </c>
      <c r="N145" s="121">
        <f t="shared" si="60"/>
        <v>12290568.194182161</v>
      </c>
      <c r="O145" s="121">
        <f t="shared" si="60"/>
        <v>0</v>
      </c>
      <c r="P145" s="121">
        <f t="shared" si="60"/>
        <v>0</v>
      </c>
      <c r="Q145" s="121">
        <f t="shared" si="60"/>
        <v>518085.76769447053</v>
      </c>
      <c r="R145" s="121">
        <f t="shared" si="60"/>
        <v>0</v>
      </c>
      <c r="S145" s="121">
        <f t="shared" si="60"/>
        <v>667166.13274323079</v>
      </c>
      <c r="T145" s="17"/>
      <c r="U145" s="118">
        <f t="shared" si="59"/>
        <v>146592103.22000006</v>
      </c>
      <c r="V145" s="67"/>
      <c r="W145" s="67"/>
      <c r="X145" s="370">
        <f t="shared" si="44"/>
        <v>0</v>
      </c>
    </row>
    <row r="146" spans="1:24" ht="14.25">
      <c r="A146" s="67"/>
      <c r="B146" s="17">
        <f t="shared" si="56"/>
        <v>15</v>
      </c>
      <c r="C146" s="1" t="s">
        <v>402</v>
      </c>
      <c r="D146" s="1" t="str">
        <f>'WP II-I-1.2'!D40</f>
        <v>Secondary Transformers</v>
      </c>
      <c r="E146" s="17"/>
      <c r="F146" s="118">
        <f>' WP II-I-1.4'!G146</f>
        <v>2196294899.3600001</v>
      </c>
      <c r="G146" s="17">
        <v>32</v>
      </c>
      <c r="H146" s="28" t="str">
        <f t="shared" si="57"/>
        <v>NCP SEC</v>
      </c>
      <c r="I146" s="17"/>
      <c r="J146" s="121">
        <f t="shared" si="60"/>
        <v>1311387653.6260915</v>
      </c>
      <c r="K146" s="121">
        <f t="shared" si="60"/>
        <v>32024369.349251892</v>
      </c>
      <c r="L146" s="121">
        <f t="shared" si="60"/>
        <v>844366231.68243539</v>
      </c>
      <c r="M146" s="121">
        <f t="shared" si="60"/>
        <v>0</v>
      </c>
      <c r="N146" s="121">
        <f t="shared" si="60"/>
        <v>0</v>
      </c>
      <c r="O146" s="121">
        <f t="shared" si="60"/>
        <v>0</v>
      </c>
      <c r="P146" s="121">
        <f t="shared" si="60"/>
        <v>0</v>
      </c>
      <c r="Q146" s="121">
        <f t="shared" si="60"/>
        <v>8516644.7022214178</v>
      </c>
      <c r="R146" s="121">
        <f t="shared" si="60"/>
        <v>0</v>
      </c>
      <c r="S146" s="121">
        <f t="shared" si="60"/>
        <v>0</v>
      </c>
      <c r="T146" s="17"/>
      <c r="U146" s="118">
        <f t="shared" si="59"/>
        <v>2196294899.3600001</v>
      </c>
      <c r="V146" s="67"/>
      <c r="W146" s="67"/>
      <c r="X146" s="370">
        <f t="shared" si="44"/>
        <v>0</v>
      </c>
    </row>
    <row r="147" spans="1:24" ht="14.25">
      <c r="A147" s="67"/>
      <c r="B147" s="17">
        <f t="shared" si="56"/>
        <v>16</v>
      </c>
      <c r="C147" s="1" t="s">
        <v>404</v>
      </c>
      <c r="D147" s="1" t="str">
        <f>'WP II-I-1.2'!D41</f>
        <v>Capacitors</v>
      </c>
      <c r="E147" s="17"/>
      <c r="F147" s="118">
        <f>' WP II-I-1.4'!G147</f>
        <v>150190759.82000005</v>
      </c>
      <c r="G147" s="17">
        <v>26</v>
      </c>
      <c r="H147" s="28" t="str">
        <f t="shared" si="57"/>
        <v>NCP ALL</v>
      </c>
      <c r="I147" s="17"/>
      <c r="J147" s="121">
        <f t="shared" si="60"/>
        <v>72088234.770338818</v>
      </c>
      <c r="K147" s="121">
        <f t="shared" si="60"/>
        <v>1760410.2415006766</v>
      </c>
      <c r="L147" s="121">
        <f t="shared" si="60"/>
        <v>46415620.105437487</v>
      </c>
      <c r="M147" s="121">
        <f t="shared" si="60"/>
        <v>26240.663242057002</v>
      </c>
      <c r="N147" s="121">
        <f t="shared" si="60"/>
        <v>11106369.782092053</v>
      </c>
      <c r="O147" s="121">
        <f t="shared" si="60"/>
        <v>4016449.0249529257</v>
      </c>
      <c r="P147" s="121">
        <f t="shared" si="60"/>
        <v>13224986.007427361</v>
      </c>
      <c r="Q147" s="121">
        <f t="shared" si="60"/>
        <v>468168.11264897883</v>
      </c>
      <c r="R147" s="121">
        <f t="shared" si="60"/>
        <v>481396.55411427037</v>
      </c>
      <c r="S147" s="121">
        <f t="shared" si="60"/>
        <v>602884.55824541277</v>
      </c>
      <c r="T147" s="17"/>
      <c r="U147" s="118">
        <f t="shared" si="59"/>
        <v>150190759.82000005</v>
      </c>
      <c r="V147" s="67"/>
      <c r="W147" s="67"/>
      <c r="X147" s="370">
        <f t="shared" si="44"/>
        <v>0</v>
      </c>
    </row>
    <row r="148" spans="1:24" ht="14.25">
      <c r="A148" s="67"/>
      <c r="B148" s="17">
        <f t="shared" si="56"/>
        <v>17</v>
      </c>
      <c r="C148" s="1" t="s">
        <v>76</v>
      </c>
      <c r="D148" s="31" t="s">
        <v>77</v>
      </c>
      <c r="E148" s="30"/>
      <c r="F148" s="118">
        <f>' WP II-I-1.4'!G148</f>
        <v>1652238990.3599999</v>
      </c>
      <c r="G148" s="17">
        <v>7</v>
      </c>
      <c r="H148" s="28" t="str">
        <f t="shared" si="57"/>
        <v>CUS W SEC</v>
      </c>
      <c r="I148" s="30"/>
      <c r="J148" s="121">
        <f t="shared" si="60"/>
        <v>1013191738.4131759</v>
      </c>
      <c r="K148" s="121">
        <f t="shared" si="60"/>
        <v>156208073.51939485</v>
      </c>
      <c r="L148" s="121">
        <f t="shared" si="60"/>
        <v>481829206.51545835</v>
      </c>
      <c r="M148" s="121">
        <f t="shared" si="60"/>
        <v>0</v>
      </c>
      <c r="N148" s="121">
        <f t="shared" si="60"/>
        <v>0</v>
      </c>
      <c r="O148" s="121">
        <f t="shared" si="60"/>
        <v>0</v>
      </c>
      <c r="P148" s="121">
        <f t="shared" si="60"/>
        <v>0</v>
      </c>
      <c r="Q148" s="121">
        <f t="shared" si="60"/>
        <v>1009971.911970859</v>
      </c>
      <c r="R148" s="121">
        <f t="shared" si="60"/>
        <v>0</v>
      </c>
      <c r="S148" s="121">
        <f t="shared" si="60"/>
        <v>0</v>
      </c>
      <c r="T148" s="30"/>
      <c r="U148" s="118">
        <f t="shared" si="59"/>
        <v>1652238990.3599999</v>
      </c>
      <c r="V148" s="67"/>
      <c r="W148" s="67"/>
      <c r="X148" s="370">
        <f t="shared" si="44"/>
        <v>0</v>
      </c>
    </row>
    <row r="149" spans="1:24" ht="14.25">
      <c r="A149" s="67"/>
      <c r="B149" s="17">
        <f t="shared" si="56"/>
        <v>18</v>
      </c>
      <c r="C149" s="1" t="s">
        <v>78</v>
      </c>
      <c r="D149" s="1" t="s">
        <v>79</v>
      </c>
      <c r="E149" s="17"/>
      <c r="F149" s="118">
        <f>' WP II-I-1.4'!G149</f>
        <v>0</v>
      </c>
      <c r="G149" s="17">
        <v>6</v>
      </c>
      <c r="H149" s="28" t="str">
        <f t="shared" si="57"/>
        <v>CUS W ALL</v>
      </c>
      <c r="I149" s="17"/>
      <c r="J149" s="121">
        <f t="shared" si="60"/>
        <v>0</v>
      </c>
      <c r="K149" s="121">
        <f t="shared" si="60"/>
        <v>0</v>
      </c>
      <c r="L149" s="121">
        <f t="shared" si="60"/>
        <v>0</v>
      </c>
      <c r="M149" s="121">
        <f t="shared" si="60"/>
        <v>0</v>
      </c>
      <c r="N149" s="121">
        <f t="shared" si="60"/>
        <v>0</v>
      </c>
      <c r="O149" s="121">
        <f t="shared" si="60"/>
        <v>0</v>
      </c>
      <c r="P149" s="121">
        <f t="shared" si="60"/>
        <v>0</v>
      </c>
      <c r="Q149" s="121">
        <f t="shared" si="60"/>
        <v>0</v>
      </c>
      <c r="R149" s="121">
        <f t="shared" si="60"/>
        <v>0</v>
      </c>
      <c r="S149" s="121">
        <f t="shared" si="60"/>
        <v>0</v>
      </c>
      <c r="T149" s="17"/>
      <c r="U149" s="118">
        <f t="shared" si="59"/>
        <v>0</v>
      </c>
      <c r="V149" s="67"/>
      <c r="W149" s="67"/>
      <c r="X149" s="370">
        <f t="shared" si="61" ref="X149:X212">U149-F149</f>
        <v>0</v>
      </c>
    </row>
    <row r="150" spans="1:24" ht="14.25">
      <c r="A150" s="67"/>
      <c r="B150" s="17">
        <f t="shared" si="56"/>
        <v>19</v>
      </c>
      <c r="C150" s="1" t="s">
        <v>80</v>
      </c>
      <c r="D150" s="1" t="s">
        <v>543</v>
      </c>
      <c r="E150" s="17"/>
      <c r="F150" s="118">
        <f>' WP II-I-1.4'!G150</f>
        <v>54631096.93</v>
      </c>
      <c r="G150" s="17">
        <v>33</v>
      </c>
      <c r="H150" s="28" t="str">
        <f t="shared" si="57"/>
        <v>NCP LGT</v>
      </c>
      <c r="I150" s="17"/>
      <c r="J150" s="121">
        <f t="shared" si="60"/>
        <v>0</v>
      </c>
      <c r="K150" s="121">
        <f t="shared" si="60"/>
        <v>0</v>
      </c>
      <c r="L150" s="121">
        <f t="shared" si="60"/>
        <v>0</v>
      </c>
      <c r="M150" s="121">
        <f t="shared" si="60"/>
        <v>0</v>
      </c>
      <c r="N150" s="121">
        <f t="shared" si="60"/>
        <v>0</v>
      </c>
      <c r="O150" s="121">
        <f t="shared" si="60"/>
        <v>0</v>
      </c>
      <c r="P150" s="121">
        <f t="shared" si="60"/>
        <v>0</v>
      </c>
      <c r="Q150" s="121">
        <f t="shared" si="60"/>
        <v>54631096.93</v>
      </c>
      <c r="R150" s="121">
        <f t="shared" si="60"/>
        <v>0</v>
      </c>
      <c r="S150" s="121">
        <f t="shared" si="60"/>
        <v>0</v>
      </c>
      <c r="T150" s="17"/>
      <c r="U150" s="118">
        <f t="shared" si="59"/>
        <v>54631096.93</v>
      </c>
      <c r="V150" s="67"/>
      <c r="W150" s="67"/>
      <c r="X150" s="370">
        <f t="shared" si="61"/>
        <v>0</v>
      </c>
    </row>
    <row r="151" spans="1:24" ht="14.25">
      <c r="A151" s="67"/>
      <c r="B151" s="17">
        <f t="shared" si="56"/>
        <v>20</v>
      </c>
      <c r="C151" s="1" t="s">
        <v>82</v>
      </c>
      <c r="D151" s="1" t="s">
        <v>544</v>
      </c>
      <c r="E151" s="17"/>
      <c r="F151" s="118">
        <f>' WP II-I-1.4'!G151</f>
        <v>0</v>
      </c>
      <c r="G151" s="17">
        <v>6</v>
      </c>
      <c r="H151" s="28" t="str">
        <f t="shared" si="57"/>
        <v>CUS W ALL</v>
      </c>
      <c r="I151" s="17"/>
      <c r="J151" s="121">
        <f t="shared" si="60"/>
        <v>0</v>
      </c>
      <c r="K151" s="121">
        <f t="shared" si="60"/>
        <v>0</v>
      </c>
      <c r="L151" s="121">
        <f t="shared" si="60"/>
        <v>0</v>
      </c>
      <c r="M151" s="121">
        <f t="shared" si="60"/>
        <v>0</v>
      </c>
      <c r="N151" s="121">
        <f t="shared" si="60"/>
        <v>0</v>
      </c>
      <c r="O151" s="121">
        <f t="shared" si="60"/>
        <v>0</v>
      </c>
      <c r="P151" s="121">
        <f t="shared" si="60"/>
        <v>0</v>
      </c>
      <c r="Q151" s="121">
        <f t="shared" si="60"/>
        <v>0</v>
      </c>
      <c r="R151" s="121">
        <f t="shared" si="60"/>
        <v>0</v>
      </c>
      <c r="S151" s="121">
        <f t="shared" si="60"/>
        <v>0</v>
      </c>
      <c r="T151" s="17"/>
      <c r="U151" s="118">
        <f t="shared" si="59"/>
        <v>0</v>
      </c>
      <c r="V151" s="67"/>
      <c r="W151" s="67"/>
      <c r="X151" s="370">
        <f t="shared" si="61"/>
        <v>0</v>
      </c>
    </row>
    <row r="152" spans="1:24" ht="14.25">
      <c r="A152" s="67"/>
      <c r="B152" s="17">
        <f t="shared" si="56"/>
        <v>21</v>
      </c>
      <c r="C152" s="1" t="s">
        <v>84</v>
      </c>
      <c r="D152" s="1" t="s">
        <v>88</v>
      </c>
      <c r="E152" s="17"/>
      <c r="F152" s="118">
        <f>' WP II-I-1.4'!G152</f>
        <v>437403825.88999999</v>
      </c>
      <c r="G152" s="17">
        <v>33</v>
      </c>
      <c r="H152" s="28" t="str">
        <f t="shared" si="57"/>
        <v>NCP LGT</v>
      </c>
      <c r="I152" s="17"/>
      <c r="J152" s="121">
        <f t="shared" si="60"/>
        <v>0</v>
      </c>
      <c r="K152" s="121">
        <f t="shared" si="60"/>
        <v>0</v>
      </c>
      <c r="L152" s="121">
        <f t="shared" si="60"/>
        <v>0</v>
      </c>
      <c r="M152" s="121">
        <f t="shared" si="60"/>
        <v>0</v>
      </c>
      <c r="N152" s="121">
        <f t="shared" si="60"/>
        <v>0</v>
      </c>
      <c r="O152" s="121">
        <f t="shared" si="60"/>
        <v>0</v>
      </c>
      <c r="P152" s="121">
        <f t="shared" si="60"/>
        <v>0</v>
      </c>
      <c r="Q152" s="121">
        <f t="shared" si="60"/>
        <v>437403825.88999999</v>
      </c>
      <c r="R152" s="121">
        <f t="shared" si="60"/>
        <v>0</v>
      </c>
      <c r="S152" s="121">
        <f t="shared" si="60"/>
        <v>0</v>
      </c>
      <c r="T152" s="17"/>
      <c r="U152" s="118">
        <f t="shared" si="59"/>
        <v>437403825.88999999</v>
      </c>
      <c r="V152" s="67"/>
      <c r="W152" s="67"/>
      <c r="X152" s="370">
        <f t="shared" si="61"/>
        <v>0</v>
      </c>
    </row>
    <row r="153" spans="1:24" ht="14.25">
      <c r="A153" s="67"/>
      <c r="B153" s="17">
        <f t="shared" si="56"/>
        <v>22</v>
      </c>
      <c r="C153" s="1" t="s">
        <v>86</v>
      </c>
      <c r="D153" s="1" t="s">
        <v>40</v>
      </c>
      <c r="E153" s="17"/>
      <c r="F153" s="118">
        <f>' WP II-I-1.4'!G153</f>
        <v>71344821.219999999</v>
      </c>
      <c r="G153" s="17">
        <v>54</v>
      </c>
      <c r="H153" s="28" t="str">
        <f t="shared" si="57"/>
        <v>PLT 362-373</v>
      </c>
      <c r="I153" s="17"/>
      <c r="J153" s="201">
        <f t="shared" si="60"/>
        <v>38859263.097371474</v>
      </c>
      <c r="K153" s="201">
        <f t="shared" si="60"/>
        <v>1600870.5845053718</v>
      </c>
      <c r="L153" s="201">
        <f t="shared" si="60"/>
        <v>24174737.146370098</v>
      </c>
      <c r="M153" s="201">
        <f t="shared" si="60"/>
        <v>8207.8326516951893</v>
      </c>
      <c r="N153" s="201">
        <f t="shared" si="60"/>
        <v>3473968.0052427649</v>
      </c>
      <c r="O153" s="201">
        <f t="shared" si="60"/>
        <v>275877.720593668</v>
      </c>
      <c r="P153" s="201">
        <f t="shared" si="60"/>
        <v>65580.746878640697</v>
      </c>
      <c r="Q153" s="201">
        <f t="shared" si="60"/>
        <v>2664673.7955877841</v>
      </c>
      <c r="R153" s="201">
        <f t="shared" si="60"/>
        <v>33065.671498780634</v>
      </c>
      <c r="S153" s="201">
        <f t="shared" si="60"/>
        <v>188576.61929971958</v>
      </c>
      <c r="T153" s="17"/>
      <c r="U153" s="118">
        <f t="shared" si="59"/>
        <v>71344821.219999984</v>
      </c>
      <c r="V153" s="67"/>
      <c r="W153" s="67"/>
      <c r="X153" s="370">
        <f t="shared" si="61"/>
        <v>0</v>
      </c>
    </row>
    <row r="154" spans="1:24" ht="15">
      <c r="A154" s="67"/>
      <c r="B154" s="17">
        <f t="shared" si="56"/>
        <v>23</v>
      </c>
      <c r="C154" s="67"/>
      <c r="D154" s="297" t="s">
        <v>491</v>
      </c>
      <c r="E154" s="150"/>
      <c r="F154" s="22">
        <f>SUM(F133:F153)</f>
        <v>14618819732.849999</v>
      </c>
      <c r="G154" s="150"/>
      <c r="H154" s="150"/>
      <c r="I154" s="150"/>
      <c r="J154" s="22">
        <f t="shared" si="62" ref="J154:Q154">SUM(J133:J153)</f>
        <v>7962407816.8215485</v>
      </c>
      <c r="K154" s="22">
        <f t="shared" si="62"/>
        <v>328024348.37338626</v>
      </c>
      <c r="L154" s="22">
        <f t="shared" si="62"/>
        <v>4953493727.9056091</v>
      </c>
      <c r="M154" s="22">
        <f t="shared" si="62"/>
        <v>1681815.4966361574</v>
      </c>
      <c r="N154" s="22">
        <f t="shared" si="62"/>
        <v>711828989.93789768</v>
      </c>
      <c r="O154" s="22">
        <f>SUM(O133:O153)</f>
        <v>56528373.001764901</v>
      </c>
      <c r="P154" s="22">
        <f t="shared" si="62"/>
        <v>13437739.420612058</v>
      </c>
      <c r="Q154" s="22">
        <f t="shared" si="62"/>
        <v>546001590.56291771</v>
      </c>
      <c r="R154" s="22">
        <f>SUM(R133:R153)</f>
        <v>6775279.3085814686</v>
      </c>
      <c r="S154" s="22">
        <f>SUM(S133:S153)</f>
        <v>38640052.021043979</v>
      </c>
      <c r="T154" s="150"/>
      <c r="U154" s="299">
        <f t="shared" si="59"/>
        <v>14618819732.849997</v>
      </c>
      <c r="V154" s="67"/>
      <c r="W154" s="67"/>
      <c r="X154" s="370">
        <f t="shared" si="61"/>
        <v>0</v>
      </c>
    </row>
    <row r="155" spans="1:24" ht="14.25">
      <c r="A155" s="67"/>
      <c r="B155" s="17">
        <f t="shared" si="56"/>
        <v>24</v>
      </c>
      <c r="C155" s="67"/>
      <c r="D155" s="1"/>
      <c r="E155" s="17"/>
      <c r="F155" s="19"/>
      <c r="G155" s="17"/>
      <c r="H155" s="17"/>
      <c r="I155" s="17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7"/>
      <c r="U155" s="1"/>
      <c r="V155" s="67"/>
      <c r="W155" s="67"/>
      <c r="X155" s="370">
        <f t="shared" si="61"/>
        <v>0</v>
      </c>
    </row>
    <row r="156" spans="1:24" ht="15">
      <c r="A156" s="67"/>
      <c r="B156" s="17">
        <f t="shared" si="56"/>
        <v>25</v>
      </c>
      <c r="C156" s="67"/>
      <c r="D156" s="297" t="s">
        <v>568</v>
      </c>
      <c r="E156" s="17"/>
      <c r="F156" s="22">
        <f>SUM(F137:F138)</f>
        <v>2678358260.8099999</v>
      </c>
      <c r="G156" s="17"/>
      <c r="H156" s="17"/>
      <c r="I156" s="17"/>
      <c r="J156" s="22">
        <f t="shared" si="63" ref="J156:Q156">SUM(J137:J138)</f>
        <v>1481679872.3043788</v>
      </c>
      <c r="K156" s="22">
        <f t="shared" si="63"/>
        <v>36182942.058990069</v>
      </c>
      <c r="L156" s="22">
        <f t="shared" si="63"/>
        <v>954012680.29176819</v>
      </c>
      <c r="M156" s="22">
        <f t="shared" si="63"/>
        <v>440180.97919716313</v>
      </c>
      <c r="N156" s="22">
        <f t="shared" si="63"/>
        <v>186306751.50662956</v>
      </c>
      <c r="O156" s="22">
        <f>SUM(O137:O138)</f>
        <v>0</v>
      </c>
      <c r="P156" s="22">
        <f t="shared" si="63"/>
        <v>0</v>
      </c>
      <c r="Q156" s="22">
        <f t="shared" si="63"/>
        <v>9622586.4258801118</v>
      </c>
      <c r="R156" s="22">
        <f>SUM(R137:R138)</f>
        <v>0</v>
      </c>
      <c r="S156" s="22">
        <f>SUM(S137:S138)</f>
        <v>10113247.243155884</v>
      </c>
      <c r="T156" s="17"/>
      <c r="U156" s="299">
        <f>SUM(I156:T156)</f>
        <v>2678358260.8099995</v>
      </c>
      <c r="V156" s="67"/>
      <c r="W156" s="67"/>
      <c r="X156" s="370">
        <f t="shared" si="61"/>
        <v>0</v>
      </c>
    </row>
    <row r="157" spans="1:24" ht="15">
      <c r="A157" s="67"/>
      <c r="B157" s="17">
        <f t="shared" si="56"/>
        <v>26</v>
      </c>
      <c r="C157" s="67"/>
      <c r="D157" s="297" t="s">
        <v>569</v>
      </c>
      <c r="E157" s="17"/>
      <c r="F157" s="22">
        <f>SUM(F139:F140)</f>
        <v>1675410858.1199999</v>
      </c>
      <c r="G157" s="17"/>
      <c r="H157" s="17"/>
      <c r="I157" s="17"/>
      <c r="J157" s="22">
        <f t="shared" si="64" ref="J157:Q157">SUM(J139:J140)</f>
        <v>925090412.58597863</v>
      </c>
      <c r="K157" s="22">
        <f t="shared" si="64"/>
        <v>22590907.404220644</v>
      </c>
      <c r="L157" s="22">
        <f t="shared" si="64"/>
        <v>595640124.77998149</v>
      </c>
      <c r="M157" s="22">
        <f t="shared" si="64"/>
        <v>281919.3329723588</v>
      </c>
      <c r="N157" s="22">
        <f t="shared" si="64"/>
        <v>119322455.07016791</v>
      </c>
      <c r="O157" s="22">
        <f>SUM(O139:O140)</f>
        <v>0</v>
      </c>
      <c r="P157" s="22">
        <f t="shared" si="64"/>
        <v>0</v>
      </c>
      <c r="Q157" s="22">
        <f t="shared" si="64"/>
        <v>6007885.112873422</v>
      </c>
      <c r="R157" s="22">
        <f>SUM(R139:R140)</f>
        <v>0</v>
      </c>
      <c r="S157" s="22">
        <f>SUM(S139:S140)</f>
        <v>6477153.8338052481</v>
      </c>
      <c r="T157" s="17"/>
      <c r="U157" s="299">
        <f>SUM(I157:T157)</f>
        <v>1675410858.1199997</v>
      </c>
      <c r="V157" s="67"/>
      <c r="W157" s="67"/>
      <c r="X157" s="370">
        <f t="shared" si="61"/>
        <v>0</v>
      </c>
    </row>
    <row r="158" spans="1:24" ht="15">
      <c r="A158" s="67"/>
      <c r="B158" s="17">
        <f t="shared" si="56"/>
        <v>27</v>
      </c>
      <c r="C158" s="67"/>
      <c r="D158" s="297" t="s">
        <v>570</v>
      </c>
      <c r="E158" s="17"/>
      <c r="F158" s="22">
        <f>SUM(F141:F142)</f>
        <v>1082118478.1099999</v>
      </c>
      <c r="G158" s="17"/>
      <c r="H158" s="17"/>
      <c r="I158" s="17"/>
      <c r="J158" s="22">
        <f t="shared" si="65" ref="J158:Q158">SUM(J141:J142)</f>
        <v>611370351.8898927</v>
      </c>
      <c r="K158" s="22">
        <f t="shared" si="65"/>
        <v>14929795.857058149</v>
      </c>
      <c r="L158" s="22">
        <f t="shared" si="65"/>
        <v>393644456.5115757</v>
      </c>
      <c r="M158" s="22">
        <f t="shared" si="65"/>
        <v>130143.29135039306</v>
      </c>
      <c r="N158" s="22">
        <f t="shared" si="65"/>
        <v>55083193.022323206</v>
      </c>
      <c r="O158" s="22">
        <f>SUM(O141:O142)</f>
        <v>0</v>
      </c>
      <c r="P158" s="22">
        <f t="shared" si="65"/>
        <v>0</v>
      </c>
      <c r="Q158" s="22">
        <f t="shared" si="65"/>
        <v>3970469.0326472232</v>
      </c>
      <c r="R158" s="22">
        <f>SUM(R141:R142)</f>
        <v>0</v>
      </c>
      <c r="S158" s="22">
        <f>SUM(S141:S142)</f>
        <v>2990068.5051524322</v>
      </c>
      <c r="T158" s="17"/>
      <c r="U158" s="299">
        <f>SUM(I158:T158)</f>
        <v>1082118478.1099997</v>
      </c>
      <c r="V158" s="67"/>
      <c r="W158" s="67"/>
      <c r="X158" s="370">
        <f t="shared" si="61"/>
        <v>0</v>
      </c>
    </row>
    <row r="159" spans="1:24" ht="15">
      <c r="A159" s="67"/>
      <c r="B159" s="17">
        <f t="shared" si="56"/>
        <v>28</v>
      </c>
      <c r="C159" s="67"/>
      <c r="D159" s="297" t="s">
        <v>571</v>
      </c>
      <c r="E159" s="17"/>
      <c r="F159" s="22">
        <f>SUM(F143:F144)</f>
        <v>2553927527.9699998</v>
      </c>
      <c r="G159" s="17"/>
      <c r="H159" s="17"/>
      <c r="I159" s="17"/>
      <c r="J159" s="22">
        <f t="shared" si="66" ref="J159:Q159">SUM(J143:J144)</f>
        <v>1415326236.081053</v>
      </c>
      <c r="K159" s="22">
        <f t="shared" si="66"/>
        <v>34562571.950878963</v>
      </c>
      <c r="L159" s="22">
        <f t="shared" si="66"/>
        <v>911289409.54768407</v>
      </c>
      <c r="M159" s="22">
        <f t="shared" si="66"/>
        <v>410436.41217636777</v>
      </c>
      <c r="N159" s="22">
        <f t="shared" si="66"/>
        <v>173717353.23975569</v>
      </c>
      <c r="O159" s="22">
        <f>SUM(O143:O144)</f>
        <v>0</v>
      </c>
      <c r="P159" s="22">
        <f t="shared" si="66"/>
        <v>0</v>
      </c>
      <c r="Q159" s="22">
        <f t="shared" si="66"/>
        <v>9191660.9532695226</v>
      </c>
      <c r="R159" s="22">
        <f>SUM(R143:R144)</f>
        <v>0</v>
      </c>
      <c r="S159" s="22">
        <f>SUM(S143:S144)</f>
        <v>9429859.7851821817</v>
      </c>
      <c r="T159" s="17"/>
      <c r="U159" s="299">
        <f>SUM(I159:T159)</f>
        <v>2553927527.9699993</v>
      </c>
      <c r="V159" s="67"/>
      <c r="W159" s="67"/>
      <c r="X159" s="370">
        <f t="shared" si="61"/>
        <v>0</v>
      </c>
    </row>
    <row r="160" spans="1:24" ht="15">
      <c r="A160" s="67"/>
      <c r="B160" s="17">
        <f t="shared" si="56"/>
        <v>29</v>
      </c>
      <c r="C160" s="67"/>
      <c r="D160" s="297" t="s">
        <v>572</v>
      </c>
      <c r="E160" s="17"/>
      <c r="F160" s="22">
        <f>SUM(F145:F147)</f>
        <v>2493077762.4000006</v>
      </c>
      <c r="G160" s="17"/>
      <c r="H160" s="17"/>
      <c r="I160" s="17"/>
      <c r="J160" s="22">
        <f t="shared" si="67" ref="J160:Q160">SUM(J145:J147)</f>
        <v>1463250412.640316</v>
      </c>
      <c r="K160" s="22">
        <f t="shared" si="67"/>
        <v>35732890.6790208</v>
      </c>
      <c r="L160" s="22">
        <f t="shared" si="67"/>
        <v>942146461.05029511</v>
      </c>
      <c r="M160" s="22">
        <f t="shared" si="67"/>
        <v>55279.194045982804</v>
      </c>
      <c r="N160" s="22">
        <f t="shared" si="67"/>
        <v>23396937.976274215</v>
      </c>
      <c r="O160" s="22">
        <f>SUM(O145:O147)</f>
        <v>4016449.0249529257</v>
      </c>
      <c r="P160" s="22">
        <f t="shared" si="67"/>
        <v>13224986.007427361</v>
      </c>
      <c r="Q160" s="22">
        <f t="shared" si="67"/>
        <v>9502898.582564868</v>
      </c>
      <c r="R160" s="22">
        <f>SUM(R145:R147)</f>
        <v>481396.55411427037</v>
      </c>
      <c r="S160" s="22">
        <f>SUM(S145:S147)</f>
        <v>1270050.6909886436</v>
      </c>
      <c r="T160" s="17"/>
      <c r="U160" s="299">
        <f>SUM(I160:T160)</f>
        <v>2493077762.3999996</v>
      </c>
      <c r="V160" s="67"/>
      <c r="W160" s="67"/>
      <c r="X160" s="370">
        <f t="shared" si="61"/>
        <v>0</v>
      </c>
    </row>
    <row r="161" spans="1:24" ht="15" thickBot="1">
      <c r="A161" s="67"/>
      <c r="B161" s="17">
        <f t="shared" si="56"/>
        <v>30</v>
      </c>
      <c r="C161" s="67"/>
      <c r="D161" s="1"/>
      <c r="E161" s="17"/>
      <c r="F161" s="19"/>
      <c r="G161" s="17"/>
      <c r="H161" s="17"/>
      <c r="I161" s="17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7"/>
      <c r="U161" s="1"/>
      <c r="V161" s="67"/>
      <c r="W161" s="67"/>
      <c r="X161" s="370">
        <f t="shared" si="61"/>
        <v>0</v>
      </c>
    </row>
    <row r="162" spans="1:24" ht="15">
      <c r="A162" s="67"/>
      <c r="B162" s="17">
        <f t="shared" si="56"/>
        <v>31</v>
      </c>
      <c r="C162" s="303" t="s">
        <v>545</v>
      </c>
      <c r="D162" s="304"/>
      <c r="E162" s="305" t="s">
        <v>24</v>
      </c>
      <c r="F162" s="306">
        <f>F106+F118+F154</f>
        <v>15324013756.529999</v>
      </c>
      <c r="G162" s="305"/>
      <c r="H162" s="437"/>
      <c r="I162" s="438"/>
      <c r="J162" s="439">
        <f t="shared" si="68" ref="J162:Q162">J106+J118+J154</f>
        <v>8343356305.2345963</v>
      </c>
      <c r="K162" s="908">
        <f t="shared" si="68"/>
        <v>338914887.2963078</v>
      </c>
      <c r="L162" s="908">
        <f t="shared" si="68"/>
        <v>5196716368.2383986</v>
      </c>
      <c r="M162" s="908">
        <f t="shared" si="68"/>
        <v>1796188.6044662444</v>
      </c>
      <c r="N162" s="908">
        <f t="shared" si="68"/>
        <v>760237447.33740878</v>
      </c>
      <c r="O162" s="908">
        <f>O106+O118+O154</f>
        <v>69455479.410149947</v>
      </c>
      <c r="P162" s="908">
        <f t="shared" si="68"/>
        <v>13765178.379646897</v>
      </c>
      <c r="Q162" s="908">
        <f t="shared" si="68"/>
        <v>550179430.7457515</v>
      </c>
      <c r="R162" s="908">
        <f>R106+R118+R154</f>
        <v>8324673.9208379993</v>
      </c>
      <c r="S162" s="641">
        <f>S106+S118+S154</f>
        <v>41267797.362433895</v>
      </c>
      <c r="T162" s="438"/>
      <c r="U162" s="307">
        <f>SUM(I162:T162)</f>
        <v>15324013756.529997</v>
      </c>
      <c r="V162" s="67"/>
      <c r="W162" s="67"/>
      <c r="X162" s="370">
        <f t="shared" si="61"/>
        <v>0</v>
      </c>
    </row>
    <row r="163" spans="1:24" ht="15.75" thickBot="1">
      <c r="A163" s="67"/>
      <c r="B163" s="17">
        <f t="shared" si="56"/>
        <v>32</v>
      </c>
      <c r="C163" s="309" t="s">
        <v>546</v>
      </c>
      <c r="D163" s="310"/>
      <c r="E163" s="311" t="s">
        <v>24</v>
      </c>
      <c r="F163" s="312">
        <f>F118+F154</f>
        <v>15000680383.709999</v>
      </c>
      <c r="G163" s="311"/>
      <c r="H163" s="440"/>
      <c r="I163" s="441"/>
      <c r="J163" s="442">
        <f t="shared" si="69" ref="J163:Q163">J118+J154</f>
        <v>8163389854.0304909</v>
      </c>
      <c r="K163" s="312">
        <f t="shared" si="69"/>
        <v>332932373.07100129</v>
      </c>
      <c r="L163" s="312">
        <f t="shared" si="69"/>
        <v>5082900501.6576214</v>
      </c>
      <c r="M163" s="312">
        <f t="shared" si="69"/>
        <v>1754974.4798309077</v>
      </c>
      <c r="N163" s="312">
        <f t="shared" si="69"/>
        <v>742793554.8479979</v>
      </c>
      <c r="O163" s="312">
        <f>O118+O154</f>
        <v>67726235.037818685</v>
      </c>
      <c r="P163" s="312">
        <f t="shared" si="69"/>
        <v>13437739.420612058</v>
      </c>
      <c r="Q163" s="312">
        <f t="shared" si="69"/>
        <v>547306843.5121156</v>
      </c>
      <c r="R163" s="312">
        <f>R118+R154</f>
        <v>8117413.1596805695</v>
      </c>
      <c r="S163" s="443">
        <f>S118+S154</f>
        <v>40320894.492828734</v>
      </c>
      <c r="T163" s="441"/>
      <c r="U163" s="313">
        <f>SUM(I163:T163)</f>
        <v>15000680383.709999</v>
      </c>
      <c r="V163" s="67"/>
      <c r="W163" s="67"/>
      <c r="X163" s="370">
        <f t="shared" si="61"/>
        <v>0</v>
      </c>
    </row>
    <row r="164" spans="1:24" ht="14.2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X164" s="370">
        <f t="shared" si="61"/>
        <v>0</v>
      </c>
    </row>
    <row r="165" spans="1:24" ht="14.25">
      <c r="A165" s="67"/>
      <c r="B165" s="67"/>
      <c r="C165" s="67"/>
      <c r="D165" s="67"/>
      <c r="E165" s="67"/>
      <c r="F165" s="67"/>
      <c r="G165" s="67"/>
      <c r="H165" s="134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134"/>
      <c r="V165" s="134">
        <f>$H$2</f>
        <v>0</v>
      </c>
      <c r="W165" s="134"/>
      <c r="X165" s="370"/>
    </row>
    <row r="166" spans="1:24" ht="15" thickBo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134"/>
      <c r="W166" s="134"/>
      <c r="X166" s="370">
        <f t="shared" si="61"/>
        <v>0</v>
      </c>
    </row>
    <row r="167" spans="1:24" ht="15">
      <c r="A167" s="67"/>
      <c r="B167" s="920" t="str">
        <f>+$B$4</f>
        <v>2022 RATE CASE</v>
      </c>
      <c r="C167" s="935"/>
      <c r="D167" s="624"/>
      <c r="F167" s="12"/>
      <c r="U167" s="134"/>
      <c r="X167" s="370">
        <f t="shared" si="61"/>
        <v>0</v>
      </c>
    </row>
    <row r="168" spans="1:24" ht="15">
      <c r="A168" s="118"/>
      <c r="B168" s="917" t="str">
        <f>+$B$5</f>
        <v>ONCOR ELECTRIC DELIVERY COMPANY LLC</v>
      </c>
      <c r="C168" s="8"/>
      <c r="D168" s="967"/>
      <c r="F168" s="12"/>
      <c r="U168" s="134"/>
      <c r="V168" s="67"/>
      <c r="W168" s="67"/>
      <c r="X168" s="370">
        <f t="shared" si="61"/>
        <v>0</v>
      </c>
    </row>
    <row r="169" spans="1:24" ht="15">
      <c r="A169" s="67"/>
      <c r="B169" s="917" t="str">
        <f>+$B$6</f>
        <v>II-I-1-DIST:  CLASS REVENUE REQUIREMENT</v>
      </c>
      <c r="C169" s="85"/>
      <c r="D169" s="967"/>
      <c r="F169" s="12"/>
      <c r="U169" s="12"/>
      <c r="V169" s="67"/>
      <c r="W169" s="67"/>
      <c r="X169" s="370">
        <f t="shared" si="61"/>
        <v>0</v>
      </c>
    </row>
    <row r="170" spans="1:24" ht="15">
      <c r="A170" s="67"/>
      <c r="B170" s="406" t="str">
        <f>+$B$7</f>
        <v>TEST YEAR ENDING 12/31/2021</v>
      </c>
      <c r="C170" s="85"/>
      <c r="D170" s="967"/>
      <c r="F170" s="12"/>
      <c r="U170" s="12"/>
      <c r="V170" s="67"/>
      <c r="W170" s="67"/>
      <c r="X170" s="370">
        <f t="shared" si="61"/>
        <v>0</v>
      </c>
    </row>
    <row r="171" spans="1:24" ht="15">
      <c r="A171" s="67"/>
      <c r="B171" s="406" t="str">
        <f>+$B$8</f>
        <v>SPONSOR:  MATTHEW A. TROXLE</v>
      </c>
      <c r="C171" s="85"/>
      <c r="D171" s="967"/>
      <c r="F171" s="12"/>
      <c r="U171" s="12"/>
      <c r="V171" s="67"/>
      <c r="W171" s="67"/>
      <c r="X171" s="370">
        <f t="shared" si="61"/>
        <v>0</v>
      </c>
    </row>
    <row r="172" spans="1:24" ht="15.75" thickBot="1">
      <c r="A172" s="67"/>
      <c r="B172" s="410"/>
      <c r="C172" s="934"/>
      <c r="D172" s="968"/>
      <c r="F172" s="12"/>
      <c r="U172" s="12"/>
      <c r="V172" s="67"/>
      <c r="W172" s="67"/>
      <c r="X172" s="370">
        <f t="shared" si="61"/>
        <v>0</v>
      </c>
    </row>
    <row r="173" spans="1:24" ht="15" thickBot="1">
      <c r="A173" s="67"/>
      <c r="B173" s="13"/>
      <c r="C173" s="14"/>
      <c r="D173" s="14"/>
      <c r="E173" s="14"/>
      <c r="F173" s="13"/>
      <c r="G173" s="14"/>
      <c r="H173" s="14"/>
      <c r="I173" s="14"/>
      <c r="J173" s="238"/>
      <c r="K173" s="238"/>
      <c r="L173" s="14"/>
      <c r="M173" s="238"/>
      <c r="N173" s="238"/>
      <c r="O173" s="238"/>
      <c r="P173" s="238"/>
      <c r="Q173" s="14"/>
      <c r="R173" s="393" t="str">
        <f>R$10</f>
        <v xml:space="preserve"> </v>
      </c>
      <c r="S173" s="394"/>
      <c r="T173" s="238"/>
      <c r="U173" s="13"/>
      <c r="V173" s="67"/>
      <c r="W173" s="67"/>
      <c r="X173" s="370">
        <f t="shared" si="61"/>
        <v>0</v>
      </c>
    </row>
    <row r="174" spans="1:24" ht="15">
      <c r="A174" s="67"/>
      <c r="B174" s="15" t="s">
        <v>2</v>
      </c>
      <c r="C174" s="15" t="s">
        <v>370</v>
      </c>
      <c r="D174" s="287" t="s">
        <v>547</v>
      </c>
      <c r="E174" s="15" t="s">
        <v>371</v>
      </c>
      <c r="F174" s="287" t="str">
        <f>F$11</f>
        <v>DIST</v>
      </c>
      <c r="G174" s="242" t="s">
        <v>741</v>
      </c>
      <c r="H174" s="242" t="s">
        <v>376</v>
      </c>
      <c r="I174" s="15"/>
      <c r="J174" s="242" t="s">
        <v>730</v>
      </c>
      <c r="K174" s="242" t="s">
        <v>409</v>
      </c>
      <c r="L174" s="15" t="s">
        <v>409</v>
      </c>
      <c r="M174" s="242" t="s">
        <v>410</v>
      </c>
      <c r="N174" s="242" t="s">
        <v>410</v>
      </c>
      <c r="O174" s="242" t="s">
        <v>410</v>
      </c>
      <c r="P174" s="242" t="s">
        <v>411</v>
      </c>
      <c r="Q174" s="15" t="s">
        <v>412</v>
      </c>
      <c r="R174" s="396" t="str">
        <f>R$11</f>
        <v>Wholesale</v>
      </c>
      <c r="S174" s="13" t="str">
        <f>S$11</f>
        <v>Wholesale</v>
      </c>
      <c r="T174" s="242"/>
      <c r="U174" s="15" t="s">
        <v>10</v>
      </c>
      <c r="V174" s="67"/>
      <c r="W174" s="67"/>
      <c r="X174" s="370"/>
    </row>
    <row r="175" spans="1:24" ht="14.25">
      <c r="A175" s="67"/>
      <c r="B175" s="15"/>
      <c r="C175" s="15"/>
      <c r="D175" s="15"/>
      <c r="E175" s="15"/>
      <c r="F175" s="15"/>
      <c r="G175" s="242" t="s">
        <v>742</v>
      </c>
      <c r="H175" s="242" t="s">
        <v>743</v>
      </c>
      <c r="I175" s="15"/>
      <c r="J175" s="242"/>
      <c r="K175" s="242" t="s">
        <v>731</v>
      </c>
      <c r="L175" s="15" t="s">
        <v>732</v>
      </c>
      <c r="M175" s="242" t="s">
        <v>731</v>
      </c>
      <c r="N175" s="242" t="s">
        <v>732</v>
      </c>
      <c r="O175" s="242" t="s">
        <v>414</v>
      </c>
      <c r="P175" s="242"/>
      <c r="Q175" s="15"/>
      <c r="R175" s="235" t="str">
        <f>R$12</f>
        <v>XFMR</v>
      </c>
      <c r="S175" s="15" t="str">
        <f>S$12</f>
        <v>DLS</v>
      </c>
      <c r="T175" s="242"/>
      <c r="U175" s="15"/>
      <c r="V175" s="67"/>
      <c r="W175" s="67"/>
      <c r="X175" s="370">
        <f t="shared" si="61"/>
        <v>0</v>
      </c>
    </row>
    <row r="176" spans="1:24" ht="15" thickBot="1">
      <c r="A176" s="67"/>
      <c r="B176" s="16"/>
      <c r="C176" s="16"/>
      <c r="D176" s="16"/>
      <c r="E176" s="16"/>
      <c r="F176" s="16" t="s">
        <v>13</v>
      </c>
      <c r="G176" s="16" t="s">
        <v>14</v>
      </c>
      <c r="H176" s="16" t="s">
        <v>15</v>
      </c>
      <c r="I176" s="16"/>
      <c r="J176" s="243" t="str">
        <f t="shared" si="70" ref="J176:Q176">J$13</f>
        <v>(d)</v>
      </c>
      <c r="K176" s="243" t="str">
        <f t="shared" si="70"/>
        <v>(e)</v>
      </c>
      <c r="L176" s="16" t="str">
        <f t="shared" si="70"/>
        <v>(f)</v>
      </c>
      <c r="M176" s="243" t="str">
        <f t="shared" si="70"/>
        <v>(g)</v>
      </c>
      <c r="N176" s="243" t="str">
        <f t="shared" si="70"/>
        <v>(h)</v>
      </c>
      <c r="O176" s="243" t="str">
        <f>O$13</f>
        <v>(i)</v>
      </c>
      <c r="P176" s="243" t="str">
        <f t="shared" si="70"/>
        <v>(j)</v>
      </c>
      <c r="Q176" s="243" t="str">
        <f t="shared" si="70"/>
        <v>(k)</v>
      </c>
      <c r="R176" s="243" t="str">
        <f>R$13</f>
        <v>(l)</v>
      </c>
      <c r="S176" s="16" t="str">
        <f>S$13</f>
        <v>(m)</v>
      </c>
      <c r="T176" s="16"/>
      <c r="U176" s="16" t="s">
        <v>734</v>
      </c>
      <c r="V176" s="67"/>
      <c r="W176" s="67"/>
      <c r="X176" s="370"/>
    </row>
    <row r="177" spans="1:24" ht="14.25">
      <c r="A177" s="67"/>
      <c r="B177" s="67"/>
      <c r="C177" s="100"/>
      <c r="D177" s="100"/>
      <c r="E177" s="315"/>
      <c r="F177" s="100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1"/>
      <c r="V177" s="67"/>
      <c r="W177" s="67"/>
      <c r="X177" s="370">
        <f t="shared" si="61"/>
        <v>0</v>
      </c>
    </row>
    <row r="178" spans="1:24" ht="15">
      <c r="A178" s="67"/>
      <c r="B178" s="17">
        <f t="shared" si="71" ref="B178:B194">B177+1</f>
        <v>1</v>
      </c>
      <c r="C178" s="49" t="s">
        <v>547</v>
      </c>
      <c r="D178" s="49"/>
      <c r="E178" s="58" t="s">
        <v>90</v>
      </c>
      <c r="F178" s="49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49"/>
      <c r="V178" s="67"/>
      <c r="W178" s="67"/>
      <c r="X178" s="370">
        <f t="shared" si="61"/>
        <v>0</v>
      </c>
    </row>
    <row r="179" spans="1:24" ht="14.25">
      <c r="A179" s="67"/>
      <c r="B179" s="17">
        <f t="shared" si="71"/>
        <v>2</v>
      </c>
      <c r="C179" s="12" t="s">
        <v>91</v>
      </c>
      <c r="D179" s="12" t="s">
        <v>40</v>
      </c>
      <c r="E179" s="11"/>
      <c r="F179" s="121">
        <f>' WP II-I-1.4'!G179</f>
        <v>19410065.620000001</v>
      </c>
      <c r="G179" s="11">
        <v>61</v>
      </c>
      <c r="H179" s="1" t="str">
        <f t="shared" si="72" ref="H179:H187">VLOOKUP(G179,FactorTable,2)</f>
        <v>PLTOPER_N</v>
      </c>
      <c r="I179" s="11"/>
      <c r="J179" s="434">
        <f t="shared" si="73" ref="J179:S187">$F179*HLOOKUP(J$1318,FactorTable,$G179+1)</f>
        <v>10803588.249502646</v>
      </c>
      <c r="K179" s="434">
        <f t="shared" si="73"/>
        <v>359137.05001440668</v>
      </c>
      <c r="L179" s="434">
        <f t="shared" si="73"/>
        <v>6832494.3375390572</v>
      </c>
      <c r="M179" s="434">
        <f t="shared" si="73"/>
        <v>2474.1302039616221</v>
      </c>
      <c r="N179" s="434">
        <f t="shared" si="73"/>
        <v>1047176.4635201561</v>
      </c>
      <c r="O179" s="434">
        <f t="shared" si="73"/>
        <v>103808.48239458098</v>
      </c>
      <c r="P179" s="434">
        <f t="shared" si="73"/>
        <v>19656.528572907035</v>
      </c>
      <c r="Q179" s="434">
        <f t="shared" si="73"/>
        <v>172444.63884984501</v>
      </c>
      <c r="R179" s="434">
        <f t="shared" si="73"/>
        <v>12442.096339855549</v>
      </c>
      <c r="S179" s="434">
        <f t="shared" si="73"/>
        <v>56843.643062586998</v>
      </c>
      <c r="T179" s="11"/>
      <c r="U179" s="118">
        <f t="shared" si="74" ref="U179:U188">SUM(I179:T179)</f>
        <v>19410065.619999997</v>
      </c>
      <c r="V179" s="67"/>
      <c r="W179" s="67"/>
      <c r="X179" s="370">
        <f t="shared" si="61"/>
        <v>0</v>
      </c>
    </row>
    <row r="180" spans="1:24" ht="14.25">
      <c r="A180" s="67"/>
      <c r="B180" s="17">
        <f t="shared" si="71"/>
        <v>3</v>
      </c>
      <c r="C180" s="12" t="s">
        <v>92</v>
      </c>
      <c r="D180" s="12" t="s">
        <v>42</v>
      </c>
      <c r="E180" s="11"/>
      <c r="F180" s="118">
        <f>' WP II-I-1.4'!G180</f>
        <v>78748.830000000002</v>
      </c>
      <c r="G180" s="11">
        <v>61</v>
      </c>
      <c r="H180" s="47" t="str">
        <f t="shared" si="72"/>
        <v>PLTOPER_N</v>
      </c>
      <c r="I180" s="11"/>
      <c r="J180" s="434">
        <f t="shared" si="73"/>
        <v>43831.378579856719</v>
      </c>
      <c r="K180" s="434">
        <f t="shared" si="73"/>
        <v>1457.0596025777891</v>
      </c>
      <c r="L180" s="434">
        <f t="shared" si="73"/>
        <v>27720.20175492976</v>
      </c>
      <c r="M180" s="434">
        <f t="shared" si="73"/>
        <v>10.037825870556697</v>
      </c>
      <c r="N180" s="434">
        <f t="shared" si="73"/>
        <v>4248.5132673008429</v>
      </c>
      <c r="O180" s="434">
        <f t="shared" si="73"/>
        <v>421.16274579853018</v>
      </c>
      <c r="P180" s="434">
        <f t="shared" si="73"/>
        <v>79.748758055872997</v>
      </c>
      <c r="Q180" s="434">
        <f t="shared" si="73"/>
        <v>699.62738998704322</v>
      </c>
      <c r="R180" s="434">
        <f t="shared" si="73"/>
        <v>50.478991091164936</v>
      </c>
      <c r="S180" s="434">
        <f t="shared" si="73"/>
        <v>230.62108453172468</v>
      </c>
      <c r="T180" s="11"/>
      <c r="U180" s="118">
        <f t="shared" si="74"/>
        <v>78748.830000000002</v>
      </c>
      <c r="V180" s="67"/>
      <c r="W180" s="67"/>
      <c r="X180" s="370">
        <f t="shared" si="61"/>
        <v>0</v>
      </c>
    </row>
    <row r="181" spans="1:24" ht="14.25">
      <c r="A181" s="67"/>
      <c r="B181" s="17">
        <f t="shared" si="71"/>
        <v>4</v>
      </c>
      <c r="C181" s="12" t="s">
        <v>93</v>
      </c>
      <c r="D181" s="12" t="s">
        <v>44</v>
      </c>
      <c r="E181" s="11"/>
      <c r="F181" s="118">
        <f>' WP II-I-1.4'!G181</f>
        <v>141498136</v>
      </c>
      <c r="G181" s="11">
        <v>61</v>
      </c>
      <c r="H181" s="47" t="str">
        <f t="shared" si="72"/>
        <v>PLTOPER_N</v>
      </c>
      <c r="I181" s="11"/>
      <c r="J181" s="434">
        <f t="shared" si="73"/>
        <v>78757466.839317515</v>
      </c>
      <c r="K181" s="434">
        <f t="shared" si="73"/>
        <v>2618086.1075098887</v>
      </c>
      <c r="L181" s="434">
        <f t="shared" si="73"/>
        <v>49808446.396809831</v>
      </c>
      <c r="M181" s="434">
        <f t="shared" si="73"/>
        <v>18036.250826537354</v>
      </c>
      <c r="N181" s="434">
        <f t="shared" si="73"/>
        <v>7633849.3929921128</v>
      </c>
      <c r="O181" s="434">
        <f t="shared" si="73"/>
        <v>756757.19224188919</v>
      </c>
      <c r="P181" s="434">
        <f t="shared" si="73"/>
        <v>143294.83515146846</v>
      </c>
      <c r="Q181" s="434">
        <f t="shared" si="73"/>
        <v>1257110.3796426142</v>
      </c>
      <c r="R181" s="434">
        <f t="shared" si="73"/>
        <v>90702.085942869817</v>
      </c>
      <c r="S181" s="434">
        <f t="shared" si="73"/>
        <v>414386.51956527447</v>
      </c>
      <c r="T181" s="11"/>
      <c r="U181" s="118">
        <f t="shared" si="74"/>
        <v>141498136</v>
      </c>
      <c r="V181" s="67"/>
      <c r="W181" s="67"/>
      <c r="X181" s="370">
        <f t="shared" si="61"/>
        <v>0</v>
      </c>
    </row>
    <row r="182" spans="1:24" ht="14.25">
      <c r="A182" s="67"/>
      <c r="B182" s="17">
        <f t="shared" si="71"/>
        <v>5</v>
      </c>
      <c r="C182" s="12" t="s">
        <v>94</v>
      </c>
      <c r="D182" s="12" t="s">
        <v>95</v>
      </c>
      <c r="E182" s="11"/>
      <c r="F182" s="118">
        <f>' WP II-I-1.4'!G182</f>
        <v>96093234.140000001</v>
      </c>
      <c r="G182" s="11">
        <v>61</v>
      </c>
      <c r="H182" s="47" t="str">
        <f t="shared" si="72"/>
        <v>PLTOPER_N</v>
      </c>
      <c r="I182" s="11"/>
      <c r="J182" s="434">
        <f t="shared" si="73"/>
        <v>53485225.425611436</v>
      </c>
      <c r="K182" s="434">
        <f t="shared" si="73"/>
        <v>1777976.5051295725</v>
      </c>
      <c r="L182" s="434">
        <f t="shared" si="73"/>
        <v>33825567.156293042</v>
      </c>
      <c r="M182" s="434">
        <f t="shared" si="73"/>
        <v>12248.653746804288</v>
      </c>
      <c r="N182" s="434">
        <f t="shared" si="73"/>
        <v>5184246.9296577023</v>
      </c>
      <c r="O182" s="434">
        <f t="shared" si="73"/>
        <v>513923.70328630228</v>
      </c>
      <c r="P182" s="434">
        <f t="shared" si="73"/>
        <v>97313.396024261136</v>
      </c>
      <c r="Q182" s="434">
        <f t="shared" si="73"/>
        <v>853720.09459419316</v>
      </c>
      <c r="R182" s="434">
        <f t="shared" si="73"/>
        <v>61596.972425803484</v>
      </c>
      <c r="S182" s="434">
        <f t="shared" si="73"/>
        <v>281415.30323088926</v>
      </c>
      <c r="T182" s="11"/>
      <c r="U182" s="118">
        <f t="shared" si="74"/>
        <v>96093234.140000001</v>
      </c>
      <c r="V182" s="67"/>
      <c r="W182" s="67"/>
      <c r="X182" s="370">
        <f t="shared" si="61"/>
        <v>0</v>
      </c>
    </row>
    <row r="183" spans="1:24" ht="14.25">
      <c r="A183" s="67"/>
      <c r="B183" s="17">
        <f t="shared" si="71"/>
        <v>6</v>
      </c>
      <c r="C183" s="12" t="s">
        <v>96</v>
      </c>
      <c r="D183" s="12" t="s">
        <v>98</v>
      </c>
      <c r="E183" s="11"/>
      <c r="F183" s="118">
        <f>' WP II-I-1.4'!G183</f>
        <v>12716429.41</v>
      </c>
      <c r="G183" s="11">
        <v>61</v>
      </c>
      <c r="H183" s="47" t="str">
        <f t="shared" si="72"/>
        <v>PLTOPER_N</v>
      </c>
      <c r="I183" s="11"/>
      <c r="J183" s="434">
        <f t="shared" si="73"/>
        <v>7077929.0518187257</v>
      </c>
      <c r="K183" s="434">
        <f t="shared" si="73"/>
        <v>235287.24912285185</v>
      </c>
      <c r="L183" s="434">
        <f t="shared" si="73"/>
        <v>4476282.2361617619</v>
      </c>
      <c r="M183" s="434">
        <f t="shared" si="73"/>
        <v>1620.9168328317517</v>
      </c>
      <c r="N183" s="434">
        <f t="shared" si="73"/>
        <v>686053.60944511346</v>
      </c>
      <c r="O183" s="434">
        <f t="shared" si="73"/>
        <v>68009.725694575813</v>
      </c>
      <c r="P183" s="434">
        <f t="shared" si="73"/>
        <v>12877.898660242672</v>
      </c>
      <c r="Q183" s="434">
        <f t="shared" si="73"/>
        <v>112976.43810165529</v>
      </c>
      <c r="R183" s="434">
        <f t="shared" si="73"/>
        <v>8151.3912892269991</v>
      </c>
      <c r="S183" s="434">
        <f t="shared" si="73"/>
        <v>37240.892873015633</v>
      </c>
      <c r="T183" s="11"/>
      <c r="U183" s="118">
        <f t="shared" si="74"/>
        <v>12716429.410000002</v>
      </c>
      <c r="V183" s="67"/>
      <c r="W183" s="67"/>
      <c r="X183" s="370">
        <f t="shared" si="61"/>
        <v>0</v>
      </c>
    </row>
    <row r="184" spans="1:24" ht="14.25">
      <c r="A184" s="67"/>
      <c r="B184" s="17">
        <f t="shared" si="71"/>
        <v>7</v>
      </c>
      <c r="C184" s="12" t="s">
        <v>99</v>
      </c>
      <c r="D184" s="12" t="s">
        <v>548</v>
      </c>
      <c r="E184" s="11"/>
      <c r="F184" s="118">
        <f>' WP II-I-1.4'!G184</f>
        <v>3228206.2200000002</v>
      </c>
      <c r="G184" s="11">
        <v>61</v>
      </c>
      <c r="H184" s="47" t="str">
        <f t="shared" si="72"/>
        <v>PLTOPER_N</v>
      </c>
      <c r="I184" s="11"/>
      <c r="J184" s="434">
        <f t="shared" si="73"/>
        <v>1796810.5553145136</v>
      </c>
      <c r="K184" s="434">
        <f t="shared" si="73"/>
        <v>59730.26992213531</v>
      </c>
      <c r="L184" s="434">
        <f t="shared" si="73"/>
        <v>1136353.7429688692</v>
      </c>
      <c r="M184" s="434">
        <f t="shared" si="73"/>
        <v>411.4876616021856</v>
      </c>
      <c r="N184" s="434">
        <f t="shared" si="73"/>
        <v>174162.29492238938</v>
      </c>
      <c r="O184" s="434">
        <f t="shared" si="73"/>
        <v>17265.020897695802</v>
      </c>
      <c r="P184" s="434">
        <f t="shared" si="73"/>
        <v>3269.1969746502182</v>
      </c>
      <c r="Q184" s="434">
        <f t="shared" si="73"/>
        <v>28680.318069976896</v>
      </c>
      <c r="R184" s="434">
        <f t="shared" si="73"/>
        <v>2069.3208142879489</v>
      </c>
      <c r="S184" s="434">
        <f t="shared" si="73"/>
        <v>9454.0124538797518</v>
      </c>
      <c r="T184" s="11"/>
      <c r="U184" s="118">
        <f t="shared" si="74"/>
        <v>3228206.2199999997</v>
      </c>
      <c r="V184" s="67"/>
      <c r="W184" s="67"/>
      <c r="X184" s="370">
        <f t="shared" si="61"/>
        <v>0</v>
      </c>
    </row>
    <row r="185" spans="1:24" ht="14.25">
      <c r="A185" s="67"/>
      <c r="B185" s="17">
        <f t="shared" si="71"/>
        <v>8</v>
      </c>
      <c r="C185" s="12" t="s">
        <v>101</v>
      </c>
      <c r="D185" s="12" t="s">
        <v>549</v>
      </c>
      <c r="E185" s="11"/>
      <c r="F185" s="118">
        <f>' WP II-I-1.4'!G185</f>
        <v>25982536.489999998</v>
      </c>
      <c r="G185" s="11">
        <v>61</v>
      </c>
      <c r="H185" s="47" t="str">
        <f t="shared" si="72"/>
        <v>PLTOPER_N</v>
      </c>
      <c r="I185" s="11"/>
      <c r="J185" s="434">
        <f t="shared" si="73"/>
        <v>14461807.157746108</v>
      </c>
      <c r="K185" s="434">
        <f t="shared" si="73"/>
        <v>480744.97477717826</v>
      </c>
      <c r="L185" s="434">
        <f t="shared" si="73"/>
        <v>9146055.2951405682</v>
      </c>
      <c r="M185" s="434">
        <f t="shared" si="73"/>
        <v>3311.8990715418295</v>
      </c>
      <c r="N185" s="434">
        <f t="shared" si="73"/>
        <v>1401762.4261324678</v>
      </c>
      <c r="O185" s="434">
        <f t="shared" si="73"/>
        <v>138959.2253108891</v>
      </c>
      <c r="P185" s="434">
        <f t="shared" si="73"/>
        <v>26312.454625915099</v>
      </c>
      <c r="Q185" s="434">
        <f t="shared" si="73"/>
        <v>230836.37166090988</v>
      </c>
      <c r="R185" s="434">
        <f t="shared" si="73"/>
        <v>16655.132882667309</v>
      </c>
      <c r="S185" s="434">
        <f t="shared" si="73"/>
        <v>76091.552651752543</v>
      </c>
      <c r="T185" s="11"/>
      <c r="U185" s="118">
        <f t="shared" si="74"/>
        <v>25982536.489999995</v>
      </c>
      <c r="V185" s="67"/>
      <c r="W185" s="67"/>
      <c r="X185" s="370">
        <f t="shared" si="61"/>
        <v>0</v>
      </c>
    </row>
    <row r="186" spans="1:24" ht="14.25">
      <c r="A186" s="67"/>
      <c r="B186" s="17">
        <f t="shared" si="71"/>
        <v>9</v>
      </c>
      <c r="C186" s="12" t="s">
        <v>103</v>
      </c>
      <c r="D186" s="12" t="s">
        <v>104</v>
      </c>
      <c r="E186" s="11"/>
      <c r="F186" s="118">
        <f>' WP II-I-1.4'!G186</f>
        <v>17734119.199999999</v>
      </c>
      <c r="G186" s="11">
        <v>61</v>
      </c>
      <c r="H186" s="47" t="str">
        <f t="shared" si="72"/>
        <v>PLTOPER_N</v>
      </c>
      <c r="I186" s="11"/>
      <c r="J186" s="434">
        <f t="shared" si="73"/>
        <v>9870761.158426173</v>
      </c>
      <c r="K186" s="434">
        <f t="shared" si="73"/>
        <v>328127.65184726095</v>
      </c>
      <c r="L186" s="434">
        <f t="shared" si="73"/>
        <v>6242548.1390640792</v>
      </c>
      <c r="M186" s="434">
        <f t="shared" si="73"/>
        <v>2260.5034322071351</v>
      </c>
      <c r="N186" s="434">
        <f t="shared" si="73"/>
        <v>956758.858577259</v>
      </c>
      <c r="O186" s="434">
        <f t="shared" si="73"/>
        <v>94845.222927000097</v>
      </c>
      <c r="P186" s="434">
        <f t="shared" si="73"/>
        <v>17959.301508540659</v>
      </c>
      <c r="Q186" s="434">
        <f t="shared" si="73"/>
        <v>157555.04595579527</v>
      </c>
      <c r="R186" s="434">
        <f t="shared" si="73"/>
        <v>11367.79359269791</v>
      </c>
      <c r="S186" s="434">
        <f t="shared" si="73"/>
        <v>51935.524668987229</v>
      </c>
      <c r="T186" s="11"/>
      <c r="U186" s="118">
        <f t="shared" si="74"/>
        <v>17734119.200000003</v>
      </c>
      <c r="V186" s="67"/>
      <c r="W186" s="67"/>
      <c r="X186" s="370">
        <f t="shared" si="61"/>
        <v>0</v>
      </c>
    </row>
    <row r="187" spans="1:24" ht="14.25">
      <c r="A187" s="67"/>
      <c r="B187" s="17">
        <f t="shared" si="71"/>
        <v>10</v>
      </c>
      <c r="C187" s="12" t="s">
        <v>105</v>
      </c>
      <c r="D187" s="12" t="s">
        <v>106</v>
      </c>
      <c r="E187" s="11"/>
      <c r="F187" s="118">
        <f>' WP II-I-1.4'!G187</f>
        <v>7626625.3200000003</v>
      </c>
      <c r="G187" s="11">
        <v>61</v>
      </c>
      <c r="H187" s="47" t="str">
        <f t="shared" si="72"/>
        <v>PLTOPER_N</v>
      </c>
      <c r="I187" s="11"/>
      <c r="J187" s="435">
        <f t="shared" si="73"/>
        <v>4244958.3274778929</v>
      </c>
      <c r="K187" s="435">
        <f t="shared" si="73"/>
        <v>141112.54297706904</v>
      </c>
      <c r="L187" s="435">
        <f t="shared" si="73"/>
        <v>2684631.5377594279</v>
      </c>
      <c r="M187" s="435">
        <f t="shared" si="73"/>
        <v>972.13808690413236</v>
      </c>
      <c r="N187" s="435">
        <f t="shared" si="73"/>
        <v>411457.7811092881</v>
      </c>
      <c r="O187" s="435">
        <f t="shared" si="73"/>
        <v>40788.548362531787</v>
      </c>
      <c r="P187" s="435">
        <f t="shared" si="73"/>
        <v>7723.4658270792725</v>
      </c>
      <c r="Q187" s="435">
        <f t="shared" si="73"/>
        <v>67757.145941605719</v>
      </c>
      <c r="R187" s="435">
        <f t="shared" si="73"/>
        <v>4888.7628118910843</v>
      </c>
      <c r="S187" s="435">
        <f t="shared" si="73"/>
        <v>22335.069646311083</v>
      </c>
      <c r="T187" s="11"/>
      <c r="U187" s="118">
        <f t="shared" si="74"/>
        <v>7626625.3200000003</v>
      </c>
      <c r="V187" s="67"/>
      <c r="W187" s="67"/>
      <c r="X187" s="370">
        <f t="shared" si="61"/>
        <v>0</v>
      </c>
    </row>
    <row r="188" spans="1:24" ht="15">
      <c r="A188" s="67"/>
      <c r="B188" s="17">
        <f t="shared" si="71"/>
        <v>11</v>
      </c>
      <c r="C188" s="1"/>
      <c r="D188" s="297" t="s">
        <v>491</v>
      </c>
      <c r="E188" s="20"/>
      <c r="F188" s="21">
        <f>SUM(F179:F187)</f>
        <v>324368101.23000002</v>
      </c>
      <c r="G188" s="20"/>
      <c r="H188" s="20"/>
      <c r="I188" s="1010"/>
      <c r="J188" s="895">
        <f t="shared" si="75" ref="J188:Q188">SUM(J179:J187)</f>
        <v>180542378.14379486</v>
      </c>
      <c r="K188" s="895">
        <f t="shared" si="75"/>
        <v>6001659.4109029416</v>
      </c>
      <c r="L188" s="895">
        <f t="shared" si="75"/>
        <v>114180099.04349156</v>
      </c>
      <c r="M188" s="895">
        <f t="shared" si="75"/>
        <v>41346.017688260858</v>
      </c>
      <c r="N188" s="895">
        <f t="shared" si="75"/>
        <v>17499716.269623794</v>
      </c>
      <c r="O188" s="895">
        <f>SUM(O179:O187)</f>
        <v>1734778.2838612634</v>
      </c>
      <c r="P188" s="895">
        <f t="shared" si="75"/>
        <v>328486.82610312034</v>
      </c>
      <c r="Q188" s="895">
        <f t="shared" si="75"/>
        <v>2881780.0602065828</v>
      </c>
      <c r="R188" s="895">
        <f>SUM(R179:R187)</f>
        <v>207924.03509039129</v>
      </c>
      <c r="S188" s="895">
        <f>SUM(S179:S187)</f>
        <v>949933.13923722878</v>
      </c>
      <c r="T188" s="1010"/>
      <c r="U188" s="299">
        <f t="shared" si="74"/>
        <v>324368101.23000002</v>
      </c>
      <c r="V188" s="67"/>
      <c r="W188" s="67"/>
      <c r="X188" s="370">
        <f t="shared" si="61"/>
        <v>0</v>
      </c>
    </row>
    <row r="189" spans="1:24" ht="15">
      <c r="A189" s="67"/>
      <c r="B189" s="17">
        <f t="shared" si="71"/>
        <v>12</v>
      </c>
      <c r="C189" s="8"/>
      <c r="D189" s="297"/>
      <c r="E189" s="1059"/>
      <c r="F189" s="18"/>
      <c r="G189" s="1059"/>
      <c r="H189" s="1059"/>
      <c r="I189" s="1059"/>
      <c r="J189" s="1059"/>
      <c r="K189" s="1059"/>
      <c r="L189" s="1059"/>
      <c r="M189" s="1059"/>
      <c r="N189" s="1059"/>
      <c r="O189" s="1059"/>
      <c r="P189" s="1059"/>
      <c r="Q189" s="1059"/>
      <c r="R189" s="1059"/>
      <c r="S189" s="1059"/>
      <c r="T189" s="1010"/>
      <c r="U189" s="121"/>
      <c r="V189" s="67"/>
      <c r="W189" s="67"/>
      <c r="X189" s="370">
        <f t="shared" si="61"/>
        <v>0</v>
      </c>
    </row>
    <row r="190" spans="1:24" ht="14.25">
      <c r="A190" s="67"/>
      <c r="B190" s="17">
        <f t="shared" si="71"/>
        <v>13</v>
      </c>
      <c r="C190" s="1" t="s">
        <v>110</v>
      </c>
      <c r="D190" s="1" t="s">
        <v>550</v>
      </c>
      <c r="E190" s="17"/>
      <c r="F190" s="121">
        <f>' WP II-I-1.4'!G190</f>
        <v>5763893.6799999997</v>
      </c>
      <c r="G190" s="11">
        <v>61</v>
      </c>
      <c r="H190" s="1" t="str">
        <f>VLOOKUP(G190,FactorTable,2)</f>
        <v>PLTOPER_N</v>
      </c>
      <c r="I190" s="17"/>
      <c r="J190" s="434">
        <f t="shared" si="76" ref="J190:S191">$F190*HLOOKUP(J$1318,FactorTable,$G190+1)</f>
        <v>3208167.1052398304</v>
      </c>
      <c r="K190" s="434">
        <f t="shared" si="76"/>
        <v>106647.12903901468</v>
      </c>
      <c r="L190" s="434">
        <f t="shared" si="76"/>
        <v>2028935.4864518563</v>
      </c>
      <c r="M190" s="434">
        <f t="shared" si="76"/>
        <v>734.70248505586983</v>
      </c>
      <c r="N190" s="434">
        <f t="shared" si="76"/>
        <v>310963.08060439094</v>
      </c>
      <c r="O190" s="434">
        <f t="shared" si="76"/>
        <v>30826.328324618848</v>
      </c>
      <c r="P190" s="434">
        <f t="shared" si="76"/>
        <v>5837.081802308624</v>
      </c>
      <c r="Q190" s="434">
        <f t="shared" si="76"/>
        <v>51208.099110821247</v>
      </c>
      <c r="R190" s="434">
        <f t="shared" si="76"/>
        <v>3694.7283880045184</v>
      </c>
      <c r="S190" s="434">
        <f t="shared" si="76"/>
        <v>16879.938554098564</v>
      </c>
      <c r="T190" s="17"/>
      <c r="U190" s="118">
        <f>SUM(I190:T190)</f>
        <v>5763893.6800000006</v>
      </c>
      <c r="V190" s="67"/>
      <c r="W190" s="67"/>
      <c r="X190" s="370">
        <f t="shared" si="61"/>
        <v>0</v>
      </c>
    </row>
    <row r="191" spans="1:24" ht="14.25">
      <c r="A191" s="67"/>
      <c r="B191" s="17">
        <f t="shared" si="71"/>
        <v>14</v>
      </c>
      <c r="C191" s="1" t="s">
        <v>112</v>
      </c>
      <c r="D191" s="1" t="s">
        <v>551</v>
      </c>
      <c r="E191" s="17"/>
      <c r="F191" s="118">
        <f>' WP II-I-1.4'!G191</f>
        <v>0</v>
      </c>
      <c r="G191" s="11">
        <v>61</v>
      </c>
      <c r="H191" s="47" t="str">
        <f>VLOOKUP(G191,FactorTable,2)</f>
        <v>PLTOPER_N</v>
      </c>
      <c r="I191" s="17"/>
      <c r="J191" s="435">
        <f t="shared" si="76"/>
        <v>0</v>
      </c>
      <c r="K191" s="435">
        <f t="shared" si="76"/>
        <v>0</v>
      </c>
      <c r="L191" s="435">
        <f t="shared" si="76"/>
        <v>0</v>
      </c>
      <c r="M191" s="435">
        <f t="shared" si="76"/>
        <v>0</v>
      </c>
      <c r="N191" s="435">
        <f t="shared" si="76"/>
        <v>0</v>
      </c>
      <c r="O191" s="435">
        <f t="shared" si="76"/>
        <v>0</v>
      </c>
      <c r="P191" s="435">
        <f t="shared" si="76"/>
        <v>0</v>
      </c>
      <c r="Q191" s="435">
        <f t="shared" si="76"/>
        <v>0</v>
      </c>
      <c r="R191" s="435">
        <f t="shared" si="76"/>
        <v>0</v>
      </c>
      <c r="S191" s="435">
        <f t="shared" si="76"/>
        <v>0</v>
      </c>
      <c r="T191" s="17"/>
      <c r="U191" s="118">
        <f>SUM(I191:T191)</f>
        <v>0</v>
      </c>
      <c r="V191" s="67"/>
      <c r="W191" s="67"/>
      <c r="X191" s="370">
        <f t="shared" si="61"/>
        <v>0</v>
      </c>
    </row>
    <row r="192" spans="1:24" ht="15">
      <c r="A192" s="67"/>
      <c r="B192" s="17">
        <f t="shared" si="71"/>
        <v>15</v>
      </c>
      <c r="C192" s="8"/>
      <c r="D192" s="297" t="s">
        <v>491</v>
      </c>
      <c r="E192" s="20"/>
      <c r="F192" s="21">
        <f>+F191+F190</f>
        <v>5763893.6799999997</v>
      </c>
      <c r="G192" s="20"/>
      <c r="H192" s="20"/>
      <c r="I192" s="20"/>
      <c r="J192" s="895">
        <f t="shared" si="77" ref="J192:Q192">+J191+J190</f>
        <v>3208167.1052398304</v>
      </c>
      <c r="K192" s="895">
        <f t="shared" si="77"/>
        <v>106647.12903901468</v>
      </c>
      <c r="L192" s="895">
        <f t="shared" si="77"/>
        <v>2028935.4864518563</v>
      </c>
      <c r="M192" s="895">
        <f t="shared" si="77"/>
        <v>734.70248505586983</v>
      </c>
      <c r="N192" s="895">
        <f t="shared" si="77"/>
        <v>310963.08060439094</v>
      </c>
      <c r="O192" s="895">
        <f>+O191+O190</f>
        <v>30826.328324618848</v>
      </c>
      <c r="P192" s="895">
        <f t="shared" si="77"/>
        <v>5837.081802308624</v>
      </c>
      <c r="Q192" s="895">
        <f t="shared" si="77"/>
        <v>51208.099110821247</v>
      </c>
      <c r="R192" s="895">
        <f>+R191+R190</f>
        <v>3694.7283880045184</v>
      </c>
      <c r="S192" s="895">
        <f>+S191+S190</f>
        <v>16879.938554098564</v>
      </c>
      <c r="T192" s="20"/>
      <c r="U192" s="21">
        <f>SUM(I192:T192)</f>
        <v>5763893.6800000006</v>
      </c>
      <c r="V192" s="67"/>
      <c r="W192" s="67"/>
      <c r="X192" s="370">
        <f t="shared" si="61"/>
        <v>0</v>
      </c>
    </row>
    <row r="193" spans="1:24" ht="15.75" thickBot="1">
      <c r="A193" s="67"/>
      <c r="B193" s="17">
        <f t="shared" si="71"/>
        <v>16</v>
      </c>
      <c r="C193" s="8"/>
      <c r="D193" s="297"/>
      <c r="E193" s="20"/>
      <c r="F193" s="22"/>
      <c r="G193" s="20"/>
      <c r="H193" s="20"/>
      <c r="I193" s="20"/>
      <c r="J193" s="896"/>
      <c r="K193" s="896"/>
      <c r="L193" s="896"/>
      <c r="M193" s="896"/>
      <c r="N193" s="896"/>
      <c r="O193" s="896"/>
      <c r="P193" s="896"/>
      <c r="Q193" s="896"/>
      <c r="R193" s="896"/>
      <c r="S193" s="896"/>
      <c r="T193" s="20"/>
      <c r="U193" s="8"/>
      <c r="V193" s="67"/>
      <c r="W193" s="67"/>
      <c r="X193" s="370">
        <f t="shared" si="61"/>
        <v>0</v>
      </c>
    </row>
    <row r="194" spans="1:24" ht="15.75" thickBot="1">
      <c r="A194" s="67"/>
      <c r="B194" s="17">
        <f t="shared" si="71"/>
        <v>17</v>
      </c>
      <c r="C194" s="284" t="s">
        <v>552</v>
      </c>
      <c r="D194" s="285"/>
      <c r="E194" s="316" t="s">
        <v>90</v>
      </c>
      <c r="F194" s="255">
        <f>+F192+F188</f>
        <v>330131994.91000003</v>
      </c>
      <c r="G194" s="316"/>
      <c r="H194" s="444"/>
      <c r="I194" s="1061"/>
      <c r="J194" s="446">
        <f t="shared" si="78" ref="J194:Q194">+J192+J188</f>
        <v>183750545.2490347</v>
      </c>
      <c r="K194" s="903">
        <f t="shared" si="78"/>
        <v>6108306.5399419563</v>
      </c>
      <c r="L194" s="903">
        <f t="shared" si="78"/>
        <v>116209034.52994341</v>
      </c>
      <c r="M194" s="903">
        <f t="shared" si="78"/>
        <v>42080.720173316724</v>
      </c>
      <c r="N194" s="903">
        <f t="shared" si="78"/>
        <v>17810679.350228183</v>
      </c>
      <c r="O194" s="903">
        <f>+O192+O188</f>
        <v>1765604.6121858822</v>
      </c>
      <c r="P194" s="903">
        <f t="shared" si="78"/>
        <v>334323.90790542896</v>
      </c>
      <c r="Q194" s="903">
        <f t="shared" si="78"/>
        <v>2932988.159317404</v>
      </c>
      <c r="R194" s="903">
        <f>+R192+R188</f>
        <v>211618.76347839582</v>
      </c>
      <c r="S194" s="380">
        <f>+S192+S188</f>
        <v>966813.07779132738</v>
      </c>
      <c r="T194" s="444"/>
      <c r="U194" s="256">
        <f>SUM(I194:T194)</f>
        <v>330131994.90999997</v>
      </c>
      <c r="V194" s="67"/>
      <c r="W194" s="67"/>
      <c r="X194" s="370">
        <f t="shared" si="61"/>
        <v>0</v>
      </c>
    </row>
    <row r="195" spans="1:24" ht="14.2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370"/>
    </row>
    <row r="196" spans="1:24" ht="14.25">
      <c r="A196" s="67"/>
      <c r="B196" s="67"/>
      <c r="C196" s="67"/>
      <c r="D196" s="67"/>
      <c r="E196" s="67"/>
      <c r="F196" s="67"/>
      <c r="G196" s="67"/>
      <c r="H196" s="134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134"/>
      <c r="V196" s="134">
        <f>$H$2</f>
        <v>0</v>
      </c>
      <c r="W196" s="134"/>
      <c r="X196" s="370"/>
    </row>
    <row r="197" spans="1:24" ht="15" thickBo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370">
        <f t="shared" si="61"/>
        <v>0</v>
      </c>
    </row>
    <row r="198" spans="1:24" ht="15">
      <c r="A198" s="67"/>
      <c r="B198" s="920" t="str">
        <f>+$B$4</f>
        <v>2022 RATE CASE</v>
      </c>
      <c r="C198" s="935"/>
      <c r="D198" s="620"/>
      <c r="F198" s="12"/>
      <c r="U198" s="134"/>
      <c r="X198" s="370">
        <f t="shared" si="61"/>
        <v>0</v>
      </c>
    </row>
    <row r="199" spans="1:24" ht="15">
      <c r="A199" s="118"/>
      <c r="B199" s="917" t="str">
        <f>+$B$5</f>
        <v>ONCOR ELECTRIC DELIVERY COMPANY LLC</v>
      </c>
      <c r="C199" s="8"/>
      <c r="D199" s="621"/>
      <c r="F199" s="12"/>
      <c r="U199" s="134"/>
      <c r="V199" s="67"/>
      <c r="W199" s="67"/>
      <c r="X199" s="370">
        <f t="shared" si="61"/>
        <v>0</v>
      </c>
    </row>
    <row r="200" spans="1:24" ht="15">
      <c r="A200" s="67"/>
      <c r="B200" s="917" t="str">
        <f>+$B$6</f>
        <v>II-I-1-DIST:  CLASS REVENUE REQUIREMENT</v>
      </c>
      <c r="C200" s="85"/>
      <c r="D200" s="621"/>
      <c r="F200" s="12"/>
      <c r="U200" s="12"/>
      <c r="V200" s="67"/>
      <c r="W200" s="67"/>
      <c r="X200" s="370">
        <f t="shared" si="61"/>
        <v>0</v>
      </c>
    </row>
    <row r="201" spans="1:24" ht="15">
      <c r="A201" s="67"/>
      <c r="B201" s="406" t="str">
        <f>+$B$7</f>
        <v>TEST YEAR ENDING 12/31/2021</v>
      </c>
      <c r="C201" s="85"/>
      <c r="D201" s="621"/>
      <c r="F201" s="12"/>
      <c r="U201" s="12"/>
      <c r="V201" s="67"/>
      <c r="W201" s="67"/>
      <c r="X201" s="370">
        <f t="shared" si="61"/>
        <v>0</v>
      </c>
    </row>
    <row r="202" spans="1:24" ht="15">
      <c r="A202" s="67"/>
      <c r="B202" s="406" t="str">
        <f>+$B$8</f>
        <v>SPONSOR:  MATTHEW A. TROXLE</v>
      </c>
      <c r="C202" s="85"/>
      <c r="D202" s="621"/>
      <c r="F202" s="12"/>
      <c r="U202" s="12"/>
      <c r="V202" s="67"/>
      <c r="W202" s="67"/>
      <c r="X202" s="370">
        <f t="shared" si="61"/>
        <v>0</v>
      </c>
    </row>
    <row r="203" spans="1:24" ht="15.75" thickBot="1">
      <c r="A203" s="67"/>
      <c r="B203" s="410"/>
      <c r="C203" s="934"/>
      <c r="D203" s="622"/>
      <c r="F203" s="12"/>
      <c r="U203" s="12"/>
      <c r="V203" s="67"/>
      <c r="W203" s="67"/>
      <c r="X203" s="370">
        <f t="shared" si="61"/>
        <v>0</v>
      </c>
    </row>
    <row r="204" spans="1:24" ht="15" thickBot="1">
      <c r="A204" s="67"/>
      <c r="B204" s="13"/>
      <c r="C204" s="14"/>
      <c r="D204" s="14"/>
      <c r="E204" s="14"/>
      <c r="F204" s="13"/>
      <c r="G204" s="14"/>
      <c r="H204" s="14"/>
      <c r="I204" s="14"/>
      <c r="J204" s="238"/>
      <c r="K204" s="238"/>
      <c r="L204" s="14"/>
      <c r="M204" s="238"/>
      <c r="N204" s="238"/>
      <c r="O204" s="238"/>
      <c r="P204" s="238"/>
      <c r="Q204" s="14"/>
      <c r="R204" s="393" t="str">
        <f>R$10</f>
        <v xml:space="preserve"> </v>
      </c>
      <c r="S204" s="394"/>
      <c r="T204" s="238"/>
      <c r="U204" s="13"/>
      <c r="V204" s="67"/>
      <c r="W204" s="67"/>
      <c r="X204" s="370">
        <f t="shared" si="61"/>
        <v>0</v>
      </c>
    </row>
    <row r="205" spans="1:24" ht="15">
      <c r="A205" s="67"/>
      <c r="B205" s="15" t="s">
        <v>2</v>
      </c>
      <c r="C205" s="15" t="s">
        <v>370</v>
      </c>
      <c r="D205" s="287" t="s">
        <v>108</v>
      </c>
      <c r="E205" s="15" t="s">
        <v>371</v>
      </c>
      <c r="F205" s="287" t="str">
        <f>F$11</f>
        <v>DIST</v>
      </c>
      <c r="G205" s="242" t="s">
        <v>741</v>
      </c>
      <c r="H205" s="242" t="s">
        <v>376</v>
      </c>
      <c r="I205" s="15"/>
      <c r="J205" s="242" t="s">
        <v>730</v>
      </c>
      <c r="K205" s="242" t="s">
        <v>409</v>
      </c>
      <c r="L205" s="15" t="s">
        <v>409</v>
      </c>
      <c r="M205" s="242" t="s">
        <v>410</v>
      </c>
      <c r="N205" s="242" t="s">
        <v>410</v>
      </c>
      <c r="O205" s="242" t="s">
        <v>410</v>
      </c>
      <c r="P205" s="242" t="s">
        <v>411</v>
      </c>
      <c r="Q205" s="15" t="s">
        <v>412</v>
      </c>
      <c r="R205" s="396" t="str">
        <f>R$11</f>
        <v>Wholesale</v>
      </c>
      <c r="S205" s="13" t="str">
        <f>S$11</f>
        <v>Wholesale</v>
      </c>
      <c r="T205" s="242"/>
      <c r="U205" s="15" t="s">
        <v>10</v>
      </c>
      <c r="V205" s="67"/>
      <c r="W205" s="67"/>
      <c r="X205" s="370"/>
    </row>
    <row r="206" spans="1:24" ht="14.25">
      <c r="A206" s="67"/>
      <c r="B206" s="15"/>
      <c r="C206" s="15"/>
      <c r="D206" s="15"/>
      <c r="E206" s="15"/>
      <c r="F206" s="15"/>
      <c r="G206" s="242" t="s">
        <v>742</v>
      </c>
      <c r="H206" s="242" t="s">
        <v>743</v>
      </c>
      <c r="I206" s="15"/>
      <c r="J206" s="242"/>
      <c r="K206" s="242" t="s">
        <v>731</v>
      </c>
      <c r="L206" s="15" t="s">
        <v>732</v>
      </c>
      <c r="M206" s="242" t="s">
        <v>731</v>
      </c>
      <c r="N206" s="242" t="s">
        <v>732</v>
      </c>
      <c r="O206" s="242" t="s">
        <v>414</v>
      </c>
      <c r="P206" s="242"/>
      <c r="Q206" s="15"/>
      <c r="R206" s="235" t="str">
        <f>R$12</f>
        <v>XFMR</v>
      </c>
      <c r="S206" s="15" t="str">
        <f>S$12</f>
        <v>DLS</v>
      </c>
      <c r="T206" s="242"/>
      <c r="U206" s="15"/>
      <c r="V206" s="67"/>
      <c r="W206" s="67"/>
      <c r="X206" s="370">
        <f t="shared" si="61"/>
        <v>0</v>
      </c>
    </row>
    <row r="207" spans="1:24" ht="15" thickBot="1">
      <c r="A207" s="67"/>
      <c r="B207" s="16"/>
      <c r="C207" s="16"/>
      <c r="D207" s="16"/>
      <c r="E207" s="16"/>
      <c r="F207" s="16" t="s">
        <v>13</v>
      </c>
      <c r="G207" s="16" t="s">
        <v>14</v>
      </c>
      <c r="H207" s="16" t="s">
        <v>15</v>
      </c>
      <c r="I207" s="16"/>
      <c r="J207" s="243" t="str">
        <f t="shared" si="79" ref="J207:Q207">J$13</f>
        <v>(d)</v>
      </c>
      <c r="K207" s="243" t="str">
        <f t="shared" si="79"/>
        <v>(e)</v>
      </c>
      <c r="L207" s="16" t="str">
        <f t="shared" si="79"/>
        <v>(f)</v>
      </c>
      <c r="M207" s="243" t="str">
        <f t="shared" si="79"/>
        <v>(g)</v>
      </c>
      <c r="N207" s="243" t="str">
        <f t="shared" si="79"/>
        <v>(h)</v>
      </c>
      <c r="O207" s="243" t="str">
        <f>O$13</f>
        <v>(i)</v>
      </c>
      <c r="P207" s="243" t="str">
        <f t="shared" si="79"/>
        <v>(j)</v>
      </c>
      <c r="Q207" s="243" t="str">
        <f t="shared" si="79"/>
        <v>(k)</v>
      </c>
      <c r="R207" s="243" t="str">
        <f>R$13</f>
        <v>(l)</v>
      </c>
      <c r="S207" s="16" t="str">
        <f>S$13</f>
        <v>(m)</v>
      </c>
      <c r="T207" s="16"/>
      <c r="U207" s="16" t="s">
        <v>734</v>
      </c>
      <c r="V207" s="67"/>
      <c r="W207" s="67"/>
      <c r="X207" s="370"/>
    </row>
    <row r="208" spans="1:24" ht="14.25">
      <c r="A208" s="67"/>
      <c r="B208" s="67"/>
      <c r="C208" s="100"/>
      <c r="D208" s="100"/>
      <c r="E208" s="315"/>
      <c r="F208" s="100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1"/>
      <c r="V208" s="67"/>
      <c r="W208" s="67"/>
      <c r="X208" s="370">
        <f t="shared" si="61"/>
        <v>0</v>
      </c>
    </row>
    <row r="209" spans="1:24" ht="15">
      <c r="A209" s="67"/>
      <c r="B209" s="17">
        <f t="shared" si="80" ref="B209:B218">B208+1</f>
        <v>1</v>
      </c>
      <c r="C209" s="1" t="s">
        <v>107</v>
      </c>
      <c r="D209" s="1" t="s">
        <v>553</v>
      </c>
      <c r="E209" s="20" t="s">
        <v>109</v>
      </c>
      <c r="F209" s="121">
        <f>' WP II-I-1.4'!G209</f>
        <v>61337953.159999996</v>
      </c>
      <c r="G209" s="17">
        <v>61</v>
      </c>
      <c r="H209" s="1" t="str">
        <f>VLOOKUP(G209,FactorTable,2)</f>
        <v>PLTOPER_N</v>
      </c>
      <c r="I209" s="1059"/>
      <c r="J209" s="435">
        <f t="shared" si="81" ref="J209:S209">$F209*HLOOKUP(J$1318,FactorTable,$G209+1)</f>
        <v>34140533.21515353</v>
      </c>
      <c r="K209" s="435">
        <f t="shared" si="81"/>
        <v>1134912.7809802969</v>
      </c>
      <c r="L209" s="435">
        <f t="shared" si="81"/>
        <v>21591437.445224665</v>
      </c>
      <c r="M209" s="435">
        <f t="shared" si="81"/>
        <v>7818.5249619129936</v>
      </c>
      <c r="N209" s="435">
        <f t="shared" si="81"/>
        <v>3309193.3910553041</v>
      </c>
      <c r="O209" s="435">
        <f t="shared" si="81"/>
        <v>328046.28049111622</v>
      </c>
      <c r="P209" s="435">
        <f t="shared" si="81"/>
        <v>62116.803337894802</v>
      </c>
      <c r="Q209" s="435">
        <f t="shared" si="81"/>
        <v>544944.12268065836</v>
      </c>
      <c r="R209" s="435">
        <f t="shared" si="81"/>
        <v>39318.399919261428</v>
      </c>
      <c r="S209" s="435">
        <f t="shared" si="81"/>
        <v>179632.1961953635</v>
      </c>
      <c r="T209" s="1010"/>
      <c r="U209" s="118">
        <f>SUM(I209:T209)</f>
        <v>61337953.159999996</v>
      </c>
      <c r="V209" s="67"/>
      <c r="W209" s="67"/>
      <c r="X209" s="370">
        <f t="shared" si="61"/>
        <v>0</v>
      </c>
    </row>
    <row r="210" spans="1:24" ht="15">
      <c r="A210" s="67"/>
      <c r="B210" s="17">
        <f t="shared" si="80"/>
        <v>2</v>
      </c>
      <c r="C210" s="8"/>
      <c r="D210" s="297" t="s">
        <v>491</v>
      </c>
      <c r="E210" s="20"/>
      <c r="F210" s="22">
        <f>+F209</f>
        <v>61337953.159999996</v>
      </c>
      <c r="G210" s="20"/>
      <c r="H210" s="20"/>
      <c r="I210" s="20"/>
      <c r="J210" s="22">
        <f t="shared" si="82" ref="J210:Q210">+J209</f>
        <v>34140533.21515353</v>
      </c>
      <c r="K210" s="22">
        <f t="shared" si="82"/>
        <v>1134912.7809802969</v>
      </c>
      <c r="L210" s="22">
        <f t="shared" si="82"/>
        <v>21591437.445224665</v>
      </c>
      <c r="M210" s="22">
        <f t="shared" si="82"/>
        <v>7818.5249619129936</v>
      </c>
      <c r="N210" s="22">
        <f t="shared" si="82"/>
        <v>3309193.3910553041</v>
      </c>
      <c r="O210" s="22">
        <f>+O209</f>
        <v>328046.28049111622</v>
      </c>
      <c r="P210" s="22">
        <f t="shared" si="82"/>
        <v>62116.803337894802</v>
      </c>
      <c r="Q210" s="22">
        <f t="shared" si="82"/>
        <v>544944.12268065836</v>
      </c>
      <c r="R210" s="22">
        <f>+R209</f>
        <v>39318.399919261428</v>
      </c>
      <c r="S210" s="22">
        <f>+S209</f>
        <v>179632.1961953635</v>
      </c>
      <c r="T210" s="20"/>
      <c r="U210" s="299">
        <f>SUM(I210:T210)</f>
        <v>61337953.159999996</v>
      </c>
      <c r="V210" s="67"/>
      <c r="W210" s="67"/>
      <c r="X210" s="370">
        <f t="shared" si="61"/>
        <v>0</v>
      </c>
    </row>
    <row r="211" spans="1:24" ht="15.75" thickBot="1">
      <c r="A211" s="67"/>
      <c r="B211" s="17">
        <f t="shared" si="80"/>
        <v>3</v>
      </c>
      <c r="C211" s="1"/>
      <c r="D211" s="297"/>
      <c r="E211" s="17"/>
      <c r="F211" s="19"/>
      <c r="G211" s="17"/>
      <c r="H211" s="17"/>
      <c r="I211" s="17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7"/>
      <c r="U211" s="1"/>
      <c r="V211" s="67"/>
      <c r="W211" s="67"/>
      <c r="X211" s="370">
        <f t="shared" si="61"/>
        <v>0</v>
      </c>
    </row>
    <row r="212" spans="1:24" ht="15.75" thickBot="1">
      <c r="A212" s="67"/>
      <c r="B212" s="17">
        <f t="shared" si="80"/>
        <v>4</v>
      </c>
      <c r="C212" s="284" t="s">
        <v>554</v>
      </c>
      <c r="D212" s="285"/>
      <c r="E212" s="316"/>
      <c r="F212" s="317">
        <f>+F210</f>
        <v>61337953.159999996</v>
      </c>
      <c r="G212" s="316"/>
      <c r="H212" s="444"/>
      <c r="I212" s="1061"/>
      <c r="J212" s="447">
        <f t="shared" si="83" ref="J212:Q212">+J210</f>
        <v>34140533.21515353</v>
      </c>
      <c r="K212" s="317">
        <f t="shared" si="83"/>
        <v>1134912.7809802969</v>
      </c>
      <c r="L212" s="317">
        <f t="shared" si="83"/>
        <v>21591437.445224665</v>
      </c>
      <c r="M212" s="317">
        <f t="shared" si="83"/>
        <v>7818.5249619129936</v>
      </c>
      <c r="N212" s="317">
        <f t="shared" si="83"/>
        <v>3309193.3910553041</v>
      </c>
      <c r="O212" s="317">
        <f>+O210</f>
        <v>328046.28049111622</v>
      </c>
      <c r="P212" s="317">
        <f t="shared" si="83"/>
        <v>62116.803337894802</v>
      </c>
      <c r="Q212" s="317">
        <f t="shared" si="83"/>
        <v>544944.12268065836</v>
      </c>
      <c r="R212" s="317">
        <f>+R210</f>
        <v>39318.399919261428</v>
      </c>
      <c r="S212" s="256">
        <f>+S210</f>
        <v>179632.1961953635</v>
      </c>
      <c r="T212" s="444"/>
      <c r="U212" s="256">
        <f>SUM(I212:T212)</f>
        <v>61337953.159999996</v>
      </c>
      <c r="V212" s="67"/>
      <c r="W212" s="67"/>
      <c r="X212" s="370">
        <f t="shared" si="61"/>
        <v>0</v>
      </c>
    </row>
    <row r="213" spans="1:24" ht="15" thickBot="1">
      <c r="A213" s="67"/>
      <c r="B213" s="17">
        <f t="shared" si="80"/>
        <v>5</v>
      </c>
      <c r="C213" s="12"/>
      <c r="D213" s="12"/>
      <c r="E213" s="11"/>
      <c r="F213" s="12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U213" s="12"/>
      <c r="V213" s="67"/>
      <c r="W213" s="67"/>
      <c r="X213" s="370">
        <f t="shared" si="84" ref="X213:X276">U213-F213</f>
        <v>0</v>
      </c>
    </row>
    <row r="214" spans="1:24" ht="15.75" thickBot="1">
      <c r="A214" s="67"/>
      <c r="B214" s="17">
        <f t="shared" si="80"/>
        <v>6</v>
      </c>
      <c r="C214" s="284" t="s">
        <v>555</v>
      </c>
      <c r="D214" s="285"/>
      <c r="E214" s="316" t="s">
        <v>556</v>
      </c>
      <c r="F214" s="317">
        <f>+F194+F212</f>
        <v>391469948.07000005</v>
      </c>
      <c r="G214" s="316"/>
      <c r="H214" s="444"/>
      <c r="I214" s="1061"/>
      <c r="J214" s="447">
        <f t="shared" si="85" ref="J214:Q214">+J194+J212</f>
        <v>217891078.46418822</v>
      </c>
      <c r="K214" s="317">
        <f t="shared" si="85"/>
        <v>7243219.3209222537</v>
      </c>
      <c r="L214" s="317">
        <f t="shared" si="85"/>
        <v>137800471.97516808</v>
      </c>
      <c r="M214" s="317">
        <f t="shared" si="85"/>
        <v>49899.245135229721</v>
      </c>
      <c r="N214" s="317">
        <f t="shared" si="85"/>
        <v>21119872.741283488</v>
      </c>
      <c r="O214" s="317">
        <f>+O194+O212</f>
        <v>2093650.8926769984</v>
      </c>
      <c r="P214" s="317">
        <f t="shared" si="85"/>
        <v>396440.71124332375</v>
      </c>
      <c r="Q214" s="317">
        <f t="shared" si="85"/>
        <v>3477932.2819980625</v>
      </c>
      <c r="R214" s="317">
        <f>+R194+R212</f>
        <v>250937.16339765725</v>
      </c>
      <c r="S214" s="256">
        <f>+S194+S212</f>
        <v>1146445.2739866909</v>
      </c>
      <c r="T214" s="444"/>
      <c r="U214" s="256">
        <f>SUM(I214:T214)</f>
        <v>391469948.07000005</v>
      </c>
      <c r="V214" s="67"/>
      <c r="W214" s="67"/>
      <c r="X214" s="370">
        <f t="shared" si="84"/>
        <v>0</v>
      </c>
    </row>
    <row r="215" spans="1:24" ht="15" thickBot="1">
      <c r="A215" s="67"/>
      <c r="B215" s="17">
        <f t="shared" si="80"/>
        <v>7</v>
      </c>
      <c r="C215" s="12"/>
      <c r="D215" s="12"/>
      <c r="E215" s="11"/>
      <c r="F215" s="12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U215" s="12"/>
      <c r="V215" s="67"/>
      <c r="W215" s="67"/>
      <c r="X215" s="370">
        <f t="shared" si="84"/>
        <v>0</v>
      </c>
    </row>
    <row r="216" spans="1:24" ht="15.75" thickBot="1">
      <c r="A216" s="67"/>
      <c r="B216" s="17">
        <f t="shared" si="80"/>
        <v>8</v>
      </c>
      <c r="C216" s="284" t="s">
        <v>557</v>
      </c>
      <c r="D216" s="285"/>
      <c r="E216" s="316" t="s">
        <v>558</v>
      </c>
      <c r="F216" s="255">
        <f>+F214+F162</f>
        <v>15715483704.599999</v>
      </c>
      <c r="G216" s="316"/>
      <c r="H216" s="444"/>
      <c r="I216" s="1061"/>
      <c r="J216" s="446">
        <f t="shared" si="86" ref="J216:Q216">+J214+J162</f>
        <v>8561247383.6987848</v>
      </c>
      <c r="K216" s="903">
        <f t="shared" si="86"/>
        <v>346158106.61723006</v>
      </c>
      <c r="L216" s="903">
        <f t="shared" si="86"/>
        <v>5334516840.2135668</v>
      </c>
      <c r="M216" s="903">
        <f t="shared" si="86"/>
        <v>1846087.8496014741</v>
      </c>
      <c r="N216" s="903">
        <f t="shared" si="86"/>
        <v>781357320.07869232</v>
      </c>
      <c r="O216" s="903">
        <f>+O214+O162</f>
        <v>71549130.302826941</v>
      </c>
      <c r="P216" s="903">
        <f t="shared" si="86"/>
        <v>14161619.090890221</v>
      </c>
      <c r="Q216" s="903">
        <f t="shared" si="86"/>
        <v>553657363.02774954</v>
      </c>
      <c r="R216" s="903">
        <f>+R214+R162</f>
        <v>8575611.084235657</v>
      </c>
      <c r="S216" s="380">
        <f>+S214+S162</f>
        <v>42414242.636420585</v>
      </c>
      <c r="T216" s="444"/>
      <c r="U216" s="256">
        <f>SUM(I216:T216)</f>
        <v>15715483704.600002</v>
      </c>
      <c r="V216" s="67"/>
      <c r="W216" s="67"/>
      <c r="X216" s="370">
        <f t="shared" si="84"/>
        <v>0</v>
      </c>
    </row>
    <row r="217" spans="1:24" ht="15.75" thickBot="1">
      <c r="A217" s="67"/>
      <c r="B217" s="17">
        <f t="shared" si="80"/>
        <v>9</v>
      </c>
      <c r="C217" s="8"/>
      <c r="D217" s="1"/>
      <c r="E217" s="17"/>
      <c r="F217" s="1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7"/>
      <c r="U217" s="1"/>
      <c r="V217" s="67"/>
      <c r="W217" s="67"/>
      <c r="X217" s="370">
        <f t="shared" si="84"/>
        <v>0</v>
      </c>
    </row>
    <row r="218" spans="1:24" ht="15.75" thickBot="1">
      <c r="A218" s="67"/>
      <c r="B218" s="17">
        <f t="shared" si="80"/>
        <v>10</v>
      </c>
      <c r="C218" s="284" t="s">
        <v>559</v>
      </c>
      <c r="D218" s="285"/>
      <c r="E218" s="316" t="s">
        <v>558</v>
      </c>
      <c r="F218" s="255">
        <f>+F214+F163</f>
        <v>15392150331.779999</v>
      </c>
      <c r="G218" s="316"/>
      <c r="H218" s="444"/>
      <c r="I218" s="1061"/>
      <c r="J218" s="446">
        <f t="shared" si="87" ref="J218:Q218">+J214+J163</f>
        <v>8381280932.4946795</v>
      </c>
      <c r="K218" s="903">
        <f t="shared" si="87"/>
        <v>340175592.39192355</v>
      </c>
      <c r="L218" s="903">
        <f t="shared" si="87"/>
        <v>5220700973.6327896</v>
      </c>
      <c r="M218" s="903">
        <f t="shared" si="87"/>
        <v>1804873.7249661374</v>
      </c>
      <c r="N218" s="903">
        <f t="shared" si="87"/>
        <v>763913427.58928144</v>
      </c>
      <c r="O218" s="903">
        <f>+O214+O163</f>
        <v>69819885.930495679</v>
      </c>
      <c r="P218" s="903">
        <f t="shared" si="87"/>
        <v>13834180.131855382</v>
      </c>
      <c r="Q218" s="903">
        <f t="shared" si="87"/>
        <v>550784775.79411364</v>
      </c>
      <c r="R218" s="903">
        <f>+R214+R163</f>
        <v>8368350.3230782272</v>
      </c>
      <c r="S218" s="380">
        <f>+S214+S163</f>
        <v>41467339.766815424</v>
      </c>
      <c r="T218" s="444"/>
      <c r="U218" s="256">
        <f>SUM(I218:T218)</f>
        <v>15392150331.779997</v>
      </c>
      <c r="V218" s="67"/>
      <c r="W218" s="67"/>
      <c r="X218" s="370">
        <f t="shared" si="84"/>
        <v>0</v>
      </c>
    </row>
    <row r="219" spans="1:24" ht="14.2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370">
        <f t="shared" si="84"/>
        <v>0</v>
      </c>
    </row>
    <row r="220" spans="1:24" ht="14.25">
      <c r="A220" s="67"/>
      <c r="B220" s="67"/>
      <c r="C220" s="67"/>
      <c r="D220" s="67"/>
      <c r="E220" s="67"/>
      <c r="F220" s="67"/>
      <c r="G220" s="67"/>
      <c r="H220" s="134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134"/>
      <c r="V220" s="134">
        <f>$H$2</f>
        <v>0</v>
      </c>
      <c r="W220" s="134"/>
      <c r="X220" s="370"/>
    </row>
    <row r="221" spans="1:24" ht="15" thickBo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370">
        <f t="shared" si="84"/>
        <v>0</v>
      </c>
    </row>
    <row r="222" spans="1:24" ht="15">
      <c r="A222" s="67"/>
      <c r="B222" s="920" t="str">
        <f>+$B$4</f>
        <v>2022 RATE CASE</v>
      </c>
      <c r="C222" s="935"/>
      <c r="D222" s="620"/>
      <c r="F222" s="12"/>
      <c r="U222" s="134"/>
      <c r="X222" s="370">
        <f t="shared" si="84"/>
        <v>0</v>
      </c>
    </row>
    <row r="223" spans="1:24" ht="15">
      <c r="A223" s="67"/>
      <c r="B223" s="917" t="str">
        <f>+$B$5</f>
        <v>ONCOR ELECTRIC DELIVERY COMPANY LLC</v>
      </c>
      <c r="C223" s="8"/>
      <c r="D223" s="621"/>
      <c r="F223" s="12"/>
      <c r="U223" s="134"/>
      <c r="V223" s="67"/>
      <c r="W223" s="67"/>
      <c r="X223" s="370">
        <f t="shared" si="84"/>
        <v>0</v>
      </c>
    </row>
    <row r="224" spans="1:24" ht="15">
      <c r="A224" s="67"/>
      <c r="B224" s="917" t="str">
        <f>+$B$6</f>
        <v>II-I-1-DIST:  CLASS REVENUE REQUIREMENT</v>
      </c>
      <c r="C224" s="85"/>
      <c r="D224" s="621"/>
      <c r="F224" s="12"/>
      <c r="U224" s="12"/>
      <c r="V224" s="67"/>
      <c r="W224" s="67"/>
      <c r="X224" s="370">
        <f t="shared" si="84"/>
        <v>0</v>
      </c>
    </row>
    <row r="225" spans="1:24" ht="15">
      <c r="A225" s="67"/>
      <c r="B225" s="406" t="str">
        <f>+$B$7</f>
        <v>TEST YEAR ENDING 12/31/2021</v>
      </c>
      <c r="C225" s="85"/>
      <c r="D225" s="621"/>
      <c r="F225" s="12"/>
      <c r="U225" s="12"/>
      <c r="V225" s="67"/>
      <c r="W225" s="67"/>
      <c r="X225" s="370">
        <f t="shared" si="84"/>
        <v>0</v>
      </c>
    </row>
    <row r="226" spans="1:24" ht="15">
      <c r="A226" s="67"/>
      <c r="B226" s="406" t="str">
        <f>+$B$8</f>
        <v>SPONSOR:  MATTHEW A. TROXLE</v>
      </c>
      <c r="C226" s="85"/>
      <c r="D226" s="621"/>
      <c r="F226" s="12"/>
      <c r="U226" s="12"/>
      <c r="V226" s="67"/>
      <c r="W226" s="67"/>
      <c r="X226" s="370">
        <f t="shared" si="84"/>
        <v>0</v>
      </c>
    </row>
    <row r="227" spans="1:24" ht="15.75" thickBot="1">
      <c r="A227" s="67"/>
      <c r="B227" s="410"/>
      <c r="C227" s="934"/>
      <c r="D227" s="622"/>
      <c r="F227" s="12"/>
      <c r="U227" s="12"/>
      <c r="V227" s="67"/>
      <c r="W227" s="67"/>
      <c r="X227" s="370">
        <f t="shared" si="84"/>
        <v>0</v>
      </c>
    </row>
    <row r="228" spans="1:24" ht="15" thickBot="1">
      <c r="A228" s="67"/>
      <c r="B228" s="13"/>
      <c r="C228" s="14"/>
      <c r="D228" s="14"/>
      <c r="E228" s="14"/>
      <c r="F228" s="13"/>
      <c r="G228" s="14"/>
      <c r="H228" s="14"/>
      <c r="I228" s="14"/>
      <c r="J228" s="238"/>
      <c r="K228" s="238"/>
      <c r="L228" s="14"/>
      <c r="M228" s="238"/>
      <c r="N228" s="238"/>
      <c r="O228" s="238"/>
      <c r="P228" s="238"/>
      <c r="Q228" s="14"/>
      <c r="R228" s="393" t="str">
        <f>R$10</f>
        <v xml:space="preserve"> </v>
      </c>
      <c r="S228" s="394"/>
      <c r="T228" s="238"/>
      <c r="U228" s="13"/>
      <c r="V228" s="67"/>
      <c r="W228" s="67"/>
      <c r="X228" s="370">
        <f t="shared" si="84"/>
        <v>0</v>
      </c>
    </row>
    <row r="229" spans="1:24" ht="15">
      <c r="A229" s="67"/>
      <c r="B229" s="15" t="s">
        <v>2</v>
      </c>
      <c r="C229" s="15" t="s">
        <v>370</v>
      </c>
      <c r="D229" s="287" t="s">
        <v>560</v>
      </c>
      <c r="E229" s="15" t="s">
        <v>371</v>
      </c>
      <c r="F229" s="287" t="str">
        <f>F$11</f>
        <v>DIST</v>
      </c>
      <c r="G229" s="242" t="s">
        <v>741</v>
      </c>
      <c r="H229" s="242" t="s">
        <v>376</v>
      </c>
      <c r="I229" s="15"/>
      <c r="J229" s="242" t="s">
        <v>730</v>
      </c>
      <c r="K229" s="242" t="s">
        <v>409</v>
      </c>
      <c r="L229" s="15" t="s">
        <v>409</v>
      </c>
      <c r="M229" s="242" t="s">
        <v>410</v>
      </c>
      <c r="N229" s="242" t="s">
        <v>410</v>
      </c>
      <c r="O229" s="242" t="s">
        <v>410</v>
      </c>
      <c r="P229" s="242" t="s">
        <v>411</v>
      </c>
      <c r="Q229" s="15" t="s">
        <v>412</v>
      </c>
      <c r="R229" s="396" t="str">
        <f>R$11</f>
        <v>Wholesale</v>
      </c>
      <c r="S229" s="13" t="str">
        <f>S$11</f>
        <v>Wholesale</v>
      </c>
      <c r="T229" s="242"/>
      <c r="U229" s="15" t="s">
        <v>10</v>
      </c>
      <c r="V229" s="67"/>
      <c r="W229" s="67"/>
      <c r="X229" s="370"/>
    </row>
    <row r="230" spans="1:24" ht="14.25">
      <c r="A230" s="67"/>
      <c r="B230" s="15"/>
      <c r="C230" s="15"/>
      <c r="D230" s="15"/>
      <c r="E230" s="15"/>
      <c r="F230" s="15"/>
      <c r="G230" s="242" t="s">
        <v>742</v>
      </c>
      <c r="H230" s="242" t="s">
        <v>743</v>
      </c>
      <c r="I230" s="15"/>
      <c r="J230" s="242"/>
      <c r="K230" s="242" t="s">
        <v>731</v>
      </c>
      <c r="L230" s="15" t="s">
        <v>732</v>
      </c>
      <c r="M230" s="242" t="s">
        <v>731</v>
      </c>
      <c r="N230" s="242" t="s">
        <v>732</v>
      </c>
      <c r="O230" s="242" t="s">
        <v>414</v>
      </c>
      <c r="P230" s="242"/>
      <c r="Q230" s="15"/>
      <c r="R230" s="235" t="str">
        <f>R$12</f>
        <v>XFMR</v>
      </c>
      <c r="S230" s="15" t="str">
        <f>S$12</f>
        <v>DLS</v>
      </c>
      <c r="T230" s="242"/>
      <c r="U230" s="15"/>
      <c r="V230" s="67"/>
      <c r="W230" s="67"/>
      <c r="X230" s="370">
        <f t="shared" si="84"/>
        <v>0</v>
      </c>
    </row>
    <row r="231" spans="1:24" ht="15" thickBot="1">
      <c r="A231" s="67"/>
      <c r="B231" s="16"/>
      <c r="C231" s="16"/>
      <c r="D231" s="16"/>
      <c r="E231" s="16"/>
      <c r="F231" s="16" t="s">
        <v>13</v>
      </c>
      <c r="G231" s="16" t="s">
        <v>14</v>
      </c>
      <c r="H231" s="16" t="s">
        <v>15</v>
      </c>
      <c r="I231" s="16"/>
      <c r="J231" s="243" t="str">
        <f t="shared" si="88" ref="J231:Q231">J$13</f>
        <v>(d)</v>
      </c>
      <c r="K231" s="243" t="str">
        <f t="shared" si="88"/>
        <v>(e)</v>
      </c>
      <c r="L231" s="16" t="str">
        <f t="shared" si="88"/>
        <v>(f)</v>
      </c>
      <c r="M231" s="243" t="str">
        <f t="shared" si="88"/>
        <v>(g)</v>
      </c>
      <c r="N231" s="243" t="str">
        <f t="shared" si="88"/>
        <v>(h)</v>
      </c>
      <c r="O231" s="243" t="str">
        <f>O$13</f>
        <v>(i)</v>
      </c>
      <c r="P231" s="243" t="str">
        <f t="shared" si="88"/>
        <v>(j)</v>
      </c>
      <c r="Q231" s="243" t="str">
        <f t="shared" si="88"/>
        <v>(k)</v>
      </c>
      <c r="R231" s="243" t="str">
        <f>R$13</f>
        <v>(l)</v>
      </c>
      <c r="S231" s="16" t="str">
        <f>S$13</f>
        <v>(m)</v>
      </c>
      <c r="T231" s="16"/>
      <c r="U231" s="16" t="s">
        <v>734</v>
      </c>
      <c r="V231" s="67"/>
      <c r="W231" s="67"/>
      <c r="X231" s="370"/>
    </row>
    <row r="232" spans="1:24" ht="14.25">
      <c r="A232" s="67"/>
      <c r="B232" s="67"/>
      <c r="C232" s="100"/>
      <c r="D232" s="100"/>
      <c r="E232" s="315"/>
      <c r="F232" s="100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1"/>
      <c r="V232" s="67"/>
      <c r="W232" s="67"/>
      <c r="X232" s="370">
        <f t="shared" si="84"/>
        <v>0</v>
      </c>
    </row>
    <row r="233" spans="1:24" ht="15">
      <c r="A233" s="67"/>
      <c r="B233" s="17">
        <f>B232+1</f>
        <v>1</v>
      </c>
      <c r="C233" s="8"/>
      <c r="D233" s="8" t="s">
        <v>560</v>
      </c>
      <c r="E233" s="20"/>
      <c r="F233" s="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1010"/>
      <c r="U233" s="8"/>
      <c r="V233" s="67"/>
      <c r="W233" s="67"/>
      <c r="X233" s="370">
        <f t="shared" si="84"/>
        <v>0</v>
      </c>
    </row>
    <row r="234" spans="1:24" ht="14.25">
      <c r="A234" s="67"/>
      <c r="B234" s="17">
        <f>B233+1</f>
        <v>2</v>
      </c>
      <c r="C234" s="1" t="s">
        <v>561</v>
      </c>
      <c r="D234" s="1" t="s">
        <v>116</v>
      </c>
      <c r="E234" s="17"/>
      <c r="F234" s="118">
        <f>' WP II-I-1.4'!G234</f>
        <v>0</v>
      </c>
      <c r="G234" s="40">
        <v>28</v>
      </c>
      <c r="H234" s="47" t="str">
        <f>VLOOKUP(G234,FactorTable,2)</f>
        <v>NCP XHV</v>
      </c>
      <c r="I234" s="17"/>
      <c r="J234" s="435">
        <f t="shared" si="89" ref="J234:S234">$F234*HLOOKUP(J$1318,FactorTable,$G234+1)</f>
        <v>0</v>
      </c>
      <c r="K234" s="435">
        <f t="shared" si="89"/>
        <v>0</v>
      </c>
      <c r="L234" s="435">
        <f t="shared" si="89"/>
        <v>0</v>
      </c>
      <c r="M234" s="435">
        <f t="shared" si="89"/>
        <v>0</v>
      </c>
      <c r="N234" s="435">
        <f t="shared" si="89"/>
        <v>0</v>
      </c>
      <c r="O234" s="435">
        <f t="shared" si="89"/>
        <v>0</v>
      </c>
      <c r="P234" s="435">
        <f t="shared" si="89"/>
        <v>0</v>
      </c>
      <c r="Q234" s="435">
        <f t="shared" si="89"/>
        <v>0</v>
      </c>
      <c r="R234" s="435">
        <f t="shared" si="89"/>
        <v>0</v>
      </c>
      <c r="S234" s="435">
        <f t="shared" si="89"/>
        <v>0</v>
      </c>
      <c r="T234" s="17"/>
      <c r="U234" s="118">
        <f>SUM(I234:T234)</f>
        <v>0</v>
      </c>
      <c r="V234" s="67"/>
      <c r="W234" s="67"/>
      <c r="X234" s="370">
        <f t="shared" si="84"/>
        <v>0</v>
      </c>
    </row>
    <row r="235" spans="1:24" ht="15">
      <c r="A235" s="67"/>
      <c r="B235" s="17">
        <f>B234+1</f>
        <v>3</v>
      </c>
      <c r="C235" s="1"/>
      <c r="D235" s="297" t="s">
        <v>491</v>
      </c>
      <c r="E235" s="20"/>
      <c r="F235" s="22">
        <f>+F234</f>
        <v>0</v>
      </c>
      <c r="G235" s="20"/>
      <c r="H235" s="20"/>
      <c r="I235" s="20"/>
      <c r="J235" s="896">
        <f t="shared" si="90" ref="J235:Q235">+J234</f>
        <v>0</v>
      </c>
      <c r="K235" s="896">
        <f t="shared" si="90"/>
        <v>0</v>
      </c>
      <c r="L235" s="896">
        <f t="shared" si="90"/>
        <v>0</v>
      </c>
      <c r="M235" s="896">
        <f t="shared" si="90"/>
        <v>0</v>
      </c>
      <c r="N235" s="896">
        <f t="shared" si="90"/>
        <v>0</v>
      </c>
      <c r="O235" s="896">
        <f>+O234</f>
        <v>0</v>
      </c>
      <c r="P235" s="896">
        <f t="shared" si="90"/>
        <v>0</v>
      </c>
      <c r="Q235" s="896">
        <f t="shared" si="90"/>
        <v>0</v>
      </c>
      <c r="R235" s="896">
        <f>+R234</f>
        <v>0</v>
      </c>
      <c r="S235" s="896">
        <f>+S234</f>
        <v>0</v>
      </c>
      <c r="T235" s="1010"/>
      <c r="U235" s="299">
        <f>SUM(I235:T235)</f>
        <v>0</v>
      </c>
      <c r="V235" s="67"/>
      <c r="W235" s="67"/>
      <c r="X235" s="370">
        <f t="shared" si="84"/>
        <v>0</v>
      </c>
    </row>
    <row r="236" spans="1:24" ht="15.75" thickBot="1">
      <c r="A236" s="67"/>
      <c r="B236" s="17">
        <f>B235+1</f>
        <v>4</v>
      </c>
      <c r="C236" s="1"/>
      <c r="D236" s="1"/>
      <c r="E236" s="20"/>
      <c r="F236" s="19"/>
      <c r="G236" s="20"/>
      <c r="H236" s="20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  <c r="U236" s="8"/>
      <c r="V236" s="67"/>
      <c r="W236" s="67"/>
      <c r="X236" s="370">
        <f t="shared" si="84"/>
        <v>0</v>
      </c>
    </row>
    <row r="237" spans="1:24" ht="15.75" thickBot="1">
      <c r="A237" s="67"/>
      <c r="B237" s="17">
        <f>B236+1</f>
        <v>5</v>
      </c>
      <c r="C237" s="284" t="s">
        <v>562</v>
      </c>
      <c r="D237" s="285"/>
      <c r="E237" s="316" t="s">
        <v>117</v>
      </c>
      <c r="F237" s="255"/>
      <c r="G237" s="316"/>
      <c r="H237" s="444"/>
      <c r="I237" s="445"/>
      <c r="J237" s="446"/>
      <c r="K237" s="903"/>
      <c r="L237" s="903"/>
      <c r="M237" s="903"/>
      <c r="N237" s="903"/>
      <c r="O237" s="903"/>
      <c r="P237" s="903"/>
      <c r="Q237" s="903"/>
      <c r="R237" s="903"/>
      <c r="S237" s="380"/>
      <c r="T237" s="445"/>
      <c r="U237" s="256"/>
      <c r="V237" s="67"/>
      <c r="W237" s="67"/>
      <c r="X237" s="370">
        <f t="shared" si="84"/>
        <v>0</v>
      </c>
    </row>
    <row r="238" spans="1:24" ht="15" thickBo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370">
        <f t="shared" si="84"/>
        <v>0</v>
      </c>
    </row>
    <row r="239" spans="1:24" ht="15">
      <c r="A239" s="67"/>
      <c r="B239" s="920" t="str">
        <f>+$B$4</f>
        <v>2022 RATE CASE</v>
      </c>
      <c r="C239" s="935"/>
      <c r="D239" s="965"/>
      <c r="E239" s="67"/>
      <c r="F239" s="67"/>
      <c r="G239" s="67"/>
      <c r="H239" s="134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134"/>
      <c r="V239" s="134">
        <f>$H$2</f>
        <v>0</v>
      </c>
      <c r="W239" s="134"/>
      <c r="X239" s="370"/>
    </row>
    <row r="240" spans="1:24" ht="15">
      <c r="A240" s="118"/>
      <c r="B240" s="917" t="str">
        <f>+$B$5</f>
        <v>ONCOR ELECTRIC DELIVERY COMPANY LLC</v>
      </c>
      <c r="C240" s="8"/>
      <c r="D240" s="966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134"/>
      <c r="V240" s="67"/>
      <c r="W240" s="67"/>
      <c r="X240" s="370">
        <f t="shared" si="84"/>
        <v>0</v>
      </c>
    </row>
    <row r="241" spans="1:24" ht="15">
      <c r="A241" s="67"/>
      <c r="B241" s="917" t="str">
        <f>+$B$6</f>
        <v>II-I-1-DIST:  CLASS REVENUE REQUIREMENT</v>
      </c>
      <c r="C241" s="85"/>
      <c r="D241" s="921"/>
      <c r="E241" s="67"/>
      <c r="F241" s="12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12"/>
      <c r="V241" s="67"/>
      <c r="W241" s="67"/>
      <c r="X241" s="370">
        <f t="shared" si="84"/>
        <v>0</v>
      </c>
    </row>
    <row r="242" spans="1:24" ht="15">
      <c r="A242" s="67"/>
      <c r="B242" s="406" t="str">
        <f>+$B$7</f>
        <v>TEST YEAR ENDING 12/31/2021</v>
      </c>
      <c r="C242" s="85"/>
      <c r="D242" s="921"/>
      <c r="E242" s="67"/>
      <c r="F242" s="12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12"/>
      <c r="V242" s="67"/>
      <c r="W242" s="67"/>
      <c r="X242" s="370">
        <f t="shared" si="84"/>
        <v>0</v>
      </c>
    </row>
    <row r="243" spans="1:24" ht="15">
      <c r="A243" s="67"/>
      <c r="B243" s="406" t="str">
        <f>+$B$8</f>
        <v>SPONSOR:  MATTHEW A. TROXLE</v>
      </c>
      <c r="C243" s="85"/>
      <c r="D243" s="921"/>
      <c r="E243" s="67"/>
      <c r="F243" s="12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12"/>
      <c r="V243" s="67"/>
      <c r="W243" s="67"/>
      <c r="X243" s="370">
        <f t="shared" si="84"/>
        <v>0</v>
      </c>
    </row>
    <row r="244" spans="1:24" ht="15.75" thickBot="1">
      <c r="A244" s="67"/>
      <c r="B244" s="410"/>
      <c r="C244" s="934"/>
      <c r="D244" s="930"/>
      <c r="E244" s="67"/>
      <c r="F244" s="12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12"/>
      <c r="V244" s="67"/>
      <c r="W244" s="67"/>
      <c r="X244" s="370">
        <f t="shared" si="84"/>
        <v>0</v>
      </c>
    </row>
    <row r="245" spans="1:24" ht="15" thickBot="1">
      <c r="A245" s="67"/>
      <c r="B245" s="13"/>
      <c r="C245" s="14"/>
      <c r="D245" s="14"/>
      <c r="E245" s="14"/>
      <c r="F245" s="13"/>
      <c r="G245" s="14"/>
      <c r="H245" s="14"/>
      <c r="I245" s="14"/>
      <c r="J245" s="238"/>
      <c r="K245" s="238"/>
      <c r="L245" s="14"/>
      <c r="M245" s="238"/>
      <c r="N245" s="238"/>
      <c r="O245" s="238"/>
      <c r="P245" s="238"/>
      <c r="Q245" s="14"/>
      <c r="R245" s="393" t="str">
        <f>R$10</f>
        <v xml:space="preserve"> </v>
      </c>
      <c r="S245" s="394"/>
      <c r="T245" s="238"/>
      <c r="U245" s="13"/>
      <c r="V245" s="67"/>
      <c r="W245" s="67"/>
      <c r="X245" s="370">
        <f t="shared" si="84"/>
        <v>0</v>
      </c>
    </row>
    <row r="246" spans="1:24" ht="15">
      <c r="A246" s="67"/>
      <c r="B246" s="15" t="s">
        <v>2</v>
      </c>
      <c r="C246" s="15" t="s">
        <v>370</v>
      </c>
      <c r="D246" s="287" t="s">
        <v>563</v>
      </c>
      <c r="E246" s="15" t="s">
        <v>371</v>
      </c>
      <c r="F246" s="287" t="str">
        <f>F$11</f>
        <v>DIST</v>
      </c>
      <c r="G246" s="242" t="s">
        <v>741</v>
      </c>
      <c r="H246" s="242" t="s">
        <v>376</v>
      </c>
      <c r="I246" s="15"/>
      <c r="J246" s="242" t="s">
        <v>730</v>
      </c>
      <c r="K246" s="242" t="s">
        <v>409</v>
      </c>
      <c r="L246" s="15" t="s">
        <v>409</v>
      </c>
      <c r="M246" s="242" t="s">
        <v>410</v>
      </c>
      <c r="N246" s="242" t="s">
        <v>410</v>
      </c>
      <c r="O246" s="242" t="s">
        <v>410</v>
      </c>
      <c r="P246" s="242" t="s">
        <v>411</v>
      </c>
      <c r="Q246" s="15" t="s">
        <v>412</v>
      </c>
      <c r="R246" s="396" t="str">
        <f>R$11</f>
        <v>Wholesale</v>
      </c>
      <c r="S246" s="13" t="str">
        <f>S$11</f>
        <v>Wholesale</v>
      </c>
      <c r="T246" s="242"/>
      <c r="U246" s="15" t="s">
        <v>10</v>
      </c>
      <c r="V246" s="67"/>
      <c r="W246" s="67"/>
      <c r="X246" s="370"/>
    </row>
    <row r="247" spans="1:24" ht="14.25">
      <c r="A247" s="67"/>
      <c r="B247" s="15"/>
      <c r="C247" s="15"/>
      <c r="D247" s="15"/>
      <c r="E247" s="15"/>
      <c r="F247" s="15"/>
      <c r="G247" s="242" t="s">
        <v>742</v>
      </c>
      <c r="H247" s="242" t="s">
        <v>743</v>
      </c>
      <c r="I247" s="15"/>
      <c r="J247" s="242"/>
      <c r="K247" s="242" t="s">
        <v>731</v>
      </c>
      <c r="L247" s="15" t="s">
        <v>732</v>
      </c>
      <c r="M247" s="242" t="s">
        <v>731</v>
      </c>
      <c r="N247" s="242" t="s">
        <v>732</v>
      </c>
      <c r="O247" s="242" t="s">
        <v>414</v>
      </c>
      <c r="P247" s="242"/>
      <c r="Q247" s="15"/>
      <c r="R247" s="235" t="str">
        <f>R$12</f>
        <v>XFMR</v>
      </c>
      <c r="S247" s="15" t="str">
        <f>S$12</f>
        <v>DLS</v>
      </c>
      <c r="T247" s="242"/>
      <c r="U247" s="15"/>
      <c r="V247" s="67"/>
      <c r="W247" s="67"/>
      <c r="X247" s="370">
        <f t="shared" si="84"/>
        <v>0</v>
      </c>
    </row>
    <row r="248" spans="1:24" ht="15" thickBot="1">
      <c r="A248" s="67"/>
      <c r="B248" s="16"/>
      <c r="C248" s="16"/>
      <c r="D248" s="16"/>
      <c r="E248" s="16"/>
      <c r="F248" s="16" t="s">
        <v>13</v>
      </c>
      <c r="G248" s="16" t="s">
        <v>14</v>
      </c>
      <c r="H248" s="16" t="s">
        <v>15</v>
      </c>
      <c r="I248" s="16"/>
      <c r="J248" s="243" t="str">
        <f t="shared" si="91" ref="J248:Q248">J$13</f>
        <v>(d)</v>
      </c>
      <c r="K248" s="243" t="str">
        <f t="shared" si="91"/>
        <v>(e)</v>
      </c>
      <c r="L248" s="16" t="str">
        <f t="shared" si="91"/>
        <v>(f)</v>
      </c>
      <c r="M248" s="243" t="str">
        <f t="shared" si="91"/>
        <v>(g)</v>
      </c>
      <c r="N248" s="243" t="str">
        <f t="shared" si="91"/>
        <v>(h)</v>
      </c>
      <c r="O248" s="243" t="str">
        <f>O$13</f>
        <v>(i)</v>
      </c>
      <c r="P248" s="243" t="str">
        <f t="shared" si="91"/>
        <v>(j)</v>
      </c>
      <c r="Q248" s="243" t="str">
        <f t="shared" si="91"/>
        <v>(k)</v>
      </c>
      <c r="R248" s="243" t="str">
        <f>R$13</f>
        <v>(l)</v>
      </c>
      <c r="S248" s="16" t="str">
        <f>S$13</f>
        <v>(m)</v>
      </c>
      <c r="T248" s="16"/>
      <c r="U248" s="16" t="s">
        <v>734</v>
      </c>
      <c r="V248" s="67"/>
      <c r="W248" s="67"/>
      <c r="X248" s="370"/>
    </row>
    <row r="249" spans="1:24" ht="14.25">
      <c r="A249" s="67"/>
      <c r="B249" s="67"/>
      <c r="C249" s="67"/>
      <c r="D249" s="100"/>
      <c r="E249" s="100"/>
      <c r="F249" s="288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67"/>
      <c r="W249" s="67"/>
      <c r="X249" s="370">
        <f t="shared" si="84"/>
        <v>0</v>
      </c>
    </row>
    <row r="250" spans="1:24" ht="15">
      <c r="A250" s="67"/>
      <c r="B250" s="17">
        <f t="shared" si="92" ref="B250:B266">B249+1</f>
        <v>1</v>
      </c>
      <c r="C250" s="8" t="s">
        <v>564</v>
      </c>
      <c r="D250" s="8"/>
      <c r="E250" s="20" t="s">
        <v>24</v>
      </c>
      <c r="F250" s="895"/>
      <c r="G250" s="1059"/>
      <c r="H250" s="1059"/>
      <c r="I250" s="1059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1010"/>
      <c r="U250" s="8"/>
      <c r="V250" s="67"/>
      <c r="W250" s="67"/>
      <c r="X250" s="370">
        <f t="shared" si="84"/>
        <v>0</v>
      </c>
    </row>
    <row r="251" spans="1:24" ht="14.25">
      <c r="A251" s="67"/>
      <c r="B251" s="17">
        <f t="shared" si="92"/>
        <v>2</v>
      </c>
      <c r="C251" s="1" t="s">
        <v>25</v>
      </c>
      <c r="D251" s="1" t="s">
        <v>26</v>
      </c>
      <c r="E251" s="17"/>
      <c r="F251" s="121">
        <f>' WP II-I-1.4'!G251</f>
        <v>0</v>
      </c>
      <c r="G251" s="17">
        <v>65</v>
      </c>
      <c r="H251" s="1" t="str">
        <f>VLOOKUP(G251,FactorTable,2)</f>
        <v>PLT_N XINT</v>
      </c>
      <c r="I251" s="17"/>
      <c r="J251" s="434">
        <f t="shared" si="93" ref="J251:S253">$F251*HLOOKUP(J$1318,FactorTable,$G251+1)</f>
        <v>0</v>
      </c>
      <c r="K251" s="434">
        <f t="shared" si="93"/>
        <v>0</v>
      </c>
      <c r="L251" s="434">
        <f t="shared" si="93"/>
        <v>0</v>
      </c>
      <c r="M251" s="434">
        <f t="shared" si="93"/>
        <v>0</v>
      </c>
      <c r="N251" s="434">
        <f t="shared" si="93"/>
        <v>0</v>
      </c>
      <c r="O251" s="434">
        <f t="shared" si="93"/>
        <v>0</v>
      </c>
      <c r="P251" s="434">
        <f t="shared" si="93"/>
        <v>0</v>
      </c>
      <c r="Q251" s="434">
        <f t="shared" si="93"/>
        <v>0</v>
      </c>
      <c r="R251" s="434">
        <f t="shared" si="93"/>
        <v>0</v>
      </c>
      <c r="S251" s="434">
        <f t="shared" si="93"/>
        <v>0</v>
      </c>
      <c r="T251" s="17"/>
      <c r="U251" s="118">
        <f>SUM(I251:T251)</f>
        <v>0</v>
      </c>
      <c r="V251" s="67"/>
      <c r="W251" s="67"/>
      <c r="X251" s="370">
        <f t="shared" si="84"/>
        <v>0</v>
      </c>
    </row>
    <row r="252" spans="1:24" ht="14.25">
      <c r="A252" s="67"/>
      <c r="B252" s="17">
        <f t="shared" si="92"/>
        <v>3</v>
      </c>
      <c r="C252" s="1" t="s">
        <v>27</v>
      </c>
      <c r="D252" s="1" t="s">
        <v>28</v>
      </c>
      <c r="E252" s="17"/>
      <c r="F252" s="118">
        <f>' WP II-I-1.4'!G252</f>
        <v>0</v>
      </c>
      <c r="G252" s="17">
        <v>65</v>
      </c>
      <c r="H252" s="47" t="str">
        <f>VLOOKUP(G252,FactorTable,2)</f>
        <v>PLT_N XINT</v>
      </c>
      <c r="I252" s="17"/>
      <c r="J252" s="434">
        <f t="shared" si="93"/>
        <v>0</v>
      </c>
      <c r="K252" s="434">
        <f t="shared" si="93"/>
        <v>0</v>
      </c>
      <c r="L252" s="434">
        <f t="shared" si="93"/>
        <v>0</v>
      </c>
      <c r="M252" s="434">
        <f t="shared" si="93"/>
        <v>0</v>
      </c>
      <c r="N252" s="434">
        <f t="shared" si="93"/>
        <v>0</v>
      </c>
      <c r="O252" s="434">
        <f t="shared" si="93"/>
        <v>0</v>
      </c>
      <c r="P252" s="434">
        <f t="shared" si="93"/>
        <v>0</v>
      </c>
      <c r="Q252" s="434">
        <f t="shared" si="93"/>
        <v>0</v>
      </c>
      <c r="R252" s="434">
        <f t="shared" si="93"/>
        <v>0</v>
      </c>
      <c r="S252" s="434">
        <f t="shared" si="93"/>
        <v>0</v>
      </c>
      <c r="T252" s="17"/>
      <c r="U252" s="118">
        <f>SUM(I252:T252)</f>
        <v>0</v>
      </c>
      <c r="V252" s="67"/>
      <c r="W252" s="67"/>
      <c r="X252" s="370">
        <f t="shared" si="84"/>
        <v>0</v>
      </c>
    </row>
    <row r="253" spans="1:24" ht="14.25">
      <c r="A253" s="67"/>
      <c r="B253" s="17">
        <f t="shared" si="92"/>
        <v>4</v>
      </c>
      <c r="C253" s="1" t="s">
        <v>29</v>
      </c>
      <c r="D253" s="1" t="s">
        <v>34</v>
      </c>
      <c r="E253" s="17"/>
      <c r="F253" s="118">
        <f>' WP II-I-1.4'!G253</f>
        <v>114122847.83</v>
      </c>
      <c r="G253" s="17">
        <v>65</v>
      </c>
      <c r="H253" s="47" t="str">
        <f>VLOOKUP(G253,FactorTable,2)</f>
        <v>PLT_N XINT</v>
      </c>
      <c r="I253" s="17"/>
      <c r="J253" s="435">
        <f t="shared" si="93"/>
        <v>63520457.990907416</v>
      </c>
      <c r="K253" s="435">
        <f t="shared" si="93"/>
        <v>2111571.5789583833</v>
      </c>
      <c r="L253" s="435">
        <f t="shared" si="93"/>
        <v>40172131.658270322</v>
      </c>
      <c r="M253" s="435">
        <f t="shared" si="93"/>
        <v>14546.822782885525</v>
      </c>
      <c r="N253" s="435">
        <f t="shared" si="93"/>
        <v>6156947.7680863347</v>
      </c>
      <c r="O253" s="435">
        <f t="shared" si="93"/>
        <v>610349.28329005814</v>
      </c>
      <c r="P253" s="435">
        <f t="shared" si="93"/>
        <v>115571.94411957462</v>
      </c>
      <c r="Q253" s="435">
        <f t="shared" si="93"/>
        <v>1013900.3990940739</v>
      </c>
      <c r="R253" s="435">
        <f t="shared" si="93"/>
        <v>73154.181705416326</v>
      </c>
      <c r="S253" s="435">
        <f t="shared" si="93"/>
        <v>334216.20278553449</v>
      </c>
      <c r="T253" s="17"/>
      <c r="U253" s="118">
        <f>SUM(I253:T253)</f>
        <v>114122847.83</v>
      </c>
      <c r="V253" s="67"/>
      <c r="W253" s="67"/>
      <c r="X253" s="370">
        <f t="shared" si="84"/>
        <v>0</v>
      </c>
    </row>
    <row r="254" spans="1:24" ht="15">
      <c r="A254" s="67"/>
      <c r="B254" s="17">
        <f t="shared" si="92"/>
        <v>5</v>
      </c>
      <c r="C254" s="8"/>
      <c r="D254" s="297" t="s">
        <v>491</v>
      </c>
      <c r="E254" s="20"/>
      <c r="F254" s="298">
        <f>SUM(F251:F253)</f>
        <v>114122847.83</v>
      </c>
      <c r="G254" s="17"/>
      <c r="H254" s="17"/>
      <c r="I254" s="1010"/>
      <c r="J254" s="298">
        <f t="shared" si="94" ref="J254:Q254">SUM(J251:J253)</f>
        <v>63520457.990907416</v>
      </c>
      <c r="K254" s="298">
        <f t="shared" si="94"/>
        <v>2111571.5789583833</v>
      </c>
      <c r="L254" s="907">
        <f t="shared" si="94"/>
        <v>40172131.658270322</v>
      </c>
      <c r="M254" s="907">
        <f t="shared" si="94"/>
        <v>14546.822782885525</v>
      </c>
      <c r="N254" s="298">
        <f t="shared" si="94"/>
        <v>6156947.7680863347</v>
      </c>
      <c r="O254" s="298">
        <f>SUM(O251:O253)</f>
        <v>610349.28329005814</v>
      </c>
      <c r="P254" s="298">
        <f t="shared" si="94"/>
        <v>115571.94411957462</v>
      </c>
      <c r="Q254" s="298">
        <f t="shared" si="94"/>
        <v>1013900.3990940739</v>
      </c>
      <c r="R254" s="298">
        <f>SUM(R251:R253)</f>
        <v>73154.181705416326</v>
      </c>
      <c r="S254" s="298">
        <f>SUM(S251:S253)</f>
        <v>334216.20278553449</v>
      </c>
      <c r="T254" s="1010"/>
      <c r="U254" s="299">
        <f>SUM(I254:T254)</f>
        <v>114122847.83</v>
      </c>
      <c r="V254" s="67"/>
      <c r="W254" s="67"/>
      <c r="X254" s="370">
        <f t="shared" si="84"/>
        <v>0</v>
      </c>
    </row>
    <row r="255" spans="1:24" ht="15">
      <c r="A255" s="67"/>
      <c r="B255" s="17">
        <f t="shared" si="92"/>
        <v>6</v>
      </c>
      <c r="C255" s="8" t="s">
        <v>573</v>
      </c>
      <c r="D255" s="8"/>
      <c r="E255" s="20" t="s">
        <v>24</v>
      </c>
      <c r="F255" s="22"/>
      <c r="G255" s="20"/>
      <c r="H255" s="1059"/>
      <c r="I255" s="1059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10"/>
      <c r="U255" s="8"/>
      <c r="V255" s="67"/>
      <c r="W255" s="67"/>
      <c r="X255" s="370">
        <f t="shared" si="84"/>
        <v>0</v>
      </c>
    </row>
    <row r="256" spans="1:24" ht="15">
      <c r="A256" s="67"/>
      <c r="B256" s="17">
        <f t="shared" si="92"/>
        <v>7</v>
      </c>
      <c r="C256" s="1" t="s">
        <v>39</v>
      </c>
      <c r="D256" s="1" t="s">
        <v>40</v>
      </c>
      <c r="E256" s="20"/>
      <c r="F256" s="118">
        <f>' WP II-I-1.4'!G256</f>
        <v>0</v>
      </c>
      <c r="G256" s="17">
        <v>28</v>
      </c>
      <c r="H256" s="28" t="str">
        <f t="shared" si="95" ref="H256:H265">VLOOKUP(G256,FactorTable,2)</f>
        <v>NCP XHV</v>
      </c>
      <c r="I256" s="1059"/>
      <c r="J256" s="434">
        <f t="shared" si="96" ref="J256:S265">$F256*HLOOKUP(J$1318,FactorTable,$G256+1)</f>
        <v>0</v>
      </c>
      <c r="K256" s="434">
        <f t="shared" si="96"/>
        <v>0</v>
      </c>
      <c r="L256" s="434">
        <f t="shared" si="96"/>
        <v>0</v>
      </c>
      <c r="M256" s="434">
        <f t="shared" si="96"/>
        <v>0</v>
      </c>
      <c r="N256" s="434">
        <f t="shared" si="96"/>
        <v>0</v>
      </c>
      <c r="O256" s="434">
        <f t="shared" si="96"/>
        <v>0</v>
      </c>
      <c r="P256" s="434">
        <f t="shared" si="96"/>
        <v>0</v>
      </c>
      <c r="Q256" s="434">
        <f t="shared" si="96"/>
        <v>0</v>
      </c>
      <c r="R256" s="434">
        <f t="shared" si="96"/>
        <v>0</v>
      </c>
      <c r="S256" s="434">
        <f t="shared" si="96"/>
        <v>0</v>
      </c>
      <c r="T256" s="1010"/>
      <c r="U256" s="118">
        <f t="shared" si="97" ref="U256:U266">SUM(I256:T256)</f>
        <v>0</v>
      </c>
      <c r="V256" s="67"/>
      <c r="W256" s="67"/>
      <c r="X256" s="370">
        <f t="shared" si="84"/>
        <v>0</v>
      </c>
    </row>
    <row r="257" spans="1:24" ht="14.25">
      <c r="A257" s="67"/>
      <c r="B257" s="17">
        <f t="shared" si="92"/>
        <v>8</v>
      </c>
      <c r="C257" s="1" t="s">
        <v>41</v>
      </c>
      <c r="D257" s="1" t="s">
        <v>42</v>
      </c>
      <c r="E257" s="17"/>
      <c r="F257" s="118">
        <f>' WP II-I-1.4'!G257</f>
        <v>0</v>
      </c>
      <c r="G257" s="17">
        <v>28</v>
      </c>
      <c r="H257" s="28" t="str">
        <f t="shared" si="95"/>
        <v>NCP XHV</v>
      </c>
      <c r="I257" s="17"/>
      <c r="J257" s="434">
        <f t="shared" si="96"/>
        <v>0</v>
      </c>
      <c r="K257" s="434">
        <f t="shared" si="96"/>
        <v>0</v>
      </c>
      <c r="L257" s="434">
        <f t="shared" si="96"/>
        <v>0</v>
      </c>
      <c r="M257" s="434">
        <f t="shared" si="96"/>
        <v>0</v>
      </c>
      <c r="N257" s="434">
        <f t="shared" si="96"/>
        <v>0</v>
      </c>
      <c r="O257" s="434">
        <f t="shared" si="96"/>
        <v>0</v>
      </c>
      <c r="P257" s="434">
        <f t="shared" si="96"/>
        <v>0</v>
      </c>
      <c r="Q257" s="434">
        <f t="shared" si="96"/>
        <v>0</v>
      </c>
      <c r="R257" s="434">
        <f t="shared" si="96"/>
        <v>0</v>
      </c>
      <c r="S257" s="434">
        <f t="shared" si="96"/>
        <v>0</v>
      </c>
      <c r="T257" s="17"/>
      <c r="U257" s="118">
        <f t="shared" si="97"/>
        <v>0</v>
      </c>
      <c r="V257" s="67"/>
      <c r="W257" s="67"/>
      <c r="X257" s="370">
        <f t="shared" si="84"/>
        <v>0</v>
      </c>
    </row>
    <row r="258" spans="1:24" ht="14.25">
      <c r="A258" s="67"/>
      <c r="B258" s="17">
        <f t="shared" si="92"/>
        <v>9</v>
      </c>
      <c r="C258" s="1" t="s">
        <v>43</v>
      </c>
      <c r="D258" s="1" t="s">
        <v>44</v>
      </c>
      <c r="E258" s="17"/>
      <c r="F258" s="118">
        <f>' WP II-I-1.4'!G258</f>
        <v>0</v>
      </c>
      <c r="G258" s="17">
        <v>28</v>
      </c>
      <c r="H258" s="28" t="str">
        <f t="shared" si="95"/>
        <v>NCP XHV</v>
      </c>
      <c r="I258" s="17"/>
      <c r="J258" s="434">
        <f t="shared" si="96"/>
        <v>0</v>
      </c>
      <c r="K258" s="434">
        <f t="shared" si="96"/>
        <v>0</v>
      </c>
      <c r="L258" s="434">
        <f t="shared" si="96"/>
        <v>0</v>
      </c>
      <c r="M258" s="434">
        <f t="shared" si="96"/>
        <v>0</v>
      </c>
      <c r="N258" s="434">
        <f t="shared" si="96"/>
        <v>0</v>
      </c>
      <c r="O258" s="434">
        <f t="shared" si="96"/>
        <v>0</v>
      </c>
      <c r="P258" s="434">
        <f t="shared" si="96"/>
        <v>0</v>
      </c>
      <c r="Q258" s="434">
        <f t="shared" si="96"/>
        <v>0</v>
      </c>
      <c r="R258" s="434">
        <f t="shared" si="96"/>
        <v>0</v>
      </c>
      <c r="S258" s="434">
        <f t="shared" si="96"/>
        <v>0</v>
      </c>
      <c r="T258" s="17"/>
      <c r="U258" s="118">
        <f t="shared" si="97"/>
        <v>0</v>
      </c>
      <c r="V258" s="67"/>
      <c r="W258" s="67"/>
      <c r="X258" s="370">
        <f t="shared" si="84"/>
        <v>0</v>
      </c>
    </row>
    <row r="259" spans="1:24" ht="14.25">
      <c r="A259" s="67"/>
      <c r="B259" s="17">
        <f t="shared" si="92"/>
        <v>10</v>
      </c>
      <c r="C259" s="1" t="s">
        <v>45</v>
      </c>
      <c r="D259" s="1" t="s">
        <v>46</v>
      </c>
      <c r="E259" s="17"/>
      <c r="F259" s="118">
        <f>' WP II-I-1.4'!G259</f>
        <v>97170477.010000005</v>
      </c>
      <c r="G259" s="17">
        <v>28</v>
      </c>
      <c r="H259" s="28" t="str">
        <f t="shared" si="95"/>
        <v>NCP XHV</v>
      </c>
      <c r="I259" s="17"/>
      <c r="J259" s="434">
        <f t="shared" si="96"/>
        <v>51143055.410531223</v>
      </c>
      <c r="K259" s="434">
        <f t="shared" si="96"/>
        <v>1248924.443956288</v>
      </c>
      <c r="L259" s="434">
        <f t="shared" si="96"/>
        <v>32929598.547241546</v>
      </c>
      <c r="M259" s="434">
        <f t="shared" si="96"/>
        <v>18616.459377498828</v>
      </c>
      <c r="N259" s="434">
        <f t="shared" si="96"/>
        <v>7879422.8626208007</v>
      </c>
      <c r="O259" s="434">
        <f t="shared" si="96"/>
        <v>2849472.9506299454</v>
      </c>
      <c r="P259" s="434">
        <f t="shared" si="96"/>
        <v>0</v>
      </c>
      <c r="Q259" s="434">
        <f t="shared" si="96"/>
        <v>332142.2393394807</v>
      </c>
      <c r="R259" s="434">
        <f t="shared" si="96"/>
        <v>341527.16764310369</v>
      </c>
      <c r="S259" s="434">
        <f t="shared" si="96"/>
        <v>427716.92866011715</v>
      </c>
      <c r="T259" s="17"/>
      <c r="U259" s="118">
        <f t="shared" si="97"/>
        <v>97170477.010000005</v>
      </c>
      <c r="V259" s="67"/>
      <c r="W259" s="67"/>
      <c r="X259" s="370">
        <f t="shared" si="84"/>
        <v>0</v>
      </c>
    </row>
    <row r="260" spans="1:24" ht="14.25">
      <c r="A260" s="67"/>
      <c r="B260" s="17">
        <f t="shared" si="92"/>
        <v>11</v>
      </c>
      <c r="C260" s="1" t="s">
        <v>47</v>
      </c>
      <c r="D260" s="1" t="s">
        <v>48</v>
      </c>
      <c r="E260" s="17"/>
      <c r="F260" s="118">
        <f>' WP II-I-1.4'!G260</f>
        <v>0</v>
      </c>
      <c r="G260" s="17">
        <v>28</v>
      </c>
      <c r="H260" s="28" t="str">
        <f t="shared" si="95"/>
        <v>NCP XHV</v>
      </c>
      <c r="I260" s="17"/>
      <c r="J260" s="434">
        <f t="shared" si="96"/>
        <v>0</v>
      </c>
      <c r="K260" s="434">
        <f t="shared" si="96"/>
        <v>0</v>
      </c>
      <c r="L260" s="434">
        <f t="shared" si="96"/>
        <v>0</v>
      </c>
      <c r="M260" s="434">
        <f t="shared" si="96"/>
        <v>0</v>
      </c>
      <c r="N260" s="434">
        <f t="shared" si="96"/>
        <v>0</v>
      </c>
      <c r="O260" s="434">
        <f t="shared" si="96"/>
        <v>0</v>
      </c>
      <c r="P260" s="434">
        <f t="shared" si="96"/>
        <v>0</v>
      </c>
      <c r="Q260" s="434">
        <f t="shared" si="96"/>
        <v>0</v>
      </c>
      <c r="R260" s="434">
        <f t="shared" si="96"/>
        <v>0</v>
      </c>
      <c r="S260" s="434">
        <f t="shared" si="96"/>
        <v>0</v>
      </c>
      <c r="T260" s="17"/>
      <c r="U260" s="118">
        <f t="shared" si="97"/>
        <v>0</v>
      </c>
      <c r="V260" s="67"/>
      <c r="W260" s="67"/>
      <c r="X260" s="370">
        <f t="shared" si="84"/>
        <v>0</v>
      </c>
    </row>
    <row r="261" spans="1:24" ht="14.25">
      <c r="A261" s="67"/>
      <c r="B261" s="17">
        <f t="shared" si="92"/>
        <v>12</v>
      </c>
      <c r="C261" s="1" t="s">
        <v>49</v>
      </c>
      <c r="D261" s="1" t="s">
        <v>50</v>
      </c>
      <c r="E261" s="17"/>
      <c r="F261" s="118">
        <f>' WP II-I-1.4'!G261</f>
        <v>0</v>
      </c>
      <c r="G261" s="17">
        <v>28</v>
      </c>
      <c r="H261" s="28" t="str">
        <f t="shared" si="95"/>
        <v>NCP XHV</v>
      </c>
      <c r="I261" s="17"/>
      <c r="J261" s="434">
        <f t="shared" si="96"/>
        <v>0</v>
      </c>
      <c r="K261" s="434">
        <f t="shared" si="96"/>
        <v>0</v>
      </c>
      <c r="L261" s="434">
        <f t="shared" si="96"/>
        <v>0</v>
      </c>
      <c r="M261" s="434">
        <f t="shared" si="96"/>
        <v>0</v>
      </c>
      <c r="N261" s="434">
        <f t="shared" si="96"/>
        <v>0</v>
      </c>
      <c r="O261" s="434">
        <f t="shared" si="96"/>
        <v>0</v>
      </c>
      <c r="P261" s="434">
        <f t="shared" si="96"/>
        <v>0</v>
      </c>
      <c r="Q261" s="434">
        <f t="shared" si="96"/>
        <v>0</v>
      </c>
      <c r="R261" s="434">
        <f t="shared" si="96"/>
        <v>0</v>
      </c>
      <c r="S261" s="434">
        <f t="shared" si="96"/>
        <v>0</v>
      </c>
      <c r="T261" s="17"/>
      <c r="U261" s="118">
        <f t="shared" si="97"/>
        <v>0</v>
      </c>
      <c r="V261" s="67"/>
      <c r="W261" s="67"/>
      <c r="X261" s="370">
        <f t="shared" si="84"/>
        <v>0</v>
      </c>
    </row>
    <row r="262" spans="1:24" ht="14.25">
      <c r="A262" s="67"/>
      <c r="B262" s="17">
        <f t="shared" si="92"/>
        <v>13</v>
      </c>
      <c r="C262" s="1" t="s">
        <v>51</v>
      </c>
      <c r="D262" s="1" t="s">
        <v>534</v>
      </c>
      <c r="E262" s="17"/>
      <c r="F262" s="118">
        <f>' WP II-I-1.4'!G262</f>
        <v>0</v>
      </c>
      <c r="G262" s="17">
        <v>28</v>
      </c>
      <c r="H262" s="28" t="str">
        <f t="shared" si="95"/>
        <v>NCP XHV</v>
      </c>
      <c r="I262" s="17"/>
      <c r="J262" s="434">
        <f t="shared" si="96"/>
        <v>0</v>
      </c>
      <c r="K262" s="434">
        <f t="shared" si="96"/>
        <v>0</v>
      </c>
      <c r="L262" s="434">
        <f t="shared" si="96"/>
        <v>0</v>
      </c>
      <c r="M262" s="434">
        <f t="shared" si="96"/>
        <v>0</v>
      </c>
      <c r="N262" s="434">
        <f t="shared" si="96"/>
        <v>0</v>
      </c>
      <c r="O262" s="434">
        <f t="shared" si="96"/>
        <v>0</v>
      </c>
      <c r="P262" s="434">
        <f t="shared" si="96"/>
        <v>0</v>
      </c>
      <c r="Q262" s="434">
        <f t="shared" si="96"/>
        <v>0</v>
      </c>
      <c r="R262" s="434">
        <f t="shared" si="96"/>
        <v>0</v>
      </c>
      <c r="S262" s="434">
        <f t="shared" si="96"/>
        <v>0</v>
      </c>
      <c r="T262" s="17"/>
      <c r="U262" s="118">
        <f t="shared" si="97"/>
        <v>0</v>
      </c>
      <c r="V262" s="67"/>
      <c r="W262" s="67"/>
      <c r="X262" s="370">
        <f t="shared" si="84"/>
        <v>0</v>
      </c>
    </row>
    <row r="263" spans="1:24" ht="14.25">
      <c r="A263" s="67"/>
      <c r="B263" s="17">
        <f t="shared" si="92"/>
        <v>14</v>
      </c>
      <c r="C263" s="1" t="s">
        <v>53</v>
      </c>
      <c r="D263" s="1" t="s">
        <v>54</v>
      </c>
      <c r="E263" s="17"/>
      <c r="F263" s="118">
        <f>' WP II-I-1.4'!G263</f>
        <v>0</v>
      </c>
      <c r="G263" s="17">
        <v>28</v>
      </c>
      <c r="H263" s="28" t="str">
        <f t="shared" si="95"/>
        <v>NCP XHV</v>
      </c>
      <c r="I263" s="17"/>
      <c r="J263" s="434">
        <f t="shared" si="96"/>
        <v>0</v>
      </c>
      <c r="K263" s="434">
        <f t="shared" si="96"/>
        <v>0</v>
      </c>
      <c r="L263" s="434">
        <f t="shared" si="96"/>
        <v>0</v>
      </c>
      <c r="M263" s="434">
        <f t="shared" si="96"/>
        <v>0</v>
      </c>
      <c r="N263" s="434">
        <f t="shared" si="96"/>
        <v>0</v>
      </c>
      <c r="O263" s="434">
        <f t="shared" si="96"/>
        <v>0</v>
      </c>
      <c r="P263" s="434">
        <f t="shared" si="96"/>
        <v>0</v>
      </c>
      <c r="Q263" s="434">
        <f t="shared" si="96"/>
        <v>0</v>
      </c>
      <c r="R263" s="434">
        <f t="shared" si="96"/>
        <v>0</v>
      </c>
      <c r="S263" s="434">
        <f t="shared" si="96"/>
        <v>0</v>
      </c>
      <c r="T263" s="17"/>
      <c r="U263" s="118">
        <f t="shared" si="97"/>
        <v>0</v>
      </c>
      <c r="V263" s="67"/>
      <c r="W263" s="67"/>
      <c r="X263" s="370">
        <f t="shared" si="84"/>
        <v>0</v>
      </c>
    </row>
    <row r="264" spans="1:24" ht="14.25">
      <c r="A264" s="67"/>
      <c r="B264" s="17">
        <f t="shared" si="92"/>
        <v>15</v>
      </c>
      <c r="C264" s="1" t="s">
        <v>55</v>
      </c>
      <c r="D264" s="31" t="s">
        <v>535</v>
      </c>
      <c r="E264" s="17"/>
      <c r="F264" s="118">
        <f>' WP II-I-1.4'!G264</f>
        <v>0</v>
      </c>
      <c r="G264" s="17">
        <v>28</v>
      </c>
      <c r="H264" s="28" t="str">
        <f t="shared" si="95"/>
        <v>NCP XHV</v>
      </c>
      <c r="I264" s="17"/>
      <c r="J264" s="434">
        <f t="shared" si="96"/>
        <v>0</v>
      </c>
      <c r="K264" s="434">
        <f t="shared" si="96"/>
        <v>0</v>
      </c>
      <c r="L264" s="434">
        <f t="shared" si="96"/>
        <v>0</v>
      </c>
      <c r="M264" s="434">
        <f t="shared" si="96"/>
        <v>0</v>
      </c>
      <c r="N264" s="434">
        <f t="shared" si="96"/>
        <v>0</v>
      </c>
      <c r="O264" s="434">
        <f t="shared" si="96"/>
        <v>0</v>
      </c>
      <c r="P264" s="434">
        <f t="shared" si="96"/>
        <v>0</v>
      </c>
      <c r="Q264" s="434">
        <f t="shared" si="96"/>
        <v>0</v>
      </c>
      <c r="R264" s="434">
        <f t="shared" si="96"/>
        <v>0</v>
      </c>
      <c r="S264" s="434">
        <f t="shared" si="96"/>
        <v>0</v>
      </c>
      <c r="T264" s="17"/>
      <c r="U264" s="118">
        <f t="shared" si="97"/>
        <v>0</v>
      </c>
      <c r="V264" s="67"/>
      <c r="W264" s="67"/>
      <c r="X264" s="370">
        <f t="shared" si="84"/>
        <v>0</v>
      </c>
    </row>
    <row r="265" spans="1:24" ht="14.25">
      <c r="A265" s="67"/>
      <c r="B265" s="17">
        <f t="shared" si="92"/>
        <v>16</v>
      </c>
      <c r="C265" s="1" t="s">
        <v>57</v>
      </c>
      <c r="D265" s="1" t="s">
        <v>58</v>
      </c>
      <c r="E265" s="17"/>
      <c r="F265" s="118">
        <f>' WP II-I-1.4'!G265</f>
        <v>0</v>
      </c>
      <c r="G265" s="17">
        <v>28</v>
      </c>
      <c r="H265" s="28" t="str">
        <f t="shared" si="95"/>
        <v>NCP XHV</v>
      </c>
      <c r="I265" s="17"/>
      <c r="J265" s="435">
        <f t="shared" si="96"/>
        <v>0</v>
      </c>
      <c r="K265" s="435">
        <f t="shared" si="96"/>
        <v>0</v>
      </c>
      <c r="L265" s="435">
        <f t="shared" si="96"/>
        <v>0</v>
      </c>
      <c r="M265" s="435">
        <f t="shared" si="96"/>
        <v>0</v>
      </c>
      <c r="N265" s="435">
        <f t="shared" si="96"/>
        <v>0</v>
      </c>
      <c r="O265" s="435">
        <f t="shared" si="96"/>
        <v>0</v>
      </c>
      <c r="P265" s="435">
        <f t="shared" si="96"/>
        <v>0</v>
      </c>
      <c r="Q265" s="435">
        <f t="shared" si="96"/>
        <v>0</v>
      </c>
      <c r="R265" s="435">
        <f t="shared" si="96"/>
        <v>0</v>
      </c>
      <c r="S265" s="435">
        <f t="shared" si="96"/>
        <v>0</v>
      </c>
      <c r="T265" s="17"/>
      <c r="U265" s="118">
        <f t="shared" si="97"/>
        <v>0</v>
      </c>
      <c r="V265" s="67"/>
      <c r="W265" s="67"/>
      <c r="X265" s="370">
        <f t="shared" si="84"/>
        <v>0</v>
      </c>
    </row>
    <row r="266" spans="1:24" ht="15">
      <c r="A266" s="67"/>
      <c r="B266" s="17">
        <f t="shared" si="92"/>
        <v>17</v>
      </c>
      <c r="C266" s="8"/>
      <c r="D266" s="297" t="s">
        <v>491</v>
      </c>
      <c r="E266" s="20"/>
      <c r="F266" s="22">
        <f>SUM(F256:F265)</f>
        <v>97170477.010000005</v>
      </c>
      <c r="G266" s="20"/>
      <c r="H266" s="20"/>
      <c r="I266" s="20"/>
      <c r="J266" s="22">
        <f t="shared" si="98" ref="J266:Q266">SUM(J256:J265)</f>
        <v>51143055.410531223</v>
      </c>
      <c r="K266" s="22">
        <f t="shared" si="98"/>
        <v>1248924.443956288</v>
      </c>
      <c r="L266" s="22">
        <f t="shared" si="98"/>
        <v>32929598.547241546</v>
      </c>
      <c r="M266" s="22">
        <f t="shared" si="98"/>
        <v>18616.459377498828</v>
      </c>
      <c r="N266" s="22">
        <f t="shared" si="98"/>
        <v>7879422.8626208007</v>
      </c>
      <c r="O266" s="22">
        <f>SUM(O256:O265)</f>
        <v>2849472.9506299454</v>
      </c>
      <c r="P266" s="22">
        <f t="shared" si="98"/>
        <v>0</v>
      </c>
      <c r="Q266" s="22">
        <f t="shared" si="98"/>
        <v>332142.2393394807</v>
      </c>
      <c r="R266" s="22">
        <f>SUM(R256:R265)</f>
        <v>341527.16764310369</v>
      </c>
      <c r="S266" s="22">
        <f>SUM(S256:S265)</f>
        <v>427716.92866011715</v>
      </c>
      <c r="T266" s="20"/>
      <c r="U266" s="299">
        <f t="shared" si="97"/>
        <v>97170477.010000005</v>
      </c>
      <c r="V266" s="67"/>
      <c r="W266" s="67"/>
      <c r="X266" s="370">
        <f t="shared" si="84"/>
        <v>0</v>
      </c>
    </row>
    <row r="267" spans="1:24" ht="15.75" thickBot="1">
      <c r="A267" s="67"/>
      <c r="B267" s="17"/>
      <c r="C267" s="8"/>
      <c r="D267" s="297"/>
      <c r="E267" s="20"/>
      <c r="F267" s="22"/>
      <c r="G267" s="20"/>
      <c r="H267" s="13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134"/>
      <c r="V267" s="134">
        <f>$H$2</f>
        <v>0</v>
      </c>
      <c r="W267" s="134"/>
      <c r="X267" s="370"/>
    </row>
    <row r="268" spans="1:24" ht="15">
      <c r="A268" s="67"/>
      <c r="B268" s="920" t="str">
        <f>+$B$4</f>
        <v>2022 RATE CASE</v>
      </c>
      <c r="C268" s="935"/>
      <c r="D268" s="624"/>
      <c r="F268" s="67"/>
      <c r="H268" s="134"/>
      <c r="U268" s="134"/>
      <c r="V268" s="134">
        <f>$H$2</f>
        <v>0</v>
      </c>
      <c r="W268" s="134"/>
      <c r="X268" s="370"/>
    </row>
    <row r="269" spans="1:24" ht="15">
      <c r="A269" s="118"/>
      <c r="B269" s="917" t="str">
        <f>+$B$5</f>
        <v>ONCOR ELECTRIC DELIVERY COMPANY LLC</v>
      </c>
      <c r="C269" s="8"/>
      <c r="D269" s="967"/>
      <c r="F269" s="67"/>
      <c r="U269" s="134"/>
      <c r="V269" s="67"/>
      <c r="W269" s="67"/>
      <c r="X269" s="370">
        <f t="shared" si="84"/>
        <v>0</v>
      </c>
    </row>
    <row r="270" spans="1:24" ht="15">
      <c r="A270" s="67"/>
      <c r="B270" s="917" t="str">
        <f>+$B$6</f>
        <v>II-I-1-DIST:  CLASS REVENUE REQUIREMENT</v>
      </c>
      <c r="C270" s="85"/>
      <c r="D270" s="967"/>
      <c r="F270" s="12"/>
      <c r="U270" s="12"/>
      <c r="V270" s="67"/>
      <c r="W270" s="67"/>
      <c r="X270" s="370">
        <f t="shared" si="84"/>
        <v>0</v>
      </c>
    </row>
    <row r="271" spans="1:24" ht="15">
      <c r="A271" s="67"/>
      <c r="B271" s="406" t="str">
        <f>+$B$7</f>
        <v>TEST YEAR ENDING 12/31/2021</v>
      </c>
      <c r="C271" s="85"/>
      <c r="D271" s="967"/>
      <c r="F271" s="12"/>
      <c r="U271" s="12"/>
      <c r="V271" s="67"/>
      <c r="W271" s="67"/>
      <c r="X271" s="370">
        <f t="shared" si="84"/>
        <v>0</v>
      </c>
    </row>
    <row r="272" spans="1:24" ht="15">
      <c r="A272" s="67"/>
      <c r="B272" s="406" t="str">
        <f>+$B$8</f>
        <v>SPONSOR:  MATTHEW A. TROXLE</v>
      </c>
      <c r="C272" s="85"/>
      <c r="D272" s="967"/>
      <c r="F272" s="12"/>
      <c r="U272" s="12"/>
      <c r="V272" s="67"/>
      <c r="W272" s="67"/>
      <c r="X272" s="370">
        <f t="shared" si="84"/>
        <v>0</v>
      </c>
    </row>
    <row r="273" spans="1:24" ht="15.75" thickBot="1">
      <c r="A273" s="67"/>
      <c r="B273" s="410"/>
      <c r="C273" s="934"/>
      <c r="D273" s="968"/>
      <c r="F273" s="12"/>
      <c r="U273" s="12"/>
      <c r="V273" s="67"/>
      <c r="W273" s="67"/>
      <c r="X273" s="370">
        <f t="shared" si="84"/>
        <v>0</v>
      </c>
    </row>
    <row r="274" spans="1:24" ht="15" thickBot="1">
      <c r="A274" s="67"/>
      <c r="B274" s="13"/>
      <c r="C274" s="14"/>
      <c r="D274" s="14"/>
      <c r="E274" s="14"/>
      <c r="F274" s="13"/>
      <c r="G274" s="14"/>
      <c r="H274" s="14"/>
      <c r="I274" s="14"/>
      <c r="J274" s="238"/>
      <c r="K274" s="238"/>
      <c r="L274" s="14"/>
      <c r="M274" s="238"/>
      <c r="N274" s="238"/>
      <c r="O274" s="238"/>
      <c r="P274" s="238"/>
      <c r="Q274" s="14"/>
      <c r="R274" s="393" t="str">
        <f>R$10</f>
        <v xml:space="preserve"> </v>
      </c>
      <c r="S274" s="394"/>
      <c r="T274" s="238"/>
      <c r="U274" s="13"/>
      <c r="V274" s="67"/>
      <c r="W274" s="67"/>
      <c r="X274" s="370">
        <f t="shared" si="84"/>
        <v>0</v>
      </c>
    </row>
    <row r="275" spans="1:24" ht="15">
      <c r="A275" s="67"/>
      <c r="B275" s="15" t="s">
        <v>2</v>
      </c>
      <c r="C275" s="15" t="s">
        <v>370</v>
      </c>
      <c r="D275" s="287" t="s">
        <v>574</v>
      </c>
      <c r="E275" s="15" t="s">
        <v>371</v>
      </c>
      <c r="F275" s="287" t="str">
        <f>F$11</f>
        <v>DIST</v>
      </c>
      <c r="G275" s="242" t="s">
        <v>741</v>
      </c>
      <c r="H275" s="242" t="s">
        <v>376</v>
      </c>
      <c r="I275" s="15"/>
      <c r="J275" s="242" t="s">
        <v>730</v>
      </c>
      <c r="K275" s="242" t="s">
        <v>409</v>
      </c>
      <c r="L275" s="15" t="s">
        <v>409</v>
      </c>
      <c r="M275" s="242" t="s">
        <v>410</v>
      </c>
      <c r="N275" s="242" t="s">
        <v>410</v>
      </c>
      <c r="O275" s="242" t="s">
        <v>410</v>
      </c>
      <c r="P275" s="242" t="s">
        <v>411</v>
      </c>
      <c r="Q275" s="15" t="s">
        <v>412</v>
      </c>
      <c r="R275" s="396" t="str">
        <f>R$11</f>
        <v>Wholesale</v>
      </c>
      <c r="S275" s="13" t="str">
        <f>S$11</f>
        <v>Wholesale</v>
      </c>
      <c r="T275" s="242"/>
      <c r="U275" s="15" t="s">
        <v>10</v>
      </c>
      <c r="V275" s="67"/>
      <c r="W275" s="67"/>
      <c r="X275" s="370"/>
    </row>
    <row r="276" spans="1:24" ht="14.25">
      <c r="A276" s="67"/>
      <c r="B276" s="15"/>
      <c r="C276" s="15"/>
      <c r="D276" s="15"/>
      <c r="E276" s="15"/>
      <c r="F276" s="15"/>
      <c r="G276" s="242" t="s">
        <v>742</v>
      </c>
      <c r="H276" s="242" t="s">
        <v>743</v>
      </c>
      <c r="I276" s="15"/>
      <c r="J276" s="242"/>
      <c r="K276" s="242" t="s">
        <v>731</v>
      </c>
      <c r="L276" s="15" t="s">
        <v>732</v>
      </c>
      <c r="M276" s="242" t="s">
        <v>731</v>
      </c>
      <c r="N276" s="242" t="s">
        <v>732</v>
      </c>
      <c r="O276" s="242" t="s">
        <v>414</v>
      </c>
      <c r="P276" s="242"/>
      <c r="Q276" s="15"/>
      <c r="R276" s="235" t="str">
        <f>R$12</f>
        <v>XFMR</v>
      </c>
      <c r="S276" s="15" t="str">
        <f>S$12</f>
        <v>DLS</v>
      </c>
      <c r="T276" s="242"/>
      <c r="U276" s="15"/>
      <c r="V276" s="67"/>
      <c r="W276" s="67"/>
      <c r="X276" s="370">
        <f t="shared" si="84"/>
        <v>0</v>
      </c>
    </row>
    <row r="277" spans="1:24" ht="15" thickBot="1">
      <c r="A277" s="67"/>
      <c r="B277" s="16"/>
      <c r="C277" s="16"/>
      <c r="D277" s="16"/>
      <c r="E277" s="16"/>
      <c r="F277" s="16" t="s">
        <v>13</v>
      </c>
      <c r="G277" s="16" t="s">
        <v>14</v>
      </c>
      <c r="H277" s="16" t="s">
        <v>15</v>
      </c>
      <c r="I277" s="16"/>
      <c r="J277" s="243" t="str">
        <f t="shared" si="99" ref="J277:Q277">J$13</f>
        <v>(d)</v>
      </c>
      <c r="K277" s="243" t="str">
        <f t="shared" si="99"/>
        <v>(e)</v>
      </c>
      <c r="L277" s="16" t="str">
        <f t="shared" si="99"/>
        <v>(f)</v>
      </c>
      <c r="M277" s="243" t="str">
        <f t="shared" si="99"/>
        <v>(g)</v>
      </c>
      <c r="N277" s="243" t="str">
        <f t="shared" si="99"/>
        <v>(h)</v>
      </c>
      <c r="O277" s="243" t="str">
        <f>O$13</f>
        <v>(i)</v>
      </c>
      <c r="P277" s="243" t="str">
        <f t="shared" si="99"/>
        <v>(j)</v>
      </c>
      <c r="Q277" s="243" t="str">
        <f t="shared" si="99"/>
        <v>(k)</v>
      </c>
      <c r="R277" s="243" t="str">
        <f>R$13</f>
        <v>(l)</v>
      </c>
      <c r="S277" s="16" t="str">
        <f>S$13</f>
        <v>(m)</v>
      </c>
      <c r="T277" s="16"/>
      <c r="U277" s="16" t="s">
        <v>734</v>
      </c>
      <c r="V277" s="67"/>
      <c r="W277" s="67"/>
      <c r="X277" s="370"/>
    </row>
    <row r="278" spans="1:24" ht="14.25">
      <c r="A278" s="67"/>
      <c r="B278" s="67"/>
      <c r="C278" s="67"/>
      <c r="D278" s="100"/>
      <c r="E278" s="100"/>
      <c r="F278" s="288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67"/>
      <c r="W278" s="67"/>
      <c r="X278" s="370"/>
    </row>
    <row r="279" spans="1:24" ht="15">
      <c r="A279" s="67"/>
      <c r="B279" s="17">
        <v>1</v>
      </c>
      <c r="C279" s="8" t="s">
        <v>574</v>
      </c>
      <c r="D279" s="8"/>
      <c r="E279" s="20" t="s">
        <v>24</v>
      </c>
      <c r="F279" s="22"/>
      <c r="G279" s="20"/>
      <c r="H279" s="20"/>
      <c r="I279" s="20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20"/>
      <c r="U279" s="8"/>
      <c r="V279" s="67"/>
      <c r="W279" s="67"/>
      <c r="X279" s="370">
        <f t="shared" si="100" ref="X279:X340">U279-F279</f>
        <v>0</v>
      </c>
    </row>
    <row r="280" spans="1:24" ht="14.25">
      <c r="A280" s="67"/>
      <c r="B280" s="17">
        <f t="shared" si="101" ref="B280:B315">B279+1</f>
        <v>2</v>
      </c>
      <c r="C280" s="1" t="s">
        <v>61</v>
      </c>
      <c r="D280" s="1" t="s">
        <v>42</v>
      </c>
      <c r="E280" s="17"/>
      <c r="F280" s="118">
        <f>' WP II-I-1.4'!G280</f>
        <v>9695344.3800000008</v>
      </c>
      <c r="G280" s="17">
        <v>54</v>
      </c>
      <c r="H280" s="28" t="str">
        <f t="shared" si="102" ref="H280:H299">VLOOKUP(G280,FactorTable,2)</f>
        <v>PLT 362-373</v>
      </c>
      <c r="I280" s="17"/>
      <c r="J280" s="434">
        <f t="shared" si="103" ref="J280:S289">$F280*HLOOKUP(J$1318,FactorTable,$G280+1)</f>
        <v>5280746.8242197661</v>
      </c>
      <c r="K280" s="434">
        <f t="shared" si="103"/>
        <v>217548.95953457788</v>
      </c>
      <c r="L280" s="434">
        <f t="shared" si="103"/>
        <v>3285205.5401090905</v>
      </c>
      <c r="M280" s="434">
        <f t="shared" si="103"/>
        <v>1115.3965040602768</v>
      </c>
      <c r="N280" s="434">
        <f t="shared" si="103"/>
        <v>472091.95565954287</v>
      </c>
      <c r="O280" s="434">
        <f t="shared" si="103"/>
        <v>37490.170445268785</v>
      </c>
      <c r="P280" s="434">
        <f t="shared" si="103"/>
        <v>8912.0403529414252</v>
      </c>
      <c r="Q280" s="434">
        <f t="shared" si="103"/>
        <v>362113.60077447392</v>
      </c>
      <c r="R280" s="434">
        <f t="shared" si="103"/>
        <v>4493.4315743545576</v>
      </c>
      <c r="S280" s="434">
        <f t="shared" si="103"/>
        <v>25626.460825924765</v>
      </c>
      <c r="T280" s="17"/>
      <c r="U280" s="118">
        <f t="shared" si="104" ref="U280:U300">SUM(I280:T280)</f>
        <v>9695344.3800000008</v>
      </c>
      <c r="V280" s="67"/>
      <c r="W280" s="67"/>
      <c r="X280" s="370">
        <f t="shared" si="100"/>
        <v>0</v>
      </c>
    </row>
    <row r="281" spans="1:24" ht="14.25">
      <c r="A281" s="67"/>
      <c r="B281" s="17">
        <f t="shared" si="101"/>
        <v>3</v>
      </c>
      <c r="C281" s="1" t="s">
        <v>62</v>
      </c>
      <c r="D281" s="31" t="s">
        <v>44</v>
      </c>
      <c r="E281" s="17"/>
      <c r="F281" s="118">
        <f>' WP II-I-1.4'!G281</f>
        <v>41745977.75</v>
      </c>
      <c r="G281" s="17">
        <v>54</v>
      </c>
      <c r="H281" s="28" t="str">
        <f t="shared" si="102"/>
        <v>PLT 362-373</v>
      </c>
      <c r="I281" s="17"/>
      <c r="J281" s="434">
        <f t="shared" si="103"/>
        <v>22737711.089666471</v>
      </c>
      <c r="K281" s="434">
        <f t="shared" si="103"/>
        <v>936717.01265201857</v>
      </c>
      <c r="L281" s="434">
        <f t="shared" si="103"/>
        <v>14145358.019925313</v>
      </c>
      <c r="M281" s="434">
        <f t="shared" si="103"/>
        <v>4802.6471073045159</v>
      </c>
      <c r="N281" s="434">
        <f t="shared" si="103"/>
        <v>2032722.0472510192</v>
      </c>
      <c r="O281" s="434">
        <f t="shared" si="103"/>
        <v>161424.26301848373</v>
      </c>
      <c r="P281" s="434">
        <f t="shared" si="103"/>
        <v>38373.246343725528</v>
      </c>
      <c r="Q281" s="434">
        <f t="shared" si="103"/>
        <v>1559179.9247572029</v>
      </c>
      <c r="R281" s="434">
        <f t="shared" si="103"/>
        <v>19347.708257904378</v>
      </c>
      <c r="S281" s="434">
        <f t="shared" si="103"/>
        <v>110341.79102055803</v>
      </c>
      <c r="T281" s="17"/>
      <c r="U281" s="118">
        <f t="shared" si="104"/>
        <v>41745977.749999993</v>
      </c>
      <c r="V281" s="67"/>
      <c r="W281" s="67"/>
      <c r="X281" s="370">
        <f t="shared" si="100"/>
        <v>0</v>
      </c>
    </row>
    <row r="282" spans="1:24" ht="14.25">
      <c r="A282" s="67"/>
      <c r="B282" s="17">
        <f t="shared" si="101"/>
        <v>4</v>
      </c>
      <c r="C282" s="1" t="s">
        <v>63</v>
      </c>
      <c r="D282" s="1" t="s">
        <v>46</v>
      </c>
      <c r="E282" s="17"/>
      <c r="F282" s="118">
        <f>' WP II-I-1.4'!G282</f>
        <v>463683928.67000002</v>
      </c>
      <c r="G282" s="17">
        <v>28</v>
      </c>
      <c r="H282" s="28" t="str">
        <f t="shared" si="102"/>
        <v>NCP XHV</v>
      </c>
      <c r="I282" s="17"/>
      <c r="J282" s="434">
        <f t="shared" si="103"/>
        <v>244047508.94144669</v>
      </c>
      <c r="K282" s="434">
        <f t="shared" si="103"/>
        <v>5959692.80593374</v>
      </c>
      <c r="L282" s="434">
        <f t="shared" si="103"/>
        <v>157135439.62884456</v>
      </c>
      <c r="M282" s="434">
        <f t="shared" si="103"/>
        <v>88835.140957430587</v>
      </c>
      <c r="N282" s="434">
        <f t="shared" si="103"/>
        <v>37599504.098515801</v>
      </c>
      <c r="O282" s="434">
        <f t="shared" si="103"/>
        <v>13597286.470570862</v>
      </c>
      <c r="P282" s="434">
        <f t="shared" si="103"/>
        <v>0</v>
      </c>
      <c r="Q282" s="434">
        <f t="shared" si="103"/>
        <v>1584936.3217423793</v>
      </c>
      <c r="R282" s="434">
        <f t="shared" si="103"/>
        <v>1629719.8872862877</v>
      </c>
      <c r="S282" s="434">
        <f t="shared" si="103"/>
        <v>2041005.3747022273</v>
      </c>
      <c r="T282" s="17"/>
      <c r="U282" s="118">
        <f t="shared" si="104"/>
        <v>463683928.66999996</v>
      </c>
      <c r="V282" s="67"/>
      <c r="W282" s="67"/>
      <c r="X282" s="370">
        <f t="shared" si="100"/>
        <v>0</v>
      </c>
    </row>
    <row r="283" spans="1:24" ht="14.25">
      <c r="A283" s="67"/>
      <c r="B283" s="17">
        <f t="shared" si="101"/>
        <v>5</v>
      </c>
      <c r="C283" s="1" t="s">
        <v>64</v>
      </c>
      <c r="D283" s="1" t="s">
        <v>65</v>
      </c>
      <c r="E283" s="17"/>
      <c r="F283" s="118">
        <f>' WP II-I-1.4'!G283</f>
        <v>0</v>
      </c>
      <c r="G283" s="17">
        <v>28</v>
      </c>
      <c r="H283" s="28" t="str">
        <f t="shared" si="102"/>
        <v>NCP XHV</v>
      </c>
      <c r="I283" s="17"/>
      <c r="J283" s="434">
        <f t="shared" si="103"/>
        <v>0</v>
      </c>
      <c r="K283" s="434">
        <f t="shared" si="103"/>
        <v>0</v>
      </c>
      <c r="L283" s="434">
        <f t="shared" si="103"/>
        <v>0</v>
      </c>
      <c r="M283" s="434">
        <f t="shared" si="103"/>
        <v>0</v>
      </c>
      <c r="N283" s="434">
        <f t="shared" si="103"/>
        <v>0</v>
      </c>
      <c r="O283" s="434">
        <f t="shared" si="103"/>
        <v>0</v>
      </c>
      <c r="P283" s="434">
        <f t="shared" si="103"/>
        <v>0</v>
      </c>
      <c r="Q283" s="434">
        <f t="shared" si="103"/>
        <v>0</v>
      </c>
      <c r="R283" s="434">
        <f t="shared" si="103"/>
        <v>0</v>
      </c>
      <c r="S283" s="434">
        <f t="shared" si="103"/>
        <v>0</v>
      </c>
      <c r="T283" s="17"/>
      <c r="U283" s="118">
        <f t="shared" si="104"/>
        <v>0</v>
      </c>
      <c r="V283" s="67"/>
      <c r="W283" s="67"/>
      <c r="X283" s="370">
        <f t="shared" si="100"/>
        <v>0</v>
      </c>
    </row>
    <row r="284" spans="1:24" ht="14.25">
      <c r="A284" s="67"/>
      <c r="B284" s="17">
        <f t="shared" si="101"/>
        <v>6</v>
      </c>
      <c r="C284" s="1" t="s">
        <v>380</v>
      </c>
      <c r="D284" s="31" t="s">
        <v>537</v>
      </c>
      <c r="E284" s="17"/>
      <c r="F284" s="118">
        <f>' WP II-I-1.4'!G284</f>
        <v>919027218.5279665</v>
      </c>
      <c r="G284" s="17">
        <v>30</v>
      </c>
      <c r="H284" s="28" t="str">
        <f t="shared" si="102"/>
        <v>NCP XSS</v>
      </c>
      <c r="I284" s="17"/>
      <c r="J284" s="434">
        <f t="shared" si="103"/>
        <v>500128980.44870651</v>
      </c>
      <c r="K284" s="434">
        <f t="shared" si="103"/>
        <v>12213257.573279548</v>
      </c>
      <c r="L284" s="434">
        <f t="shared" si="103"/>
        <v>322019214.84389579</v>
      </c>
      <c r="M284" s="434">
        <f t="shared" si="103"/>
        <v>182050.73539888731</v>
      </c>
      <c r="N284" s="434">
        <f t="shared" si="103"/>
        <v>77053036.647382379</v>
      </c>
      <c r="O284" s="434">
        <f t="shared" si="103"/>
        <v>0</v>
      </c>
      <c r="P284" s="434">
        <f t="shared" si="103"/>
        <v>0</v>
      </c>
      <c r="Q284" s="434">
        <f t="shared" si="103"/>
        <v>3248025.7229723325</v>
      </c>
      <c r="R284" s="434">
        <f t="shared" si="103"/>
        <v>0</v>
      </c>
      <c r="S284" s="434">
        <f t="shared" si="103"/>
        <v>4182652.5563310026</v>
      </c>
      <c r="T284" s="17"/>
      <c r="U284" s="118">
        <f t="shared" si="104"/>
        <v>919027218.5279665</v>
      </c>
      <c r="V284" s="67"/>
      <c r="W284" s="67"/>
      <c r="X284" s="370">
        <f t="shared" si="100"/>
        <v>0</v>
      </c>
    </row>
    <row r="285" spans="1:24" ht="14.25">
      <c r="A285" s="67"/>
      <c r="B285" s="17">
        <f t="shared" si="101"/>
        <v>7</v>
      </c>
      <c r="C285" s="1" t="s">
        <v>382</v>
      </c>
      <c r="D285" s="31" t="s">
        <v>538</v>
      </c>
      <c r="E285" s="17"/>
      <c r="F285" s="118">
        <f>' WP II-I-1.4'!G285</f>
        <v>188692365.2020334</v>
      </c>
      <c r="G285" s="17">
        <v>32</v>
      </c>
      <c r="H285" s="28" t="str">
        <f t="shared" si="102"/>
        <v>NCP SEC</v>
      </c>
      <c r="I285" s="17"/>
      <c r="J285" s="434">
        <f t="shared" si="103"/>
        <v>112666490.33859645</v>
      </c>
      <c r="K285" s="434">
        <f t="shared" si="103"/>
        <v>2751339.9946312765</v>
      </c>
      <c r="L285" s="434">
        <f t="shared" si="103"/>
        <v>72542836.300951317</v>
      </c>
      <c r="M285" s="434">
        <f t="shared" si="103"/>
        <v>0</v>
      </c>
      <c r="N285" s="434">
        <f t="shared" si="103"/>
        <v>0</v>
      </c>
      <c r="O285" s="434">
        <f t="shared" si="103"/>
        <v>0</v>
      </c>
      <c r="P285" s="434">
        <f t="shared" si="103"/>
        <v>0</v>
      </c>
      <c r="Q285" s="434">
        <f t="shared" si="103"/>
        <v>731698.56785435043</v>
      </c>
      <c r="R285" s="434">
        <f t="shared" si="103"/>
        <v>0</v>
      </c>
      <c r="S285" s="434">
        <f t="shared" si="103"/>
        <v>0</v>
      </c>
      <c r="T285" s="17"/>
      <c r="U285" s="118">
        <f t="shared" si="104"/>
        <v>188692365.2020334</v>
      </c>
      <c r="V285" s="67"/>
      <c r="W285" s="67"/>
      <c r="X285" s="370">
        <f t="shared" si="100"/>
        <v>0</v>
      </c>
    </row>
    <row r="286" spans="1:24" ht="14.25">
      <c r="A286" s="67"/>
      <c r="B286" s="17">
        <f t="shared" si="101"/>
        <v>8</v>
      </c>
      <c r="C286" s="1" t="s">
        <v>385</v>
      </c>
      <c r="D286" s="1" t="s">
        <v>539</v>
      </c>
      <c r="E286" s="17"/>
      <c r="F286" s="118">
        <f>' WP II-I-1.4'!G286</f>
        <v>539681426.92537904</v>
      </c>
      <c r="G286" s="17">
        <v>30</v>
      </c>
      <c r="H286" s="28" t="str">
        <f t="shared" si="102"/>
        <v>NCP XSS</v>
      </c>
      <c r="I286" s="17"/>
      <c r="J286" s="434">
        <f t="shared" si="103"/>
        <v>293691325.32071942</v>
      </c>
      <c r="K286" s="434">
        <f t="shared" si="103"/>
        <v>7172005.5093821166</v>
      </c>
      <c r="L286" s="434">
        <f t="shared" si="103"/>
        <v>189099719.63910386</v>
      </c>
      <c r="M286" s="434">
        <f t="shared" si="103"/>
        <v>106905.86597669558</v>
      </c>
      <c r="N286" s="434">
        <f t="shared" si="103"/>
        <v>45247944.705489062</v>
      </c>
      <c r="O286" s="434">
        <f t="shared" si="103"/>
        <v>0</v>
      </c>
      <c r="P286" s="434">
        <f t="shared" si="103"/>
        <v>0</v>
      </c>
      <c r="Q286" s="434">
        <f t="shared" si="103"/>
        <v>1907341.9388728393</v>
      </c>
      <c r="R286" s="434">
        <f t="shared" si="103"/>
        <v>0</v>
      </c>
      <c r="S286" s="434">
        <f t="shared" si="103"/>
        <v>2456183.9458350153</v>
      </c>
      <c r="T286" s="17"/>
      <c r="U286" s="118">
        <f t="shared" si="104"/>
        <v>539681426.92537892</v>
      </c>
      <c r="V286" s="67"/>
      <c r="W286" s="67"/>
      <c r="X286" s="370">
        <f t="shared" si="100"/>
        <v>0</v>
      </c>
    </row>
    <row r="287" spans="1:24" ht="14.25">
      <c r="A287" s="67"/>
      <c r="B287" s="17">
        <f t="shared" si="101"/>
        <v>9</v>
      </c>
      <c r="C287" s="1" t="s">
        <v>387</v>
      </c>
      <c r="D287" s="1" t="s">
        <v>540</v>
      </c>
      <c r="E287" s="17"/>
      <c r="F287" s="118">
        <f>' WP II-I-1.4'!G287</f>
        <v>95646582.564620957</v>
      </c>
      <c r="G287" s="17">
        <v>32</v>
      </c>
      <c r="H287" s="28" t="str">
        <f t="shared" si="102"/>
        <v>NCP SEC</v>
      </c>
      <c r="I287" s="17"/>
      <c r="J287" s="434">
        <f t="shared" si="103"/>
        <v>57109702.127579816</v>
      </c>
      <c r="K287" s="434">
        <f t="shared" si="103"/>
        <v>1394631.2437076194</v>
      </c>
      <c r="L287" s="434">
        <f t="shared" si="103"/>
        <v>36771357.305854321</v>
      </c>
      <c r="M287" s="434">
        <f t="shared" si="103"/>
        <v>0</v>
      </c>
      <c r="N287" s="434">
        <f t="shared" si="103"/>
        <v>0</v>
      </c>
      <c r="O287" s="434">
        <f t="shared" si="103"/>
        <v>0</v>
      </c>
      <c r="P287" s="434">
        <f t="shared" si="103"/>
        <v>0</v>
      </c>
      <c r="Q287" s="434">
        <f t="shared" si="103"/>
        <v>370891.88747919659</v>
      </c>
      <c r="R287" s="434">
        <f t="shared" si="103"/>
        <v>0</v>
      </c>
      <c r="S287" s="434">
        <f t="shared" si="103"/>
        <v>0</v>
      </c>
      <c r="T287" s="17"/>
      <c r="U287" s="118">
        <f t="shared" si="104"/>
        <v>95646582.564620957</v>
      </c>
      <c r="V287" s="67"/>
      <c r="W287" s="67"/>
      <c r="X287" s="370">
        <f t="shared" si="100"/>
        <v>0</v>
      </c>
    </row>
    <row r="288" spans="1:24" ht="14.25">
      <c r="A288" s="67"/>
      <c r="B288" s="17">
        <f t="shared" si="101"/>
        <v>10</v>
      </c>
      <c r="C288" s="1" t="s">
        <v>390</v>
      </c>
      <c r="D288" s="1" t="s">
        <v>391</v>
      </c>
      <c r="E288" s="17"/>
      <c r="F288" s="118">
        <f>' WP II-I-1.4'!G288</f>
        <v>274541023.13815933</v>
      </c>
      <c r="G288" s="17">
        <v>30</v>
      </c>
      <c r="H288" s="28" t="str">
        <f t="shared" si="102"/>
        <v>NCP XSS</v>
      </c>
      <c r="I288" s="17"/>
      <c r="J288" s="434">
        <f t="shared" si="103"/>
        <v>149403542.38186699</v>
      </c>
      <c r="K288" s="434">
        <f t="shared" si="103"/>
        <v>3648466.7291886145</v>
      </c>
      <c r="L288" s="434">
        <f t="shared" si="103"/>
        <v>96196807.810539961</v>
      </c>
      <c r="M288" s="434">
        <f t="shared" si="103"/>
        <v>54384.020572883514</v>
      </c>
      <c r="N288" s="434">
        <f t="shared" si="103"/>
        <v>23018055.494545408</v>
      </c>
      <c r="O288" s="434">
        <f t="shared" si="103"/>
        <v>0</v>
      </c>
      <c r="P288" s="434">
        <f t="shared" si="103"/>
        <v>0</v>
      </c>
      <c r="Q288" s="434">
        <f t="shared" si="103"/>
        <v>970282.80249650567</v>
      </c>
      <c r="R288" s="434">
        <f t="shared" si="103"/>
        <v>0</v>
      </c>
      <c r="S288" s="434">
        <f t="shared" si="103"/>
        <v>1249483.8989489705</v>
      </c>
      <c r="T288" s="17"/>
      <c r="U288" s="118">
        <f t="shared" si="104"/>
        <v>274541023.13815933</v>
      </c>
      <c r="V288" s="67"/>
      <c r="W288" s="67"/>
      <c r="X288" s="370">
        <f t="shared" si="100"/>
        <v>0</v>
      </c>
    </row>
    <row r="289" spans="1:24" ht="14.25">
      <c r="A289" s="67"/>
      <c r="B289" s="17">
        <f t="shared" si="101"/>
        <v>11</v>
      </c>
      <c r="C289" s="1" t="s">
        <v>392</v>
      </c>
      <c r="D289" s="1" t="s">
        <v>393</v>
      </c>
      <c r="E289" s="17"/>
      <c r="F289" s="118">
        <f>' WP II-I-1.4'!G289</f>
        <v>177652501.13184056</v>
      </c>
      <c r="G289" s="17">
        <v>32</v>
      </c>
      <c r="H289" s="28" t="str">
        <f t="shared" si="102"/>
        <v>NCP SEC</v>
      </c>
      <c r="I289" s="17"/>
      <c r="J289" s="434">
        <f t="shared" si="103"/>
        <v>106074688.18872125</v>
      </c>
      <c r="K289" s="434">
        <f t="shared" si="103"/>
        <v>2590366.764373166</v>
      </c>
      <c r="L289" s="434">
        <f t="shared" si="103"/>
        <v>68298557.253565013</v>
      </c>
      <c r="M289" s="434">
        <f t="shared" si="103"/>
        <v>0</v>
      </c>
      <c r="N289" s="434">
        <f t="shared" si="103"/>
        <v>0</v>
      </c>
      <c r="O289" s="434">
        <f t="shared" si="103"/>
        <v>0</v>
      </c>
      <c r="P289" s="434">
        <f t="shared" si="103"/>
        <v>0</v>
      </c>
      <c r="Q289" s="434">
        <f t="shared" si="103"/>
        <v>688888.92518111446</v>
      </c>
      <c r="R289" s="434">
        <f t="shared" si="103"/>
        <v>0</v>
      </c>
      <c r="S289" s="434">
        <f t="shared" si="103"/>
        <v>0</v>
      </c>
      <c r="T289" s="17"/>
      <c r="U289" s="118">
        <f t="shared" si="104"/>
        <v>177652501.13184056</v>
      </c>
      <c r="V289" s="67"/>
      <c r="W289" s="67"/>
      <c r="X289" s="370">
        <f t="shared" si="100"/>
        <v>0</v>
      </c>
    </row>
    <row r="290" spans="1:24" ht="14.25">
      <c r="A290" s="67"/>
      <c r="B290" s="17">
        <f t="shared" si="101"/>
        <v>12</v>
      </c>
      <c r="C290" s="1" t="s">
        <v>395</v>
      </c>
      <c r="D290" s="31" t="s">
        <v>541</v>
      </c>
      <c r="E290" s="30"/>
      <c r="F290" s="118">
        <f>' WP II-I-1.4'!G290</f>
        <v>468956028.37199891</v>
      </c>
      <c r="G290" s="17">
        <v>30</v>
      </c>
      <c r="H290" s="28" t="str">
        <f t="shared" si="102"/>
        <v>NCP XSS</v>
      </c>
      <c r="I290" s="30"/>
      <c r="J290" s="434">
        <f t="shared" si="105" ref="J290:S299">$F290*HLOOKUP(J$1318,FactorTable,$G290+1)</f>
        <v>255202996.8390162</v>
      </c>
      <c r="K290" s="434">
        <f t="shared" si="105"/>
        <v>6232112.2264727829</v>
      </c>
      <c r="L290" s="434">
        <f t="shared" si="105"/>
        <v>164318149.67846614</v>
      </c>
      <c r="M290" s="434">
        <f t="shared" si="105"/>
        <v>92895.823011215733</v>
      </c>
      <c r="N290" s="434">
        <f t="shared" si="105"/>
        <v>39318189.18055138</v>
      </c>
      <c r="O290" s="434">
        <f t="shared" si="105"/>
        <v>0</v>
      </c>
      <c r="P290" s="434">
        <f t="shared" si="105"/>
        <v>0</v>
      </c>
      <c r="Q290" s="434">
        <f t="shared" si="105"/>
        <v>1657384.2562953909</v>
      </c>
      <c r="R290" s="434">
        <f t="shared" si="105"/>
        <v>0</v>
      </c>
      <c r="S290" s="434">
        <f t="shared" si="105"/>
        <v>2134300.3681857619</v>
      </c>
      <c r="T290" s="30"/>
      <c r="U290" s="118">
        <f t="shared" si="104"/>
        <v>468956028.37199885</v>
      </c>
      <c r="V290" s="67"/>
      <c r="W290" s="67"/>
      <c r="X290" s="370">
        <f t="shared" si="100"/>
        <v>0</v>
      </c>
    </row>
    <row r="291" spans="1:24" ht="14.25">
      <c r="A291" s="67"/>
      <c r="B291" s="17">
        <f t="shared" si="101"/>
        <v>13</v>
      </c>
      <c r="C291" s="1" t="s">
        <v>397</v>
      </c>
      <c r="D291" s="31" t="s">
        <v>542</v>
      </c>
      <c r="E291" s="30"/>
      <c r="F291" s="118">
        <f>' WP II-I-1.4'!G291</f>
        <v>109085277.37800108</v>
      </c>
      <c r="G291" s="17">
        <v>32</v>
      </c>
      <c r="H291" s="28" t="str">
        <f t="shared" si="102"/>
        <v>NCP SEC</v>
      </c>
      <c r="I291" s="30"/>
      <c r="J291" s="434">
        <f t="shared" si="105"/>
        <v>65133824.236250706</v>
      </c>
      <c r="K291" s="434">
        <f t="shared" si="105"/>
        <v>1590582.0362906051</v>
      </c>
      <c r="L291" s="434">
        <f t="shared" si="105"/>
        <v>41937867.550726548</v>
      </c>
      <c r="M291" s="434">
        <f t="shared" si="105"/>
        <v>0</v>
      </c>
      <c r="N291" s="434">
        <f t="shared" si="105"/>
        <v>0</v>
      </c>
      <c r="O291" s="434">
        <f t="shared" si="105"/>
        <v>0</v>
      </c>
      <c r="P291" s="434">
        <f t="shared" si="105"/>
        <v>0</v>
      </c>
      <c r="Q291" s="434">
        <f t="shared" si="105"/>
        <v>423003.55473321414</v>
      </c>
      <c r="R291" s="434">
        <f t="shared" si="105"/>
        <v>0</v>
      </c>
      <c r="S291" s="434">
        <f t="shared" si="105"/>
        <v>0</v>
      </c>
      <c r="T291" s="30"/>
      <c r="U291" s="118">
        <f t="shared" si="104"/>
        <v>109085277.37800108</v>
      </c>
      <c r="V291" s="67"/>
      <c r="W291" s="67"/>
      <c r="X291" s="370">
        <f t="shared" si="100"/>
        <v>0</v>
      </c>
    </row>
    <row r="292" spans="1:24" ht="14.25">
      <c r="A292" s="67"/>
      <c r="B292" s="17">
        <f t="shared" si="101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18">
        <f>' WP II-I-1.4'!G292</f>
        <v>43728535.967337929</v>
      </c>
      <c r="G292" s="17">
        <v>30</v>
      </c>
      <c r="H292" s="28" t="str">
        <f t="shared" si="102"/>
        <v>NCP XSS</v>
      </c>
      <c r="I292" s="17"/>
      <c r="J292" s="434">
        <f t="shared" si="105"/>
        <v>23796801.301368419</v>
      </c>
      <c r="K292" s="434">
        <f t="shared" si="105"/>
        <v>581123.0204116801</v>
      </c>
      <c r="L292" s="434">
        <f t="shared" si="105"/>
        <v>15322102.038533598</v>
      </c>
      <c r="M292" s="434">
        <f t="shared" si="105"/>
        <v>8662.2158411386717</v>
      </c>
      <c r="N292" s="434">
        <f t="shared" si="105"/>
        <v>3666285.8471423332</v>
      </c>
      <c r="O292" s="434">
        <f t="shared" si="105"/>
        <v>0</v>
      </c>
      <c r="P292" s="434">
        <f t="shared" si="105"/>
        <v>0</v>
      </c>
      <c r="Q292" s="434">
        <f t="shared" si="105"/>
        <v>154545.3788379961</v>
      </c>
      <c r="R292" s="434">
        <f t="shared" si="105"/>
        <v>0</v>
      </c>
      <c r="S292" s="434">
        <f t="shared" si="105"/>
        <v>199016.16520276369</v>
      </c>
      <c r="T292" s="17"/>
      <c r="U292" s="118">
        <f t="shared" si="104"/>
        <v>43728535.967337929</v>
      </c>
      <c r="V292" s="67"/>
      <c r="W292" s="67"/>
      <c r="X292" s="370">
        <f t="shared" si="100"/>
        <v>0</v>
      </c>
    </row>
    <row r="293" spans="1:24" ht="14.25">
      <c r="A293" s="67"/>
      <c r="B293" s="17">
        <f t="shared" si="101"/>
        <v>15</v>
      </c>
      <c r="C293" s="1" t="s">
        <v>402</v>
      </c>
      <c r="D293" s="1" t="str">
        <f>'WP II-I-1.2'!D40</f>
        <v>Secondary Transformers</v>
      </c>
      <c r="E293" s="17"/>
      <c r="F293" s="118">
        <f>' WP II-I-1.4'!G293</f>
        <v>655156440.1624701</v>
      </c>
      <c r="G293" s="17">
        <v>32</v>
      </c>
      <c r="H293" s="28" t="str">
        <f t="shared" si="102"/>
        <v>NCP SEC</v>
      </c>
      <c r="I293" s="17"/>
      <c r="J293" s="434">
        <f t="shared" si="105"/>
        <v>391187935.22356433</v>
      </c>
      <c r="K293" s="434">
        <f t="shared" si="105"/>
        <v>9552893.7518444546</v>
      </c>
      <c r="L293" s="434">
        <f t="shared" si="105"/>
        <v>251875089.59004724</v>
      </c>
      <c r="M293" s="434">
        <f t="shared" si="105"/>
        <v>0</v>
      </c>
      <c r="N293" s="434">
        <f t="shared" si="105"/>
        <v>0</v>
      </c>
      <c r="O293" s="434">
        <f t="shared" si="105"/>
        <v>0</v>
      </c>
      <c r="P293" s="434">
        <f t="shared" si="105"/>
        <v>0</v>
      </c>
      <c r="Q293" s="434">
        <f t="shared" si="105"/>
        <v>2540521.5970140793</v>
      </c>
      <c r="R293" s="434">
        <f t="shared" si="105"/>
        <v>0</v>
      </c>
      <c r="S293" s="434">
        <f t="shared" si="105"/>
        <v>0</v>
      </c>
      <c r="T293" s="17"/>
      <c r="U293" s="118">
        <f t="shared" si="104"/>
        <v>655156440.1624701</v>
      </c>
      <c r="V293" s="67"/>
      <c r="W293" s="67"/>
      <c r="X293" s="370">
        <f t="shared" si="100"/>
        <v>0</v>
      </c>
    </row>
    <row r="294" spans="1:24" ht="14.25">
      <c r="A294" s="67"/>
      <c r="B294" s="17">
        <f t="shared" si="101"/>
        <v>16</v>
      </c>
      <c r="C294" s="1" t="s">
        <v>404</v>
      </c>
      <c r="D294" s="1" t="str">
        <f>'WP II-I-1.2'!D41</f>
        <v>Capacitors</v>
      </c>
      <c r="E294" s="17"/>
      <c r="F294" s="118">
        <f>' WP II-I-1.4'!G294</f>
        <v>44802017.970192015</v>
      </c>
      <c r="G294" s="17">
        <v>26</v>
      </c>
      <c r="H294" s="28" t="str">
        <f t="shared" si="102"/>
        <v>NCP ALL</v>
      </c>
      <c r="I294" s="17"/>
      <c r="J294" s="434">
        <f t="shared" si="105"/>
        <v>21503975.301082805</v>
      </c>
      <c r="K294" s="434">
        <f t="shared" si="105"/>
        <v>525131.71495468204</v>
      </c>
      <c r="L294" s="434">
        <f t="shared" si="105"/>
        <v>13845814.806141617</v>
      </c>
      <c r="M294" s="434">
        <f t="shared" si="105"/>
        <v>7827.6098178700495</v>
      </c>
      <c r="N294" s="434">
        <f t="shared" si="105"/>
        <v>3313038.5594775104</v>
      </c>
      <c r="O294" s="434">
        <f t="shared" si="105"/>
        <v>1198109.801215207</v>
      </c>
      <c r="P294" s="434">
        <f t="shared" si="105"/>
        <v>3945023.392054229</v>
      </c>
      <c r="Q294" s="434">
        <f t="shared" si="105"/>
        <v>139654.90434370466</v>
      </c>
      <c r="R294" s="434">
        <f t="shared" si="105"/>
        <v>143600.95850146987</v>
      </c>
      <c r="S294" s="434">
        <f t="shared" si="105"/>
        <v>179840.92260291919</v>
      </c>
      <c r="T294" s="17"/>
      <c r="U294" s="118">
        <f t="shared" si="104"/>
        <v>44802017.970192015</v>
      </c>
      <c r="V294" s="67"/>
      <c r="W294" s="67"/>
      <c r="X294" s="370">
        <f t="shared" si="100"/>
        <v>0</v>
      </c>
    </row>
    <row r="295" spans="1:24" ht="14.25">
      <c r="A295" s="67"/>
      <c r="B295" s="17">
        <f t="shared" si="101"/>
        <v>17</v>
      </c>
      <c r="C295" s="1" t="s">
        <v>76</v>
      </c>
      <c r="D295" s="31" t="s">
        <v>77</v>
      </c>
      <c r="E295" s="30"/>
      <c r="F295" s="118">
        <f>' WP II-I-1.4'!G295</f>
        <v>1097314112.99</v>
      </c>
      <c r="G295" s="17">
        <v>7</v>
      </c>
      <c r="H295" s="28" t="str">
        <f t="shared" si="102"/>
        <v>CUS W SEC</v>
      </c>
      <c r="I295" s="30"/>
      <c r="J295" s="434">
        <f t="shared" si="105"/>
        <v>672898775.66889203</v>
      </c>
      <c r="K295" s="434">
        <f t="shared" si="105"/>
        <v>103743662.16745906</v>
      </c>
      <c r="L295" s="434">
        <f t="shared" si="105"/>
        <v>320000914.78593266</v>
      </c>
      <c r="M295" s="434">
        <f t="shared" si="105"/>
        <v>0</v>
      </c>
      <c r="N295" s="434">
        <f t="shared" si="105"/>
        <v>0</v>
      </c>
      <c r="O295" s="434">
        <f t="shared" si="105"/>
        <v>0</v>
      </c>
      <c r="P295" s="434">
        <f t="shared" si="105"/>
        <v>0</v>
      </c>
      <c r="Q295" s="434">
        <f t="shared" si="105"/>
        <v>670760.36771632172</v>
      </c>
      <c r="R295" s="434">
        <f t="shared" si="105"/>
        <v>0</v>
      </c>
      <c r="S295" s="434">
        <f t="shared" si="105"/>
        <v>0</v>
      </c>
      <c r="T295" s="30"/>
      <c r="U295" s="118">
        <f t="shared" si="104"/>
        <v>1097314112.99</v>
      </c>
      <c r="V295" s="67"/>
      <c r="W295" s="67"/>
      <c r="X295" s="370">
        <f t="shared" si="100"/>
        <v>0</v>
      </c>
    </row>
    <row r="296" spans="1:24" ht="14.25">
      <c r="A296" s="67"/>
      <c r="B296" s="17">
        <f t="shared" si="101"/>
        <v>18</v>
      </c>
      <c r="C296" s="1" t="s">
        <v>78</v>
      </c>
      <c r="D296" s="1" t="s">
        <v>79</v>
      </c>
      <c r="E296" s="17"/>
      <c r="F296" s="118">
        <f>' WP II-I-1.4'!G296</f>
        <v>0</v>
      </c>
      <c r="G296" s="17">
        <v>6</v>
      </c>
      <c r="H296" s="28" t="str">
        <f t="shared" si="102"/>
        <v>CUS W ALL</v>
      </c>
      <c r="I296" s="17"/>
      <c r="J296" s="434">
        <f t="shared" si="105"/>
        <v>0</v>
      </c>
      <c r="K296" s="434">
        <f t="shared" si="105"/>
        <v>0</v>
      </c>
      <c r="L296" s="434">
        <f t="shared" si="105"/>
        <v>0</v>
      </c>
      <c r="M296" s="434">
        <f t="shared" si="105"/>
        <v>0</v>
      </c>
      <c r="N296" s="434">
        <f t="shared" si="105"/>
        <v>0</v>
      </c>
      <c r="O296" s="434">
        <f t="shared" si="105"/>
        <v>0</v>
      </c>
      <c r="P296" s="434">
        <f t="shared" si="105"/>
        <v>0</v>
      </c>
      <c r="Q296" s="434">
        <f t="shared" si="105"/>
        <v>0</v>
      </c>
      <c r="R296" s="434">
        <f t="shared" si="105"/>
        <v>0</v>
      </c>
      <c r="S296" s="434">
        <f t="shared" si="105"/>
        <v>0</v>
      </c>
      <c r="T296" s="17"/>
      <c r="U296" s="118">
        <f t="shared" si="104"/>
        <v>0</v>
      </c>
      <c r="V296" s="67"/>
      <c r="W296" s="67"/>
      <c r="X296" s="370">
        <f t="shared" si="100"/>
        <v>0</v>
      </c>
    </row>
    <row r="297" spans="1:24" ht="14.25">
      <c r="A297" s="67"/>
      <c r="B297" s="17">
        <f t="shared" si="101"/>
        <v>19</v>
      </c>
      <c r="C297" s="1" t="s">
        <v>80</v>
      </c>
      <c r="D297" s="1" t="s">
        <v>543</v>
      </c>
      <c r="E297" s="17"/>
      <c r="F297" s="118">
        <f>' WP II-I-1.4'!G297</f>
        <v>75069053.349999994</v>
      </c>
      <c r="G297" s="17">
        <v>33</v>
      </c>
      <c r="H297" s="28" t="str">
        <f t="shared" si="102"/>
        <v>NCP LGT</v>
      </c>
      <c r="I297" s="17"/>
      <c r="J297" s="434">
        <f t="shared" si="105"/>
        <v>0</v>
      </c>
      <c r="K297" s="434">
        <f t="shared" si="105"/>
        <v>0</v>
      </c>
      <c r="L297" s="434">
        <f t="shared" si="105"/>
        <v>0</v>
      </c>
      <c r="M297" s="434">
        <f t="shared" si="105"/>
        <v>0</v>
      </c>
      <c r="N297" s="434">
        <f t="shared" si="105"/>
        <v>0</v>
      </c>
      <c r="O297" s="434">
        <f t="shared" si="105"/>
        <v>0</v>
      </c>
      <c r="P297" s="434">
        <f t="shared" si="105"/>
        <v>0</v>
      </c>
      <c r="Q297" s="434">
        <f t="shared" si="105"/>
        <v>75069053.349999994</v>
      </c>
      <c r="R297" s="434">
        <f t="shared" si="105"/>
        <v>0</v>
      </c>
      <c r="S297" s="434">
        <f t="shared" si="105"/>
        <v>0</v>
      </c>
      <c r="T297" s="17"/>
      <c r="U297" s="118">
        <f t="shared" si="104"/>
        <v>75069053.349999994</v>
      </c>
      <c r="V297" s="67"/>
      <c r="W297" s="67"/>
      <c r="X297" s="370">
        <f t="shared" si="100"/>
        <v>0</v>
      </c>
    </row>
    <row r="298" spans="1:24" ht="14.25">
      <c r="A298" s="67"/>
      <c r="B298" s="17">
        <f t="shared" si="101"/>
        <v>20</v>
      </c>
      <c r="C298" s="1" t="s">
        <v>82</v>
      </c>
      <c r="D298" s="1" t="s">
        <v>544</v>
      </c>
      <c r="E298" s="17"/>
      <c r="F298" s="118">
        <f>' WP II-I-1.4'!G298</f>
        <v>0</v>
      </c>
      <c r="G298" s="17">
        <v>6</v>
      </c>
      <c r="H298" s="28" t="str">
        <f t="shared" si="102"/>
        <v>CUS W ALL</v>
      </c>
      <c r="I298" s="17"/>
      <c r="J298" s="434">
        <f t="shared" si="105"/>
        <v>0</v>
      </c>
      <c r="K298" s="434">
        <f t="shared" si="105"/>
        <v>0</v>
      </c>
      <c r="L298" s="434">
        <f t="shared" si="105"/>
        <v>0</v>
      </c>
      <c r="M298" s="434">
        <f t="shared" si="105"/>
        <v>0</v>
      </c>
      <c r="N298" s="434">
        <f t="shared" si="105"/>
        <v>0</v>
      </c>
      <c r="O298" s="434">
        <f t="shared" si="105"/>
        <v>0</v>
      </c>
      <c r="P298" s="434">
        <f t="shared" si="105"/>
        <v>0</v>
      </c>
      <c r="Q298" s="434">
        <f t="shared" si="105"/>
        <v>0</v>
      </c>
      <c r="R298" s="434">
        <f t="shared" si="105"/>
        <v>0</v>
      </c>
      <c r="S298" s="434">
        <f t="shared" si="105"/>
        <v>0</v>
      </c>
      <c r="T298" s="17"/>
      <c r="U298" s="118">
        <f t="shared" si="104"/>
        <v>0</v>
      </c>
      <c r="V298" s="67"/>
      <c r="W298" s="67"/>
      <c r="X298" s="370">
        <f t="shared" si="100"/>
        <v>0</v>
      </c>
    </row>
    <row r="299" spans="1:24" ht="14.25">
      <c r="A299" s="67"/>
      <c r="B299" s="17">
        <f t="shared" si="101"/>
        <v>21</v>
      </c>
      <c r="C299" s="1" t="s">
        <v>84</v>
      </c>
      <c r="D299" s="1" t="s">
        <v>88</v>
      </c>
      <c r="E299" s="17"/>
      <c r="F299" s="118">
        <f>' WP II-I-1.4'!G299</f>
        <v>372032656.80000001</v>
      </c>
      <c r="G299" s="17">
        <v>33</v>
      </c>
      <c r="H299" s="28" t="str">
        <f t="shared" si="102"/>
        <v>NCP LGT</v>
      </c>
      <c r="I299" s="17"/>
      <c r="J299" s="435">
        <f t="shared" si="105"/>
        <v>0</v>
      </c>
      <c r="K299" s="435">
        <f t="shared" si="105"/>
        <v>0</v>
      </c>
      <c r="L299" s="435">
        <f t="shared" si="105"/>
        <v>0</v>
      </c>
      <c r="M299" s="435">
        <f t="shared" si="105"/>
        <v>0</v>
      </c>
      <c r="N299" s="435">
        <f t="shared" si="105"/>
        <v>0</v>
      </c>
      <c r="O299" s="435">
        <f t="shared" si="105"/>
        <v>0</v>
      </c>
      <c r="P299" s="435">
        <f t="shared" si="105"/>
        <v>0</v>
      </c>
      <c r="Q299" s="435">
        <f t="shared" si="105"/>
        <v>372032656.80000001</v>
      </c>
      <c r="R299" s="435">
        <f t="shared" si="105"/>
        <v>0</v>
      </c>
      <c r="S299" s="435">
        <f t="shared" si="105"/>
        <v>0</v>
      </c>
      <c r="T299" s="17"/>
      <c r="U299" s="118">
        <f t="shared" si="104"/>
        <v>372032656.80000001</v>
      </c>
      <c r="V299" s="67"/>
      <c r="W299" s="67"/>
      <c r="X299" s="370">
        <f t="shared" si="100"/>
        <v>0</v>
      </c>
    </row>
    <row r="300" spans="1:24" ht="15">
      <c r="A300" s="67"/>
      <c r="B300" s="17">
        <f t="shared" si="101"/>
        <v>22</v>
      </c>
      <c r="C300" s="67"/>
      <c r="D300" s="297" t="s">
        <v>491</v>
      </c>
      <c r="E300" s="150"/>
      <c r="F300" s="22">
        <f>SUM(F280:F299)</f>
        <v>5576510491.2799997</v>
      </c>
      <c r="G300" s="150"/>
      <c r="H300" s="150"/>
      <c r="I300" s="150"/>
      <c r="J300" s="22">
        <f t="shared" si="106" ref="J300:Q300">SUM(J280:J299)</f>
        <v>2920865004.2316976</v>
      </c>
      <c r="K300" s="22">
        <f t="shared" si="106"/>
        <v>159109531.51011595</v>
      </c>
      <c r="L300" s="22">
        <f t="shared" si="106"/>
        <v>1766794434.7926374</v>
      </c>
      <c r="M300" s="22">
        <f t="shared" si="106"/>
        <v>547479.45518748625</v>
      </c>
      <c r="N300" s="22">
        <f t="shared" si="106"/>
        <v>231720868.53601444</v>
      </c>
      <c r="O300" s="22">
        <f>SUM(O280:O299)</f>
        <v>14994310.705249822</v>
      </c>
      <c r="P300" s="22">
        <f t="shared" si="106"/>
        <v>3992308.6787508959</v>
      </c>
      <c r="Q300" s="22">
        <f t="shared" si="106"/>
        <v>464110939.90107107</v>
      </c>
      <c r="R300" s="22">
        <f>SUM(R280:R299)</f>
        <v>1797161.9856200165</v>
      </c>
      <c r="S300" s="22">
        <f>SUM(S280:S299)</f>
        <v>12578451.483655144</v>
      </c>
      <c r="T300" s="150"/>
      <c r="U300" s="299">
        <f t="shared" si="104"/>
        <v>5576510491.2799988</v>
      </c>
      <c r="V300" s="67"/>
      <c r="W300" s="67"/>
      <c r="X300" s="370">
        <f t="shared" si="100"/>
        <v>0</v>
      </c>
    </row>
    <row r="301" spans="1:24" ht="14.25">
      <c r="A301" s="67"/>
      <c r="B301" s="17">
        <f t="shared" si="101"/>
        <v>23</v>
      </c>
      <c r="C301" s="67"/>
      <c r="D301" s="1"/>
      <c r="E301" s="17"/>
      <c r="F301" s="19"/>
      <c r="G301" s="17"/>
      <c r="H301" s="17"/>
      <c r="I301" s="17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7"/>
      <c r="U301" s="1"/>
      <c r="V301" s="67"/>
      <c r="W301" s="67"/>
      <c r="X301" s="370">
        <f t="shared" si="100"/>
        <v>0</v>
      </c>
    </row>
    <row r="302" spans="1:24" ht="15">
      <c r="A302" s="67"/>
      <c r="B302" s="17">
        <f t="shared" si="101"/>
        <v>24</v>
      </c>
      <c r="C302" s="67"/>
      <c r="D302" s="297" t="s">
        <v>568</v>
      </c>
      <c r="E302" s="17"/>
      <c r="F302" s="896">
        <f>SUM(F284:F285)</f>
        <v>1107719583.73</v>
      </c>
      <c r="G302" s="17"/>
      <c r="H302" s="17"/>
      <c r="I302" s="17"/>
      <c r="J302" s="22">
        <f t="shared" si="107" ref="J302:Q302">SUM(J284:J285)</f>
        <v>612795470.78730297</v>
      </c>
      <c r="K302" s="22">
        <f t="shared" si="107"/>
        <v>14964597.567910824</v>
      </c>
      <c r="L302" s="22">
        <f t="shared" si="107"/>
        <v>394562051.1448471</v>
      </c>
      <c r="M302" s="22">
        <f t="shared" si="107"/>
        <v>182050.73539888731</v>
      </c>
      <c r="N302" s="22">
        <f t="shared" si="107"/>
        <v>77053036.647382379</v>
      </c>
      <c r="O302" s="22">
        <f>SUM(O284:O285)</f>
        <v>0</v>
      </c>
      <c r="P302" s="22">
        <f t="shared" si="107"/>
        <v>0</v>
      </c>
      <c r="Q302" s="22">
        <f t="shared" si="107"/>
        <v>3979724.2908266829</v>
      </c>
      <c r="R302" s="22">
        <f>SUM(R284:R285)</f>
        <v>0</v>
      </c>
      <c r="S302" s="22">
        <f>SUM(S284:S285)</f>
        <v>4182652.5563310026</v>
      </c>
      <c r="T302" s="17"/>
      <c r="U302" s="299">
        <f>SUM(I302:T302)</f>
        <v>1107719583.7299998</v>
      </c>
      <c r="V302" s="67"/>
      <c r="W302" s="67"/>
      <c r="X302" s="370">
        <f t="shared" si="100"/>
        <v>0</v>
      </c>
    </row>
    <row r="303" spans="1:24" ht="15">
      <c r="A303" s="67"/>
      <c r="B303" s="17">
        <f t="shared" si="101"/>
        <v>25</v>
      </c>
      <c r="C303" s="67"/>
      <c r="D303" s="297" t="s">
        <v>569</v>
      </c>
      <c r="E303" s="17"/>
      <c r="F303" s="896">
        <f>SUM(F286:F287)</f>
        <v>635328009.49000001</v>
      </c>
      <c r="G303" s="17"/>
      <c r="H303" s="17"/>
      <c r="I303" s="17"/>
      <c r="J303" s="22">
        <f t="shared" si="108" ref="J303:Q303">SUM(J286:J287)</f>
        <v>350801027.44829923</v>
      </c>
      <c r="K303" s="22">
        <f t="shared" si="108"/>
        <v>8566636.7530897353</v>
      </c>
      <c r="L303" s="22">
        <f t="shared" si="108"/>
        <v>225871076.94495818</v>
      </c>
      <c r="M303" s="22">
        <f t="shared" si="108"/>
        <v>106905.86597669558</v>
      </c>
      <c r="N303" s="22">
        <f t="shared" si="108"/>
        <v>45247944.705489062</v>
      </c>
      <c r="O303" s="22">
        <f>SUM(O286:O287)</f>
        <v>0</v>
      </c>
      <c r="P303" s="22">
        <f t="shared" si="108"/>
        <v>0</v>
      </c>
      <c r="Q303" s="22">
        <f t="shared" si="108"/>
        <v>2278233.8263520361</v>
      </c>
      <c r="R303" s="22">
        <f>SUM(R286:R287)</f>
        <v>0</v>
      </c>
      <c r="S303" s="22">
        <f>SUM(S286:S287)</f>
        <v>2456183.9458350153</v>
      </c>
      <c r="T303" s="17"/>
      <c r="U303" s="299">
        <f>SUM(I303:T303)</f>
        <v>635328009.48999989</v>
      </c>
      <c r="V303" s="67"/>
      <c r="W303" s="67"/>
      <c r="X303" s="370">
        <f t="shared" si="100"/>
        <v>0</v>
      </c>
    </row>
    <row r="304" spans="1:24" ht="15">
      <c r="A304" s="67"/>
      <c r="B304" s="17">
        <f t="shared" si="101"/>
        <v>26</v>
      </c>
      <c r="C304" s="67"/>
      <c r="D304" s="297" t="s">
        <v>570</v>
      </c>
      <c r="E304" s="17"/>
      <c r="F304" s="22">
        <f>SUM(F288:F289)</f>
        <v>452193524.26999986</v>
      </c>
      <c r="G304" s="17"/>
      <c r="H304" s="17"/>
      <c r="I304" s="17"/>
      <c r="J304" s="22">
        <f t="shared" si="109" ref="J304:Q304">SUM(J288:J289)</f>
        <v>255478230.57058823</v>
      </c>
      <c r="K304" s="22">
        <f t="shared" si="109"/>
        <v>6238833.4935617801</v>
      </c>
      <c r="L304" s="22">
        <f t="shared" si="109"/>
        <v>164495365.06410497</v>
      </c>
      <c r="M304" s="22">
        <f t="shared" si="109"/>
        <v>54384.020572883514</v>
      </c>
      <c r="N304" s="22">
        <f t="shared" si="109"/>
        <v>23018055.494545408</v>
      </c>
      <c r="O304" s="22">
        <f>SUM(O288:O289)</f>
        <v>0</v>
      </c>
      <c r="P304" s="22">
        <f t="shared" si="109"/>
        <v>0</v>
      </c>
      <c r="Q304" s="22">
        <f t="shared" si="109"/>
        <v>1659171.72767762</v>
      </c>
      <c r="R304" s="22">
        <f>SUM(R288:R289)</f>
        <v>0</v>
      </c>
      <c r="S304" s="22">
        <f>SUM(S288:S289)</f>
        <v>1249483.8989489705</v>
      </c>
      <c r="T304" s="17"/>
      <c r="U304" s="299">
        <f>SUM(I304:T304)</f>
        <v>452193524.26999992</v>
      </c>
      <c r="V304" s="67"/>
      <c r="W304" s="67"/>
      <c r="X304" s="370">
        <f t="shared" si="100"/>
        <v>0</v>
      </c>
    </row>
    <row r="305" spans="1:24" ht="15">
      <c r="A305" s="67"/>
      <c r="B305" s="17">
        <f t="shared" si="101"/>
        <v>27</v>
      </c>
      <c r="C305" s="67"/>
      <c r="D305" s="297" t="s">
        <v>571</v>
      </c>
      <c r="E305" s="17"/>
      <c r="F305" s="22">
        <f>SUM(F290:F291)</f>
        <v>578041305.75</v>
      </c>
      <c r="G305" s="17"/>
      <c r="H305" s="17"/>
      <c r="I305" s="17"/>
      <c r="J305" s="22">
        <f t="shared" si="110" ref="J305:Q305">SUM(J290:J291)</f>
        <v>320336821.0752669</v>
      </c>
      <c r="K305" s="22">
        <f t="shared" si="110"/>
        <v>7822694.2627633885</v>
      </c>
      <c r="L305" s="22">
        <f t="shared" si="110"/>
        <v>206256017.22919267</v>
      </c>
      <c r="M305" s="22">
        <f t="shared" si="110"/>
        <v>92895.823011215733</v>
      </c>
      <c r="N305" s="22">
        <f t="shared" si="110"/>
        <v>39318189.18055138</v>
      </c>
      <c r="O305" s="22">
        <f>SUM(O290:O291)</f>
        <v>0</v>
      </c>
      <c r="P305" s="22">
        <f t="shared" si="110"/>
        <v>0</v>
      </c>
      <c r="Q305" s="22">
        <f t="shared" si="110"/>
        <v>2080387.8110286051</v>
      </c>
      <c r="R305" s="22">
        <f>SUM(R290:R291)</f>
        <v>0</v>
      </c>
      <c r="S305" s="22">
        <f>SUM(S290:S291)</f>
        <v>2134300.3681857619</v>
      </c>
      <c r="T305" s="17"/>
      <c r="U305" s="299">
        <f>SUM(I305:T305)</f>
        <v>578041305.74999988</v>
      </c>
      <c r="V305" s="67"/>
      <c r="W305" s="67"/>
      <c r="X305" s="370">
        <f t="shared" si="100"/>
        <v>0</v>
      </c>
    </row>
    <row r="306" spans="1:24" ht="15">
      <c r="A306" s="67"/>
      <c r="B306" s="17">
        <f t="shared" si="101"/>
        <v>28</v>
      </c>
      <c r="C306" s="67"/>
      <c r="D306" s="297" t="s">
        <v>572</v>
      </c>
      <c r="E306" s="17"/>
      <c r="F306" s="22">
        <f>SUM(F292:F294)</f>
        <v>743686994.10000014</v>
      </c>
      <c r="G306" s="17"/>
      <c r="H306" s="17"/>
      <c r="I306" s="17"/>
      <c r="J306" s="22">
        <f t="shared" si="111" ref="J306:Q306">SUM(J292:J294)</f>
        <v>436488711.82601553</v>
      </c>
      <c r="K306" s="22">
        <f t="shared" si="111"/>
        <v>10659148.487210816</v>
      </c>
      <c r="L306" s="22">
        <f t="shared" si="111"/>
        <v>281043006.43472248</v>
      </c>
      <c r="M306" s="22">
        <f t="shared" si="111"/>
        <v>16489.825659008722</v>
      </c>
      <c r="N306" s="22">
        <f t="shared" si="111"/>
        <v>6979324.4066198431</v>
      </c>
      <c r="O306" s="22">
        <f>SUM(O292:O294)</f>
        <v>1198109.801215207</v>
      </c>
      <c r="P306" s="22">
        <f t="shared" si="111"/>
        <v>3945023.392054229</v>
      </c>
      <c r="Q306" s="22">
        <f t="shared" si="111"/>
        <v>2834721.8801957802</v>
      </c>
      <c r="R306" s="22">
        <f>SUM(R292:R294)</f>
        <v>143600.95850146987</v>
      </c>
      <c r="S306" s="22">
        <f>SUM(S292:S294)</f>
        <v>378857.08780568291</v>
      </c>
      <c r="T306" s="17"/>
      <c r="U306" s="299">
        <f>SUM(I306:T306)</f>
        <v>743686994.0999999</v>
      </c>
      <c r="V306" s="67"/>
      <c r="W306" s="67"/>
      <c r="X306" s="370">
        <f t="shared" si="100"/>
        <v>0</v>
      </c>
    </row>
    <row r="307" spans="1:24" ht="15" thickBot="1">
      <c r="A307" s="67"/>
      <c r="B307" s="17">
        <f t="shared" si="101"/>
        <v>29</v>
      </c>
      <c r="C307" s="67"/>
      <c r="D307" s="1"/>
      <c r="E307" s="17"/>
      <c r="F307" s="19"/>
      <c r="G307" s="17"/>
      <c r="H307" s="17"/>
      <c r="I307" s="17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7"/>
      <c r="U307" s="1"/>
      <c r="V307" s="67"/>
      <c r="W307" s="67"/>
      <c r="X307" s="370">
        <f t="shared" si="100"/>
        <v>0</v>
      </c>
    </row>
    <row r="308" spans="1:24" ht="15">
      <c r="A308" s="67"/>
      <c r="B308" s="17">
        <f t="shared" si="101"/>
        <v>30</v>
      </c>
      <c r="C308" s="303" t="s">
        <v>575</v>
      </c>
      <c r="D308" s="304"/>
      <c r="E308" s="305" t="s">
        <v>24</v>
      </c>
      <c r="F308" s="306">
        <f>F254+F266+F300</f>
        <v>5787803816.1199999</v>
      </c>
      <c r="G308" s="305"/>
      <c r="H308" s="437"/>
      <c r="I308" s="857"/>
      <c r="J308" s="439">
        <f t="shared" si="112" ref="J308:Q308">J254+J266+J300</f>
        <v>3035528517.6331363</v>
      </c>
      <c r="K308" s="908">
        <f t="shared" si="112"/>
        <v>162470027.53303063</v>
      </c>
      <c r="L308" s="908">
        <f t="shared" si="112"/>
        <v>1839896164.9981492</v>
      </c>
      <c r="M308" s="908">
        <f t="shared" si="112"/>
        <v>580642.7373478706</v>
      </c>
      <c r="N308" s="908">
        <f t="shared" si="112"/>
        <v>245757239.16672158</v>
      </c>
      <c r="O308" s="908">
        <f>O254+O266+O300</f>
        <v>18454132.939169824</v>
      </c>
      <c r="P308" s="908">
        <f t="shared" si="112"/>
        <v>4107880.6228704704</v>
      </c>
      <c r="Q308" s="908">
        <f t="shared" si="112"/>
        <v>465456982.53950465</v>
      </c>
      <c r="R308" s="908">
        <f>R254+R266+R300</f>
        <v>2211843.3349685366</v>
      </c>
      <c r="S308" s="908">
        <f>S254+S266+S300</f>
        <v>13340384.615100795</v>
      </c>
      <c r="T308" s="438"/>
      <c r="U308" s="307">
        <f>SUM(I308:T308)</f>
        <v>5787803816.1199999</v>
      </c>
      <c r="V308" s="67"/>
      <c r="W308" s="67"/>
      <c r="X308" s="370">
        <f t="shared" si="100"/>
        <v>0</v>
      </c>
    </row>
    <row r="309" spans="1:24" ht="15.75" thickBot="1">
      <c r="A309" s="67"/>
      <c r="B309" s="17">
        <f t="shared" si="101"/>
        <v>31</v>
      </c>
      <c r="C309" s="309" t="s">
        <v>576</v>
      </c>
      <c r="D309" s="310"/>
      <c r="E309" s="311" t="s">
        <v>24</v>
      </c>
      <c r="F309" s="312">
        <f>F266+F300</f>
        <v>5673680968.29</v>
      </c>
      <c r="G309" s="311"/>
      <c r="H309" s="440"/>
      <c r="I309" s="1062"/>
      <c r="J309" s="442">
        <f t="shared" si="113" ref="J309:Q309">J266+J300</f>
        <v>2972008059.6422286</v>
      </c>
      <c r="K309" s="312">
        <f t="shared" si="113"/>
        <v>160358455.95407224</v>
      </c>
      <c r="L309" s="312">
        <f t="shared" si="113"/>
        <v>1799724033.3398788</v>
      </c>
      <c r="M309" s="312">
        <f t="shared" si="113"/>
        <v>566095.91456498508</v>
      </c>
      <c r="N309" s="312">
        <f t="shared" si="113"/>
        <v>239600291.39863524</v>
      </c>
      <c r="O309" s="312">
        <f>O266+O300</f>
        <v>17843783.655879766</v>
      </c>
      <c r="P309" s="312">
        <f t="shared" si="113"/>
        <v>3992308.6787508959</v>
      </c>
      <c r="Q309" s="312">
        <f t="shared" si="113"/>
        <v>464443082.14041054</v>
      </c>
      <c r="R309" s="312">
        <f>R266+R300</f>
        <v>2138689.15326312</v>
      </c>
      <c r="S309" s="312">
        <f>S266+S300</f>
        <v>13006168.412315261</v>
      </c>
      <c r="T309" s="441"/>
      <c r="U309" s="313">
        <f>SUM(I309:T309)</f>
        <v>5673680968.29</v>
      </c>
      <c r="V309" s="67"/>
      <c r="W309" s="67"/>
      <c r="X309" s="370">
        <f t="shared" si="100"/>
        <v>0</v>
      </c>
    </row>
    <row r="310" spans="1:24" ht="15.75" thickBot="1">
      <c r="A310" s="67"/>
      <c r="B310" s="17">
        <f t="shared" si="101"/>
        <v>32</v>
      </c>
      <c r="C310" s="8"/>
      <c r="D310" s="8"/>
      <c r="E310" s="20"/>
      <c r="F310" s="22"/>
      <c r="G310" s="20"/>
      <c r="H310" s="20"/>
      <c r="I310" s="20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0"/>
      <c r="U310" s="22"/>
      <c r="V310" s="67"/>
      <c r="W310" s="67"/>
      <c r="X310" s="370">
        <f t="shared" si="100"/>
        <v>0</v>
      </c>
    </row>
    <row r="311" spans="1:24" ht="15">
      <c r="A311" s="67"/>
      <c r="B311" s="17">
        <f t="shared" si="101"/>
        <v>33</v>
      </c>
      <c r="C311" s="319" t="s">
        <v>577</v>
      </c>
      <c r="D311" s="304"/>
      <c r="E311" s="320"/>
      <c r="F311" s="306">
        <f>F106-F254</f>
        <v>209210524.99000001</v>
      </c>
      <c r="G311" s="320"/>
      <c r="H311" s="448"/>
      <c r="I311" s="1063"/>
      <c r="J311" s="439">
        <f t="shared" si="114" ref="J311:Q311">J106-J254</f>
        <v>116445993.21319775</v>
      </c>
      <c r="K311" s="908">
        <f t="shared" si="114"/>
        <v>3870942.6463481425</v>
      </c>
      <c r="L311" s="908">
        <f t="shared" si="114"/>
        <v>73643734.922507077</v>
      </c>
      <c r="M311" s="908">
        <f t="shared" si="114"/>
        <v>26667.301852451274</v>
      </c>
      <c r="N311" s="908">
        <f t="shared" si="114"/>
        <v>11286944.721324613</v>
      </c>
      <c r="O311" s="908">
        <f>O106-O254</f>
        <v>1118895.0890412012</v>
      </c>
      <c r="P311" s="908">
        <f t="shared" si="114"/>
        <v>211867.0149152652</v>
      </c>
      <c r="Q311" s="908">
        <f t="shared" si="114"/>
        <v>1858686.8345418307</v>
      </c>
      <c r="R311" s="908">
        <f>R106-R254</f>
        <v>134106.57945201403</v>
      </c>
      <c r="S311" s="641">
        <f>S106-S254</f>
        <v>612686.66681962484</v>
      </c>
      <c r="T311" s="449"/>
      <c r="U311" s="307">
        <f>SUM(I311:T311)</f>
        <v>209210524.99000001</v>
      </c>
      <c r="V311" s="67"/>
      <c r="W311" s="67"/>
      <c r="X311" s="370">
        <f t="shared" si="100"/>
        <v>0</v>
      </c>
    </row>
    <row r="312" spans="1:24" ht="15">
      <c r="A312" s="67"/>
      <c r="B312" s="17">
        <f t="shared" si="101"/>
        <v>34</v>
      </c>
      <c r="C312" s="234" t="s">
        <v>578</v>
      </c>
      <c r="D312" s="286"/>
      <c r="E312" s="321"/>
      <c r="F312" s="322">
        <f>F118-F266</f>
        <v>284690173.85000002</v>
      </c>
      <c r="G312" s="321"/>
      <c r="H312" s="450"/>
      <c r="I312" s="1064"/>
      <c r="J312" s="642">
        <f t="shared" si="115" ref="J312:Q312">J118-J266</f>
        <v>149838981.79841113</v>
      </c>
      <c r="K312" s="322">
        <f t="shared" si="115"/>
        <v>3659100.2536587236</v>
      </c>
      <c r="L312" s="322">
        <f t="shared" si="115"/>
        <v>96477175.204770595</v>
      </c>
      <c r="M312" s="322">
        <f t="shared" si="115"/>
        <v>54542.523817251393</v>
      </c>
      <c r="N312" s="322">
        <f t="shared" si="115"/>
        <v>23085142.047479391</v>
      </c>
      <c r="O312" s="322">
        <f>O118-O266</f>
        <v>8348389.0854238346</v>
      </c>
      <c r="P312" s="322">
        <f t="shared" si="115"/>
        <v>0</v>
      </c>
      <c r="Q312" s="322">
        <f t="shared" si="115"/>
        <v>973110.70985844778</v>
      </c>
      <c r="R312" s="322">
        <f>R118-R266</f>
        <v>1000606.6834559967</v>
      </c>
      <c r="S312" s="323">
        <f>S118-S266</f>
        <v>1253125.543124642</v>
      </c>
      <c r="T312" s="451"/>
      <c r="U312" s="323">
        <f>SUM(I312:T312)</f>
        <v>284690173.84999996</v>
      </c>
      <c r="V312" s="67"/>
      <c r="W312" s="67"/>
      <c r="X312" s="370">
        <f t="shared" si="100"/>
        <v>0</v>
      </c>
    </row>
    <row r="313" spans="1:24" ht="15">
      <c r="A313" s="67"/>
      <c r="B313" s="17">
        <f t="shared" si="101"/>
        <v>35</v>
      </c>
      <c r="C313" s="234" t="s">
        <v>579</v>
      </c>
      <c r="D313" s="286"/>
      <c r="E313" s="321"/>
      <c r="F313" s="322">
        <f>F154-F300</f>
        <v>9042309241.5699997</v>
      </c>
      <c r="G313" s="321"/>
      <c r="H313" s="450"/>
      <c r="I313" s="1064"/>
      <c r="J313" s="642">
        <f t="shared" si="116" ref="J313:Q313">J154-J300</f>
        <v>5041542812.5898514</v>
      </c>
      <c r="K313" s="322">
        <f t="shared" si="116"/>
        <v>168914816.86327031</v>
      </c>
      <c r="L313" s="322">
        <f t="shared" si="116"/>
        <v>3186699293.1129718</v>
      </c>
      <c r="M313" s="322">
        <f t="shared" si="116"/>
        <v>1134336.0414486711</v>
      </c>
      <c r="N313" s="322">
        <f t="shared" si="116"/>
        <v>480108121.40188324</v>
      </c>
      <c r="O313" s="322">
        <f>O154-O300</f>
        <v>41534062.296515077</v>
      </c>
      <c r="P313" s="322">
        <f t="shared" si="116"/>
        <v>9445430.7418611608</v>
      </c>
      <c r="Q313" s="322">
        <f t="shared" si="116"/>
        <v>81890650.661846638</v>
      </c>
      <c r="R313" s="322">
        <f>R154-R300</f>
        <v>4978117.3229614524</v>
      </c>
      <c r="S313" s="323">
        <f>S154-S300</f>
        <v>26061600.537388835</v>
      </c>
      <c r="T313" s="451"/>
      <c r="U313" s="325">
        <f>SUM(I313:T313)</f>
        <v>9042309241.5699997</v>
      </c>
      <c r="V313" s="67"/>
      <c r="W313" s="67"/>
      <c r="X313" s="370">
        <f t="shared" si="100"/>
        <v>0</v>
      </c>
    </row>
    <row r="314" spans="1:24" ht="15">
      <c r="A314" s="67"/>
      <c r="B314" s="17">
        <f t="shared" si="101"/>
        <v>36</v>
      </c>
      <c r="C314" s="234" t="s">
        <v>580</v>
      </c>
      <c r="D314" s="286"/>
      <c r="E314" s="321"/>
      <c r="F314" s="322">
        <f>SUM(F312:F313)</f>
        <v>9326999415.4200001</v>
      </c>
      <c r="G314" s="321"/>
      <c r="H314" s="450"/>
      <c r="I314" s="1064"/>
      <c r="J314" s="642">
        <f t="shared" si="117" ref="J314:Q314">SUM(J312:J313)</f>
        <v>5191381794.3882627</v>
      </c>
      <c r="K314" s="322">
        <f t="shared" si="117"/>
        <v>172573917.11692902</v>
      </c>
      <c r="L314" s="322">
        <f t="shared" si="117"/>
        <v>3283176468.3177423</v>
      </c>
      <c r="M314" s="322">
        <f t="shared" si="117"/>
        <v>1188878.5652659226</v>
      </c>
      <c r="N314" s="322">
        <f t="shared" si="117"/>
        <v>503193263.44936264</v>
      </c>
      <c r="O314" s="322">
        <f>SUM(O312:O313)</f>
        <v>49882451.381938912</v>
      </c>
      <c r="P314" s="322">
        <f t="shared" si="117"/>
        <v>9445430.7418611608</v>
      </c>
      <c r="Q314" s="322">
        <f t="shared" si="117"/>
        <v>82863761.371705085</v>
      </c>
      <c r="R314" s="322">
        <f>SUM(R312:R313)</f>
        <v>5978724.0064174496</v>
      </c>
      <c r="S314" s="323">
        <f>SUM(S312:S313)</f>
        <v>27314726.080513477</v>
      </c>
      <c r="T314" s="451"/>
      <c r="U314" s="325">
        <f>SUM(I314:T314)</f>
        <v>9326999415.4199982</v>
      </c>
      <c r="V314" s="67"/>
      <c r="W314" s="67"/>
      <c r="X314" s="370">
        <f t="shared" si="100"/>
        <v>0</v>
      </c>
    </row>
    <row r="315" spans="1:24" ht="15.75" thickBot="1">
      <c r="A315" s="67"/>
      <c r="B315" s="17">
        <f t="shared" si="101"/>
        <v>37</v>
      </c>
      <c r="C315" s="326" t="s">
        <v>581</v>
      </c>
      <c r="D315" s="310"/>
      <c r="E315" s="327"/>
      <c r="F315" s="312">
        <f>SUM(F311:F313)</f>
        <v>9536209940.4099998</v>
      </c>
      <c r="G315" s="327"/>
      <c r="H315" s="452"/>
      <c r="I315" s="1065"/>
      <c r="J315" s="442">
        <f t="shared" si="118" ref="J315:Q315">SUM(J311:J313)</f>
        <v>5307827787.6014605</v>
      </c>
      <c r="K315" s="312">
        <f t="shared" si="118"/>
        <v>176444859.76327717</v>
      </c>
      <c r="L315" s="312">
        <f t="shared" si="118"/>
        <v>3356820203.2402496</v>
      </c>
      <c r="M315" s="312">
        <f t="shared" si="118"/>
        <v>1215545.8671183738</v>
      </c>
      <c r="N315" s="312">
        <f t="shared" si="118"/>
        <v>514480208.17068726</v>
      </c>
      <c r="O315" s="312">
        <f>SUM(O311:O313)</f>
        <v>51001346.470980115</v>
      </c>
      <c r="P315" s="312">
        <f t="shared" si="118"/>
        <v>9657297.756776426</v>
      </c>
      <c r="Q315" s="312">
        <f t="shared" si="118"/>
        <v>84722448.206246912</v>
      </c>
      <c r="R315" s="312">
        <f>SUM(R311:R313)</f>
        <v>6112830.5858694632</v>
      </c>
      <c r="S315" s="443">
        <f>SUM(S311:S313)</f>
        <v>27927412.747333102</v>
      </c>
      <c r="T315" s="453"/>
      <c r="U315" s="313">
        <f>SUM(I315:T315)</f>
        <v>9536209940.4099998</v>
      </c>
      <c r="V315" s="67"/>
      <c r="W315" s="67"/>
      <c r="X315" s="370">
        <f t="shared" si="100"/>
        <v>0</v>
      </c>
    </row>
    <row r="316" spans="1:24" ht="14.25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X316" s="370">
        <f t="shared" si="100"/>
        <v>0</v>
      </c>
    </row>
    <row r="317" spans="1:24" ht="14.25">
      <c r="A317" s="67"/>
      <c r="B317" s="17"/>
      <c r="C317" s="1"/>
      <c r="D317" s="1"/>
      <c r="E317" s="17"/>
      <c r="F317" s="18"/>
      <c r="G317" s="17"/>
      <c r="H317" s="134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34"/>
      <c r="V317" s="134">
        <f>$H$2</f>
        <v>0</v>
      </c>
      <c r="W317" s="134"/>
      <c r="X317" s="370"/>
    </row>
    <row r="318" spans="1:24" ht="15" thickBot="1">
      <c r="A318" s="67"/>
      <c r="B318" s="17"/>
      <c r="C318" s="1"/>
      <c r="D318" s="1"/>
      <c r="E318" s="17"/>
      <c r="F318" s="1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"/>
      <c r="V318" s="67"/>
      <c r="W318" s="67"/>
      <c r="X318" s="370">
        <f t="shared" si="100"/>
        <v>0</v>
      </c>
    </row>
    <row r="319" spans="1:24" ht="15">
      <c r="A319" s="67"/>
      <c r="B319" s="920" t="str">
        <f>+$B$4</f>
        <v>2022 RATE CASE</v>
      </c>
      <c r="C319" s="935"/>
      <c r="D319" s="620"/>
      <c r="F319" s="12"/>
      <c r="U319" s="134"/>
      <c r="X319" s="370">
        <f t="shared" si="100"/>
        <v>0</v>
      </c>
    </row>
    <row r="320" spans="1:24" ht="15">
      <c r="A320" s="67"/>
      <c r="B320" s="917" t="str">
        <f>+$B$5</f>
        <v>ONCOR ELECTRIC DELIVERY COMPANY LLC</v>
      </c>
      <c r="C320" s="8"/>
      <c r="D320" s="621"/>
      <c r="F320" s="12"/>
      <c r="U320" s="134"/>
      <c r="V320" s="67"/>
      <c r="W320" s="67"/>
      <c r="X320" s="370">
        <f t="shared" si="100"/>
        <v>0</v>
      </c>
    </row>
    <row r="321" spans="1:24" ht="15">
      <c r="A321" s="67"/>
      <c r="B321" s="917" t="str">
        <f>+$B$6</f>
        <v>II-I-1-DIST:  CLASS REVENUE REQUIREMENT</v>
      </c>
      <c r="C321" s="85"/>
      <c r="D321" s="621"/>
      <c r="F321" s="12"/>
      <c r="U321" s="12"/>
      <c r="V321" s="67"/>
      <c r="W321" s="67"/>
      <c r="X321" s="370">
        <f t="shared" si="100"/>
        <v>0</v>
      </c>
    </row>
    <row r="322" spans="1:24" ht="15">
      <c r="A322" s="67"/>
      <c r="B322" s="406" t="str">
        <f>+$B$7</f>
        <v>TEST YEAR ENDING 12/31/2021</v>
      </c>
      <c r="C322" s="85"/>
      <c r="D322" s="621"/>
      <c r="F322" s="12"/>
      <c r="U322" s="12"/>
      <c r="V322" s="67"/>
      <c r="W322" s="67"/>
      <c r="X322" s="370">
        <f t="shared" si="100"/>
        <v>0</v>
      </c>
    </row>
    <row r="323" spans="1:24" ht="15">
      <c r="A323" s="67"/>
      <c r="B323" s="406" t="str">
        <f>+$B$8</f>
        <v>SPONSOR:  MATTHEW A. TROXLE</v>
      </c>
      <c r="C323" s="85"/>
      <c r="D323" s="621"/>
      <c r="F323" s="12"/>
      <c r="U323" s="12"/>
      <c r="V323" s="67"/>
      <c r="W323" s="67"/>
      <c r="X323" s="370">
        <f t="shared" si="100"/>
        <v>0</v>
      </c>
    </row>
    <row r="324" spans="1:24" ht="15.75" thickBot="1">
      <c r="A324" s="67"/>
      <c r="B324" s="410"/>
      <c r="C324" s="934"/>
      <c r="D324" s="622"/>
      <c r="F324" s="12"/>
      <c r="U324" s="12"/>
      <c r="V324" s="67"/>
      <c r="W324" s="67"/>
      <c r="X324" s="370">
        <f t="shared" si="100"/>
        <v>0</v>
      </c>
    </row>
    <row r="325" spans="1:24" ht="15" thickBot="1">
      <c r="A325" s="67"/>
      <c r="B325" s="13"/>
      <c r="C325" s="14"/>
      <c r="D325" s="14"/>
      <c r="E325" s="14"/>
      <c r="F325" s="13"/>
      <c r="G325" s="14"/>
      <c r="H325" s="14"/>
      <c r="I325" s="14"/>
      <c r="J325" s="238"/>
      <c r="K325" s="238"/>
      <c r="L325" s="14"/>
      <c r="M325" s="238"/>
      <c r="N325" s="238"/>
      <c r="O325" s="238"/>
      <c r="P325" s="238"/>
      <c r="Q325" s="14"/>
      <c r="R325" s="393" t="str">
        <f>R$10</f>
        <v xml:space="preserve"> </v>
      </c>
      <c r="S325" s="394"/>
      <c r="T325" s="238"/>
      <c r="U325" s="13"/>
      <c r="V325" s="67"/>
      <c r="W325" s="67"/>
      <c r="X325" s="370">
        <f t="shared" si="100"/>
        <v>0</v>
      </c>
    </row>
    <row r="326" spans="1:24" ht="15">
      <c r="A326" s="67"/>
      <c r="B326" s="15" t="s">
        <v>2</v>
      </c>
      <c r="C326" s="15" t="s">
        <v>370</v>
      </c>
      <c r="D326" s="287" t="s">
        <v>582</v>
      </c>
      <c r="E326" s="15" t="s">
        <v>371</v>
      </c>
      <c r="F326" s="287" t="str">
        <f>F$11</f>
        <v>DIST</v>
      </c>
      <c r="G326" s="242" t="s">
        <v>741</v>
      </c>
      <c r="H326" s="242" t="s">
        <v>376</v>
      </c>
      <c r="I326" s="15"/>
      <c r="J326" s="242" t="s">
        <v>730</v>
      </c>
      <c r="K326" s="242" t="s">
        <v>409</v>
      </c>
      <c r="L326" s="15" t="s">
        <v>409</v>
      </c>
      <c r="M326" s="242" t="s">
        <v>410</v>
      </c>
      <c r="N326" s="242" t="s">
        <v>410</v>
      </c>
      <c r="O326" s="242" t="s">
        <v>410</v>
      </c>
      <c r="P326" s="242" t="s">
        <v>411</v>
      </c>
      <c r="Q326" s="15" t="s">
        <v>412</v>
      </c>
      <c r="R326" s="396" t="str">
        <f>R$11</f>
        <v>Wholesale</v>
      </c>
      <c r="S326" s="13" t="str">
        <f>S$11</f>
        <v>Wholesale</v>
      </c>
      <c r="T326" s="242"/>
      <c r="U326" s="15" t="s">
        <v>10</v>
      </c>
      <c r="V326" s="67"/>
      <c r="W326" s="67"/>
      <c r="X326" s="370"/>
    </row>
    <row r="327" spans="1:24" ht="14.25">
      <c r="A327" s="67"/>
      <c r="B327" s="15"/>
      <c r="C327" s="15"/>
      <c r="D327" s="15"/>
      <c r="E327" s="15"/>
      <c r="F327" s="15"/>
      <c r="G327" s="242" t="s">
        <v>742</v>
      </c>
      <c r="H327" s="242" t="s">
        <v>743</v>
      </c>
      <c r="I327" s="15"/>
      <c r="J327" s="242"/>
      <c r="K327" s="242" t="s">
        <v>731</v>
      </c>
      <c r="L327" s="15" t="s">
        <v>732</v>
      </c>
      <c r="M327" s="242" t="s">
        <v>731</v>
      </c>
      <c r="N327" s="242" t="s">
        <v>732</v>
      </c>
      <c r="O327" s="242" t="s">
        <v>414</v>
      </c>
      <c r="P327" s="242"/>
      <c r="Q327" s="15"/>
      <c r="R327" s="235" t="str">
        <f>R$12</f>
        <v>XFMR</v>
      </c>
      <c r="S327" s="15" t="str">
        <f>S$12</f>
        <v>DLS</v>
      </c>
      <c r="T327" s="242"/>
      <c r="U327" s="15"/>
      <c r="V327" s="67"/>
      <c r="W327" s="67"/>
      <c r="X327" s="370">
        <f t="shared" si="100"/>
        <v>0</v>
      </c>
    </row>
    <row r="328" spans="1:24" ht="15" thickBot="1">
      <c r="A328" s="67"/>
      <c r="B328" s="16"/>
      <c r="C328" s="16"/>
      <c r="D328" s="16"/>
      <c r="E328" s="16"/>
      <c r="F328" s="16" t="s">
        <v>13</v>
      </c>
      <c r="G328" s="16" t="s">
        <v>14</v>
      </c>
      <c r="H328" s="16" t="s">
        <v>15</v>
      </c>
      <c r="I328" s="16"/>
      <c r="J328" s="243" t="str">
        <f t="shared" si="119" ref="J328:Q328">J$13</f>
        <v>(d)</v>
      </c>
      <c r="K328" s="243" t="str">
        <f t="shared" si="119"/>
        <v>(e)</v>
      </c>
      <c r="L328" s="16" t="str">
        <f t="shared" si="119"/>
        <v>(f)</v>
      </c>
      <c r="M328" s="243" t="str">
        <f t="shared" si="119"/>
        <v>(g)</v>
      </c>
      <c r="N328" s="243" t="str">
        <f t="shared" si="119"/>
        <v>(h)</v>
      </c>
      <c r="O328" s="243" t="str">
        <f>O$13</f>
        <v>(i)</v>
      </c>
      <c r="P328" s="243" t="str">
        <f t="shared" si="119"/>
        <v>(j)</v>
      </c>
      <c r="Q328" s="243" t="str">
        <f t="shared" si="119"/>
        <v>(k)</v>
      </c>
      <c r="R328" s="243" t="str">
        <f>R$13</f>
        <v>(l)</v>
      </c>
      <c r="S328" s="16" t="str">
        <f>S$13</f>
        <v>(m)</v>
      </c>
      <c r="T328" s="16"/>
      <c r="U328" s="16" t="s">
        <v>734</v>
      </c>
      <c r="V328" s="67"/>
      <c r="W328" s="67"/>
      <c r="X328" s="370"/>
    </row>
    <row r="329" spans="1:24" ht="14.25">
      <c r="A329" s="67"/>
      <c r="B329" s="6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"/>
      <c r="V329" s="67"/>
      <c r="W329" s="67"/>
      <c r="X329" s="370">
        <f t="shared" si="100"/>
        <v>0</v>
      </c>
    </row>
    <row r="330" spans="1:24" ht="14.25">
      <c r="A330" s="67"/>
      <c r="B330" s="17"/>
      <c r="C330" s="1"/>
      <c r="D330" s="1"/>
      <c r="E330" s="17"/>
      <c r="F330" s="1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"/>
      <c r="V330" s="67"/>
      <c r="W330" s="67"/>
      <c r="X330" s="370">
        <f t="shared" si="100"/>
        <v>0</v>
      </c>
    </row>
    <row r="331" spans="1:24" ht="15">
      <c r="A331" s="67"/>
      <c r="B331" s="17">
        <f t="shared" si="120" ref="B331:B354">B330+1</f>
        <v>1</v>
      </c>
      <c r="C331" s="8" t="s">
        <v>301</v>
      </c>
      <c r="D331" s="1"/>
      <c r="E331" s="20" t="s">
        <v>36</v>
      </c>
      <c r="F331" s="18"/>
      <c r="G331" s="20"/>
      <c r="H331" s="20"/>
      <c r="I331" s="20"/>
      <c r="J331" s="1059"/>
      <c r="K331" s="1059"/>
      <c r="L331" s="1059"/>
      <c r="M331" s="1059"/>
      <c r="N331" s="1059"/>
      <c r="O331" s="1059"/>
      <c r="P331" s="1059"/>
      <c r="Q331" s="1059"/>
      <c r="R331" s="1059"/>
      <c r="S331" s="1059"/>
      <c r="T331" s="20"/>
      <c r="U331" s="1"/>
      <c r="V331" s="67"/>
      <c r="W331" s="67"/>
      <c r="X331" s="370">
        <f t="shared" si="100"/>
        <v>0</v>
      </c>
    </row>
    <row r="332" spans="1:24" ht="15">
      <c r="A332" s="67"/>
      <c r="B332" s="17">
        <f t="shared" si="120"/>
        <v>2</v>
      </c>
      <c r="C332" s="8" t="s">
        <v>583</v>
      </c>
      <c r="D332" s="8"/>
      <c r="E332" s="20"/>
      <c r="F332" s="8"/>
      <c r="G332" s="20"/>
      <c r="H332" s="20"/>
      <c r="I332" s="20"/>
      <c r="J332" s="1059"/>
      <c r="K332" s="1059"/>
      <c r="L332" s="1059"/>
      <c r="M332" s="1059"/>
      <c r="N332" s="1059"/>
      <c r="O332" s="1059"/>
      <c r="P332" s="1059"/>
      <c r="Q332" s="1059"/>
      <c r="R332" s="1059"/>
      <c r="S332" s="1059"/>
      <c r="T332" s="20"/>
      <c r="U332" s="8"/>
      <c r="V332" s="67"/>
      <c r="W332" s="67"/>
      <c r="X332" s="370">
        <f t="shared" si="100"/>
        <v>0</v>
      </c>
    </row>
    <row r="333" spans="1:24" ht="14.25">
      <c r="A333" s="67"/>
      <c r="B333" s="17">
        <f t="shared" si="120"/>
        <v>3</v>
      </c>
      <c r="C333" s="1" t="s">
        <v>91</v>
      </c>
      <c r="D333" s="1" t="s">
        <v>40</v>
      </c>
      <c r="E333" s="17"/>
      <c r="F333" s="118">
        <f>' WP II-I-1.4'!G333</f>
        <v>0</v>
      </c>
      <c r="G333" s="17">
        <v>61</v>
      </c>
      <c r="H333" s="47" t="str">
        <f t="shared" si="121" ref="H333:H341">VLOOKUP(G333,FactorTable,2)</f>
        <v>PLTOPER_N</v>
      </c>
      <c r="I333" s="17"/>
      <c r="J333" s="434">
        <f t="shared" si="122" ref="J333:S341">$F333*HLOOKUP(J$1318,FactorTable,$G333+1)</f>
        <v>0</v>
      </c>
      <c r="K333" s="434">
        <f t="shared" si="122"/>
        <v>0</v>
      </c>
      <c r="L333" s="434">
        <f t="shared" si="122"/>
        <v>0</v>
      </c>
      <c r="M333" s="434">
        <f t="shared" si="122"/>
        <v>0</v>
      </c>
      <c r="N333" s="434">
        <f t="shared" si="122"/>
        <v>0</v>
      </c>
      <c r="O333" s="434">
        <f t="shared" si="122"/>
        <v>0</v>
      </c>
      <c r="P333" s="434">
        <f t="shared" si="122"/>
        <v>0</v>
      </c>
      <c r="Q333" s="434">
        <f t="shared" si="122"/>
        <v>0</v>
      </c>
      <c r="R333" s="434">
        <f t="shared" si="122"/>
        <v>0</v>
      </c>
      <c r="S333" s="434">
        <f t="shared" si="122"/>
        <v>0</v>
      </c>
      <c r="T333" s="17"/>
      <c r="U333" s="118">
        <f t="shared" si="123" ref="U333:U342">SUM(I333:T333)</f>
        <v>0</v>
      </c>
      <c r="V333" s="67"/>
      <c r="W333" s="67"/>
      <c r="X333" s="370">
        <f t="shared" si="100"/>
        <v>0</v>
      </c>
    </row>
    <row r="334" spans="1:24" ht="15">
      <c r="A334" s="67"/>
      <c r="B334" s="17">
        <f t="shared" si="120"/>
        <v>4</v>
      </c>
      <c r="C334" s="1" t="s">
        <v>92</v>
      </c>
      <c r="D334" s="1" t="s">
        <v>42</v>
      </c>
      <c r="E334" s="20"/>
      <c r="F334" s="118">
        <f>' WP II-I-1.4'!G334</f>
        <v>13158.09</v>
      </c>
      <c r="G334" s="17">
        <v>61</v>
      </c>
      <c r="H334" s="47" t="str">
        <f t="shared" si="121"/>
        <v>PLTOPER_N</v>
      </c>
      <c r="I334" s="1010"/>
      <c r="J334" s="434">
        <f t="shared" si="122"/>
        <v>7323.7561012376555</v>
      </c>
      <c r="K334" s="434">
        <f t="shared" si="122"/>
        <v>243.45912677156957</v>
      </c>
      <c r="L334" s="434">
        <f t="shared" si="122"/>
        <v>4631.7502051716037</v>
      </c>
      <c r="M334" s="434">
        <f t="shared" si="122"/>
        <v>1.6772136958620636</v>
      </c>
      <c r="N334" s="434">
        <f t="shared" si="122"/>
        <v>709.88127617056091</v>
      </c>
      <c r="O334" s="434">
        <f t="shared" si="122"/>
        <v>70.37180506509344</v>
      </c>
      <c r="P334" s="434">
        <f t="shared" si="122"/>
        <v>13.325167318516376</v>
      </c>
      <c r="Q334" s="434">
        <f t="shared" si="122"/>
        <v>116.90027856813381</v>
      </c>
      <c r="R334" s="434">
        <f t="shared" si="122"/>
        <v>8.4345012857555659</v>
      </c>
      <c r="S334" s="434">
        <f t="shared" si="122"/>
        <v>38.534324715250257</v>
      </c>
      <c r="T334" s="1010"/>
      <c r="U334" s="118">
        <f t="shared" si="123"/>
        <v>13158.090000000002</v>
      </c>
      <c r="V334" s="67"/>
      <c r="W334" s="67"/>
      <c r="X334" s="370">
        <f t="shared" si="100"/>
        <v>0</v>
      </c>
    </row>
    <row r="335" spans="1:24" ht="15">
      <c r="A335" s="67"/>
      <c r="B335" s="17">
        <f t="shared" si="120"/>
        <v>5</v>
      </c>
      <c r="C335" s="1" t="s">
        <v>93</v>
      </c>
      <c r="D335" s="1" t="s">
        <v>44</v>
      </c>
      <c r="E335" s="20"/>
      <c r="F335" s="118">
        <f>' WP II-I-1.4'!G335</f>
        <v>11904359.49</v>
      </c>
      <c r="G335" s="17">
        <v>61</v>
      </c>
      <c r="H335" s="47" t="str">
        <f t="shared" si="121"/>
        <v>PLTOPER_N</v>
      </c>
      <c r="I335" s="1010"/>
      <c r="J335" s="434">
        <f t="shared" si="122"/>
        <v>6625933.2050634921</v>
      </c>
      <c r="K335" s="434">
        <f t="shared" si="122"/>
        <v>220261.82874644018</v>
      </c>
      <c r="L335" s="434">
        <f t="shared" si="122"/>
        <v>4190427.2968374612</v>
      </c>
      <c r="M335" s="434">
        <f t="shared" si="122"/>
        <v>1517.4052447652762</v>
      </c>
      <c r="N335" s="434">
        <f t="shared" si="122"/>
        <v>642242.29403768538</v>
      </c>
      <c r="O335" s="434">
        <f t="shared" si="122"/>
        <v>63666.631361776301</v>
      </c>
      <c r="P335" s="434">
        <f t="shared" si="122"/>
        <v>12055.517329948214</v>
      </c>
      <c r="Q335" s="434">
        <f t="shared" si="122"/>
        <v>105761.77397754593</v>
      </c>
      <c r="R335" s="434">
        <f t="shared" si="122"/>
        <v>7630.8442505334333</v>
      </c>
      <c r="S335" s="434">
        <f t="shared" si="122"/>
        <v>34862.693150353203</v>
      </c>
      <c r="T335" s="1010"/>
      <c r="U335" s="118">
        <f t="shared" si="123"/>
        <v>11904359.490000002</v>
      </c>
      <c r="V335" s="67"/>
      <c r="W335" s="67"/>
      <c r="X335" s="370">
        <f t="shared" si="100"/>
        <v>0</v>
      </c>
    </row>
    <row r="336" spans="1:24" ht="15">
      <c r="A336" s="67"/>
      <c r="B336" s="17">
        <f t="shared" si="120"/>
        <v>6</v>
      </c>
      <c r="C336" s="1" t="s">
        <v>94</v>
      </c>
      <c r="D336" s="1" t="s">
        <v>95</v>
      </c>
      <c r="E336" s="20"/>
      <c r="F336" s="118">
        <f>' WP II-I-1.4'!G336</f>
        <v>43244355.240000002</v>
      </c>
      <c r="G336" s="17">
        <v>61</v>
      </c>
      <c r="H336" s="47" t="str">
        <f t="shared" si="121"/>
        <v>PLTOPER_N</v>
      </c>
      <c r="I336" s="1010"/>
      <c r="J336" s="434">
        <f t="shared" si="122"/>
        <v>24069687.206352789</v>
      </c>
      <c r="K336" s="434">
        <f t="shared" si="122"/>
        <v>800133.83131821931</v>
      </c>
      <c r="L336" s="434">
        <f t="shared" si="122"/>
        <v>15222349.995735226</v>
      </c>
      <c r="M336" s="434">
        <f t="shared" si="122"/>
        <v>5512.2000896218524</v>
      </c>
      <c r="N336" s="434">
        <f t="shared" si="122"/>
        <v>2333040.5921333781</v>
      </c>
      <c r="O336" s="434">
        <f t="shared" si="122"/>
        <v>231278.50144777334</v>
      </c>
      <c r="P336" s="434">
        <f t="shared" si="122"/>
        <v>43793.45856080635</v>
      </c>
      <c r="Q336" s="434">
        <f t="shared" si="122"/>
        <v>384195.36376900732</v>
      </c>
      <c r="R336" s="434">
        <f t="shared" si="122"/>
        <v>27720.17594297124</v>
      </c>
      <c r="S336" s="434">
        <f t="shared" si="122"/>
        <v>126643.91465021095</v>
      </c>
      <c r="T336" s="1010"/>
      <c r="U336" s="118">
        <f t="shared" si="123"/>
        <v>43244355.24000001</v>
      </c>
      <c r="V336" s="67"/>
      <c r="W336" s="67"/>
      <c r="X336" s="370">
        <f t="shared" si="100"/>
        <v>0</v>
      </c>
    </row>
    <row r="337" spans="1:24" ht="15">
      <c r="A337" s="67"/>
      <c r="B337" s="17">
        <f t="shared" si="120"/>
        <v>7</v>
      </c>
      <c r="C337" s="1" t="s">
        <v>96</v>
      </c>
      <c r="D337" s="1" t="s">
        <v>98</v>
      </c>
      <c r="E337" s="20"/>
      <c r="F337" s="118">
        <f>' WP II-I-1.4'!G337</f>
        <v>2889835.1699999999</v>
      </c>
      <c r="G337" s="17">
        <v>61</v>
      </c>
      <c r="H337" s="47" t="str">
        <f t="shared" si="121"/>
        <v>PLTOPER_N</v>
      </c>
      <c r="I337" s="1010"/>
      <c r="J337" s="434">
        <f t="shared" si="122"/>
        <v>1608474.1750405002</v>
      </c>
      <c r="K337" s="434">
        <f t="shared" si="122"/>
        <v>53469.519284483555</v>
      </c>
      <c r="L337" s="434">
        <f t="shared" si="122"/>
        <v>1017244.4968501976</v>
      </c>
      <c r="M337" s="434">
        <f t="shared" si="122"/>
        <v>368.35673915498944</v>
      </c>
      <c r="N337" s="434">
        <f t="shared" si="122"/>
        <v>155907.11709694719</v>
      </c>
      <c r="O337" s="434">
        <f t="shared" si="122"/>
        <v>15455.352353836395</v>
      </c>
      <c r="P337" s="434">
        <f t="shared" si="122"/>
        <v>2926.5293947057071</v>
      </c>
      <c r="Q337" s="434">
        <f t="shared" si="122"/>
        <v>25674.131761447927</v>
      </c>
      <c r="R337" s="434">
        <f t="shared" si="122"/>
        <v>1852.4207128076075</v>
      </c>
      <c r="S337" s="434">
        <f t="shared" si="122"/>
        <v>8463.0707659189466</v>
      </c>
      <c r="T337" s="1010"/>
      <c r="U337" s="118">
        <f t="shared" si="123"/>
        <v>2889835.1700000004</v>
      </c>
      <c r="V337" s="67"/>
      <c r="W337" s="67"/>
      <c r="X337" s="370">
        <f t="shared" si="100"/>
        <v>0</v>
      </c>
    </row>
    <row r="338" spans="1:24" ht="15">
      <c r="A338" s="67"/>
      <c r="B338" s="17">
        <f t="shared" si="120"/>
        <v>8</v>
      </c>
      <c r="C338" s="1" t="s">
        <v>99</v>
      </c>
      <c r="D338" s="1" t="s">
        <v>548</v>
      </c>
      <c r="E338" s="20"/>
      <c r="F338" s="118">
        <f>' WP II-I-1.4'!G338</f>
        <v>642515.64000000001</v>
      </c>
      <c r="G338" s="17">
        <v>61</v>
      </c>
      <c r="H338" s="47" t="str">
        <f t="shared" si="121"/>
        <v>PLTOPER_N</v>
      </c>
      <c r="I338" s="1010"/>
      <c r="J338" s="434">
        <f t="shared" si="122"/>
        <v>357622.40861634305</v>
      </c>
      <c r="K338" s="434">
        <f t="shared" si="122"/>
        <v>11888.222124295864</v>
      </c>
      <c r="L338" s="434">
        <f t="shared" si="122"/>
        <v>226170.51163170068</v>
      </c>
      <c r="M338" s="434">
        <f t="shared" si="122"/>
        <v>81.899122989246862</v>
      </c>
      <c r="N338" s="434">
        <f t="shared" si="122"/>
        <v>34663.832097420272</v>
      </c>
      <c r="O338" s="434">
        <f t="shared" si="122"/>
        <v>3436.2878935585445</v>
      </c>
      <c r="P338" s="434">
        <f t="shared" si="122"/>
        <v>650.67410298634786</v>
      </c>
      <c r="Q338" s="434">
        <f t="shared" si="122"/>
        <v>5708.2948437336108</v>
      </c>
      <c r="R338" s="434">
        <f t="shared" si="122"/>
        <v>411.86061135758001</v>
      </c>
      <c r="S338" s="434">
        <f t="shared" si="122"/>
        <v>1881.6489556148983</v>
      </c>
      <c r="T338" s="1010"/>
      <c r="U338" s="118">
        <f t="shared" si="123"/>
        <v>642515.64000000013</v>
      </c>
      <c r="V338" s="67"/>
      <c r="W338" s="67"/>
      <c r="X338" s="370">
        <f t="shared" si="100"/>
        <v>0</v>
      </c>
    </row>
    <row r="339" spans="1:24" ht="15">
      <c r="A339" s="67"/>
      <c r="B339" s="17">
        <f t="shared" si="120"/>
        <v>9</v>
      </c>
      <c r="C339" s="1" t="s">
        <v>101</v>
      </c>
      <c r="D339" s="1" t="s">
        <v>549</v>
      </c>
      <c r="E339" s="20"/>
      <c r="F339" s="118">
        <f>' WP II-I-1.4'!G339</f>
        <v>10062139.470000001</v>
      </c>
      <c r="G339" s="17">
        <v>61</v>
      </c>
      <c r="H339" s="47" t="str">
        <f t="shared" si="121"/>
        <v>PLTOPER_N</v>
      </c>
      <c r="I339" s="1010"/>
      <c r="J339" s="434">
        <f t="shared" si="122"/>
        <v>5600558.6931626648</v>
      </c>
      <c r="K339" s="434">
        <f t="shared" si="122"/>
        <v>186175.93349946261</v>
      </c>
      <c r="L339" s="434">
        <f t="shared" si="122"/>
        <v>3541951.4955922775</v>
      </c>
      <c r="M339" s="434">
        <f t="shared" si="122"/>
        <v>1282.5841842363327</v>
      </c>
      <c r="N339" s="434">
        <f t="shared" si="122"/>
        <v>542854.19904938876</v>
      </c>
      <c r="O339" s="434">
        <f t="shared" si="122"/>
        <v>53814.111114958374</v>
      </c>
      <c r="P339" s="434">
        <f t="shared" si="122"/>
        <v>10189.905375324055</v>
      </c>
      <c r="Q339" s="434">
        <f t="shared" si="122"/>
        <v>89394.958313434123</v>
      </c>
      <c r="R339" s="434">
        <f t="shared" si="122"/>
        <v>6449.9580332074665</v>
      </c>
      <c r="S339" s="434">
        <f t="shared" si="122"/>
        <v>29467.63167504677</v>
      </c>
      <c r="T339" s="1010"/>
      <c r="U339" s="118">
        <f t="shared" si="123"/>
        <v>10062139.470000001</v>
      </c>
      <c r="V339" s="67"/>
      <c r="W339" s="67"/>
      <c r="X339" s="370">
        <f t="shared" si="100"/>
        <v>0</v>
      </c>
    </row>
    <row r="340" spans="1:24" ht="15">
      <c r="A340" s="67"/>
      <c r="B340" s="17">
        <f t="shared" si="120"/>
        <v>10</v>
      </c>
      <c r="C340" s="1" t="s">
        <v>103</v>
      </c>
      <c r="D340" s="1" t="s">
        <v>104</v>
      </c>
      <c r="E340" s="20"/>
      <c r="F340" s="118">
        <f>' WP II-I-1.4'!G340</f>
        <v>2811643.6499999999</v>
      </c>
      <c r="G340" s="17">
        <v>61</v>
      </c>
      <c r="H340" s="47" t="str">
        <f t="shared" si="121"/>
        <v>PLTOPER_N</v>
      </c>
      <c r="I340" s="1010"/>
      <c r="J340" s="434">
        <f t="shared" si="122"/>
        <v>1564952.9936482885</v>
      </c>
      <c r="K340" s="434">
        <f t="shared" si="122"/>
        <v>52022.771376531738</v>
      </c>
      <c r="L340" s="434">
        <f t="shared" si="122"/>
        <v>989720.47255771433</v>
      </c>
      <c r="M340" s="434">
        <f t="shared" si="122"/>
        <v>358.38995155555273</v>
      </c>
      <c r="N340" s="434">
        <f t="shared" si="122"/>
        <v>151688.67080243817</v>
      </c>
      <c r="O340" s="434">
        <f t="shared" si="122"/>
        <v>15037.170201017609</v>
      </c>
      <c r="P340" s="434">
        <f t="shared" si="122"/>
        <v>2847.3450231982069</v>
      </c>
      <c r="Q340" s="434">
        <f t="shared" si="122"/>
        <v>24979.455674746452</v>
      </c>
      <c r="R340" s="434">
        <f t="shared" si="122"/>
        <v>1802.2989644402394</v>
      </c>
      <c r="S340" s="434">
        <f t="shared" si="122"/>
        <v>8234.0818000691161</v>
      </c>
      <c r="T340" s="1010"/>
      <c r="U340" s="118">
        <f t="shared" si="123"/>
        <v>2811643.6499999999</v>
      </c>
      <c r="V340" s="67"/>
      <c r="W340" s="67"/>
      <c r="X340" s="370">
        <f t="shared" si="100"/>
        <v>0</v>
      </c>
    </row>
    <row r="341" spans="1:24" ht="15">
      <c r="A341" s="67"/>
      <c r="B341" s="17">
        <f t="shared" si="120"/>
        <v>11</v>
      </c>
      <c r="C341" s="1" t="s">
        <v>105</v>
      </c>
      <c r="D341" s="1" t="s">
        <v>106</v>
      </c>
      <c r="E341" s="20"/>
      <c r="F341" s="118">
        <f>' WP II-I-1.4'!G341</f>
        <v>2373053.8799999999</v>
      </c>
      <c r="G341" s="17">
        <v>61</v>
      </c>
      <c r="H341" s="47" t="str">
        <f t="shared" si="121"/>
        <v>PLTOPER_N</v>
      </c>
      <c r="I341" s="1010"/>
      <c r="J341" s="435">
        <f t="shared" si="122"/>
        <v>1320835.1540547062</v>
      </c>
      <c r="K341" s="435">
        <f t="shared" si="122"/>
        <v>43907.711940462861</v>
      </c>
      <c r="L341" s="435">
        <f t="shared" si="122"/>
        <v>835333.45611507969</v>
      </c>
      <c r="M341" s="435">
        <f t="shared" si="122"/>
        <v>302.48451473995163</v>
      </c>
      <c r="N341" s="435">
        <f t="shared" si="122"/>
        <v>128026.67535758617</v>
      </c>
      <c r="O341" s="435">
        <f t="shared" si="122"/>
        <v>12691.514121907027</v>
      </c>
      <c r="P341" s="435">
        <f t="shared" si="122"/>
        <v>2403.1861772380703</v>
      </c>
      <c r="Q341" s="435">
        <f t="shared" si="122"/>
        <v>21082.897261623137</v>
      </c>
      <c r="R341" s="435">
        <f t="shared" si="122"/>
        <v>1521.1574021782212</v>
      </c>
      <c r="S341" s="435">
        <f t="shared" si="122"/>
        <v>6949.6430544786153</v>
      </c>
      <c r="T341" s="1010"/>
      <c r="U341" s="118">
        <f t="shared" si="123"/>
        <v>2373053.8799999999</v>
      </c>
      <c r="V341" s="67"/>
      <c r="W341" s="67"/>
      <c r="X341" s="370">
        <f t="shared" si="124" ref="X341:X404">U341-F341</f>
        <v>0</v>
      </c>
    </row>
    <row r="342" spans="1:24" ht="15">
      <c r="A342" s="67"/>
      <c r="B342" s="17">
        <f t="shared" si="120"/>
        <v>12</v>
      </c>
      <c r="C342" s="8"/>
      <c r="D342" s="297" t="s">
        <v>491</v>
      </c>
      <c r="E342" s="20"/>
      <c r="F342" s="298">
        <f>SUM(F333:F341)</f>
        <v>73941060.63000001</v>
      </c>
      <c r="G342" s="20"/>
      <c r="H342" s="20"/>
      <c r="I342" s="1010"/>
      <c r="J342" s="907">
        <f t="shared" si="125" ref="J342:Q342">SUM(J333:J341)</f>
        <v>41155387.592040025</v>
      </c>
      <c r="K342" s="907">
        <f t="shared" si="125"/>
        <v>1368103.2774166679</v>
      </c>
      <c r="L342" s="907">
        <f t="shared" si="125"/>
        <v>26027829.475524828</v>
      </c>
      <c r="M342" s="907">
        <f t="shared" si="125"/>
        <v>9424.9970607590658</v>
      </c>
      <c r="N342" s="907">
        <f t="shared" si="125"/>
        <v>3989133.2618510146</v>
      </c>
      <c r="O342" s="907">
        <f>SUM(O333:O341)</f>
        <v>395449.94029989262</v>
      </c>
      <c r="P342" s="907">
        <f t="shared" si="125"/>
        <v>74879.941131525469</v>
      </c>
      <c r="Q342" s="907">
        <f t="shared" si="125"/>
        <v>656913.77588010661</v>
      </c>
      <c r="R342" s="907">
        <f>SUM(R333:R341)</f>
        <v>47397.150418781552</v>
      </c>
      <c r="S342" s="907">
        <f>SUM(S333:S341)</f>
        <v>216541.21837640775</v>
      </c>
      <c r="T342" s="1010"/>
      <c r="U342" s="299">
        <f t="shared" si="123"/>
        <v>73941060.63000004</v>
      </c>
      <c r="V342" s="67"/>
      <c r="W342" s="67"/>
      <c r="X342" s="370">
        <f t="shared" si="124"/>
        <v>0</v>
      </c>
    </row>
    <row r="343" spans="1:24" ht="15">
      <c r="A343" s="67"/>
      <c r="B343" s="17">
        <f t="shared" si="120"/>
        <v>13</v>
      </c>
      <c r="C343" s="1"/>
      <c r="D343" s="297"/>
      <c r="E343" s="20"/>
      <c r="F343" s="22"/>
      <c r="G343" s="20"/>
      <c r="H343" s="20"/>
      <c r="I343" s="1010"/>
      <c r="J343" s="1059"/>
      <c r="K343" s="1059"/>
      <c r="L343" s="1059"/>
      <c r="M343" s="1059"/>
      <c r="N343" s="1059"/>
      <c r="O343" s="1059"/>
      <c r="P343" s="1059"/>
      <c r="Q343" s="1059"/>
      <c r="R343" s="1059"/>
      <c r="S343" s="1059"/>
      <c r="T343" s="1010"/>
      <c r="U343" s="19"/>
      <c r="V343" s="67"/>
      <c r="W343" s="67"/>
      <c r="X343" s="370">
        <f t="shared" si="124"/>
        <v>0</v>
      </c>
    </row>
    <row r="344" spans="1:24" ht="15">
      <c r="A344" s="67"/>
      <c r="B344" s="17">
        <f t="shared" si="120"/>
        <v>14</v>
      </c>
      <c r="C344" s="1" t="s">
        <v>107</v>
      </c>
      <c r="D344" s="1" t="s">
        <v>108</v>
      </c>
      <c r="E344" s="20"/>
      <c r="F344" s="118">
        <f>' WP II-I-1.4'!G344</f>
        <v>7510868.3600000003</v>
      </c>
      <c r="G344" s="17">
        <v>61</v>
      </c>
      <c r="H344" s="47" t="str">
        <f>VLOOKUP(G344,FactorTable,2)</f>
        <v>PLTOPER_N</v>
      </c>
      <c r="I344" s="1010"/>
      <c r="J344" s="434">
        <f t="shared" si="126" ref="J344:S346">$F344*HLOOKUP(J$1318,FactorTable,$G344+1)</f>
        <v>4180528.3272224818</v>
      </c>
      <c r="K344" s="434">
        <f t="shared" si="126"/>
        <v>138970.73604313473</v>
      </c>
      <c r="L344" s="434">
        <f t="shared" si="126"/>
        <v>2643884.1858846466</v>
      </c>
      <c r="M344" s="434">
        <f t="shared" si="126"/>
        <v>957.38296980861492</v>
      </c>
      <c r="N344" s="434">
        <f t="shared" si="126"/>
        <v>405212.67270142463</v>
      </c>
      <c r="O344" s="434">
        <f t="shared" si="126"/>
        <v>40169.459556782029</v>
      </c>
      <c r="P344" s="434">
        <f t="shared" si="126"/>
        <v>7606.2390213435765</v>
      </c>
      <c r="Q344" s="434">
        <f t="shared" si="126"/>
        <v>66728.727617198427</v>
      </c>
      <c r="R344" s="434">
        <f t="shared" si="126"/>
        <v>4814.5611437192474</v>
      </c>
      <c r="S344" s="434">
        <f t="shared" si="126"/>
        <v>21996.067839461441</v>
      </c>
      <c r="T344" s="1010"/>
      <c r="U344" s="118">
        <f>SUM(I344:T344)</f>
        <v>7510868.3600000013</v>
      </c>
      <c r="V344" s="67"/>
      <c r="W344" s="67"/>
      <c r="X344" s="370">
        <f t="shared" si="124"/>
        <v>0</v>
      </c>
    </row>
    <row r="345" spans="1:24" ht="15">
      <c r="A345" s="67"/>
      <c r="B345" s="17">
        <f t="shared" si="120"/>
        <v>15</v>
      </c>
      <c r="C345" s="1" t="s">
        <v>110</v>
      </c>
      <c r="D345" s="1" t="s">
        <v>550</v>
      </c>
      <c r="E345" s="20"/>
      <c r="F345" s="118">
        <f>' WP II-I-1.4'!G345</f>
        <v>565246.04000000004</v>
      </c>
      <c r="G345" s="17">
        <v>61</v>
      </c>
      <c r="H345" s="47" t="str">
        <f>VLOOKUP(G345,FactorTable,2)</f>
        <v>PLTOPER_N</v>
      </c>
      <c r="I345" s="1010"/>
      <c r="J345" s="434">
        <f t="shared" si="126"/>
        <v>314614.3653182509</v>
      </c>
      <c r="K345" s="434">
        <f t="shared" si="126"/>
        <v>10458.532150903944</v>
      </c>
      <c r="L345" s="434">
        <f t="shared" si="126"/>
        <v>198971.01036263141</v>
      </c>
      <c r="M345" s="434">
        <f t="shared" si="126"/>
        <v>72.049849166542856</v>
      </c>
      <c r="N345" s="434">
        <f t="shared" si="126"/>
        <v>30495.123549508775</v>
      </c>
      <c r="O345" s="434">
        <f t="shared" si="126"/>
        <v>3023.0363328337176</v>
      </c>
      <c r="P345" s="434">
        <f t="shared" si="126"/>
        <v>572.42335773116019</v>
      </c>
      <c r="Q345" s="434">
        <f t="shared" si="126"/>
        <v>5021.8093610497053</v>
      </c>
      <c r="R345" s="434">
        <f t="shared" si="126"/>
        <v>362.32982531265873</v>
      </c>
      <c r="S345" s="434">
        <f t="shared" si="126"/>
        <v>1655.3598926112634</v>
      </c>
      <c r="T345" s="1010"/>
      <c r="U345" s="118">
        <f>SUM(I345:T345)</f>
        <v>565246.04000000015</v>
      </c>
      <c r="V345" s="67"/>
      <c r="W345" s="67"/>
      <c r="X345" s="370">
        <f t="shared" si="124"/>
        <v>0</v>
      </c>
    </row>
    <row r="346" spans="1:24" ht="15">
      <c r="A346" s="67"/>
      <c r="B346" s="17">
        <f t="shared" si="120"/>
        <v>16</v>
      </c>
      <c r="C346" s="1" t="s">
        <v>112</v>
      </c>
      <c r="D346" s="1" t="s">
        <v>584</v>
      </c>
      <c r="E346" s="20"/>
      <c r="F346" s="118">
        <f>' WP II-I-1.4'!G346</f>
        <v>0</v>
      </c>
      <c r="G346" s="17">
        <v>61</v>
      </c>
      <c r="H346" s="47" t="str">
        <f>VLOOKUP(G346,FactorTable,2)</f>
        <v>PLTOPER_N</v>
      </c>
      <c r="I346" s="1010"/>
      <c r="J346" s="435">
        <f t="shared" si="126"/>
        <v>0</v>
      </c>
      <c r="K346" s="435">
        <f t="shared" si="126"/>
        <v>0</v>
      </c>
      <c r="L346" s="435">
        <f t="shared" si="126"/>
        <v>0</v>
      </c>
      <c r="M346" s="435">
        <f t="shared" si="126"/>
        <v>0</v>
      </c>
      <c r="N346" s="435">
        <f t="shared" si="126"/>
        <v>0</v>
      </c>
      <c r="O346" s="435">
        <f t="shared" si="126"/>
        <v>0</v>
      </c>
      <c r="P346" s="435">
        <f t="shared" si="126"/>
        <v>0</v>
      </c>
      <c r="Q346" s="435">
        <f t="shared" si="126"/>
        <v>0</v>
      </c>
      <c r="R346" s="435">
        <f t="shared" si="126"/>
        <v>0</v>
      </c>
      <c r="S346" s="435">
        <f t="shared" si="126"/>
        <v>0</v>
      </c>
      <c r="T346" s="1010"/>
      <c r="U346" s="118">
        <f>SUM(I346:T346)</f>
        <v>0</v>
      </c>
      <c r="V346" s="67"/>
      <c r="W346" s="67"/>
      <c r="X346" s="370">
        <f t="shared" si="124"/>
        <v>0</v>
      </c>
    </row>
    <row r="347" spans="1:24" ht="15">
      <c r="A347" s="67"/>
      <c r="B347" s="17">
        <f t="shared" si="120"/>
        <v>17</v>
      </c>
      <c r="C347" s="8"/>
      <c r="D347" s="297" t="s">
        <v>491</v>
      </c>
      <c r="E347" s="20"/>
      <c r="F347" s="22">
        <f>SUM(F344:F346)</f>
        <v>8076114.4000000004</v>
      </c>
      <c r="G347" s="20"/>
      <c r="H347" s="20"/>
      <c r="I347" s="20"/>
      <c r="J347" s="896">
        <f t="shared" si="127" ref="J347:Q347">SUM(J344:J346)</f>
        <v>4495142.6925407331</v>
      </c>
      <c r="K347" s="896">
        <f t="shared" si="127"/>
        <v>149429.26819403868</v>
      </c>
      <c r="L347" s="896">
        <f t="shared" si="127"/>
        <v>2842855.1962472778</v>
      </c>
      <c r="M347" s="896">
        <f t="shared" si="127"/>
        <v>1029.4328189751577</v>
      </c>
      <c r="N347" s="896">
        <f t="shared" si="127"/>
        <v>435707.79625093343</v>
      </c>
      <c r="O347" s="896">
        <f>SUM(O344:O346)</f>
        <v>43192.495889615748</v>
      </c>
      <c r="P347" s="896">
        <f t="shared" si="127"/>
        <v>8178.6623790747362</v>
      </c>
      <c r="Q347" s="896">
        <f t="shared" si="127"/>
        <v>71750.536978248128</v>
      </c>
      <c r="R347" s="896">
        <f>SUM(R344:R346)</f>
        <v>5176.890969031906</v>
      </c>
      <c r="S347" s="896">
        <f>SUM(S344:S346)</f>
        <v>23651.427732072705</v>
      </c>
      <c r="T347" s="20"/>
      <c r="U347" s="299">
        <f>SUM(I347:T347)</f>
        <v>8076114.4000000022</v>
      </c>
      <c r="V347" s="67"/>
      <c r="W347" s="67"/>
      <c r="X347" s="370">
        <f t="shared" si="124"/>
        <v>0</v>
      </c>
    </row>
    <row r="348" spans="1:24" ht="15" thickBot="1">
      <c r="A348" s="67"/>
      <c r="B348" s="17">
        <f t="shared" si="120"/>
        <v>18</v>
      </c>
      <c r="C348" s="1"/>
      <c r="D348" s="1"/>
      <c r="E348" s="17"/>
      <c r="F348" s="18"/>
      <c r="G348" s="17"/>
      <c r="H348" s="17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7"/>
      <c r="U348" s="1"/>
      <c r="V348" s="67"/>
      <c r="W348" s="67"/>
      <c r="X348" s="370">
        <f t="shared" si="124"/>
        <v>0</v>
      </c>
    </row>
    <row r="349" spans="1:24" ht="15">
      <c r="A349" s="67"/>
      <c r="B349" s="17">
        <f t="shared" si="120"/>
        <v>19</v>
      </c>
      <c r="C349" s="319" t="s">
        <v>585</v>
      </c>
      <c r="D349" s="304"/>
      <c r="E349" s="305"/>
      <c r="F349" s="328">
        <f>+F347+F342</f>
        <v>82017175.030000016</v>
      </c>
      <c r="G349" s="305"/>
      <c r="H349" s="437"/>
      <c r="I349" s="857"/>
      <c r="J349" s="454">
        <f t="shared" si="128" ref="J349:Q349">+J347+J342</f>
        <v>45650530.28458076</v>
      </c>
      <c r="K349" s="328">
        <f t="shared" si="128"/>
        <v>1517532.5456107066</v>
      </c>
      <c r="L349" s="328">
        <f t="shared" si="128"/>
        <v>28870684.671772107</v>
      </c>
      <c r="M349" s="328">
        <f t="shared" si="128"/>
        <v>10454.429879734224</v>
      </c>
      <c r="N349" s="328">
        <f t="shared" si="128"/>
        <v>4424841.0581019484</v>
      </c>
      <c r="O349" s="328">
        <f>+O347+O342</f>
        <v>438642.43618950836</v>
      </c>
      <c r="P349" s="328">
        <f t="shared" si="128"/>
        <v>83058.603510600209</v>
      </c>
      <c r="Q349" s="328">
        <f t="shared" si="128"/>
        <v>728664.31285835477</v>
      </c>
      <c r="R349" s="328">
        <f>+R347+R342</f>
        <v>52574.041387813457</v>
      </c>
      <c r="S349" s="307">
        <f>+S347+S342</f>
        <v>240192.64610848046</v>
      </c>
      <c r="T349" s="437"/>
      <c r="U349" s="307">
        <f>SUM(I349:T349)</f>
        <v>82017175.030000016</v>
      </c>
      <c r="V349" s="67"/>
      <c r="W349" s="67"/>
      <c r="X349" s="370">
        <f t="shared" si="124"/>
        <v>0</v>
      </c>
    </row>
    <row r="350" spans="1:24" ht="15.75" thickBot="1">
      <c r="A350" s="67"/>
      <c r="B350" s="17">
        <f t="shared" si="120"/>
        <v>20</v>
      </c>
      <c r="C350" s="326" t="s">
        <v>586</v>
      </c>
      <c r="D350" s="310"/>
      <c r="E350" s="327"/>
      <c r="F350" s="312">
        <f>+F214-F349</f>
        <v>309452773.04000002</v>
      </c>
      <c r="G350" s="327"/>
      <c r="H350" s="452"/>
      <c r="I350" s="1065"/>
      <c r="J350" s="442">
        <f t="shared" si="129" ref="J350:Q350">+J214-J349</f>
        <v>172240548.17960745</v>
      </c>
      <c r="K350" s="312">
        <f t="shared" si="129"/>
        <v>5725686.7753115473</v>
      </c>
      <c r="L350" s="312">
        <f t="shared" si="129"/>
        <v>108929787.30339597</v>
      </c>
      <c r="M350" s="312">
        <f t="shared" si="129"/>
        <v>39444.815255495501</v>
      </c>
      <c r="N350" s="312">
        <f t="shared" si="129"/>
        <v>16695031.683181539</v>
      </c>
      <c r="O350" s="312">
        <f>+O214-O349</f>
        <v>1655008.4564874901</v>
      </c>
      <c r="P350" s="312">
        <f t="shared" si="129"/>
        <v>313382.10773272353</v>
      </c>
      <c r="Q350" s="312">
        <f t="shared" si="129"/>
        <v>2749267.9691397077</v>
      </c>
      <c r="R350" s="312">
        <f>+R214-R349</f>
        <v>198363.12200984379</v>
      </c>
      <c r="S350" s="443">
        <f>+S214-S349</f>
        <v>906252.62787821051</v>
      </c>
      <c r="T350" s="452"/>
      <c r="U350" s="313">
        <f>SUM(I350:T350)</f>
        <v>309452773.03999996</v>
      </c>
      <c r="V350" s="67"/>
      <c r="W350" s="67"/>
      <c r="X350" s="370">
        <f t="shared" si="124"/>
        <v>0</v>
      </c>
    </row>
    <row r="351" spans="1:24" ht="15" thickBot="1">
      <c r="A351" s="67"/>
      <c r="B351" s="17">
        <f t="shared" si="120"/>
        <v>21</v>
      </c>
      <c r="C351" s="1"/>
      <c r="D351" s="31"/>
      <c r="E351" s="330"/>
      <c r="F351" s="18"/>
      <c r="G351" s="330"/>
      <c r="H351" s="330"/>
      <c r="I351" s="330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330"/>
      <c r="U351" s="18"/>
      <c r="V351" s="67"/>
      <c r="W351" s="67"/>
      <c r="X351" s="370">
        <f t="shared" si="124"/>
        <v>0</v>
      </c>
    </row>
    <row r="352" spans="1:24" ht="15.75" thickBot="1">
      <c r="A352" s="47"/>
      <c r="B352" s="17">
        <f t="shared" si="120"/>
        <v>22</v>
      </c>
      <c r="C352" s="284" t="s">
        <v>587</v>
      </c>
      <c r="D352" s="285"/>
      <c r="E352" s="331"/>
      <c r="F352" s="255">
        <f>F350+F315</f>
        <v>9845662713.4500008</v>
      </c>
      <c r="G352" s="331"/>
      <c r="H352" s="455"/>
      <c r="I352" s="1067"/>
      <c r="J352" s="446">
        <f t="shared" si="130" ref="J352:Q352">J350+J315</f>
        <v>5480068335.7810678</v>
      </c>
      <c r="K352" s="903">
        <f t="shared" si="130"/>
        <v>182170546.53858873</v>
      </c>
      <c r="L352" s="903">
        <f t="shared" si="130"/>
        <v>3465749990.5436454</v>
      </c>
      <c r="M352" s="903">
        <f t="shared" si="130"/>
        <v>1254990.6823738692</v>
      </c>
      <c r="N352" s="903">
        <f t="shared" si="130"/>
        <v>531175239.85386878</v>
      </c>
      <c r="O352" s="903">
        <f>O350+O315</f>
        <v>52656354.927467607</v>
      </c>
      <c r="P352" s="903">
        <f t="shared" si="130"/>
        <v>9970679.8645091504</v>
      </c>
      <c r="Q352" s="903">
        <f t="shared" si="130"/>
        <v>87471716.175386623</v>
      </c>
      <c r="R352" s="903">
        <f>R350+R315</f>
        <v>6311193.7078793067</v>
      </c>
      <c r="S352" s="380">
        <f>S350+S315</f>
        <v>28833665.375211313</v>
      </c>
      <c r="T352" s="455"/>
      <c r="U352" s="256">
        <f>SUM(I352:T352)</f>
        <v>9845662713.4499989</v>
      </c>
      <c r="V352" s="67"/>
      <c r="W352" s="67"/>
      <c r="X352" s="370">
        <f t="shared" si="124"/>
        <v>0</v>
      </c>
    </row>
    <row r="353" spans="1:24" ht="15.75" thickBot="1">
      <c r="A353" s="67"/>
      <c r="B353" s="17">
        <f t="shared" si="120"/>
        <v>23</v>
      </c>
      <c r="C353" s="8"/>
      <c r="D353" s="8"/>
      <c r="E353" s="297"/>
      <c r="F353" s="22"/>
      <c r="G353" s="297"/>
      <c r="H353" s="297"/>
      <c r="I353" s="297"/>
      <c r="J353" s="896"/>
      <c r="K353" s="896"/>
      <c r="L353" s="896"/>
      <c r="M353" s="896"/>
      <c r="N353" s="896"/>
      <c r="O353" s="896"/>
      <c r="P353" s="896"/>
      <c r="Q353" s="896"/>
      <c r="R353" s="896"/>
      <c r="S353" s="896"/>
      <c r="T353" s="297"/>
      <c r="U353" s="22"/>
      <c r="V353" s="67"/>
      <c r="W353" s="67"/>
      <c r="X353" s="370">
        <f t="shared" si="124"/>
        <v>0</v>
      </c>
    </row>
    <row r="354" spans="1:24" ht="15.75" thickBot="1">
      <c r="A354" s="67"/>
      <c r="B354" s="17">
        <f t="shared" si="120"/>
        <v>24</v>
      </c>
      <c r="C354" s="284" t="s">
        <v>588</v>
      </c>
      <c r="D354" s="285"/>
      <c r="E354" s="331"/>
      <c r="F354" s="255">
        <f>F350+F314</f>
        <v>9636452188.460001</v>
      </c>
      <c r="G354" s="331"/>
      <c r="H354" s="455"/>
      <c r="I354" s="1067"/>
      <c r="J354" s="446">
        <f t="shared" si="131" ref="J354:Q354">J350+J314</f>
        <v>5363622342.5678701</v>
      </c>
      <c r="K354" s="903">
        <f t="shared" si="131"/>
        <v>178299603.89224058</v>
      </c>
      <c r="L354" s="903">
        <f t="shared" si="131"/>
        <v>3392106255.6211381</v>
      </c>
      <c r="M354" s="903">
        <f t="shared" si="131"/>
        <v>1228323.3805214181</v>
      </c>
      <c r="N354" s="903">
        <f t="shared" si="131"/>
        <v>519888295.13254416</v>
      </c>
      <c r="O354" s="903">
        <f>O350+O314</f>
        <v>51537459.838426404</v>
      </c>
      <c r="P354" s="903">
        <f t="shared" si="131"/>
        <v>9758812.8495938852</v>
      </c>
      <c r="Q354" s="903">
        <f t="shared" si="131"/>
        <v>85613029.340844795</v>
      </c>
      <c r="R354" s="903">
        <f>R350+R314</f>
        <v>6177087.1284272932</v>
      </c>
      <c r="S354" s="380">
        <f>S350+S314</f>
        <v>28220978.708391689</v>
      </c>
      <c r="T354" s="455"/>
      <c r="U354" s="256">
        <f>SUM(I354:T354)</f>
        <v>9636452188.4599991</v>
      </c>
      <c r="V354" s="67"/>
      <c r="W354" s="67"/>
      <c r="X354" s="370">
        <f t="shared" si="124"/>
        <v>0</v>
      </c>
    </row>
    <row r="355" spans="1:24" ht="14.2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370">
        <f t="shared" si="124"/>
        <v>0</v>
      </c>
    </row>
    <row r="356" spans="1:24" ht="14.25">
      <c r="A356" s="67"/>
      <c r="B356" s="67"/>
      <c r="C356" s="67"/>
      <c r="D356" s="67"/>
      <c r="E356" s="67"/>
      <c r="F356" s="67"/>
      <c r="G356" s="67"/>
      <c r="H356" s="134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134"/>
      <c r="V356" s="134">
        <f>$H$2</f>
        <v>0</v>
      </c>
      <c r="W356" s="134"/>
      <c r="X356" s="370"/>
    </row>
    <row r="357" spans="1:24" ht="15" thickBo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370"/>
    </row>
    <row r="358" spans="1:24" ht="15">
      <c r="A358" s="67"/>
      <c r="B358" s="920" t="str">
        <f>+$B$4</f>
        <v>2022 RATE CASE</v>
      </c>
      <c r="C358" s="935"/>
      <c r="D358" s="969"/>
      <c r="F358" s="332"/>
      <c r="U358" s="134"/>
      <c r="X358" s="370"/>
    </row>
    <row r="359" spans="1:24" ht="15">
      <c r="A359" s="67"/>
      <c r="B359" s="917" t="str">
        <f>+$B$5</f>
        <v>ONCOR ELECTRIC DELIVERY COMPANY LLC</v>
      </c>
      <c r="C359" s="8"/>
      <c r="D359" s="970"/>
      <c r="F359" s="332"/>
      <c r="U359" s="134"/>
      <c r="V359" s="67"/>
      <c r="W359" s="67"/>
      <c r="X359" s="370"/>
    </row>
    <row r="360" spans="1:24" ht="15">
      <c r="A360" s="67"/>
      <c r="B360" s="917" t="str">
        <f>+$B$6</f>
        <v>II-I-1-DIST:  CLASS REVENUE REQUIREMENT</v>
      </c>
      <c r="C360" s="85"/>
      <c r="D360" s="970"/>
      <c r="F360" s="332"/>
      <c r="U360" s="332"/>
      <c r="V360" s="67"/>
      <c r="W360" s="67"/>
      <c r="X360" s="370"/>
    </row>
    <row r="361" spans="1:24" ht="15">
      <c r="A361" s="67"/>
      <c r="B361" s="406" t="str">
        <f>+$B$7</f>
        <v>TEST YEAR ENDING 12/31/2021</v>
      </c>
      <c r="C361" s="85"/>
      <c r="D361" s="970"/>
      <c r="F361" s="332"/>
      <c r="U361" s="332"/>
      <c r="V361" s="67"/>
      <c r="W361" s="67"/>
      <c r="X361" s="370"/>
    </row>
    <row r="362" spans="1:24" ht="15">
      <c r="A362" s="67"/>
      <c r="B362" s="406" t="str">
        <f>+$B$8</f>
        <v>SPONSOR:  MATTHEW A. TROXLE</v>
      </c>
      <c r="C362" s="85"/>
      <c r="D362" s="970"/>
      <c r="F362" s="332"/>
      <c r="U362" s="332"/>
      <c r="V362" s="67"/>
      <c r="W362" s="67"/>
      <c r="X362" s="370"/>
    </row>
    <row r="363" spans="1:24" ht="15.75" thickBot="1">
      <c r="A363" s="67"/>
      <c r="B363" s="410"/>
      <c r="C363" s="934"/>
      <c r="D363" s="936"/>
      <c r="F363" s="332"/>
      <c r="U363" s="332"/>
      <c r="V363" s="67"/>
      <c r="W363" s="67"/>
      <c r="X363" s="370"/>
    </row>
    <row r="364" spans="1:24" ht="15" thickBot="1">
      <c r="A364" s="67"/>
      <c r="B364" s="13"/>
      <c r="C364" s="14"/>
      <c r="D364" s="14"/>
      <c r="E364" s="14"/>
      <c r="F364" s="13"/>
      <c r="G364" s="14"/>
      <c r="H364" s="14"/>
      <c r="I364" s="14"/>
      <c r="J364" s="238"/>
      <c r="K364" s="238"/>
      <c r="L364" s="14"/>
      <c r="M364" s="238"/>
      <c r="N364" s="238"/>
      <c r="O364" s="238"/>
      <c r="P364" s="238"/>
      <c r="Q364" s="14"/>
      <c r="R364" s="393" t="str">
        <f>R$10</f>
        <v xml:space="preserve"> </v>
      </c>
      <c r="S364" s="394"/>
      <c r="T364" s="238"/>
      <c r="U364" s="13"/>
      <c r="V364" s="67"/>
      <c r="W364" s="67"/>
      <c r="X364" s="370">
        <f t="shared" si="124"/>
        <v>0</v>
      </c>
    </row>
    <row r="365" spans="1:24" ht="15">
      <c r="A365" s="67"/>
      <c r="B365" s="15" t="s">
        <v>2</v>
      </c>
      <c r="C365" s="15" t="s">
        <v>370</v>
      </c>
      <c r="D365" s="287" t="s">
        <v>118</v>
      </c>
      <c r="E365" s="15" t="s">
        <v>371</v>
      </c>
      <c r="F365" s="287" t="str">
        <f>F$11</f>
        <v>DIST</v>
      </c>
      <c r="G365" s="242" t="s">
        <v>741</v>
      </c>
      <c r="H365" s="242" t="s">
        <v>376</v>
      </c>
      <c r="I365" s="15"/>
      <c r="J365" s="242" t="s">
        <v>730</v>
      </c>
      <c r="K365" s="242" t="s">
        <v>409</v>
      </c>
      <c r="L365" s="15" t="s">
        <v>409</v>
      </c>
      <c r="M365" s="242" t="s">
        <v>410</v>
      </c>
      <c r="N365" s="242" t="s">
        <v>410</v>
      </c>
      <c r="O365" s="242" t="s">
        <v>410</v>
      </c>
      <c r="P365" s="242" t="s">
        <v>411</v>
      </c>
      <c r="Q365" s="15" t="s">
        <v>412</v>
      </c>
      <c r="R365" s="396" t="str">
        <f>R$11</f>
        <v>Wholesale</v>
      </c>
      <c r="S365" s="13" t="str">
        <f>S$11</f>
        <v>Wholesale</v>
      </c>
      <c r="T365" s="242"/>
      <c r="U365" s="15" t="s">
        <v>10</v>
      </c>
      <c r="V365" s="67"/>
      <c r="W365" s="67"/>
      <c r="X365" s="370"/>
    </row>
    <row r="366" spans="1:24" ht="14.25">
      <c r="A366" s="67"/>
      <c r="B366" s="15"/>
      <c r="C366" s="15"/>
      <c r="D366" s="15"/>
      <c r="E366" s="15"/>
      <c r="F366" s="15"/>
      <c r="G366" s="242" t="s">
        <v>742</v>
      </c>
      <c r="H366" s="242" t="s">
        <v>743</v>
      </c>
      <c r="I366" s="15"/>
      <c r="J366" s="242"/>
      <c r="K366" s="242" t="s">
        <v>731</v>
      </c>
      <c r="L366" s="15" t="s">
        <v>732</v>
      </c>
      <c r="M366" s="242" t="s">
        <v>731</v>
      </c>
      <c r="N366" s="242" t="s">
        <v>732</v>
      </c>
      <c r="O366" s="242" t="s">
        <v>414</v>
      </c>
      <c r="P366" s="242"/>
      <c r="Q366" s="15"/>
      <c r="R366" s="235" t="str">
        <f>R$12</f>
        <v>XFMR</v>
      </c>
      <c r="S366" s="15" t="str">
        <f>S$12</f>
        <v>DLS</v>
      </c>
      <c r="T366" s="242"/>
      <c r="U366" s="15"/>
      <c r="V366" s="67"/>
      <c r="W366" s="67"/>
      <c r="X366" s="370">
        <f t="shared" si="124"/>
        <v>0</v>
      </c>
    </row>
    <row r="367" spans="1:24" ht="15" thickBot="1">
      <c r="A367" s="67"/>
      <c r="B367" s="16"/>
      <c r="C367" s="16"/>
      <c r="D367" s="16"/>
      <c r="E367" s="16"/>
      <c r="F367" s="16" t="s">
        <v>13</v>
      </c>
      <c r="G367" s="16" t="s">
        <v>14</v>
      </c>
      <c r="H367" s="16" t="s">
        <v>15</v>
      </c>
      <c r="I367" s="16"/>
      <c r="J367" s="243" t="str">
        <f t="shared" si="132" ref="J367:Q367">J$13</f>
        <v>(d)</v>
      </c>
      <c r="K367" s="243" t="str">
        <f t="shared" si="132"/>
        <v>(e)</v>
      </c>
      <c r="L367" s="16" t="str">
        <f t="shared" si="132"/>
        <v>(f)</v>
      </c>
      <c r="M367" s="243" t="str">
        <f t="shared" si="132"/>
        <v>(g)</v>
      </c>
      <c r="N367" s="243" t="str">
        <f t="shared" si="132"/>
        <v>(h)</v>
      </c>
      <c r="O367" s="243" t="str">
        <f>O$13</f>
        <v>(i)</v>
      </c>
      <c r="P367" s="243" t="str">
        <f t="shared" si="132"/>
        <v>(j)</v>
      </c>
      <c r="Q367" s="243" t="str">
        <f t="shared" si="132"/>
        <v>(k)</v>
      </c>
      <c r="R367" s="243" t="str">
        <f>R$13</f>
        <v>(l)</v>
      </c>
      <c r="S367" s="16" t="str">
        <f>S$13</f>
        <v>(m)</v>
      </c>
      <c r="T367" s="16"/>
      <c r="U367" s="16" t="s">
        <v>734</v>
      </c>
      <c r="V367" s="67"/>
      <c r="W367" s="67"/>
      <c r="X367" s="370"/>
    </row>
    <row r="368" spans="1:24" ht="14.25">
      <c r="A368" s="67"/>
      <c r="B368" s="67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43"/>
      <c r="V368" s="67"/>
      <c r="W368" s="67"/>
      <c r="X368" s="370">
        <f t="shared" si="124"/>
        <v>0</v>
      </c>
    </row>
    <row r="369" spans="1:24" ht="15">
      <c r="A369" s="67"/>
      <c r="B369" s="17">
        <f t="shared" si="133" ref="B369:B374">B368+1</f>
        <v>1</v>
      </c>
      <c r="C369" s="334" t="s">
        <v>115</v>
      </c>
      <c r="D369" s="36"/>
      <c r="E369" s="37"/>
      <c r="F369" s="39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67"/>
      <c r="W369" s="67"/>
      <c r="X369" s="370">
        <f t="shared" si="124"/>
        <v>0</v>
      </c>
    </row>
    <row r="370" spans="1:24" ht="15">
      <c r="A370" s="67"/>
      <c r="B370" s="17">
        <f t="shared" si="133"/>
        <v>2</v>
      </c>
      <c r="C370" s="334"/>
      <c r="D370" s="4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43"/>
      <c r="V370" s="67"/>
      <c r="W370" s="67"/>
      <c r="X370" s="370">
        <f t="shared" si="124"/>
        <v>0</v>
      </c>
    </row>
    <row r="371" spans="1:24" ht="15">
      <c r="A371" s="67"/>
      <c r="B371" s="17">
        <f t="shared" si="133"/>
        <v>3</v>
      </c>
      <c r="C371" s="43" t="s">
        <v>589</v>
      </c>
      <c r="D371" s="43" t="s">
        <v>118</v>
      </c>
      <c r="E371" s="38" t="s">
        <v>119</v>
      </c>
      <c r="F371" s="118">
        <f>' WP II-I-1.4'!G371</f>
        <v>1745979.3400000001</v>
      </c>
      <c r="G371" s="40">
        <v>28</v>
      </c>
      <c r="H371" s="47" t="str">
        <f>VLOOKUP(G371,FactorTable,2)</f>
        <v>NCP XHV</v>
      </c>
      <c r="I371" s="38"/>
      <c r="J371" s="435">
        <f t="shared" si="134" ref="J371:S371">$F371*HLOOKUP(J$1318,FactorTable,$G371+1)</f>
        <v>918949.05612198694</v>
      </c>
      <c r="K371" s="435">
        <f t="shared" si="134"/>
        <v>22440.93415476655</v>
      </c>
      <c r="L371" s="435">
        <f t="shared" si="134"/>
        <v>591685.87524851703</v>
      </c>
      <c r="M371" s="435">
        <f t="shared" si="134"/>
        <v>334.50441386345329</v>
      </c>
      <c r="N371" s="435">
        <f t="shared" si="134"/>
        <v>141579.1087229487</v>
      </c>
      <c r="O371" s="435">
        <f t="shared" si="134"/>
        <v>51199.922597649958</v>
      </c>
      <c r="P371" s="435">
        <f t="shared" si="134"/>
        <v>0</v>
      </c>
      <c r="Q371" s="435">
        <f t="shared" si="134"/>
        <v>5968.0008339198394</v>
      </c>
      <c r="R371" s="435">
        <f t="shared" si="134"/>
        <v>6136.6311775150507</v>
      </c>
      <c r="S371" s="435">
        <f t="shared" si="134"/>
        <v>7685.3067288325165</v>
      </c>
      <c r="T371" s="38"/>
      <c r="U371" s="118">
        <f>SUM(I371:T371)</f>
        <v>1745979.3399999996</v>
      </c>
      <c r="V371" s="67"/>
      <c r="W371" s="67"/>
      <c r="X371" s="370">
        <f t="shared" si="124"/>
        <v>0</v>
      </c>
    </row>
    <row r="372" spans="1:24" ht="15">
      <c r="A372" s="67"/>
      <c r="B372" s="17">
        <f t="shared" si="133"/>
        <v>4</v>
      </c>
      <c r="C372" s="36"/>
      <c r="D372" s="44" t="s">
        <v>491</v>
      </c>
      <c r="E372" s="39"/>
      <c r="F372" s="39">
        <f>+F371</f>
        <v>1745979.3400000001</v>
      </c>
      <c r="G372" s="39"/>
      <c r="H372" s="39"/>
      <c r="I372" s="39"/>
      <c r="J372" s="39">
        <f t="shared" si="135" ref="J372:Q372">+J371</f>
        <v>918949.05612198694</v>
      </c>
      <c r="K372" s="39">
        <f t="shared" si="135"/>
        <v>22440.93415476655</v>
      </c>
      <c r="L372" s="39">
        <f t="shared" si="135"/>
        <v>591685.87524851703</v>
      </c>
      <c r="M372" s="39">
        <f t="shared" si="135"/>
        <v>334.50441386345329</v>
      </c>
      <c r="N372" s="39">
        <f t="shared" si="135"/>
        <v>141579.1087229487</v>
      </c>
      <c r="O372" s="39">
        <f>+O371</f>
        <v>51199.922597649958</v>
      </c>
      <c r="P372" s="39">
        <f t="shared" si="135"/>
        <v>0</v>
      </c>
      <c r="Q372" s="39">
        <f t="shared" si="135"/>
        <v>5968.0008339198394</v>
      </c>
      <c r="R372" s="39">
        <f>+R371</f>
        <v>6136.6311775150507</v>
      </c>
      <c r="S372" s="39">
        <f>+S371</f>
        <v>7685.3067288325165</v>
      </c>
      <c r="T372" s="39"/>
      <c r="U372" s="299">
        <f>SUM(I372:T372)</f>
        <v>1745979.3399999996</v>
      </c>
      <c r="V372" s="67"/>
      <c r="W372" s="67"/>
      <c r="X372" s="370">
        <f t="shared" si="124"/>
        <v>0</v>
      </c>
    </row>
    <row r="373" spans="1:24" ht="15" thickBot="1">
      <c r="A373" s="67"/>
      <c r="B373" s="17">
        <f t="shared" si="133"/>
        <v>5</v>
      </c>
      <c r="C373" s="43"/>
      <c r="D373" s="4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43"/>
      <c r="V373" s="67"/>
      <c r="W373" s="67"/>
      <c r="X373" s="370">
        <f t="shared" si="124"/>
        <v>0</v>
      </c>
    </row>
    <row r="374" spans="1:24" ht="15.75" thickBot="1">
      <c r="A374" s="47"/>
      <c r="B374" s="17">
        <f t="shared" si="133"/>
        <v>6</v>
      </c>
      <c r="C374" s="335" t="s">
        <v>590</v>
      </c>
      <c r="D374" s="336"/>
      <c r="E374" s="337" t="s">
        <v>119</v>
      </c>
      <c r="F374" s="278">
        <f>+F372</f>
        <v>1745979.3400000001</v>
      </c>
      <c r="G374" s="337"/>
      <c r="H374" s="457"/>
      <c r="I374" s="458"/>
      <c r="J374" s="356">
        <f t="shared" si="136" ref="J374:Q374">+J372</f>
        <v>918949.05612198694</v>
      </c>
      <c r="K374" s="905">
        <f t="shared" si="136"/>
        <v>22440.93415476655</v>
      </c>
      <c r="L374" s="905">
        <f t="shared" si="136"/>
        <v>591685.87524851703</v>
      </c>
      <c r="M374" s="905">
        <f t="shared" si="136"/>
        <v>334.50441386345329</v>
      </c>
      <c r="N374" s="905">
        <f t="shared" si="136"/>
        <v>141579.1087229487</v>
      </c>
      <c r="O374" s="905">
        <f>+O372</f>
        <v>51199.922597649958</v>
      </c>
      <c r="P374" s="905">
        <f t="shared" si="136"/>
        <v>0</v>
      </c>
      <c r="Q374" s="905">
        <f t="shared" si="136"/>
        <v>5968.0008339198394</v>
      </c>
      <c r="R374" s="905">
        <f>+R372</f>
        <v>6136.6311775150507</v>
      </c>
      <c r="S374" s="279">
        <f>+S372</f>
        <v>7685.3067288325165</v>
      </c>
      <c r="T374" s="458"/>
      <c r="U374" s="256">
        <f>SUM(I374:T374)</f>
        <v>1745979.3399999996</v>
      </c>
      <c r="V374" s="67"/>
      <c r="W374" s="67"/>
      <c r="X374" s="370">
        <f t="shared" si="124"/>
        <v>0</v>
      </c>
    </row>
    <row r="375" spans="1:24" ht="14.2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370">
        <f t="shared" si="124"/>
        <v>0</v>
      </c>
    </row>
    <row r="376" spans="1:24" ht="14.25">
      <c r="A376" s="67"/>
      <c r="B376" s="67"/>
      <c r="C376" s="67"/>
      <c r="D376" s="67"/>
      <c r="E376" s="67"/>
      <c r="F376" s="67"/>
      <c r="G376" s="67"/>
      <c r="H376" s="134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134"/>
      <c r="V376" s="134">
        <f>$H$2</f>
        <v>0</v>
      </c>
      <c r="W376" s="134"/>
      <c r="X376" s="370"/>
    </row>
    <row r="377" spans="1:24" ht="15" thickBo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370"/>
    </row>
    <row r="378" spans="1:24" ht="15">
      <c r="A378" s="67"/>
      <c r="B378" s="920" t="str">
        <f>+$B$4</f>
        <v>2022 RATE CASE</v>
      </c>
      <c r="C378" s="935"/>
      <c r="D378" s="969"/>
      <c r="F378" s="332"/>
      <c r="U378" s="134"/>
      <c r="X378" s="370"/>
    </row>
    <row r="379" spans="1:24" ht="15">
      <c r="A379" s="67"/>
      <c r="B379" s="917" t="str">
        <f>+$B$5</f>
        <v>ONCOR ELECTRIC DELIVERY COMPANY LLC</v>
      </c>
      <c r="C379" s="8"/>
      <c r="D379" s="970"/>
      <c r="F379" s="332"/>
      <c r="U379" s="134"/>
      <c r="V379" s="67"/>
      <c r="W379" s="67"/>
      <c r="X379" s="370"/>
    </row>
    <row r="380" spans="1:24" ht="15">
      <c r="A380" s="67"/>
      <c r="B380" s="917" t="str">
        <f>+$B$6</f>
        <v>II-I-1-DIST:  CLASS REVENUE REQUIREMENT</v>
      </c>
      <c r="C380" s="85"/>
      <c r="D380" s="970"/>
      <c r="F380" s="332"/>
      <c r="U380" s="332"/>
      <c r="V380" s="67"/>
      <c r="W380" s="67"/>
      <c r="X380" s="370"/>
    </row>
    <row r="381" spans="1:24" ht="15">
      <c r="A381" s="67"/>
      <c r="B381" s="406" t="str">
        <f>+$B$7</f>
        <v>TEST YEAR ENDING 12/31/2021</v>
      </c>
      <c r="C381" s="85"/>
      <c r="D381" s="970"/>
      <c r="F381" s="332"/>
      <c r="U381" s="332"/>
      <c r="V381" s="67"/>
      <c r="W381" s="67"/>
      <c r="X381" s="370"/>
    </row>
    <row r="382" spans="1:24" ht="15">
      <c r="A382" s="67"/>
      <c r="B382" s="406" t="str">
        <f>+$B$8</f>
        <v>SPONSOR:  MATTHEW A. TROXLE</v>
      </c>
      <c r="C382" s="85"/>
      <c r="D382" s="970"/>
      <c r="F382" s="332"/>
      <c r="U382" s="332"/>
      <c r="V382" s="67"/>
      <c r="W382" s="67"/>
      <c r="X382" s="370"/>
    </row>
    <row r="383" spans="1:24" ht="15.75" thickBot="1">
      <c r="A383" s="67"/>
      <c r="B383" s="410"/>
      <c r="C383" s="934"/>
      <c r="D383" s="936"/>
      <c r="F383" s="332"/>
      <c r="U383" s="332"/>
      <c r="V383" s="67"/>
      <c r="W383" s="67"/>
      <c r="X383" s="370"/>
    </row>
    <row r="384" spans="1:24" ht="15" thickBot="1">
      <c r="A384" s="67"/>
      <c r="B384" s="13"/>
      <c r="C384" s="14"/>
      <c r="D384" s="14"/>
      <c r="E384" s="14"/>
      <c r="F384" s="13"/>
      <c r="G384" s="14"/>
      <c r="H384" s="14"/>
      <c r="I384" s="14"/>
      <c r="J384" s="238"/>
      <c r="K384" s="238"/>
      <c r="L384" s="14"/>
      <c r="M384" s="238"/>
      <c r="N384" s="238"/>
      <c r="O384" s="238"/>
      <c r="P384" s="238"/>
      <c r="Q384" s="14"/>
      <c r="R384" s="393" t="str">
        <f>R$10</f>
        <v xml:space="preserve"> </v>
      </c>
      <c r="S384" s="394"/>
      <c r="T384" s="238"/>
      <c r="U384" s="13"/>
      <c r="V384" s="67"/>
      <c r="W384" s="67"/>
      <c r="X384" s="370"/>
    </row>
    <row r="385" spans="1:24" ht="15">
      <c r="A385" s="67"/>
      <c r="B385" s="15" t="s">
        <v>2</v>
      </c>
      <c r="C385" s="15" t="s">
        <v>370</v>
      </c>
      <c r="D385" s="287" t="s">
        <v>591</v>
      </c>
      <c r="E385" s="15" t="s">
        <v>371</v>
      </c>
      <c r="F385" s="287" t="str">
        <f>F$11</f>
        <v>DIST</v>
      </c>
      <c r="G385" s="242" t="s">
        <v>741</v>
      </c>
      <c r="H385" s="242" t="s">
        <v>376</v>
      </c>
      <c r="I385" s="15"/>
      <c r="J385" s="242" t="s">
        <v>730</v>
      </c>
      <c r="K385" s="242" t="s">
        <v>409</v>
      </c>
      <c r="L385" s="15" t="s">
        <v>409</v>
      </c>
      <c r="M385" s="242" t="s">
        <v>410</v>
      </c>
      <c r="N385" s="242" t="s">
        <v>410</v>
      </c>
      <c r="O385" s="242" t="s">
        <v>410</v>
      </c>
      <c r="P385" s="242" t="s">
        <v>411</v>
      </c>
      <c r="Q385" s="15" t="s">
        <v>412</v>
      </c>
      <c r="R385" s="396" t="str">
        <f>R$11</f>
        <v>Wholesale</v>
      </c>
      <c r="S385" s="13" t="str">
        <f>S$11</f>
        <v>Wholesale</v>
      </c>
      <c r="T385" s="242"/>
      <c r="U385" s="15" t="s">
        <v>10</v>
      </c>
      <c r="V385" s="67"/>
      <c r="W385" s="67"/>
      <c r="X385" s="370"/>
    </row>
    <row r="386" spans="1:24" ht="14.25">
      <c r="A386" s="67"/>
      <c r="B386" s="15"/>
      <c r="C386" s="15"/>
      <c r="D386" s="15"/>
      <c r="E386" s="15"/>
      <c r="F386" s="15"/>
      <c r="G386" s="242" t="s">
        <v>742</v>
      </c>
      <c r="H386" s="242" t="s">
        <v>743</v>
      </c>
      <c r="I386" s="15"/>
      <c r="J386" s="242"/>
      <c r="K386" s="242" t="s">
        <v>731</v>
      </c>
      <c r="L386" s="15" t="s">
        <v>732</v>
      </c>
      <c r="M386" s="242" t="s">
        <v>731</v>
      </c>
      <c r="N386" s="242" t="s">
        <v>732</v>
      </c>
      <c r="O386" s="242" t="s">
        <v>414</v>
      </c>
      <c r="P386" s="242"/>
      <c r="Q386" s="15"/>
      <c r="R386" s="235" t="str">
        <f>R$12</f>
        <v>XFMR</v>
      </c>
      <c r="S386" s="15" t="str">
        <f>S$12</f>
        <v>DLS</v>
      </c>
      <c r="T386" s="242"/>
      <c r="U386" s="15"/>
      <c r="V386" s="67"/>
      <c r="W386" s="67"/>
      <c r="X386" s="370">
        <f t="shared" si="124"/>
        <v>0</v>
      </c>
    </row>
    <row r="387" spans="1:24" ht="15" thickBot="1">
      <c r="A387" s="67"/>
      <c r="B387" s="16"/>
      <c r="C387" s="16"/>
      <c r="D387" s="16"/>
      <c r="E387" s="16"/>
      <c r="F387" s="16" t="s">
        <v>13</v>
      </c>
      <c r="G387" s="16" t="s">
        <v>14</v>
      </c>
      <c r="H387" s="16" t="s">
        <v>15</v>
      </c>
      <c r="I387" s="16"/>
      <c r="J387" s="243" t="str">
        <f t="shared" si="137" ref="J387:Q387">J$13</f>
        <v>(d)</v>
      </c>
      <c r="K387" s="243" t="str">
        <f t="shared" si="137"/>
        <v>(e)</v>
      </c>
      <c r="L387" s="16" t="str">
        <f t="shared" si="137"/>
        <v>(f)</v>
      </c>
      <c r="M387" s="243" t="str">
        <f t="shared" si="137"/>
        <v>(g)</v>
      </c>
      <c r="N387" s="243" t="str">
        <f t="shared" si="137"/>
        <v>(h)</v>
      </c>
      <c r="O387" s="243" t="str">
        <f>O$13</f>
        <v>(i)</v>
      </c>
      <c r="P387" s="243" t="str">
        <f t="shared" si="137"/>
        <v>(j)</v>
      </c>
      <c r="Q387" s="243" t="str">
        <f t="shared" si="137"/>
        <v>(k)</v>
      </c>
      <c r="R387" s="243" t="str">
        <f>R$13</f>
        <v>(l)</v>
      </c>
      <c r="S387" s="16" t="str">
        <f>S$13</f>
        <v>(m)</v>
      </c>
      <c r="T387" s="16"/>
      <c r="U387" s="16" t="s">
        <v>734</v>
      </c>
      <c r="V387" s="67"/>
      <c r="W387" s="67"/>
      <c r="X387" s="370"/>
    </row>
    <row r="388" spans="1:24" ht="14.25">
      <c r="A388" s="67"/>
      <c r="B388" s="67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43"/>
      <c r="V388" s="67"/>
      <c r="W388" s="67"/>
      <c r="X388" s="370">
        <f t="shared" si="124"/>
        <v>0</v>
      </c>
    </row>
    <row r="389" spans="1:24" ht="15">
      <c r="A389" s="67"/>
      <c r="B389" s="17">
        <f t="shared" si="138" ref="B389:B399">B388+1</f>
        <v>1</v>
      </c>
      <c r="C389" s="334" t="s">
        <v>115</v>
      </c>
      <c r="D389" s="36"/>
      <c r="E389" s="37"/>
      <c r="F389" s="338"/>
      <c r="G389" s="37"/>
      <c r="H389" s="37"/>
      <c r="I389" s="37"/>
      <c r="J389" s="897"/>
      <c r="K389" s="897"/>
      <c r="L389" s="897"/>
      <c r="M389" s="897"/>
      <c r="N389" s="897"/>
      <c r="O389" s="897"/>
      <c r="P389" s="897"/>
      <c r="Q389" s="897"/>
      <c r="R389" s="897"/>
      <c r="S389" s="897"/>
      <c r="T389" s="37"/>
      <c r="U389" s="44"/>
      <c r="V389" s="67"/>
      <c r="W389" s="67"/>
      <c r="X389" s="370">
        <f t="shared" si="124"/>
        <v>0</v>
      </c>
    </row>
    <row r="390" spans="1:24" ht="15">
      <c r="A390" s="67"/>
      <c r="B390" s="17">
        <f t="shared" si="138"/>
        <v>2</v>
      </c>
      <c r="C390" s="334"/>
      <c r="D390" s="43"/>
      <c r="E390" s="263"/>
      <c r="F390" s="339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340"/>
      <c r="V390" s="67"/>
      <c r="W390" s="67"/>
      <c r="X390" s="370">
        <f t="shared" si="124"/>
        <v>0</v>
      </c>
    </row>
    <row r="391" spans="1:24" ht="15">
      <c r="A391" s="67"/>
      <c r="B391" s="17">
        <f t="shared" si="138"/>
        <v>3</v>
      </c>
      <c r="C391" s="43"/>
      <c r="D391" s="43" t="s">
        <v>143</v>
      </c>
      <c r="E391" s="37" t="s">
        <v>523</v>
      </c>
      <c r="F391" s="118">
        <f>' WP II-I-1.4'!G391</f>
        <v>0</v>
      </c>
      <c r="G391" s="358">
        <v>2</v>
      </c>
      <c r="H391" s="47" t="str">
        <f>VLOOKUP(G391,FactorTable,2)</f>
        <v>N / A</v>
      </c>
      <c r="I391" s="897"/>
      <c r="J391" s="897"/>
      <c r="K391" s="897"/>
      <c r="L391" s="897"/>
      <c r="M391" s="897"/>
      <c r="N391" s="897"/>
      <c r="O391" s="897"/>
      <c r="P391" s="897"/>
      <c r="Q391" s="897"/>
      <c r="R391" s="897"/>
      <c r="S391" s="897"/>
      <c r="T391" s="897"/>
      <c r="U391" s="118">
        <f>SUM(I391:T391)</f>
        <v>0</v>
      </c>
      <c r="V391" s="67"/>
      <c r="W391" s="67"/>
      <c r="X391" s="370">
        <f t="shared" si="124"/>
        <v>0</v>
      </c>
    </row>
    <row r="392" spans="1:24" ht="15">
      <c r="A392" s="67"/>
      <c r="B392" s="17">
        <f t="shared" si="138"/>
        <v>4</v>
      </c>
      <c r="C392" s="43"/>
      <c r="D392" s="43" t="s">
        <v>592</v>
      </c>
      <c r="E392" s="37"/>
      <c r="F392" s="118">
        <f>' WP II-I-1.4'!G392</f>
        <v>0</v>
      </c>
      <c r="G392" s="358">
        <v>2</v>
      </c>
      <c r="H392" s="47" t="str">
        <f>VLOOKUP(G392,FactorTable,2)</f>
        <v>N / A</v>
      </c>
      <c r="I392" s="897"/>
      <c r="J392" s="897"/>
      <c r="K392" s="897"/>
      <c r="L392" s="897"/>
      <c r="M392" s="897"/>
      <c r="N392" s="897"/>
      <c r="O392" s="897"/>
      <c r="P392" s="897"/>
      <c r="Q392" s="897"/>
      <c r="R392" s="897"/>
      <c r="S392" s="897"/>
      <c r="T392" s="897"/>
      <c r="U392" s="118">
        <f>SUM(I392:T392)</f>
        <v>0</v>
      </c>
      <c r="V392" s="67"/>
      <c r="W392" s="67"/>
      <c r="X392" s="370">
        <f t="shared" si="124"/>
        <v>0</v>
      </c>
    </row>
    <row r="393" spans="1:24" ht="15">
      <c r="A393" s="67"/>
      <c r="B393" s="17">
        <f t="shared" si="138"/>
        <v>5</v>
      </c>
      <c r="C393" s="43"/>
      <c r="D393" s="43" t="s">
        <v>593</v>
      </c>
      <c r="E393" s="37"/>
      <c r="F393" s="118">
        <f>' WP II-I-1.4'!G393</f>
        <v>0</v>
      </c>
      <c r="G393" s="358">
        <v>2</v>
      </c>
      <c r="H393" s="47" t="str">
        <f>VLOOKUP(G393,FactorTable,2)</f>
        <v>N / A</v>
      </c>
      <c r="I393" s="897"/>
      <c r="J393" s="897"/>
      <c r="K393" s="897"/>
      <c r="L393" s="897"/>
      <c r="M393" s="897"/>
      <c r="N393" s="897"/>
      <c r="O393" s="897"/>
      <c r="P393" s="897"/>
      <c r="Q393" s="897"/>
      <c r="R393" s="897"/>
      <c r="S393" s="897"/>
      <c r="T393" s="897"/>
      <c r="U393" s="118">
        <f>SUM(I393:T393)</f>
        <v>0</v>
      </c>
      <c r="V393" s="67"/>
      <c r="W393" s="67"/>
      <c r="X393" s="370">
        <f t="shared" si="124"/>
        <v>0</v>
      </c>
    </row>
    <row r="394" spans="1:24" ht="15.75" thickBot="1">
      <c r="A394" s="47"/>
      <c r="B394" s="17">
        <f t="shared" si="138"/>
        <v>6</v>
      </c>
      <c r="C394" s="43"/>
      <c r="D394" s="43"/>
      <c r="E394" s="37"/>
      <c r="F394" s="27"/>
      <c r="G394" s="37"/>
      <c r="H394" s="37"/>
      <c r="I394" s="37"/>
      <c r="J394" s="897"/>
      <c r="K394" s="897"/>
      <c r="L394" s="897"/>
      <c r="M394" s="897"/>
      <c r="N394" s="897"/>
      <c r="O394" s="897"/>
      <c r="P394" s="897"/>
      <c r="Q394" s="897"/>
      <c r="R394" s="897"/>
      <c r="S394" s="897"/>
      <c r="T394" s="37"/>
      <c r="U394" s="118"/>
      <c r="V394" s="67"/>
      <c r="W394" s="67"/>
      <c r="X394" s="370">
        <f t="shared" si="124"/>
        <v>0</v>
      </c>
    </row>
    <row r="395" spans="1:24" ht="15.75" thickBot="1">
      <c r="A395" s="47"/>
      <c r="B395" s="17">
        <f t="shared" si="138"/>
        <v>7</v>
      </c>
      <c r="C395" s="341" t="s">
        <v>594</v>
      </c>
      <c r="D395" s="336"/>
      <c r="E395" s="337" t="s">
        <v>523</v>
      </c>
      <c r="F395" s="342">
        <f>SUM(F391:F393)</f>
        <v>0</v>
      </c>
      <c r="G395" s="337"/>
      <c r="H395" s="457"/>
      <c r="I395" s="643"/>
      <c r="J395" s="460">
        <f t="shared" si="139" ref="J395:Q395">SUM(J391:J393)</f>
        <v>0</v>
      </c>
      <c r="K395" s="342">
        <f t="shared" si="139"/>
        <v>0</v>
      </c>
      <c r="L395" s="342">
        <f t="shared" si="139"/>
        <v>0</v>
      </c>
      <c r="M395" s="342">
        <f t="shared" si="139"/>
        <v>0</v>
      </c>
      <c r="N395" s="342">
        <f t="shared" si="139"/>
        <v>0</v>
      </c>
      <c r="O395" s="342">
        <f>SUM(O391:O393)</f>
        <v>0</v>
      </c>
      <c r="P395" s="342">
        <f t="shared" si="139"/>
        <v>0</v>
      </c>
      <c r="Q395" s="342">
        <f t="shared" si="139"/>
        <v>0</v>
      </c>
      <c r="R395" s="342">
        <f>SUM(R391:R393)</f>
        <v>0</v>
      </c>
      <c r="S395" s="461">
        <f>SUM(S391:S393)</f>
        <v>0</v>
      </c>
      <c r="T395" s="458"/>
      <c r="U395" s="256">
        <f>SUM(I395:T395)</f>
        <v>0</v>
      </c>
      <c r="V395" s="67"/>
      <c r="W395" s="67"/>
      <c r="X395" s="370">
        <f t="shared" si="124"/>
        <v>0</v>
      </c>
    </row>
    <row r="396" spans="1:24" ht="14.25">
      <c r="A396" s="47"/>
      <c r="B396" s="17">
        <f t="shared" si="138"/>
        <v>8</v>
      </c>
      <c r="C396" s="43"/>
      <c r="D396" s="43"/>
      <c r="E396" s="263"/>
      <c r="F396" s="339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344"/>
      <c r="V396" s="67"/>
      <c r="W396" s="67"/>
      <c r="X396" s="370">
        <f t="shared" si="124"/>
        <v>0</v>
      </c>
    </row>
    <row r="397" spans="1:24" ht="15">
      <c r="A397" s="147"/>
      <c r="B397" s="17">
        <f t="shared" si="138"/>
        <v>9</v>
      </c>
      <c r="C397" s="36" t="s">
        <v>595</v>
      </c>
      <c r="D397" s="44"/>
      <c r="E397" s="37" t="s">
        <v>130</v>
      </c>
      <c r="F397" s="118">
        <f>' WP II-I-1.4'!G397</f>
        <v>-1132059195.6699996</v>
      </c>
      <c r="G397" s="358">
        <v>64</v>
      </c>
      <c r="H397" s="47" t="str">
        <f>VLOOKUP(G397,FactorTable,2)</f>
        <v>PLANT</v>
      </c>
      <c r="I397" s="897"/>
      <c r="J397" s="434">
        <f t="shared" si="140" ref="J397:S397">$F397*HLOOKUP(J$1318,FactorTable,$G397+1)</f>
        <v>-616706364.83718812</v>
      </c>
      <c r="K397" s="434">
        <f t="shared" si="140"/>
        <v>-24935374.253676243</v>
      </c>
      <c r="L397" s="434">
        <f t="shared" si="140"/>
        <v>-384269994.92561561</v>
      </c>
      <c r="M397" s="434">
        <f t="shared" si="140"/>
        <v>-132982.27184342314</v>
      </c>
      <c r="N397" s="434">
        <f t="shared" si="140"/>
        <v>-56284792.496729873</v>
      </c>
      <c r="O397" s="434">
        <f t="shared" si="140"/>
        <v>-5154015.7734882683</v>
      </c>
      <c r="P397" s="434">
        <f t="shared" si="140"/>
        <v>-1020127.1191370017</v>
      </c>
      <c r="Q397" s="434">
        <f t="shared" si="140"/>
        <v>-39882508.285921067</v>
      </c>
      <c r="R397" s="434">
        <f t="shared" si="140"/>
        <v>-617741.04882033891</v>
      </c>
      <c r="S397" s="434">
        <f t="shared" si="140"/>
        <v>-3055294.6575792716</v>
      </c>
      <c r="T397" s="897"/>
      <c r="U397" s="299">
        <f>SUM(I397:T397)</f>
        <v>-1132059195.6699991</v>
      </c>
      <c r="V397" s="133"/>
      <c r="W397" s="133"/>
      <c r="X397" s="370">
        <f t="shared" si="124"/>
        <v>0</v>
      </c>
    </row>
    <row r="398" spans="1:24" ht="15" thickBot="1">
      <c r="A398" s="47"/>
      <c r="B398" s="17">
        <f t="shared" si="138"/>
        <v>10</v>
      </c>
      <c r="C398" s="43"/>
      <c r="D398" s="43"/>
      <c r="E398" s="263"/>
      <c r="F398" s="339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340"/>
      <c r="V398" s="67"/>
      <c r="W398" s="67"/>
      <c r="X398" s="370">
        <f t="shared" si="124"/>
        <v>0</v>
      </c>
    </row>
    <row r="399" spans="1:24" ht="15.75" thickBot="1">
      <c r="A399" s="67"/>
      <c r="B399" s="17">
        <f t="shared" si="138"/>
        <v>11</v>
      </c>
      <c r="C399" s="341" t="s">
        <v>596</v>
      </c>
      <c r="D399" s="336"/>
      <c r="E399" s="337"/>
      <c r="F399" s="342">
        <f>+F397+F395</f>
        <v>-1132059195.6699996</v>
      </c>
      <c r="G399" s="337"/>
      <c r="H399" s="457"/>
      <c r="I399" s="458"/>
      <c r="J399" s="460">
        <f t="shared" si="141" ref="J399:Q399">+J397+J395</f>
        <v>-616706364.83718812</v>
      </c>
      <c r="K399" s="342">
        <f t="shared" si="141"/>
        <v>-24935374.253676243</v>
      </c>
      <c r="L399" s="342">
        <f t="shared" si="141"/>
        <v>-384269994.92561561</v>
      </c>
      <c r="M399" s="342">
        <f t="shared" si="141"/>
        <v>-132982.27184342314</v>
      </c>
      <c r="N399" s="342">
        <f t="shared" si="141"/>
        <v>-56284792.496729873</v>
      </c>
      <c r="O399" s="342">
        <f>+O397+O395</f>
        <v>-5154015.7734882683</v>
      </c>
      <c r="P399" s="342">
        <f t="shared" si="141"/>
        <v>-1020127.1191370017</v>
      </c>
      <c r="Q399" s="342">
        <f t="shared" si="141"/>
        <v>-39882508.285921067</v>
      </c>
      <c r="R399" s="342">
        <f>+R397+R395</f>
        <v>-617741.04882033891</v>
      </c>
      <c r="S399" s="461">
        <f>+S397+S395</f>
        <v>-3055294.6575792716</v>
      </c>
      <c r="T399" s="458"/>
      <c r="U399" s="256">
        <f>SUM(I399:T399)</f>
        <v>-1132059195.6699991</v>
      </c>
      <c r="V399" s="67"/>
      <c r="W399" s="67"/>
      <c r="X399" s="370">
        <f t="shared" si="124"/>
        <v>0</v>
      </c>
    </row>
    <row r="400" spans="1:24" ht="14.25">
      <c r="A400" s="67"/>
      <c r="B400" s="67"/>
      <c r="C400" s="67"/>
      <c r="D400" s="67"/>
      <c r="E400" s="67"/>
      <c r="F400" s="283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370">
        <f t="shared" si="124"/>
        <v>0</v>
      </c>
    </row>
    <row r="401" spans="1:24" ht="14.25">
      <c r="A401" s="67"/>
      <c r="B401" s="67"/>
      <c r="C401" s="67"/>
      <c r="D401" s="67"/>
      <c r="E401" s="67"/>
      <c r="F401" s="283"/>
      <c r="G401" s="67"/>
      <c r="H401" s="134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134"/>
      <c r="V401" s="134">
        <f>$H$2</f>
        <v>0</v>
      </c>
      <c r="W401" s="134"/>
      <c r="X401" s="370"/>
    </row>
    <row r="402" spans="1:24" ht="15" thickBot="1">
      <c r="A402" s="67"/>
      <c r="B402" s="67"/>
      <c r="C402" s="67"/>
      <c r="D402" s="67"/>
      <c r="E402" s="67"/>
      <c r="F402" s="283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370">
        <f t="shared" si="124"/>
        <v>0</v>
      </c>
    </row>
    <row r="403" spans="1:24" ht="15">
      <c r="A403" s="67"/>
      <c r="B403" s="920" t="str">
        <f>+$B$4</f>
        <v>2022 RATE CASE</v>
      </c>
      <c r="C403" s="935"/>
      <c r="D403" s="969"/>
      <c r="F403" s="332"/>
      <c r="U403" s="134"/>
      <c r="X403" s="370">
        <f t="shared" si="124"/>
        <v>0</v>
      </c>
    </row>
    <row r="404" spans="1:24" ht="15">
      <c r="A404" s="67"/>
      <c r="B404" s="917" t="str">
        <f>+$B$5</f>
        <v>ONCOR ELECTRIC DELIVERY COMPANY LLC</v>
      </c>
      <c r="C404" s="8"/>
      <c r="D404" s="970"/>
      <c r="F404" s="332"/>
      <c r="U404" s="134"/>
      <c r="V404" s="67"/>
      <c r="W404" s="67"/>
      <c r="X404" s="370">
        <f t="shared" si="124"/>
        <v>0</v>
      </c>
    </row>
    <row r="405" spans="1:24" ht="15">
      <c r="A405" s="67"/>
      <c r="B405" s="917" t="str">
        <f>+$B$6</f>
        <v>II-I-1-DIST:  CLASS REVENUE REQUIREMENT</v>
      </c>
      <c r="C405" s="85"/>
      <c r="D405" s="970"/>
      <c r="F405" s="332"/>
      <c r="U405" s="332"/>
      <c r="V405" s="67"/>
      <c r="W405" s="67"/>
      <c r="X405" s="370">
        <f t="shared" si="142" ref="X405:X468">U405-F405</f>
        <v>0</v>
      </c>
    </row>
    <row r="406" spans="1:24" ht="15">
      <c r="A406" s="67"/>
      <c r="B406" s="406" t="str">
        <f>+$B$7</f>
        <v>TEST YEAR ENDING 12/31/2021</v>
      </c>
      <c r="C406" s="85"/>
      <c r="D406" s="970"/>
      <c r="F406" s="332"/>
      <c r="U406" s="332"/>
      <c r="V406" s="67"/>
      <c r="W406" s="67"/>
      <c r="X406" s="370">
        <f t="shared" si="142"/>
        <v>0</v>
      </c>
    </row>
    <row r="407" spans="1:24" ht="15">
      <c r="A407" s="67"/>
      <c r="B407" s="406" t="str">
        <f>+$B$8</f>
        <v>SPONSOR:  MATTHEW A. TROXLE</v>
      </c>
      <c r="C407" s="85"/>
      <c r="D407" s="970"/>
      <c r="F407" s="332"/>
      <c r="U407" s="332"/>
      <c r="V407" s="67"/>
      <c r="W407" s="67"/>
      <c r="X407" s="370">
        <f t="shared" si="142"/>
        <v>0</v>
      </c>
    </row>
    <row r="408" spans="1:24" ht="15.75" thickBot="1">
      <c r="A408" s="67"/>
      <c r="B408" s="410"/>
      <c r="C408" s="934"/>
      <c r="D408" s="936"/>
      <c r="F408" s="332"/>
      <c r="U408" s="332"/>
      <c r="V408" s="67"/>
      <c r="W408" s="67"/>
      <c r="X408" s="370">
        <f t="shared" si="142"/>
        <v>0</v>
      </c>
    </row>
    <row r="409" spans="1:24" ht="15" thickBot="1">
      <c r="A409" s="67"/>
      <c r="B409" s="13"/>
      <c r="C409" s="14"/>
      <c r="D409" s="14"/>
      <c r="E409" s="14"/>
      <c r="F409" s="13"/>
      <c r="G409" s="14"/>
      <c r="H409" s="14"/>
      <c r="I409" s="14"/>
      <c r="J409" s="238"/>
      <c r="K409" s="238"/>
      <c r="L409" s="14"/>
      <c r="M409" s="238"/>
      <c r="N409" s="238"/>
      <c r="O409" s="238"/>
      <c r="P409" s="238"/>
      <c r="Q409" s="14"/>
      <c r="R409" s="393" t="str">
        <f>R$10</f>
        <v xml:space="preserve"> </v>
      </c>
      <c r="S409" s="394"/>
      <c r="T409" s="238"/>
      <c r="U409" s="13"/>
      <c r="V409" s="67"/>
      <c r="W409" s="67"/>
      <c r="X409" s="370">
        <f t="shared" si="142"/>
        <v>0</v>
      </c>
    </row>
    <row r="410" spans="1:24" ht="15">
      <c r="A410" s="67"/>
      <c r="B410" s="15" t="s">
        <v>2</v>
      </c>
      <c r="C410" s="15" t="s">
        <v>370</v>
      </c>
      <c r="D410" s="287" t="s">
        <v>597</v>
      </c>
      <c r="E410" s="15" t="s">
        <v>371</v>
      </c>
      <c r="F410" s="287" t="str">
        <f>F$11</f>
        <v>DIST</v>
      </c>
      <c r="G410" s="242" t="s">
        <v>741</v>
      </c>
      <c r="H410" s="242" t="s">
        <v>376</v>
      </c>
      <c r="I410" s="15"/>
      <c r="J410" s="242" t="s">
        <v>730</v>
      </c>
      <c r="K410" s="242" t="s">
        <v>409</v>
      </c>
      <c r="L410" s="15" t="s">
        <v>409</v>
      </c>
      <c r="M410" s="242" t="s">
        <v>410</v>
      </c>
      <c r="N410" s="242" t="s">
        <v>410</v>
      </c>
      <c r="O410" s="242" t="s">
        <v>410</v>
      </c>
      <c r="P410" s="242" t="s">
        <v>411</v>
      </c>
      <c r="Q410" s="15" t="s">
        <v>412</v>
      </c>
      <c r="R410" s="396" t="str">
        <f>R$11</f>
        <v>Wholesale</v>
      </c>
      <c r="S410" s="13" t="str">
        <f>S$11</f>
        <v>Wholesale</v>
      </c>
      <c r="T410" s="242"/>
      <c r="U410" s="15" t="s">
        <v>10</v>
      </c>
      <c r="V410" s="67"/>
      <c r="W410" s="67"/>
      <c r="X410" s="370"/>
    </row>
    <row r="411" spans="1:24" ht="14.25">
      <c r="A411" s="67"/>
      <c r="B411" s="15"/>
      <c r="C411" s="15"/>
      <c r="D411" s="15"/>
      <c r="E411" s="15"/>
      <c r="F411" s="15"/>
      <c r="G411" s="242" t="s">
        <v>742</v>
      </c>
      <c r="H411" s="242" t="s">
        <v>743</v>
      </c>
      <c r="I411" s="15"/>
      <c r="J411" s="242"/>
      <c r="K411" s="242" t="s">
        <v>731</v>
      </c>
      <c r="L411" s="15" t="s">
        <v>732</v>
      </c>
      <c r="M411" s="242" t="s">
        <v>731</v>
      </c>
      <c r="N411" s="242" t="s">
        <v>732</v>
      </c>
      <c r="O411" s="242" t="s">
        <v>414</v>
      </c>
      <c r="P411" s="242"/>
      <c r="Q411" s="15"/>
      <c r="R411" s="235" t="str">
        <f>R$12</f>
        <v>XFMR</v>
      </c>
      <c r="S411" s="15" t="str">
        <f>S$12</f>
        <v>DLS</v>
      </c>
      <c r="T411" s="242"/>
      <c r="U411" s="15"/>
      <c r="V411" s="67"/>
      <c r="W411" s="67"/>
      <c r="X411" s="370">
        <f t="shared" si="142"/>
        <v>0</v>
      </c>
    </row>
    <row r="412" spans="1:24" ht="15" thickBot="1">
      <c r="A412" s="67"/>
      <c r="B412" s="16"/>
      <c r="C412" s="16"/>
      <c r="D412" s="16"/>
      <c r="E412" s="16"/>
      <c r="F412" s="16" t="s">
        <v>13</v>
      </c>
      <c r="G412" s="16" t="s">
        <v>14</v>
      </c>
      <c r="H412" s="16" t="s">
        <v>15</v>
      </c>
      <c r="I412" s="16"/>
      <c r="J412" s="243" t="str">
        <f t="shared" si="143" ref="J412:Q412">J$13</f>
        <v>(d)</v>
      </c>
      <c r="K412" s="243" t="str">
        <f t="shared" si="143"/>
        <v>(e)</v>
      </c>
      <c r="L412" s="16" t="str">
        <f t="shared" si="143"/>
        <v>(f)</v>
      </c>
      <c r="M412" s="243" t="str">
        <f t="shared" si="143"/>
        <v>(g)</v>
      </c>
      <c r="N412" s="243" t="str">
        <f t="shared" si="143"/>
        <v>(h)</v>
      </c>
      <c r="O412" s="243" t="str">
        <f>O$13</f>
        <v>(i)</v>
      </c>
      <c r="P412" s="243" t="str">
        <f t="shared" si="143"/>
        <v>(j)</v>
      </c>
      <c r="Q412" s="243" t="str">
        <f t="shared" si="143"/>
        <v>(k)</v>
      </c>
      <c r="R412" s="243" t="str">
        <f>R$13</f>
        <v>(l)</v>
      </c>
      <c r="S412" s="16" t="str">
        <f>S$13</f>
        <v>(m)</v>
      </c>
      <c r="T412" s="16"/>
      <c r="U412" s="16" t="s">
        <v>734</v>
      </c>
      <c r="V412" s="67"/>
      <c r="W412" s="67"/>
      <c r="X412" s="370"/>
    </row>
    <row r="413" spans="1:24" ht="15">
      <c r="A413" s="67"/>
      <c r="B413" s="67"/>
      <c r="C413" s="35"/>
      <c r="D413" s="43"/>
      <c r="E413" s="263"/>
      <c r="F413" s="346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43"/>
      <c r="V413" s="67"/>
      <c r="W413" s="67"/>
      <c r="X413" s="370">
        <f t="shared" si="142"/>
        <v>0</v>
      </c>
    </row>
    <row r="414" spans="1:24" ht="15">
      <c r="A414" s="67"/>
      <c r="B414" s="17">
        <f t="shared" si="144" ref="B414:B421">B413+1</f>
        <v>1</v>
      </c>
      <c r="C414" s="334" t="s">
        <v>115</v>
      </c>
      <c r="D414" s="43"/>
      <c r="E414" s="263"/>
      <c r="F414" s="346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43"/>
      <c r="V414" s="67"/>
      <c r="W414" s="67"/>
      <c r="X414" s="370">
        <f t="shared" si="142"/>
        <v>0</v>
      </c>
    </row>
    <row r="415" spans="1:24" ht="15">
      <c r="A415" s="67"/>
      <c r="B415" s="17">
        <f t="shared" si="144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67"/>
      <c r="W415" s="67"/>
      <c r="X415" s="370">
        <f t="shared" si="142"/>
        <v>0</v>
      </c>
    </row>
    <row r="416" spans="1:24" ht="15">
      <c r="A416" s="67"/>
      <c r="B416" s="17">
        <f t="shared" si="144"/>
        <v>3</v>
      </c>
      <c r="C416" s="43"/>
      <c r="D416" s="36" t="s">
        <v>597</v>
      </c>
      <c r="E416" s="37" t="s">
        <v>121</v>
      </c>
      <c r="F416" s="43"/>
      <c r="G416" s="37"/>
      <c r="H416" s="37"/>
      <c r="I416" s="37"/>
      <c r="J416" s="897"/>
      <c r="K416" s="897"/>
      <c r="L416" s="897"/>
      <c r="M416" s="897"/>
      <c r="N416" s="897"/>
      <c r="O416" s="897"/>
      <c r="P416" s="897"/>
      <c r="Q416" s="897"/>
      <c r="R416" s="897"/>
      <c r="S416" s="897"/>
      <c r="T416" s="37"/>
      <c r="U416" s="43"/>
      <c r="V416" s="67"/>
      <c r="W416" s="67"/>
      <c r="X416" s="370">
        <f t="shared" si="142"/>
        <v>0</v>
      </c>
    </row>
    <row r="417" spans="1:24" ht="14.25">
      <c r="A417" s="67"/>
      <c r="B417" s="17">
        <f t="shared" si="144"/>
        <v>4</v>
      </c>
      <c r="C417" s="43">
        <v>154</v>
      </c>
      <c r="D417" s="43" t="s">
        <v>599</v>
      </c>
      <c r="E417" s="43"/>
      <c r="F417" s="118">
        <f>' WP II-I-1.4'!G417</f>
        <v>64325002.539999999</v>
      </c>
      <c r="G417" s="40">
        <v>64</v>
      </c>
      <c r="H417" s="47" t="str">
        <f>VLOOKUP(G417,FactorTable,2)</f>
        <v>PLANT</v>
      </c>
      <c r="I417" s="43"/>
      <c r="J417" s="434">
        <f t="shared" si="145" ref="J417:S418">$F417*HLOOKUP(J$1318,FactorTable,$G417+1)</f>
        <v>35042017.799350284</v>
      </c>
      <c r="K417" s="434">
        <f t="shared" si="145"/>
        <v>1416858.7811826218</v>
      </c>
      <c r="L417" s="434">
        <f t="shared" si="145"/>
        <v>21834696.007223167</v>
      </c>
      <c r="M417" s="434">
        <f t="shared" si="145"/>
        <v>7556.2170307185233</v>
      </c>
      <c r="N417" s="434">
        <f t="shared" si="145"/>
        <v>3198171.4685624265</v>
      </c>
      <c r="O417" s="434">
        <f t="shared" si="145"/>
        <v>292857.54577932518</v>
      </c>
      <c r="P417" s="434">
        <f t="shared" si="145"/>
        <v>57964.883621455912</v>
      </c>
      <c r="Q417" s="434">
        <f t="shared" si="145"/>
        <v>2266173.4091344126</v>
      </c>
      <c r="R417" s="434">
        <f t="shared" si="145"/>
        <v>35100.809821974937</v>
      </c>
      <c r="S417" s="434">
        <f t="shared" si="145"/>
        <v>173605.61829359055</v>
      </c>
      <c r="T417" s="43"/>
      <c r="U417" s="118">
        <f>SUM(I417:T417)</f>
        <v>64325002.539999977</v>
      </c>
      <c r="V417" s="67"/>
      <c r="W417" s="67"/>
      <c r="X417" s="370">
        <f t="shared" si="142"/>
        <v>0</v>
      </c>
    </row>
    <row r="418" spans="1:24" ht="14.25">
      <c r="A418" s="67"/>
      <c r="B418" s="17">
        <f t="shared" si="144"/>
        <v>5</v>
      </c>
      <c r="C418" s="43">
        <v>163</v>
      </c>
      <c r="D418" s="43" t="s">
        <v>600</v>
      </c>
      <c r="E418" s="263"/>
      <c r="F418" s="118">
        <f>' WP II-I-1.4'!G418</f>
        <v>10365401.869999999</v>
      </c>
      <c r="G418" s="40">
        <v>64</v>
      </c>
      <c r="H418" s="47" t="str">
        <f>VLOOKUP(G418,FactorTable,2)</f>
        <v>PLANT</v>
      </c>
      <c r="I418" s="263"/>
      <c r="J418" s="435">
        <f t="shared" si="145"/>
        <v>5646709.4051040318</v>
      </c>
      <c r="K418" s="435">
        <f t="shared" si="145"/>
        <v>228314.18702026014</v>
      </c>
      <c r="L418" s="435">
        <f t="shared" si="145"/>
        <v>3518467.0017449879</v>
      </c>
      <c r="M418" s="435">
        <f t="shared" si="145"/>
        <v>1217.6171480386797</v>
      </c>
      <c r="N418" s="435">
        <f t="shared" si="145"/>
        <v>515356.87853573496</v>
      </c>
      <c r="O418" s="435">
        <f t="shared" si="145"/>
        <v>47191.387995312893</v>
      </c>
      <c r="P418" s="435">
        <f t="shared" si="145"/>
        <v>9340.5252912434862</v>
      </c>
      <c r="Q418" s="435">
        <f t="shared" si="145"/>
        <v>365173.68309747311</v>
      </c>
      <c r="R418" s="435">
        <f t="shared" si="145"/>
        <v>5656.1832164867155</v>
      </c>
      <c r="S418" s="435">
        <f t="shared" si="145"/>
        <v>27975.000846426541</v>
      </c>
      <c r="T418" s="263"/>
      <c r="U418" s="118">
        <f>SUM(I418:T418)</f>
        <v>10365401.869999994</v>
      </c>
      <c r="V418" s="67"/>
      <c r="W418" s="67"/>
      <c r="X418" s="370">
        <f t="shared" si="142"/>
        <v>0</v>
      </c>
    </row>
    <row r="419" spans="1:24" ht="15">
      <c r="A419" s="67"/>
      <c r="B419" s="17">
        <f t="shared" si="144"/>
        <v>6</v>
      </c>
      <c r="C419" s="36"/>
      <c r="D419" s="44" t="s">
        <v>491</v>
      </c>
      <c r="E419" s="39"/>
      <c r="F419" s="39">
        <f>SUM(F417:F418)</f>
        <v>74690404.409999996</v>
      </c>
      <c r="G419" s="39"/>
      <c r="H419" s="39"/>
      <c r="I419" s="39"/>
      <c r="J419" s="39">
        <f t="shared" si="146" ref="J419:Q419">SUM(J417:J418)</f>
        <v>40688727.204454318</v>
      </c>
      <c r="K419" s="39">
        <f t="shared" si="146"/>
        <v>1645172.968202882</v>
      </c>
      <c r="L419" s="39">
        <f t="shared" si="146"/>
        <v>25353163.008968156</v>
      </c>
      <c r="M419" s="39">
        <f t="shared" si="146"/>
        <v>8773.8341787572026</v>
      </c>
      <c r="N419" s="39">
        <f t="shared" si="146"/>
        <v>3713528.3470981615</v>
      </c>
      <c r="O419" s="39">
        <f>SUM(O417:O418)</f>
        <v>340048.93377463811</v>
      </c>
      <c r="P419" s="39">
        <f t="shared" si="146"/>
        <v>67305.408912699393</v>
      </c>
      <c r="Q419" s="39">
        <f t="shared" si="146"/>
        <v>2631347.0922318855</v>
      </c>
      <c r="R419" s="39">
        <f>SUM(R417:R418)</f>
        <v>40756.993038461653</v>
      </c>
      <c r="S419" s="39">
        <f>SUM(S417:S418)</f>
        <v>201580.61914001708</v>
      </c>
      <c r="T419" s="39"/>
      <c r="U419" s="299">
        <f>SUM(I419:T419)</f>
        <v>74690404.409999967</v>
      </c>
      <c r="V419" s="67"/>
      <c r="W419" s="67"/>
      <c r="X419" s="370">
        <f t="shared" si="142"/>
        <v>0</v>
      </c>
    </row>
    <row r="420" spans="1:24" ht="15" thickBot="1">
      <c r="A420" s="67"/>
      <c r="B420" s="17">
        <f t="shared" si="144"/>
        <v>7</v>
      </c>
      <c r="C420" s="43"/>
      <c r="D420" s="340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43"/>
      <c r="V420" s="67"/>
      <c r="W420" s="67"/>
      <c r="X420" s="370">
        <f t="shared" si="142"/>
        <v>0</v>
      </c>
    </row>
    <row r="421" spans="1:24" ht="15.75" thickBot="1">
      <c r="A421" s="47"/>
      <c r="B421" s="17">
        <f t="shared" si="144"/>
        <v>8</v>
      </c>
      <c r="C421" s="335" t="s">
        <v>601</v>
      </c>
      <c r="D421" s="336"/>
      <c r="E421" s="337" t="s">
        <v>121</v>
      </c>
      <c r="F421" s="278">
        <f>F419</f>
        <v>74690404.409999996</v>
      </c>
      <c r="G421" s="337"/>
      <c r="H421" s="457"/>
      <c r="I421" s="458"/>
      <c r="J421" s="356">
        <f t="shared" si="147" ref="J421:Q421">J419</f>
        <v>40688727.204454318</v>
      </c>
      <c r="K421" s="905">
        <f t="shared" si="147"/>
        <v>1645172.968202882</v>
      </c>
      <c r="L421" s="905">
        <f t="shared" si="147"/>
        <v>25353163.008968156</v>
      </c>
      <c r="M421" s="905">
        <f t="shared" si="147"/>
        <v>8773.8341787572026</v>
      </c>
      <c r="N421" s="905">
        <f t="shared" si="147"/>
        <v>3713528.3470981615</v>
      </c>
      <c r="O421" s="905">
        <f>O419</f>
        <v>340048.93377463811</v>
      </c>
      <c r="P421" s="905">
        <f t="shared" si="147"/>
        <v>67305.408912699393</v>
      </c>
      <c r="Q421" s="905">
        <f t="shared" si="147"/>
        <v>2631347.0922318855</v>
      </c>
      <c r="R421" s="905">
        <f>R419</f>
        <v>40756.993038461653</v>
      </c>
      <c r="S421" s="279">
        <f>S419</f>
        <v>201580.61914001708</v>
      </c>
      <c r="T421" s="458"/>
      <c r="U421" s="256">
        <f>SUM(I421:T421)</f>
        <v>74690404.409999967</v>
      </c>
      <c r="V421" s="67"/>
      <c r="W421" s="67"/>
      <c r="X421" s="370">
        <f t="shared" si="142"/>
        <v>0</v>
      </c>
    </row>
    <row r="422" spans="1:24" ht="14.25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370">
        <f t="shared" si="142"/>
        <v>0</v>
      </c>
    </row>
    <row r="423" spans="1:24" ht="14.25">
      <c r="A423" s="67"/>
      <c r="B423" s="67"/>
      <c r="C423" s="67"/>
      <c r="D423" s="67"/>
      <c r="E423" s="67"/>
      <c r="F423" s="67"/>
      <c r="G423" s="67"/>
      <c r="H423" s="134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134"/>
      <c r="V423" s="134">
        <f>$H$2</f>
        <v>0</v>
      </c>
      <c r="W423" s="134"/>
      <c r="X423" s="370"/>
    </row>
    <row r="424" spans="1:24" ht="15" thickBo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370">
        <f t="shared" si="142"/>
        <v>0</v>
      </c>
    </row>
    <row r="425" spans="1:24" ht="15">
      <c r="A425" s="67"/>
      <c r="B425" s="920" t="str">
        <f>+$B$4</f>
        <v>2022 RATE CASE</v>
      </c>
      <c r="C425" s="935"/>
      <c r="D425" s="969"/>
      <c r="F425" s="332"/>
      <c r="U425" s="134"/>
      <c r="X425" s="370">
        <f t="shared" si="142"/>
        <v>0</v>
      </c>
    </row>
    <row r="426" spans="1:24" ht="15">
      <c r="A426" s="67"/>
      <c r="B426" s="917" t="str">
        <f>+$B$5</f>
        <v>ONCOR ELECTRIC DELIVERY COMPANY LLC</v>
      </c>
      <c r="C426" s="8"/>
      <c r="D426" s="970"/>
      <c r="F426" s="332"/>
      <c r="U426" s="134"/>
      <c r="V426" s="67"/>
      <c r="W426" s="67"/>
      <c r="X426" s="370">
        <f t="shared" si="142"/>
        <v>0</v>
      </c>
    </row>
    <row r="427" spans="1:24" ht="15">
      <c r="A427" s="67"/>
      <c r="B427" s="917" t="str">
        <f>+$B$6</f>
        <v>II-I-1-DIST:  CLASS REVENUE REQUIREMENT</v>
      </c>
      <c r="C427" s="85"/>
      <c r="D427" s="970"/>
      <c r="F427" s="332"/>
      <c r="U427" s="332"/>
      <c r="V427" s="67"/>
      <c r="W427" s="67"/>
      <c r="X427" s="370">
        <f t="shared" si="142"/>
        <v>0</v>
      </c>
    </row>
    <row r="428" spans="1:24" ht="15">
      <c r="A428" s="67"/>
      <c r="B428" s="406" t="str">
        <f>+$B$7</f>
        <v>TEST YEAR ENDING 12/31/2021</v>
      </c>
      <c r="C428" s="85"/>
      <c r="D428" s="970"/>
      <c r="F428" s="332"/>
      <c r="U428" s="332"/>
      <c r="V428" s="67"/>
      <c r="W428" s="67"/>
      <c r="X428" s="370">
        <f t="shared" si="142"/>
        <v>0</v>
      </c>
    </row>
    <row r="429" spans="1:24" ht="15">
      <c r="A429" s="67"/>
      <c r="B429" s="406" t="str">
        <f>+$B$8</f>
        <v>SPONSOR:  MATTHEW A. TROXLE</v>
      </c>
      <c r="C429" s="85"/>
      <c r="D429" s="970"/>
      <c r="F429" s="332"/>
      <c r="U429" s="332"/>
      <c r="V429" s="67"/>
      <c r="W429" s="67"/>
      <c r="X429" s="370">
        <f t="shared" si="142"/>
        <v>0</v>
      </c>
    </row>
    <row r="430" spans="1:24" ht="15.75" thickBot="1">
      <c r="A430" s="67"/>
      <c r="B430" s="410"/>
      <c r="C430" s="934"/>
      <c r="D430" s="936"/>
      <c r="F430" s="332"/>
      <c r="U430" s="332"/>
      <c r="V430" s="67"/>
      <c r="W430" s="67"/>
      <c r="X430" s="370">
        <f t="shared" si="142"/>
        <v>0</v>
      </c>
    </row>
    <row r="431" spans="1:24" ht="15" thickBot="1">
      <c r="A431" s="67"/>
      <c r="B431" s="13"/>
      <c r="C431" s="14"/>
      <c r="D431" s="14"/>
      <c r="E431" s="14"/>
      <c r="F431" s="13"/>
      <c r="G431" s="14"/>
      <c r="H431" s="14"/>
      <c r="I431" s="14"/>
      <c r="J431" s="238"/>
      <c r="K431" s="238"/>
      <c r="L431" s="14"/>
      <c r="M431" s="238"/>
      <c r="N431" s="238"/>
      <c r="O431" s="238"/>
      <c r="P431" s="238"/>
      <c r="Q431" s="14"/>
      <c r="R431" s="393" t="str">
        <f>R$10</f>
        <v xml:space="preserve"> </v>
      </c>
      <c r="S431" s="394"/>
      <c r="T431" s="238"/>
      <c r="U431" s="13"/>
      <c r="V431" s="67"/>
      <c r="W431" s="67"/>
      <c r="X431" s="370">
        <f t="shared" si="142"/>
        <v>0</v>
      </c>
    </row>
    <row r="432" spans="1:24" ht="15">
      <c r="A432" s="67"/>
      <c r="B432" s="15" t="s">
        <v>2</v>
      </c>
      <c r="C432" s="15" t="s">
        <v>370</v>
      </c>
      <c r="D432" s="287" t="s">
        <v>123</v>
      </c>
      <c r="E432" s="15" t="s">
        <v>371</v>
      </c>
      <c r="F432" s="287" t="str">
        <f>F$11</f>
        <v>DIST</v>
      </c>
      <c r="G432" s="242" t="s">
        <v>741</v>
      </c>
      <c r="H432" s="242" t="s">
        <v>376</v>
      </c>
      <c r="I432" s="15"/>
      <c r="J432" s="242" t="s">
        <v>730</v>
      </c>
      <c r="K432" s="242" t="s">
        <v>409</v>
      </c>
      <c r="L432" s="15" t="s">
        <v>409</v>
      </c>
      <c r="M432" s="242" t="s">
        <v>410</v>
      </c>
      <c r="N432" s="242" t="s">
        <v>410</v>
      </c>
      <c r="O432" s="242" t="s">
        <v>410</v>
      </c>
      <c r="P432" s="242" t="s">
        <v>411</v>
      </c>
      <c r="Q432" s="15" t="s">
        <v>412</v>
      </c>
      <c r="R432" s="396" t="str">
        <f>R$11</f>
        <v>Wholesale</v>
      </c>
      <c r="S432" s="13" t="str">
        <f>S$11</f>
        <v>Wholesale</v>
      </c>
      <c r="T432" s="242"/>
      <c r="U432" s="15" t="s">
        <v>10</v>
      </c>
      <c r="V432" s="67"/>
      <c r="W432" s="67"/>
      <c r="X432" s="370"/>
    </row>
    <row r="433" spans="1:24" ht="14.25">
      <c r="A433" s="67"/>
      <c r="B433" s="15"/>
      <c r="C433" s="15"/>
      <c r="D433" s="15"/>
      <c r="E433" s="15"/>
      <c r="F433" s="15"/>
      <c r="G433" s="242" t="s">
        <v>742</v>
      </c>
      <c r="H433" s="242" t="s">
        <v>743</v>
      </c>
      <c r="I433" s="15"/>
      <c r="J433" s="242"/>
      <c r="K433" s="242" t="s">
        <v>731</v>
      </c>
      <c r="L433" s="15" t="s">
        <v>732</v>
      </c>
      <c r="M433" s="242" t="s">
        <v>731</v>
      </c>
      <c r="N433" s="242" t="s">
        <v>732</v>
      </c>
      <c r="O433" s="242" t="s">
        <v>414</v>
      </c>
      <c r="P433" s="242"/>
      <c r="Q433" s="15"/>
      <c r="R433" s="235" t="str">
        <f>R$12</f>
        <v>XFMR</v>
      </c>
      <c r="S433" s="15" t="str">
        <f>S$12</f>
        <v>DLS</v>
      </c>
      <c r="T433" s="242"/>
      <c r="U433" s="15"/>
      <c r="V433" s="67"/>
      <c r="W433" s="67"/>
      <c r="X433" s="370">
        <f t="shared" si="142"/>
        <v>0</v>
      </c>
    </row>
    <row r="434" spans="1:24" ht="15" thickBot="1">
      <c r="A434" s="67"/>
      <c r="B434" s="16"/>
      <c r="C434" s="16"/>
      <c r="D434" s="16"/>
      <c r="E434" s="16"/>
      <c r="F434" s="16" t="s">
        <v>13</v>
      </c>
      <c r="G434" s="16" t="s">
        <v>14</v>
      </c>
      <c r="H434" s="16" t="s">
        <v>15</v>
      </c>
      <c r="I434" s="16"/>
      <c r="J434" s="243" t="str">
        <f t="shared" si="148" ref="J434:Q434">J$13</f>
        <v>(d)</v>
      </c>
      <c r="K434" s="243" t="str">
        <f t="shared" si="148"/>
        <v>(e)</v>
      </c>
      <c r="L434" s="16" t="str">
        <f t="shared" si="148"/>
        <v>(f)</v>
      </c>
      <c r="M434" s="243" t="str">
        <f t="shared" si="148"/>
        <v>(g)</v>
      </c>
      <c r="N434" s="243" t="str">
        <f t="shared" si="148"/>
        <v>(h)</v>
      </c>
      <c r="O434" s="243" t="str">
        <f>O$13</f>
        <v>(i)</v>
      </c>
      <c r="P434" s="243" t="str">
        <f t="shared" si="148"/>
        <v>(j)</v>
      </c>
      <c r="Q434" s="243" t="str">
        <f t="shared" si="148"/>
        <v>(k)</v>
      </c>
      <c r="R434" s="243" t="str">
        <f>R$13</f>
        <v>(l)</v>
      </c>
      <c r="S434" s="16" t="str">
        <f>S$13</f>
        <v>(m)</v>
      </c>
      <c r="T434" s="16"/>
      <c r="U434" s="16" t="s">
        <v>734</v>
      </c>
      <c r="V434" s="67"/>
      <c r="W434" s="67"/>
      <c r="X434" s="370"/>
    </row>
    <row r="435" spans="1:24" ht="14.25">
      <c r="A435" s="67"/>
      <c r="B435" s="67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43"/>
      <c r="V435" s="67"/>
      <c r="W435" s="67"/>
      <c r="X435" s="370">
        <f t="shared" si="142"/>
        <v>0</v>
      </c>
    </row>
    <row r="436" spans="1:24" ht="15">
      <c r="A436" s="67"/>
      <c r="B436" s="17">
        <f t="shared" si="149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67"/>
      <c r="W436" s="67"/>
      <c r="X436" s="370">
        <f t="shared" si="142"/>
        <v>0</v>
      </c>
    </row>
    <row r="437" spans="1:24" ht="15">
      <c r="A437" s="67"/>
      <c r="B437" s="17">
        <f t="shared" si="149"/>
        <v>2</v>
      </c>
      <c r="C437" s="348" t="s">
        <v>598</v>
      </c>
      <c r="D437" s="36"/>
      <c r="E437" s="37" t="s">
        <v>124</v>
      </c>
      <c r="F437" s="349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6"/>
      <c r="V437" s="67"/>
      <c r="W437" s="67"/>
      <c r="X437" s="370">
        <f t="shared" si="142"/>
        <v>0</v>
      </c>
    </row>
    <row r="438" spans="1:24" ht="14.25">
      <c r="A438" s="67"/>
      <c r="B438" s="17">
        <f t="shared" si="149"/>
        <v>3</v>
      </c>
      <c r="C438" s="43"/>
      <c r="D438" s="43" t="s">
        <v>123</v>
      </c>
      <c r="E438" s="43"/>
      <c r="F438" s="118">
        <f>' WP II-I-1.4'!G438</f>
        <v>-16695371.95999999</v>
      </c>
      <c r="G438" s="40">
        <v>76</v>
      </c>
      <c r="H438" s="47" t="str">
        <f>VLOOKUP(G438,FactorTable,2)</f>
        <v>O&amp;M</v>
      </c>
      <c r="I438" s="43"/>
      <c r="J438" s="435">
        <f t="shared" si="150" ref="J438:S438">$F438*HLOOKUP(J$1318,FactorTable,$G438+1)</f>
        <v>-7854809.1971242856</v>
      </c>
      <c r="K438" s="435">
        <f t="shared" si="150"/>
        <v>-218396.96673154627</v>
      </c>
      <c r="L438" s="435">
        <f t="shared" si="150"/>
        <v>-5586062.7360451138</v>
      </c>
      <c r="M438" s="435">
        <f t="shared" si="150"/>
        <v>-2477.986039597291</v>
      </c>
      <c r="N438" s="435">
        <f t="shared" si="150"/>
        <v>-1359146.0117999921</v>
      </c>
      <c r="O438" s="435">
        <f t="shared" si="150"/>
        <v>-400373.8368936826</v>
      </c>
      <c r="P438" s="435">
        <f t="shared" si="150"/>
        <v>-1169548.3535631029</v>
      </c>
      <c r="Q438" s="435">
        <f t="shared" si="150"/>
        <v>-92991.308914977402</v>
      </c>
      <c r="R438" s="435">
        <f t="shared" si="150"/>
        <v>-1821.5786534269075</v>
      </c>
      <c r="S438" s="435">
        <f t="shared" si="150"/>
        <v>-9743.9842342662214</v>
      </c>
      <c r="T438" s="43"/>
      <c r="U438" s="118">
        <f>SUM(I438:T438)</f>
        <v>-16695371.959999992</v>
      </c>
      <c r="V438" s="67"/>
      <c r="W438" s="67"/>
      <c r="X438" s="370">
        <f t="shared" si="142"/>
        <v>0</v>
      </c>
    </row>
    <row r="439" spans="1:24" ht="15">
      <c r="A439" s="67"/>
      <c r="B439" s="17">
        <f t="shared" si="149"/>
        <v>4</v>
      </c>
      <c r="C439" s="36"/>
      <c r="D439" s="44" t="s">
        <v>491</v>
      </c>
      <c r="E439" s="39"/>
      <c r="F439" s="39">
        <f>+F438</f>
        <v>-16695371.95999999</v>
      </c>
      <c r="G439" s="39"/>
      <c r="H439" s="39"/>
      <c r="I439" s="39"/>
      <c r="J439" s="898">
        <f t="shared" si="151" ref="J439:Q439">+J438</f>
        <v>-7854809.1971242856</v>
      </c>
      <c r="K439" s="898">
        <f t="shared" si="151"/>
        <v>-218396.96673154627</v>
      </c>
      <c r="L439" s="898">
        <f t="shared" si="151"/>
        <v>-5586062.7360451138</v>
      </c>
      <c r="M439" s="898">
        <f t="shared" si="151"/>
        <v>-2477.986039597291</v>
      </c>
      <c r="N439" s="898">
        <f t="shared" si="151"/>
        <v>-1359146.0117999921</v>
      </c>
      <c r="O439" s="898">
        <f>+O438</f>
        <v>-400373.8368936826</v>
      </c>
      <c r="P439" s="898">
        <f t="shared" si="151"/>
        <v>-1169548.3535631029</v>
      </c>
      <c r="Q439" s="898">
        <f t="shared" si="151"/>
        <v>-92991.308914977402</v>
      </c>
      <c r="R439" s="898">
        <f>+R438</f>
        <v>-1821.5786534269075</v>
      </c>
      <c r="S439" s="898">
        <f>+S438</f>
        <v>-9743.9842342662214</v>
      </c>
      <c r="T439" s="39"/>
      <c r="U439" s="299">
        <f>SUM(I439:T439)</f>
        <v>-16695371.959999992</v>
      </c>
      <c r="V439" s="67"/>
      <c r="W439" s="67"/>
      <c r="X439" s="370">
        <f t="shared" si="142"/>
        <v>0</v>
      </c>
    </row>
    <row r="440" spans="1:24" ht="15" thickBot="1">
      <c r="A440" s="67"/>
      <c r="B440" s="17">
        <f t="shared" si="149"/>
        <v>5</v>
      </c>
      <c r="C440" s="43"/>
      <c r="D440" s="340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43"/>
      <c r="V440" s="67"/>
      <c r="W440" s="67"/>
      <c r="X440" s="370">
        <f t="shared" si="142"/>
        <v>0</v>
      </c>
    </row>
    <row r="441" spans="1:24" ht="15.75" thickBot="1">
      <c r="A441" s="47"/>
      <c r="B441" s="17">
        <f t="shared" si="149"/>
        <v>6</v>
      </c>
      <c r="C441" s="335" t="s">
        <v>602</v>
      </c>
      <c r="D441" s="336"/>
      <c r="E441" s="337" t="s">
        <v>124</v>
      </c>
      <c r="F441" s="278">
        <f>+F439</f>
        <v>-16695371.95999999</v>
      </c>
      <c r="G441" s="337"/>
      <c r="H441" s="457"/>
      <c r="I441" s="643"/>
      <c r="J441" s="356">
        <f t="shared" si="152" ref="J441:Q441">+J439</f>
        <v>-7854809.1971242856</v>
      </c>
      <c r="K441" s="905">
        <f t="shared" si="152"/>
        <v>-218396.96673154627</v>
      </c>
      <c r="L441" s="905">
        <f t="shared" si="152"/>
        <v>-5586062.7360451138</v>
      </c>
      <c r="M441" s="905">
        <f t="shared" si="152"/>
        <v>-2477.986039597291</v>
      </c>
      <c r="N441" s="905">
        <f t="shared" si="152"/>
        <v>-1359146.0117999921</v>
      </c>
      <c r="O441" s="905">
        <f>+O439</f>
        <v>-400373.8368936826</v>
      </c>
      <c r="P441" s="905">
        <f t="shared" si="152"/>
        <v>-1169548.3535631029</v>
      </c>
      <c r="Q441" s="905">
        <f t="shared" si="152"/>
        <v>-92991.308914977402</v>
      </c>
      <c r="R441" s="905">
        <f>+R439</f>
        <v>-1821.5786534269075</v>
      </c>
      <c r="S441" s="279">
        <f>+S439</f>
        <v>-9743.9842342662214</v>
      </c>
      <c r="T441" s="457"/>
      <c r="U441" s="256">
        <f>SUM(I441:T441)</f>
        <v>-16695371.959999992</v>
      </c>
      <c r="V441" s="67"/>
      <c r="W441" s="67"/>
      <c r="X441" s="370">
        <f t="shared" si="142"/>
        <v>0</v>
      </c>
    </row>
    <row r="442" spans="1:24" ht="14.25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370">
        <f t="shared" si="142"/>
        <v>0</v>
      </c>
    </row>
    <row r="443" spans="1:24" ht="14.25">
      <c r="A443" s="67"/>
      <c r="B443" s="67"/>
      <c r="C443" s="67"/>
      <c r="D443" s="67"/>
      <c r="E443" s="67"/>
      <c r="F443" s="67"/>
      <c r="G443" s="67"/>
      <c r="H443" s="134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134"/>
      <c r="V443" s="134">
        <f>$H$2</f>
        <v>0</v>
      </c>
      <c r="W443" s="134"/>
      <c r="X443" s="370"/>
    </row>
    <row r="444" spans="1:24" ht="15" thickBo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370">
        <f t="shared" si="142"/>
        <v>0</v>
      </c>
    </row>
    <row r="445" spans="1:24" ht="15">
      <c r="A445" s="67"/>
      <c r="B445" s="920" t="str">
        <f>+$B$4</f>
        <v>2022 RATE CASE</v>
      </c>
      <c r="C445" s="935"/>
      <c r="D445" s="969"/>
      <c r="F445" s="332"/>
      <c r="U445" s="134"/>
      <c r="X445" s="370">
        <f t="shared" si="142"/>
        <v>0</v>
      </c>
    </row>
    <row r="446" spans="1:24" ht="15">
      <c r="A446" s="67"/>
      <c r="B446" s="917" t="str">
        <f>+$B$5</f>
        <v>ONCOR ELECTRIC DELIVERY COMPANY LLC</v>
      </c>
      <c r="C446" s="8"/>
      <c r="D446" s="970"/>
      <c r="F446" s="332"/>
      <c r="U446" s="134"/>
      <c r="V446" s="67"/>
      <c r="W446" s="67"/>
      <c r="X446" s="370">
        <f t="shared" si="142"/>
        <v>0</v>
      </c>
    </row>
    <row r="447" spans="1:24" ht="15">
      <c r="A447" s="67"/>
      <c r="B447" s="917" t="str">
        <f>+$B$6</f>
        <v>II-I-1-DIST:  CLASS REVENUE REQUIREMENT</v>
      </c>
      <c r="C447" s="85"/>
      <c r="D447" s="970"/>
      <c r="F447" s="332"/>
      <c r="U447" s="332"/>
      <c r="V447" s="67"/>
      <c r="W447" s="67"/>
      <c r="X447" s="370">
        <f t="shared" si="142"/>
        <v>0</v>
      </c>
    </row>
    <row r="448" spans="1:24" ht="15">
      <c r="A448" s="67"/>
      <c r="B448" s="406" t="str">
        <f>+$B$7</f>
        <v>TEST YEAR ENDING 12/31/2021</v>
      </c>
      <c r="C448" s="85"/>
      <c r="D448" s="970"/>
      <c r="F448" s="332"/>
      <c r="U448" s="332"/>
      <c r="V448" s="67"/>
      <c r="W448" s="67"/>
      <c r="X448" s="370">
        <f t="shared" si="142"/>
        <v>0</v>
      </c>
    </row>
    <row r="449" spans="1:24" ht="15">
      <c r="A449" s="67"/>
      <c r="B449" s="406" t="str">
        <f>+$B$8</f>
        <v>SPONSOR:  MATTHEW A. TROXLE</v>
      </c>
      <c r="C449" s="85"/>
      <c r="D449" s="970"/>
      <c r="F449" s="332"/>
      <c r="U449" s="332"/>
      <c r="V449" s="67"/>
      <c r="W449" s="67"/>
      <c r="X449" s="370">
        <f t="shared" si="142"/>
        <v>0</v>
      </c>
    </row>
    <row r="450" spans="1:24" ht="15.75" thickBot="1">
      <c r="A450" s="67"/>
      <c r="B450" s="410"/>
      <c r="C450" s="934"/>
      <c r="D450" s="936"/>
      <c r="F450" s="332"/>
      <c r="U450" s="332"/>
      <c r="V450" s="67"/>
      <c r="W450" s="67"/>
      <c r="X450" s="370">
        <f t="shared" si="142"/>
        <v>0</v>
      </c>
    </row>
    <row r="451" spans="1:24" ht="15" thickBot="1">
      <c r="A451" s="67"/>
      <c r="B451" s="13"/>
      <c r="C451" s="14"/>
      <c r="D451" s="14"/>
      <c r="E451" s="14"/>
      <c r="F451" s="13"/>
      <c r="G451" s="14"/>
      <c r="H451" s="14"/>
      <c r="I451" s="14"/>
      <c r="J451" s="238"/>
      <c r="K451" s="238"/>
      <c r="L451" s="14"/>
      <c r="M451" s="238"/>
      <c r="N451" s="238"/>
      <c r="O451" s="238"/>
      <c r="P451" s="238"/>
      <c r="Q451" s="14"/>
      <c r="R451" s="393" t="str">
        <f>R$10</f>
        <v xml:space="preserve"> </v>
      </c>
      <c r="S451" s="394"/>
      <c r="T451" s="238"/>
      <c r="U451" s="13"/>
      <c r="V451" s="67"/>
      <c r="W451" s="67"/>
      <c r="X451" s="370">
        <f t="shared" si="142"/>
        <v>0</v>
      </c>
    </row>
    <row r="452" spans="1:24" ht="15">
      <c r="A452" s="67"/>
      <c r="B452" s="15" t="s">
        <v>2</v>
      </c>
      <c r="C452" s="15" t="s">
        <v>370</v>
      </c>
      <c r="D452" s="287" t="s">
        <v>125</v>
      </c>
      <c r="E452" s="15" t="s">
        <v>371</v>
      </c>
      <c r="F452" s="287" t="str">
        <f>F$11</f>
        <v>DIST</v>
      </c>
      <c r="G452" s="242" t="s">
        <v>741</v>
      </c>
      <c r="H452" s="242" t="s">
        <v>376</v>
      </c>
      <c r="I452" s="15"/>
      <c r="J452" s="242" t="s">
        <v>730</v>
      </c>
      <c r="K452" s="242" t="s">
        <v>409</v>
      </c>
      <c r="L452" s="15" t="s">
        <v>409</v>
      </c>
      <c r="M452" s="242" t="s">
        <v>410</v>
      </c>
      <c r="N452" s="242" t="s">
        <v>410</v>
      </c>
      <c r="O452" s="242" t="s">
        <v>410</v>
      </c>
      <c r="P452" s="242" t="s">
        <v>411</v>
      </c>
      <c r="Q452" s="15" t="s">
        <v>412</v>
      </c>
      <c r="R452" s="396" t="str">
        <f>R$11</f>
        <v>Wholesale</v>
      </c>
      <c r="S452" s="13" t="str">
        <f>S$11</f>
        <v>Wholesale</v>
      </c>
      <c r="T452" s="242"/>
      <c r="U452" s="15" t="s">
        <v>10</v>
      </c>
      <c r="V452" s="67"/>
      <c r="W452" s="67"/>
      <c r="X452" s="370"/>
    </row>
    <row r="453" spans="1:24" ht="14.25">
      <c r="A453" s="67"/>
      <c r="B453" s="15"/>
      <c r="C453" s="15"/>
      <c r="D453" s="15"/>
      <c r="E453" s="15"/>
      <c r="F453" s="15"/>
      <c r="G453" s="242" t="s">
        <v>742</v>
      </c>
      <c r="H453" s="242" t="s">
        <v>743</v>
      </c>
      <c r="I453" s="15"/>
      <c r="J453" s="242"/>
      <c r="K453" s="242" t="s">
        <v>731</v>
      </c>
      <c r="L453" s="15" t="s">
        <v>732</v>
      </c>
      <c r="M453" s="242" t="s">
        <v>731</v>
      </c>
      <c r="N453" s="242" t="s">
        <v>732</v>
      </c>
      <c r="O453" s="242" t="s">
        <v>414</v>
      </c>
      <c r="P453" s="242"/>
      <c r="Q453" s="15"/>
      <c r="R453" s="235" t="str">
        <f>R$12</f>
        <v>XFMR</v>
      </c>
      <c r="S453" s="15" t="str">
        <f>S$12</f>
        <v>DLS</v>
      </c>
      <c r="T453" s="242"/>
      <c r="U453" s="15"/>
      <c r="V453" s="67"/>
      <c r="W453" s="67"/>
      <c r="X453" s="370">
        <f t="shared" si="142"/>
        <v>0</v>
      </c>
    </row>
    <row r="454" spans="1:24" ht="15" thickBot="1">
      <c r="A454" s="67"/>
      <c r="B454" s="16"/>
      <c r="C454" s="16"/>
      <c r="D454" s="16"/>
      <c r="E454" s="16"/>
      <c r="F454" s="16" t="s">
        <v>13</v>
      </c>
      <c r="G454" s="16" t="s">
        <v>14</v>
      </c>
      <c r="H454" s="16" t="s">
        <v>15</v>
      </c>
      <c r="I454" s="16"/>
      <c r="J454" s="243" t="str">
        <f t="shared" si="153" ref="J454:Q454">J$13</f>
        <v>(d)</v>
      </c>
      <c r="K454" s="243" t="str">
        <f t="shared" si="153"/>
        <v>(e)</v>
      </c>
      <c r="L454" s="16" t="str">
        <f t="shared" si="153"/>
        <v>(f)</v>
      </c>
      <c r="M454" s="243" t="str">
        <f t="shared" si="153"/>
        <v>(g)</v>
      </c>
      <c r="N454" s="243" t="str">
        <f t="shared" si="153"/>
        <v>(h)</v>
      </c>
      <c r="O454" s="243" t="str">
        <f>O$13</f>
        <v>(i)</v>
      </c>
      <c r="P454" s="243" t="str">
        <f t="shared" si="153"/>
        <v>(j)</v>
      </c>
      <c r="Q454" s="243" t="str">
        <f t="shared" si="153"/>
        <v>(k)</v>
      </c>
      <c r="R454" s="243" t="str">
        <f>R$13</f>
        <v>(l)</v>
      </c>
      <c r="S454" s="16" t="str">
        <f>S$13</f>
        <v>(m)</v>
      </c>
      <c r="T454" s="16"/>
      <c r="U454" s="16" t="s">
        <v>734</v>
      </c>
      <c r="V454" s="67"/>
      <c r="W454" s="67"/>
      <c r="X454" s="370"/>
    </row>
    <row r="455" spans="1:24" ht="14.25">
      <c r="A455" s="67"/>
      <c r="B455" s="67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43"/>
      <c r="V455" s="67"/>
      <c r="W455" s="67"/>
      <c r="X455" s="370">
        <f t="shared" si="142"/>
        <v>0</v>
      </c>
    </row>
    <row r="456" spans="1:24" ht="15">
      <c r="A456" s="67"/>
      <c r="B456" s="17">
        <f t="shared" si="154" ref="B456:B464">B455+1</f>
        <v>1</v>
      </c>
      <c r="C456" s="334" t="s">
        <v>115</v>
      </c>
      <c r="D456" s="36"/>
      <c r="E456" s="37"/>
      <c r="F456" s="39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6"/>
      <c r="V456" s="67"/>
      <c r="W456" s="67"/>
      <c r="X456" s="370">
        <f t="shared" si="142"/>
        <v>0</v>
      </c>
    </row>
    <row r="457" spans="1:24" ht="15">
      <c r="A457" s="67"/>
      <c r="B457" s="17">
        <f t="shared" si="154"/>
        <v>2</v>
      </c>
      <c r="C457" s="348" t="s">
        <v>598</v>
      </c>
      <c r="D457" s="44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43"/>
      <c r="V457" s="67"/>
      <c r="W457" s="67"/>
      <c r="X457" s="370">
        <f t="shared" si="142"/>
        <v>0</v>
      </c>
    </row>
    <row r="458" spans="1:24" ht="15">
      <c r="A458" s="67"/>
      <c r="B458" s="17">
        <f t="shared" si="154"/>
        <v>3</v>
      </c>
      <c r="C458" s="36">
        <v>165</v>
      </c>
      <c r="D458" s="348" t="s">
        <v>125</v>
      </c>
      <c r="E458" s="37" t="s">
        <v>126</v>
      </c>
      <c r="F458" s="39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6"/>
      <c r="V458" s="67"/>
      <c r="W458" s="67"/>
      <c r="X458" s="370">
        <f t="shared" si="142"/>
        <v>0</v>
      </c>
    </row>
    <row r="459" spans="1:24" ht="14.25">
      <c r="A459" s="47"/>
      <c r="B459" s="17">
        <f t="shared" si="154"/>
        <v>4</v>
      </c>
      <c r="C459" s="43"/>
      <c r="D459" s="43" t="s">
        <v>125</v>
      </c>
      <c r="E459" s="351"/>
      <c r="F459" s="118">
        <f>' WP II-I-1.4'!G459</f>
        <v>100121671.99538463</v>
      </c>
      <c r="G459" s="358">
        <v>19</v>
      </c>
      <c r="H459" s="47" t="str">
        <f>VLOOKUP(G459,FactorTable,2)</f>
        <v>ENERGY ICL</v>
      </c>
      <c r="I459" s="912"/>
      <c r="J459" s="435">
        <f t="shared" si="155" ref="J459:S459">$F459*HLOOKUP(J$1318,FactorTable,$G459+1)</f>
        <v>40207408.474143699</v>
      </c>
      <c r="K459" s="435">
        <f t="shared" si="155"/>
        <v>1436286.4206134642</v>
      </c>
      <c r="L459" s="435">
        <f t="shared" si="155"/>
        <v>42096747.43745216</v>
      </c>
      <c r="M459" s="435">
        <f t="shared" si="155"/>
        <v>726.60193012890932</v>
      </c>
      <c r="N459" s="435">
        <f t="shared" si="155"/>
        <v>6768844.4158337116</v>
      </c>
      <c r="O459" s="435">
        <f t="shared" si="155"/>
        <v>1065032.1752600581</v>
      </c>
      <c r="P459" s="435">
        <f t="shared" si="155"/>
        <v>7977831.5176789733</v>
      </c>
      <c r="Q459" s="435">
        <f t="shared" si="155"/>
        <v>366503.43469732808</v>
      </c>
      <c r="R459" s="435">
        <f t="shared" si="155"/>
        <v>81264.402580053298</v>
      </c>
      <c r="S459" s="435">
        <f t="shared" si="155"/>
        <v>121027.11519502339</v>
      </c>
      <c r="T459" s="912"/>
      <c r="U459" s="118">
        <f>SUM(I459:T459)</f>
        <v>100121671.99538459</v>
      </c>
      <c r="V459" s="67"/>
      <c r="W459" s="67"/>
      <c r="X459" s="370">
        <f t="shared" si="142"/>
        <v>0</v>
      </c>
    </row>
    <row r="460" spans="1:24" ht="15">
      <c r="A460" s="67"/>
      <c r="B460" s="17">
        <f t="shared" si="154"/>
        <v>5</v>
      </c>
      <c r="C460" s="36"/>
      <c r="D460" s="44" t="s">
        <v>491</v>
      </c>
      <c r="E460" s="352"/>
      <c r="F460" s="39">
        <f>SUM(F459:F459)</f>
        <v>100121671.99538463</v>
      </c>
      <c r="G460" s="352"/>
      <c r="H460" s="352"/>
      <c r="I460" s="352"/>
      <c r="J460" s="39">
        <f t="shared" si="156" ref="J460:Q460">SUM(J459:J459)</f>
        <v>40207408.474143699</v>
      </c>
      <c r="K460" s="39">
        <f t="shared" si="156"/>
        <v>1436286.4206134642</v>
      </c>
      <c r="L460" s="39">
        <f t="shared" si="156"/>
        <v>42096747.43745216</v>
      </c>
      <c r="M460" s="39">
        <f t="shared" si="156"/>
        <v>726.60193012890932</v>
      </c>
      <c r="N460" s="39">
        <f t="shared" si="156"/>
        <v>6768844.4158337116</v>
      </c>
      <c r="O460" s="39">
        <f>SUM(O459:O459)</f>
        <v>1065032.1752600581</v>
      </c>
      <c r="P460" s="39">
        <f t="shared" si="156"/>
        <v>7977831.5176789733</v>
      </c>
      <c r="Q460" s="39">
        <f t="shared" si="156"/>
        <v>366503.43469732808</v>
      </c>
      <c r="R460" s="39">
        <f>SUM(R459:R459)</f>
        <v>81264.402580053298</v>
      </c>
      <c r="S460" s="39">
        <f>SUM(S459:S459)</f>
        <v>121027.11519502339</v>
      </c>
      <c r="T460" s="352"/>
      <c r="U460" s="299">
        <f>SUM(I460:T460)</f>
        <v>100121671.99538459</v>
      </c>
      <c r="V460" s="67"/>
      <c r="W460" s="67"/>
      <c r="X460" s="370">
        <f t="shared" si="142"/>
        <v>0</v>
      </c>
    </row>
    <row r="461" spans="1:24" ht="15.75" thickBot="1">
      <c r="A461" s="67"/>
      <c r="B461" s="17">
        <f t="shared" si="154"/>
        <v>6</v>
      </c>
      <c r="C461" s="36"/>
      <c r="D461" s="44"/>
      <c r="E461" s="352"/>
      <c r="F461" s="353"/>
      <c r="G461" s="352"/>
      <c r="H461" s="352"/>
      <c r="I461" s="352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2"/>
      <c r="U461" s="353"/>
      <c r="V461" s="67"/>
      <c r="W461" s="67"/>
      <c r="X461" s="370">
        <f t="shared" si="142"/>
        <v>0</v>
      </c>
    </row>
    <row r="462" spans="1:24" ht="15.75" thickBot="1">
      <c r="A462" s="47"/>
      <c r="B462" s="17">
        <f t="shared" si="154"/>
        <v>7</v>
      </c>
      <c r="C462" s="341" t="s">
        <v>603</v>
      </c>
      <c r="D462" s="336"/>
      <c r="E462" s="337" t="s">
        <v>126</v>
      </c>
      <c r="F462" s="278">
        <f>+F460</f>
        <v>100121671.99538463</v>
      </c>
      <c r="G462" s="337"/>
      <c r="H462" s="457"/>
      <c r="I462" s="643"/>
      <c r="J462" s="356">
        <f t="shared" si="157" ref="J462:Q462">+J460</f>
        <v>40207408.474143699</v>
      </c>
      <c r="K462" s="905">
        <f t="shared" si="157"/>
        <v>1436286.4206134642</v>
      </c>
      <c r="L462" s="905">
        <f t="shared" si="157"/>
        <v>42096747.43745216</v>
      </c>
      <c r="M462" s="905">
        <f t="shared" si="157"/>
        <v>726.60193012890932</v>
      </c>
      <c r="N462" s="905">
        <f t="shared" si="157"/>
        <v>6768844.4158337116</v>
      </c>
      <c r="O462" s="905">
        <f>+O460</f>
        <v>1065032.1752600581</v>
      </c>
      <c r="P462" s="905">
        <f t="shared" si="157"/>
        <v>7977831.5176789733</v>
      </c>
      <c r="Q462" s="905">
        <f t="shared" si="157"/>
        <v>366503.43469732808</v>
      </c>
      <c r="R462" s="905">
        <f>+R460</f>
        <v>81264.402580053298</v>
      </c>
      <c r="S462" s="279">
        <f>+S460</f>
        <v>121027.11519502339</v>
      </c>
      <c r="T462" s="458"/>
      <c r="U462" s="256">
        <f>SUM(I462:T462)</f>
        <v>100121671.99538459</v>
      </c>
      <c r="V462" s="67"/>
      <c r="W462" s="67"/>
      <c r="X462" s="370">
        <f t="shared" si="142"/>
        <v>0</v>
      </c>
    </row>
    <row r="463" spans="1:24" ht="15" thickBot="1">
      <c r="A463" s="67"/>
      <c r="B463" s="17">
        <f t="shared" si="154"/>
        <v>8</v>
      </c>
      <c r="C463" s="43"/>
      <c r="D463" s="340"/>
      <c r="E463" s="351"/>
      <c r="F463" s="263"/>
      <c r="G463" s="351"/>
      <c r="H463" s="351"/>
      <c r="I463" s="351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351"/>
      <c r="U463" s="263"/>
      <c r="V463" s="67"/>
      <c r="W463" s="67"/>
      <c r="X463" s="370">
        <f t="shared" si="142"/>
        <v>0</v>
      </c>
    </row>
    <row r="464" spans="1:24" ht="15.75" thickBot="1">
      <c r="A464" s="67"/>
      <c r="B464" s="17">
        <f t="shared" si="154"/>
        <v>9</v>
      </c>
      <c r="C464" s="341" t="s">
        <v>604</v>
      </c>
      <c r="D464" s="336"/>
      <c r="E464" s="337" t="s">
        <v>605</v>
      </c>
      <c r="F464" s="278">
        <f>+F462+F441+F421</f>
        <v>158116704.44538462</v>
      </c>
      <c r="G464" s="337"/>
      <c r="H464" s="457"/>
      <c r="I464" s="643"/>
      <c r="J464" s="356">
        <f t="shared" si="158" ref="J464:Q464">+J462+J441+J421</f>
        <v>73041326.481473729</v>
      </c>
      <c r="K464" s="905">
        <f t="shared" si="158"/>
        <v>2863062.4220848</v>
      </c>
      <c r="L464" s="905">
        <f t="shared" si="158"/>
        <v>61863847.710375205</v>
      </c>
      <c r="M464" s="905">
        <f t="shared" si="158"/>
        <v>7022.4500692888214</v>
      </c>
      <c r="N464" s="905">
        <f t="shared" si="158"/>
        <v>9123226.751131881</v>
      </c>
      <c r="O464" s="905">
        <f>+O462+O441+O421</f>
        <v>1004707.2721410136</v>
      </c>
      <c r="P464" s="905">
        <f t="shared" si="158"/>
        <v>6875588.57302857</v>
      </c>
      <c r="Q464" s="905">
        <f t="shared" si="158"/>
        <v>2904859.2180142361</v>
      </c>
      <c r="R464" s="905">
        <f>+R462+R441+R421</f>
        <v>120199.81696508805</v>
      </c>
      <c r="S464" s="279">
        <f>+S462+S441+S421</f>
        <v>312863.75010077422</v>
      </c>
      <c r="T464" s="458"/>
      <c r="U464" s="256">
        <f>SUM(I464:T464)</f>
        <v>158116704.44538456</v>
      </c>
      <c r="V464" s="67"/>
      <c r="W464" s="67"/>
      <c r="X464" s="370">
        <f t="shared" si="142"/>
        <v>0</v>
      </c>
    </row>
    <row r="465" spans="1:24" ht="14.2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370">
        <f t="shared" si="142"/>
        <v>0</v>
      </c>
    </row>
    <row r="466" spans="1:24" ht="14.25">
      <c r="A466" s="67"/>
      <c r="B466" s="67"/>
      <c r="C466" s="67"/>
      <c r="D466" s="67"/>
      <c r="E466" s="67"/>
      <c r="F466" s="67"/>
      <c r="G466" s="67"/>
      <c r="H466" s="134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134"/>
      <c r="V466" s="134">
        <f>$H$2</f>
        <v>0</v>
      </c>
      <c r="W466" s="134"/>
      <c r="X466" s="370"/>
    </row>
    <row r="467" spans="1:24" ht="15" thickBo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370">
        <f t="shared" si="142"/>
        <v>0</v>
      </c>
    </row>
    <row r="468" spans="1:24" ht="15">
      <c r="A468" s="67"/>
      <c r="B468" s="920" t="str">
        <f>+$B$4</f>
        <v>2022 RATE CASE</v>
      </c>
      <c r="C468" s="935"/>
      <c r="D468" s="969"/>
      <c r="F468" s="332"/>
      <c r="U468" s="134"/>
      <c r="X468" s="370">
        <f t="shared" si="142"/>
        <v>0</v>
      </c>
    </row>
    <row r="469" spans="1:24" ht="15">
      <c r="A469" s="67"/>
      <c r="B469" s="917" t="str">
        <f>+$B$5</f>
        <v>ONCOR ELECTRIC DELIVERY COMPANY LLC</v>
      </c>
      <c r="C469" s="8"/>
      <c r="D469" s="970"/>
      <c r="F469" s="332"/>
      <c r="U469" s="134"/>
      <c r="V469" s="67"/>
      <c r="W469" s="67"/>
      <c r="X469" s="370">
        <f t="shared" si="159" ref="X469:X552">U469-F469</f>
        <v>0</v>
      </c>
    </row>
    <row r="470" spans="1:24" ht="15">
      <c r="A470" s="67"/>
      <c r="B470" s="917" t="str">
        <f>+$B$6</f>
        <v>II-I-1-DIST:  CLASS REVENUE REQUIREMENT</v>
      </c>
      <c r="C470" s="85"/>
      <c r="D470" s="970"/>
      <c r="F470" s="332"/>
      <c r="U470" s="332"/>
      <c r="V470" s="67"/>
      <c r="W470" s="67"/>
      <c r="X470" s="370">
        <f t="shared" si="159"/>
        <v>0</v>
      </c>
    </row>
    <row r="471" spans="1:24" ht="15">
      <c r="A471" s="67"/>
      <c r="B471" s="406" t="str">
        <f>+$B$7</f>
        <v>TEST YEAR ENDING 12/31/2021</v>
      </c>
      <c r="C471" s="85"/>
      <c r="D471" s="970"/>
      <c r="F471" s="332"/>
      <c r="U471" s="332"/>
      <c r="V471" s="67"/>
      <c r="W471" s="67"/>
      <c r="X471" s="370">
        <f t="shared" si="159"/>
        <v>0</v>
      </c>
    </row>
    <row r="472" spans="1:24" ht="15">
      <c r="A472" s="67"/>
      <c r="B472" s="406" t="str">
        <f>+$B$8</f>
        <v>SPONSOR:  MATTHEW A. TROXLE</v>
      </c>
      <c r="C472" s="85"/>
      <c r="D472" s="970"/>
      <c r="F472" s="332"/>
      <c r="U472" s="332"/>
      <c r="V472" s="67"/>
      <c r="W472" s="67"/>
      <c r="X472" s="370">
        <f t="shared" si="159"/>
        <v>0</v>
      </c>
    </row>
    <row r="473" spans="1:24" ht="15.75" thickBot="1">
      <c r="A473" s="67"/>
      <c r="B473" s="410"/>
      <c r="C473" s="934"/>
      <c r="D473" s="936"/>
      <c r="F473" s="332"/>
      <c r="U473" s="332"/>
      <c r="V473" s="67"/>
      <c r="W473" s="67"/>
      <c r="X473" s="370">
        <f t="shared" si="159"/>
        <v>0</v>
      </c>
    </row>
    <row r="474" spans="1:24" ht="15" thickBot="1">
      <c r="A474" s="67"/>
      <c r="B474" s="13"/>
      <c r="C474" s="14"/>
      <c r="D474" s="14"/>
      <c r="E474" s="14"/>
      <c r="F474" s="13"/>
      <c r="G474" s="14"/>
      <c r="H474" s="14"/>
      <c r="I474" s="14"/>
      <c r="J474" s="14"/>
      <c r="K474" s="238"/>
      <c r="L474" s="14"/>
      <c r="M474" s="238"/>
      <c r="N474" s="238"/>
      <c r="O474" s="238"/>
      <c r="P474" s="238"/>
      <c r="Q474" s="14"/>
      <c r="R474" s="393" t="str">
        <f>R$10</f>
        <v xml:space="preserve"> </v>
      </c>
      <c r="S474" s="394"/>
      <c r="T474" s="238"/>
      <c r="U474" s="13"/>
      <c r="V474" s="67"/>
      <c r="W474" s="67"/>
      <c r="X474" s="370">
        <f t="shared" si="159"/>
        <v>0</v>
      </c>
    </row>
    <row r="475" spans="1:24" ht="15">
      <c r="A475" s="67"/>
      <c r="B475" s="15" t="s">
        <v>2</v>
      </c>
      <c r="C475" s="15" t="s">
        <v>370</v>
      </c>
      <c r="D475" s="287" t="s">
        <v>127</v>
      </c>
      <c r="E475" s="15" t="s">
        <v>371</v>
      </c>
      <c r="F475" s="287" t="str">
        <f>F$11</f>
        <v>DIST</v>
      </c>
      <c r="G475" s="242" t="s">
        <v>741</v>
      </c>
      <c r="H475" s="242" t="s">
        <v>376</v>
      </c>
      <c r="I475" s="15"/>
      <c r="J475" s="15" t="s">
        <v>730</v>
      </c>
      <c r="K475" s="242" t="s">
        <v>409</v>
      </c>
      <c r="L475" s="15" t="s">
        <v>409</v>
      </c>
      <c r="M475" s="242" t="s">
        <v>410</v>
      </c>
      <c r="N475" s="242" t="s">
        <v>410</v>
      </c>
      <c r="O475" s="242" t="s">
        <v>410</v>
      </c>
      <c r="P475" s="242" t="s">
        <v>411</v>
      </c>
      <c r="Q475" s="15" t="s">
        <v>412</v>
      </c>
      <c r="R475" s="396" t="str">
        <f>R$11</f>
        <v>Wholesale</v>
      </c>
      <c r="S475" s="13" t="str">
        <f>S$11</f>
        <v>Wholesale</v>
      </c>
      <c r="T475" s="242"/>
      <c r="U475" s="15" t="s">
        <v>10</v>
      </c>
      <c r="V475" s="67"/>
      <c r="W475" s="67"/>
      <c r="X475" s="370"/>
    </row>
    <row r="476" spans="1:24" ht="14.25">
      <c r="A476" s="67"/>
      <c r="B476" s="15"/>
      <c r="C476" s="15"/>
      <c r="D476" s="15"/>
      <c r="E476" s="15"/>
      <c r="F476" s="15"/>
      <c r="G476" s="242" t="s">
        <v>742</v>
      </c>
      <c r="H476" s="242" t="s">
        <v>743</v>
      </c>
      <c r="I476" s="15"/>
      <c r="J476" s="15"/>
      <c r="K476" s="242" t="s">
        <v>731</v>
      </c>
      <c r="L476" s="15" t="s">
        <v>732</v>
      </c>
      <c r="M476" s="242" t="s">
        <v>731</v>
      </c>
      <c r="N476" s="242" t="s">
        <v>732</v>
      </c>
      <c r="O476" s="242" t="s">
        <v>414</v>
      </c>
      <c r="P476" s="242"/>
      <c r="Q476" s="15"/>
      <c r="R476" s="235" t="str">
        <f>R$12</f>
        <v>XFMR</v>
      </c>
      <c r="S476" s="15" t="str">
        <f>S$12</f>
        <v>DLS</v>
      </c>
      <c r="T476" s="242"/>
      <c r="U476" s="15"/>
      <c r="V476" s="67"/>
      <c r="W476" s="67"/>
      <c r="X476" s="370">
        <f t="shared" si="159"/>
        <v>0</v>
      </c>
    </row>
    <row r="477" spans="1:24" ht="15" thickBot="1">
      <c r="A477" s="67"/>
      <c r="B477" s="16"/>
      <c r="C477" s="16"/>
      <c r="D477" s="16"/>
      <c r="E477" s="16"/>
      <c r="F477" s="16" t="s">
        <v>13</v>
      </c>
      <c r="G477" s="16" t="s">
        <v>14</v>
      </c>
      <c r="H477" s="16" t="s">
        <v>15</v>
      </c>
      <c r="I477" s="16"/>
      <c r="J477" s="243" t="str">
        <f t="shared" si="160" ref="J477:Q477">J$13</f>
        <v>(d)</v>
      </c>
      <c r="K477" s="243" t="str">
        <f t="shared" si="160"/>
        <v>(e)</v>
      </c>
      <c r="L477" s="16" t="str">
        <f t="shared" si="160"/>
        <v>(f)</v>
      </c>
      <c r="M477" s="243" t="str">
        <f t="shared" si="160"/>
        <v>(g)</v>
      </c>
      <c r="N477" s="243" t="str">
        <f t="shared" si="160"/>
        <v>(h)</v>
      </c>
      <c r="O477" s="243" t="str">
        <f>O$13</f>
        <v>(i)</v>
      </c>
      <c r="P477" s="243" t="str">
        <f t="shared" si="160"/>
        <v>(j)</v>
      </c>
      <c r="Q477" s="243" t="str">
        <f t="shared" si="160"/>
        <v>(k)</v>
      </c>
      <c r="R477" s="243" t="str">
        <f>R$13</f>
        <v>(l)</v>
      </c>
      <c r="S477" s="16" t="str">
        <f>S$13</f>
        <v>(m)</v>
      </c>
      <c r="T477" s="16"/>
      <c r="U477" s="16" t="s">
        <v>734</v>
      </c>
      <c r="V477" s="67"/>
      <c r="W477" s="67"/>
      <c r="X477" s="370"/>
    </row>
    <row r="478" spans="1:24" ht="14.25">
      <c r="A478" s="67"/>
      <c r="B478" s="67"/>
      <c r="C478" s="333"/>
      <c r="D478" s="333"/>
      <c r="E478" s="333"/>
      <c r="F478" s="333"/>
      <c r="G478" s="333"/>
      <c r="H478" s="333"/>
      <c r="I478" s="33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333"/>
      <c r="U478" s="43"/>
      <c r="V478" s="67"/>
      <c r="W478" s="67"/>
      <c r="X478" s="370">
        <f t="shared" si="159"/>
        <v>0</v>
      </c>
    </row>
    <row r="479" spans="1:24" ht="15">
      <c r="A479" s="67"/>
      <c r="B479" s="17">
        <f t="shared" si="161" ref="B479:B485">B478+1</f>
        <v>1</v>
      </c>
      <c r="C479" s="334" t="s">
        <v>606</v>
      </c>
      <c r="D479" s="36"/>
      <c r="E479" s="37" t="s">
        <v>128</v>
      </c>
      <c r="F479" s="39"/>
      <c r="G479" s="37"/>
      <c r="H479" s="37"/>
      <c r="I479" s="37"/>
      <c r="J479" s="897"/>
      <c r="K479" s="897"/>
      <c r="L479" s="897"/>
      <c r="M479" s="897"/>
      <c r="N479" s="897"/>
      <c r="O479" s="897"/>
      <c r="P479" s="897"/>
      <c r="Q479" s="897"/>
      <c r="R479" s="897"/>
      <c r="S479" s="897"/>
      <c r="T479" s="37"/>
      <c r="U479" s="36"/>
      <c r="V479" s="67"/>
      <c r="W479" s="67"/>
      <c r="X479" s="370">
        <f t="shared" si="159"/>
        <v>0</v>
      </c>
    </row>
    <row r="480" spans="1:24" ht="15">
      <c r="A480" s="67"/>
      <c r="B480" s="17">
        <f t="shared" si="161"/>
        <v>2</v>
      </c>
      <c r="C480" s="334"/>
      <c r="D480" s="43" t="s">
        <v>999</v>
      </c>
      <c r="E480" s="263"/>
      <c r="F480" s="118">
        <f>' WP II-I-1.4'!G480</f>
        <v>-2266260.54</v>
      </c>
      <c r="G480" s="358">
        <v>26</v>
      </c>
      <c r="H480" s="47" t="str">
        <f>VLOOKUP(G480,FactorTable,2)</f>
        <v>NCP ALL</v>
      </c>
      <c r="I480" s="263"/>
      <c r="J480" s="434">
        <f t="shared" si="162" ref="J480:S482">$F480*HLOOKUP(J$1318,FactorTable,$G480+1)</f>
        <v>-1087754.8129729861</v>
      </c>
      <c r="K480" s="434">
        <f t="shared" si="162"/>
        <v>-26563.20714607363</v>
      </c>
      <c r="L480" s="434">
        <f t="shared" si="162"/>
        <v>-700375.23220903287</v>
      </c>
      <c r="M480" s="434">
        <f t="shared" si="162"/>
        <v>-395.95098739878148</v>
      </c>
      <c r="N480" s="434">
        <f t="shared" si="162"/>
        <v>-167586.39219862234</v>
      </c>
      <c r="O480" s="434">
        <f t="shared" si="162"/>
        <v>-60605.059506198639</v>
      </c>
      <c r="P480" s="434">
        <f t="shared" si="162"/>
        <v>-199554.64614870184</v>
      </c>
      <c r="Q480" s="434">
        <f t="shared" si="162"/>
        <v>-7064.2889153382494</v>
      </c>
      <c r="R480" s="434">
        <f t="shared" si="162"/>
        <v>-7263.8957016306895</v>
      </c>
      <c r="S480" s="434">
        <f t="shared" si="162"/>
        <v>-9097.0542140167599</v>
      </c>
      <c r="T480" s="263"/>
      <c r="U480" s="118">
        <f>SUM(I480:T480)</f>
        <v>-2266260.54</v>
      </c>
      <c r="V480" s="67"/>
      <c r="W480" s="67"/>
      <c r="X480" s="370">
        <f t="shared" si="159"/>
        <v>0</v>
      </c>
    </row>
    <row r="481" spans="1:24" ht="15">
      <c r="A481" s="67"/>
      <c r="B481" s="17">
        <f t="shared" si="161"/>
        <v>3</v>
      </c>
      <c r="C481" s="43"/>
      <c r="D481" s="43" t="s">
        <v>607</v>
      </c>
      <c r="E481" s="37"/>
      <c r="F481" s="118">
        <f>' WP II-I-1.4'!G481</f>
        <v>-162100</v>
      </c>
      <c r="G481" s="358">
        <v>26</v>
      </c>
      <c r="H481" s="47" t="str">
        <f>VLOOKUP(G481,FactorTable,2)</f>
        <v>NCP ALL</v>
      </c>
      <c r="I481" s="37"/>
      <c r="J481" s="434">
        <f t="shared" si="162"/>
        <v>-77804.40601190587</v>
      </c>
      <c r="K481" s="434">
        <f t="shared" si="162"/>
        <v>-1900.0003761167441</v>
      </c>
      <c r="L481" s="434">
        <f t="shared" si="162"/>
        <v>-50096.104634590789</v>
      </c>
      <c r="M481" s="434">
        <f t="shared" si="162"/>
        <v>-28.321392851566166</v>
      </c>
      <c r="N481" s="434">
        <f t="shared" si="162"/>
        <v>-11987.039308109155</v>
      </c>
      <c r="O481" s="434">
        <f t="shared" si="162"/>
        <v>-4334.9297102242263</v>
      </c>
      <c r="P481" s="434">
        <f t="shared" si="162"/>
        <v>-14273.649286901748</v>
      </c>
      <c r="Q481" s="434">
        <f t="shared" si="162"/>
        <v>-505.29107883435597</v>
      </c>
      <c r="R481" s="434">
        <f t="shared" si="162"/>
        <v>-519.5684575765215</v>
      </c>
      <c r="S481" s="434">
        <f t="shared" si="162"/>
        <v>-650.68974288901347</v>
      </c>
      <c r="T481" s="897"/>
      <c r="U481" s="118">
        <f>SUM(I481:T481)</f>
        <v>-162100</v>
      </c>
      <c r="V481" s="67"/>
      <c r="W481" s="67"/>
      <c r="X481" s="370">
        <f t="shared" si="159"/>
        <v>0</v>
      </c>
    </row>
    <row r="482" spans="1:24" ht="15">
      <c r="A482" s="67"/>
      <c r="B482" s="17">
        <f t="shared" si="161"/>
        <v>4</v>
      </c>
      <c r="C482" s="43"/>
      <c r="D482" s="691" t="s">
        <v>1257</v>
      </c>
      <c r="E482" s="897"/>
      <c r="F482" s="290">
        <f>' WP II-I-1.4'!G482</f>
        <v>0</v>
      </c>
      <c r="G482" s="358">
        <v>26</v>
      </c>
      <c r="H482" s="47" t="str">
        <f>VLOOKUP(G482,FactorTable,2)</f>
        <v>NCP ALL</v>
      </c>
      <c r="I482" s="37"/>
      <c r="J482" s="435">
        <f t="shared" si="162"/>
        <v>0</v>
      </c>
      <c r="K482" s="435">
        <f t="shared" si="162"/>
        <v>0</v>
      </c>
      <c r="L482" s="435">
        <f t="shared" si="162"/>
        <v>0</v>
      </c>
      <c r="M482" s="435">
        <f t="shared" si="162"/>
        <v>0</v>
      </c>
      <c r="N482" s="435">
        <f t="shared" si="162"/>
        <v>0</v>
      </c>
      <c r="O482" s="435">
        <f t="shared" si="162"/>
        <v>0</v>
      </c>
      <c r="P482" s="435">
        <f t="shared" si="162"/>
        <v>0</v>
      </c>
      <c r="Q482" s="435">
        <f t="shared" si="162"/>
        <v>0</v>
      </c>
      <c r="R482" s="435">
        <f t="shared" si="162"/>
        <v>0</v>
      </c>
      <c r="S482" s="435">
        <f t="shared" si="162"/>
        <v>0</v>
      </c>
      <c r="T482" s="37"/>
      <c r="U482" s="118">
        <f>SUM(I482:T482)</f>
        <v>0</v>
      </c>
      <c r="V482" s="67"/>
      <c r="W482" s="67"/>
      <c r="X482" s="370"/>
    </row>
    <row r="483" spans="1:24" ht="15">
      <c r="A483" s="47"/>
      <c r="B483" s="17">
        <f t="shared" si="161"/>
        <v>5</v>
      </c>
      <c r="C483" s="36"/>
      <c r="D483" s="44" t="s">
        <v>491</v>
      </c>
      <c r="E483" s="352"/>
      <c r="F483" s="39">
        <f>SUM(F480:F482)</f>
        <v>-2428360.54</v>
      </c>
      <c r="G483" s="352"/>
      <c r="H483" s="352"/>
      <c r="I483" s="352"/>
      <c r="J483" s="898">
        <f t="shared" si="163" ref="J483:S483">SUM(J480:J482)</f>
        <v>-1165559.2189848921</v>
      </c>
      <c r="K483" s="39">
        <f t="shared" si="163"/>
        <v>-28463.207522190372</v>
      </c>
      <c r="L483" s="39">
        <f t="shared" si="163"/>
        <v>-750471.33684362366</v>
      </c>
      <c r="M483" s="39">
        <f t="shared" si="163"/>
        <v>-424.27238025034762</v>
      </c>
      <c r="N483" s="39">
        <f t="shared" si="163"/>
        <v>-179573.43150673149</v>
      </c>
      <c r="O483" s="39">
        <f t="shared" si="163"/>
        <v>-64939.989216422866</v>
      </c>
      <c r="P483" s="39">
        <f t="shared" si="163"/>
        <v>-213828.29543560359</v>
      </c>
      <c r="Q483" s="39">
        <f t="shared" si="163"/>
        <v>-7569.5799941726054</v>
      </c>
      <c r="R483" s="39">
        <f t="shared" si="163"/>
        <v>-7783.4641592072112</v>
      </c>
      <c r="S483" s="39">
        <f t="shared" si="163"/>
        <v>-9747.7439569057733</v>
      </c>
      <c r="T483" s="352"/>
      <c r="U483" s="299">
        <f>SUM(I483:T483)</f>
        <v>-2428360.54</v>
      </c>
      <c r="V483" s="67"/>
      <c r="W483" s="67"/>
      <c r="X483" s="370">
        <f t="shared" si="159"/>
        <v>0</v>
      </c>
    </row>
    <row r="484" spans="1:24" ht="15.75" thickBot="1">
      <c r="A484" s="67"/>
      <c r="B484" s="17">
        <f t="shared" si="161"/>
        <v>6</v>
      </c>
      <c r="C484" s="36"/>
      <c r="D484" s="44"/>
      <c r="E484" s="37"/>
      <c r="F484" s="39"/>
      <c r="G484" s="37"/>
      <c r="H484" s="37"/>
      <c r="I484" s="37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7"/>
      <c r="U484" s="36"/>
      <c r="V484" s="67"/>
      <c r="W484" s="67"/>
      <c r="X484" s="370">
        <f t="shared" si="159"/>
        <v>0</v>
      </c>
    </row>
    <row r="485" spans="1:24" ht="15.75" thickBot="1">
      <c r="A485" s="67"/>
      <c r="B485" s="17">
        <f t="shared" si="161"/>
        <v>7</v>
      </c>
      <c r="C485" s="341" t="s">
        <v>608</v>
      </c>
      <c r="D485" s="336"/>
      <c r="E485" s="337"/>
      <c r="F485" s="278">
        <f>+F483+F464+F421+F399+F374</f>
        <v>-899934468.01461494</v>
      </c>
      <c r="G485" s="337"/>
      <c r="H485" s="457"/>
      <c r="I485" s="458"/>
      <c r="J485" s="356">
        <f t="shared" si="164" ref="J485:Q485">+J483+J464+J421+J399+J374</f>
        <v>-503222921.31412297</v>
      </c>
      <c r="K485" s="278">
        <f t="shared" si="164"/>
        <v>-20433161.136755984</v>
      </c>
      <c r="L485" s="279">
        <f t="shared" si="164"/>
        <v>-297211769.66786736</v>
      </c>
      <c r="M485" s="356">
        <f t="shared" si="164"/>
        <v>-117275.755561764</v>
      </c>
      <c r="N485" s="278">
        <f t="shared" si="164"/>
        <v>-43486031.721283615</v>
      </c>
      <c r="O485" s="278">
        <f>+O483+O464+O421+O399+O374</f>
        <v>-3822999.6341913897</v>
      </c>
      <c r="P485" s="278">
        <f t="shared" si="164"/>
        <v>5708938.5673686638</v>
      </c>
      <c r="Q485" s="278">
        <f t="shared" si="164"/>
        <v>-34347903.554835193</v>
      </c>
      <c r="R485" s="278">
        <f>+R483+R464+R421+R399+R374</f>
        <v>-458431.0717984814</v>
      </c>
      <c r="S485" s="279">
        <f>+S483+S464+S421+S399+S374</f>
        <v>-2542912.7255665539</v>
      </c>
      <c r="T485" s="458"/>
      <c r="U485" s="256">
        <f>SUM(I485:T485)</f>
        <v>-899934468.01461446</v>
      </c>
      <c r="V485" s="67"/>
      <c r="W485" s="67"/>
      <c r="X485" s="370">
        <f t="shared" si="159"/>
        <v>0</v>
      </c>
    </row>
    <row r="486" spans="1:24" ht="14.25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370">
        <f t="shared" si="159"/>
        <v>0</v>
      </c>
    </row>
    <row r="487" spans="1:24" ht="14.25">
      <c r="A487" s="67"/>
      <c r="B487" s="67"/>
      <c r="C487" s="67"/>
      <c r="D487" s="67"/>
      <c r="E487" s="67"/>
      <c r="F487" s="67"/>
      <c r="G487" s="67"/>
      <c r="H487" s="134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134"/>
      <c r="V487" s="134">
        <f>$H$2</f>
        <v>0</v>
      </c>
      <c r="W487" s="134"/>
      <c r="X487" s="370"/>
    </row>
    <row r="488" spans="1:24" ht="15" thickBo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370">
        <f t="shared" si="159"/>
        <v>0</v>
      </c>
    </row>
    <row r="489" spans="1:24" ht="15">
      <c r="A489" s="67"/>
      <c r="B489" s="920" t="str">
        <f>+$B$4</f>
        <v>2022 RATE CASE</v>
      </c>
      <c r="C489" s="935"/>
      <c r="D489" s="969"/>
      <c r="F489" s="332"/>
      <c r="U489" s="134"/>
      <c r="X489" s="370">
        <f t="shared" si="159"/>
        <v>0</v>
      </c>
    </row>
    <row r="490" spans="1:24" ht="15">
      <c r="A490" s="67"/>
      <c r="B490" s="917" t="str">
        <f>+$B$5</f>
        <v>ONCOR ELECTRIC DELIVERY COMPANY LLC</v>
      </c>
      <c r="C490" s="8"/>
      <c r="D490" s="970"/>
      <c r="F490" s="332"/>
      <c r="U490" s="134"/>
      <c r="V490" s="67"/>
      <c r="W490" s="67"/>
      <c r="X490" s="370">
        <f t="shared" si="159"/>
        <v>0</v>
      </c>
    </row>
    <row r="491" spans="1:24" ht="15">
      <c r="A491" s="67"/>
      <c r="B491" s="917" t="str">
        <f>+$B$6</f>
        <v>II-I-1-DIST:  CLASS REVENUE REQUIREMENT</v>
      </c>
      <c r="C491" s="85"/>
      <c r="D491" s="970"/>
      <c r="F491" s="332"/>
      <c r="U491" s="332"/>
      <c r="V491" s="67"/>
      <c r="W491" s="67"/>
      <c r="X491" s="370">
        <f t="shared" si="159"/>
        <v>0</v>
      </c>
    </row>
    <row r="492" spans="1:24" ht="15">
      <c r="A492" s="67"/>
      <c r="B492" s="406" t="str">
        <f>+$B$7</f>
        <v>TEST YEAR ENDING 12/31/2021</v>
      </c>
      <c r="C492" s="85"/>
      <c r="D492" s="970"/>
      <c r="F492" s="332"/>
      <c r="U492" s="332"/>
      <c r="V492" s="67"/>
      <c r="W492" s="67"/>
      <c r="X492" s="370">
        <f t="shared" si="159"/>
        <v>0</v>
      </c>
    </row>
    <row r="493" spans="1:24" ht="15">
      <c r="A493" s="67"/>
      <c r="B493" s="406" t="str">
        <f>+$B$8</f>
        <v>SPONSOR:  MATTHEW A. TROXLE</v>
      </c>
      <c r="C493" s="85"/>
      <c r="D493" s="970"/>
      <c r="F493" s="332"/>
      <c r="U493" s="332"/>
      <c r="V493" s="67"/>
      <c r="W493" s="67"/>
      <c r="X493" s="370">
        <f t="shared" si="159"/>
        <v>0</v>
      </c>
    </row>
    <row r="494" spans="1:24" ht="12" customHeight="1" thickBot="1">
      <c r="A494" s="67"/>
      <c r="B494" s="410"/>
      <c r="C494" s="934"/>
      <c r="D494" s="936"/>
      <c r="F494" s="332"/>
      <c r="U494" s="332"/>
      <c r="V494" s="67"/>
      <c r="W494" s="67"/>
      <c r="X494" s="370">
        <f t="shared" si="159"/>
        <v>0</v>
      </c>
    </row>
    <row r="495" spans="1:24" ht="15" thickBot="1">
      <c r="A495" s="67"/>
      <c r="B495" s="13"/>
      <c r="C495" s="14"/>
      <c r="D495" s="14"/>
      <c r="E495" s="14"/>
      <c r="F495" s="13"/>
      <c r="G495" s="14"/>
      <c r="H495" s="14"/>
      <c r="I495" s="14"/>
      <c r="J495" s="238"/>
      <c r="K495" s="238"/>
      <c r="L495" s="14"/>
      <c r="M495" s="238"/>
      <c r="N495" s="238"/>
      <c r="O495" s="238"/>
      <c r="P495" s="238"/>
      <c r="Q495" s="14"/>
      <c r="R495" s="393" t="str">
        <f>R$10</f>
        <v xml:space="preserve"> </v>
      </c>
      <c r="S495" s="394"/>
      <c r="T495" s="238"/>
      <c r="U495" s="13"/>
      <c r="V495" s="67"/>
      <c r="W495" s="67"/>
      <c r="X495" s="370">
        <f t="shared" si="159"/>
        <v>0</v>
      </c>
    </row>
    <row r="496" spans="1:24" ht="15">
      <c r="A496" s="67"/>
      <c r="B496" s="15" t="s">
        <v>2</v>
      </c>
      <c r="C496" s="15" t="s">
        <v>370</v>
      </c>
      <c r="D496" s="287" t="s">
        <v>609</v>
      </c>
      <c r="E496" s="15" t="s">
        <v>371</v>
      </c>
      <c r="F496" s="287" t="str">
        <f>F$11</f>
        <v>DIST</v>
      </c>
      <c r="G496" s="242" t="s">
        <v>741</v>
      </c>
      <c r="H496" s="242" t="s">
        <v>376</v>
      </c>
      <c r="I496" s="15"/>
      <c r="J496" s="242" t="s">
        <v>730</v>
      </c>
      <c r="K496" s="242" t="s">
        <v>409</v>
      </c>
      <c r="L496" s="15" t="s">
        <v>409</v>
      </c>
      <c r="M496" s="242" t="s">
        <v>410</v>
      </c>
      <c r="N496" s="242" t="s">
        <v>410</v>
      </c>
      <c r="O496" s="242" t="s">
        <v>410</v>
      </c>
      <c r="P496" s="242" t="s">
        <v>411</v>
      </c>
      <c r="Q496" s="15" t="s">
        <v>412</v>
      </c>
      <c r="R496" s="396" t="str">
        <f>R$11</f>
        <v>Wholesale</v>
      </c>
      <c r="S496" s="13" t="str">
        <f>S$11</f>
        <v>Wholesale</v>
      </c>
      <c r="T496" s="242"/>
      <c r="U496" s="15" t="s">
        <v>10</v>
      </c>
      <c r="V496" s="67"/>
      <c r="W496" s="67"/>
      <c r="X496" s="370"/>
    </row>
    <row r="497" spans="1:24" ht="14.25">
      <c r="A497" s="67"/>
      <c r="B497" s="15"/>
      <c r="C497" s="15"/>
      <c r="D497" s="15"/>
      <c r="E497" s="15"/>
      <c r="F497" s="15"/>
      <c r="G497" s="242" t="s">
        <v>742</v>
      </c>
      <c r="H497" s="242" t="s">
        <v>743</v>
      </c>
      <c r="I497" s="15"/>
      <c r="J497" s="242"/>
      <c r="K497" s="242" t="s">
        <v>731</v>
      </c>
      <c r="L497" s="15" t="s">
        <v>732</v>
      </c>
      <c r="M497" s="242" t="s">
        <v>731</v>
      </c>
      <c r="N497" s="242" t="s">
        <v>732</v>
      </c>
      <c r="O497" s="242" t="s">
        <v>414</v>
      </c>
      <c r="P497" s="242"/>
      <c r="Q497" s="15"/>
      <c r="R497" s="235" t="str">
        <f>R$12</f>
        <v>XFMR</v>
      </c>
      <c r="S497" s="15" t="str">
        <f>S$12</f>
        <v>DLS</v>
      </c>
      <c r="T497" s="242"/>
      <c r="U497" s="15"/>
      <c r="V497" s="67"/>
      <c r="W497" s="67"/>
      <c r="X497" s="370">
        <f t="shared" si="159"/>
        <v>0</v>
      </c>
    </row>
    <row r="498" spans="1:24" ht="15" thickBot="1">
      <c r="A498" s="67"/>
      <c r="B498" s="16"/>
      <c r="C498" s="16"/>
      <c r="D498" s="16"/>
      <c r="E498" s="16"/>
      <c r="F498" s="16" t="s">
        <v>13</v>
      </c>
      <c r="G498" s="16" t="s">
        <v>14</v>
      </c>
      <c r="H498" s="16" t="s">
        <v>15</v>
      </c>
      <c r="I498" s="16"/>
      <c r="J498" s="243" t="str">
        <f t="shared" si="165" ref="J498:Q498">J$13</f>
        <v>(d)</v>
      </c>
      <c r="K498" s="243" t="str">
        <f t="shared" si="165"/>
        <v>(e)</v>
      </c>
      <c r="L498" s="16" t="str">
        <f t="shared" si="165"/>
        <v>(f)</v>
      </c>
      <c r="M498" s="243" t="str">
        <f t="shared" si="165"/>
        <v>(g)</v>
      </c>
      <c r="N498" s="243" t="str">
        <f t="shared" si="165"/>
        <v>(h)</v>
      </c>
      <c r="O498" s="243" t="str">
        <f>O$13</f>
        <v>(i)</v>
      </c>
      <c r="P498" s="243" t="str">
        <f t="shared" si="165"/>
        <v>(j)</v>
      </c>
      <c r="Q498" s="243" t="str">
        <f t="shared" si="165"/>
        <v>(k)</v>
      </c>
      <c r="R498" s="243" t="str">
        <f>R$13</f>
        <v>(l)</v>
      </c>
      <c r="S498" s="16" t="str">
        <f>S$13</f>
        <v>(m)</v>
      </c>
      <c r="T498" s="16"/>
      <c r="U498" s="16" t="s">
        <v>734</v>
      </c>
      <c r="V498" s="67"/>
      <c r="W498" s="67"/>
      <c r="X498" s="370"/>
    </row>
    <row r="499" spans="1:24" ht="14.25">
      <c r="A499" s="67"/>
      <c r="B499" s="67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43"/>
      <c r="V499" s="67"/>
      <c r="W499" s="67"/>
      <c r="X499" s="370">
        <f t="shared" si="159"/>
        <v>0</v>
      </c>
    </row>
    <row r="500" spans="1:24" ht="15">
      <c r="A500" s="67"/>
      <c r="B500" s="17">
        <f t="shared" si="166" ref="B500:B552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67"/>
      <c r="W500" s="67"/>
      <c r="X500" s="370">
        <f t="shared" si="159"/>
        <v>0</v>
      </c>
    </row>
    <row r="501" spans="1:24" ht="15">
      <c r="A501" s="67"/>
      <c r="B501" s="17">
        <f t="shared" si="166"/>
        <v>2</v>
      </c>
      <c r="C501" s="36" t="s">
        <v>610</v>
      </c>
      <c r="D501" s="44"/>
      <c r="E501" s="37" t="s">
        <v>132</v>
      </c>
      <c r="F501" s="355"/>
      <c r="G501" s="37"/>
      <c r="H501" s="897"/>
      <c r="I501" s="897"/>
      <c r="J501" s="897"/>
      <c r="K501" s="897"/>
      <c r="L501" s="897"/>
      <c r="M501" s="897"/>
      <c r="N501" s="897"/>
      <c r="O501" s="897"/>
      <c r="P501" s="897"/>
      <c r="Q501" s="897"/>
      <c r="R501" s="897"/>
      <c r="S501" s="897"/>
      <c r="T501" s="37"/>
      <c r="U501" s="36"/>
      <c r="V501" s="67"/>
      <c r="W501" s="67"/>
      <c r="X501" s="370">
        <f t="shared" si="159"/>
        <v>0</v>
      </c>
    </row>
    <row r="502" spans="1:24" ht="15">
      <c r="A502" s="67"/>
      <c r="B502" s="17">
        <f t="shared" si="166"/>
        <v>3</v>
      </c>
      <c r="C502" s="36" t="s">
        <v>611</v>
      </c>
      <c r="D502" s="44"/>
      <c r="E502" s="37"/>
      <c r="F502" s="355"/>
      <c r="G502" s="37"/>
      <c r="H502" s="897"/>
      <c r="I502" s="897"/>
      <c r="J502" s="897"/>
      <c r="K502" s="897"/>
      <c r="L502" s="897"/>
      <c r="M502" s="897"/>
      <c r="N502" s="897"/>
      <c r="O502" s="897"/>
      <c r="P502" s="897"/>
      <c r="Q502" s="897"/>
      <c r="R502" s="897"/>
      <c r="S502" s="897"/>
      <c r="T502" s="37"/>
      <c r="U502" s="36"/>
      <c r="V502" s="67"/>
      <c r="W502" s="67"/>
      <c r="X502" s="370">
        <f t="shared" si="159"/>
        <v>0</v>
      </c>
    </row>
    <row r="503" spans="1:24" ht="14.25">
      <c r="A503" s="67"/>
      <c r="B503" s="17">
        <f t="shared" si="166"/>
        <v>4</v>
      </c>
      <c r="C503" s="43">
        <v>189</v>
      </c>
      <c r="D503" s="43" t="s">
        <v>1210</v>
      </c>
      <c r="E503" s="263"/>
      <c r="F503" s="290">
        <f>' WP II-I-1.4'!G503</f>
        <v>0</v>
      </c>
      <c r="G503" s="358">
        <v>64</v>
      </c>
      <c r="H503" s="1" t="str">
        <f t="shared" si="167" ref="H503:H534">VLOOKUP(G503,FactorTable,2)</f>
        <v>PLANT</v>
      </c>
      <c r="I503" s="263"/>
      <c r="J503" s="434">
        <f t="shared" si="168" ref="J503:S512">$F503*HLOOKUP(J$1318,FactorTable,$G503+1)</f>
        <v>0</v>
      </c>
      <c r="K503" s="434">
        <f t="shared" si="168"/>
        <v>0</v>
      </c>
      <c r="L503" s="434">
        <f t="shared" si="168"/>
        <v>0</v>
      </c>
      <c r="M503" s="434">
        <f t="shared" si="168"/>
        <v>0</v>
      </c>
      <c r="N503" s="434">
        <f t="shared" si="168"/>
        <v>0</v>
      </c>
      <c r="O503" s="434">
        <f t="shared" si="168"/>
        <v>0</v>
      </c>
      <c r="P503" s="434">
        <f t="shared" si="168"/>
        <v>0</v>
      </c>
      <c r="Q503" s="434">
        <f t="shared" si="168"/>
        <v>0</v>
      </c>
      <c r="R503" s="434">
        <f t="shared" si="168"/>
        <v>0</v>
      </c>
      <c r="S503" s="434">
        <f t="shared" si="168"/>
        <v>0</v>
      </c>
      <c r="T503" s="263"/>
      <c r="U503" s="118">
        <f t="shared" si="169" ref="U503:U535">SUM(I503:T503)</f>
        <v>0</v>
      </c>
      <c r="V503" s="67"/>
      <c r="W503" s="67"/>
      <c r="X503" s="370">
        <f t="shared" si="159"/>
        <v>0</v>
      </c>
    </row>
    <row r="504" spans="1:24" ht="15">
      <c r="A504" s="67"/>
      <c r="B504" s="17">
        <f t="shared" si="166"/>
        <v>5</v>
      </c>
      <c r="C504" s="43">
        <v>182</v>
      </c>
      <c r="D504" s="43" t="s">
        <v>1211</v>
      </c>
      <c r="E504" s="897"/>
      <c r="F504" s="290">
        <f>' WP II-I-1.4'!G504</f>
        <v>0</v>
      </c>
      <c r="G504" s="358">
        <v>64</v>
      </c>
      <c r="H504" s="1" t="str">
        <f t="shared" si="167"/>
        <v>PLANT</v>
      </c>
      <c r="I504" s="897"/>
      <c r="J504" s="434">
        <f t="shared" si="168"/>
        <v>0</v>
      </c>
      <c r="K504" s="434">
        <f t="shared" si="168"/>
        <v>0</v>
      </c>
      <c r="L504" s="434">
        <f t="shared" si="168"/>
        <v>0</v>
      </c>
      <c r="M504" s="434">
        <f t="shared" si="168"/>
        <v>0</v>
      </c>
      <c r="N504" s="434">
        <f t="shared" si="168"/>
        <v>0</v>
      </c>
      <c r="O504" s="434">
        <f t="shared" si="168"/>
        <v>0</v>
      </c>
      <c r="P504" s="434">
        <f t="shared" si="168"/>
        <v>0</v>
      </c>
      <c r="Q504" s="434">
        <f t="shared" si="168"/>
        <v>0</v>
      </c>
      <c r="R504" s="434">
        <f t="shared" si="168"/>
        <v>0</v>
      </c>
      <c r="S504" s="434">
        <f t="shared" si="168"/>
        <v>0</v>
      </c>
      <c r="T504" s="897"/>
      <c r="U504" s="118">
        <f t="shared" si="169"/>
        <v>0</v>
      </c>
      <c r="V504" s="67"/>
      <c r="W504" s="67"/>
      <c r="X504" s="370">
        <f t="shared" si="159"/>
        <v>0</v>
      </c>
    </row>
    <row r="505" spans="1:24" ht="15">
      <c r="A505" s="67"/>
      <c r="B505" s="17">
        <f t="shared" si="166"/>
        <v>6</v>
      </c>
      <c r="C505" s="43">
        <v>182</v>
      </c>
      <c r="D505" s="43" t="s">
        <v>1359</v>
      </c>
      <c r="E505" s="897"/>
      <c r="F505" s="290">
        <f>' WP II-I-1.4'!G505</f>
        <v>26088</v>
      </c>
      <c r="G505" s="358">
        <v>69</v>
      </c>
      <c r="H505" s="1" t="str">
        <f t="shared" si="167"/>
        <v>PLANT_xWHL</v>
      </c>
      <c r="I505" s="897"/>
      <c r="J505" s="434">
        <f t="shared" si="168"/>
        <v>14258.093741943414</v>
      </c>
      <c r="K505" s="434">
        <f t="shared" si="168"/>
        <v>576.4994880395293</v>
      </c>
      <c r="L505" s="434">
        <f t="shared" si="168"/>
        <v>8884.2241985162673</v>
      </c>
      <c r="M505" s="434">
        <f t="shared" si="168"/>
        <v>3.0745161815553779</v>
      </c>
      <c r="N505" s="434">
        <f t="shared" si="168"/>
        <v>1301.2900359412918</v>
      </c>
      <c r="O505" s="434">
        <f t="shared" si="168"/>
        <v>119.15952913061197</v>
      </c>
      <c r="P505" s="434">
        <f t="shared" si="168"/>
        <v>23.585078608997296</v>
      </c>
      <c r="Q505" s="434">
        <f t="shared" si="168"/>
        <v>922.07341163832814</v>
      </c>
      <c r="R505" s="434">
        <f t="shared" si="168"/>
        <v>0</v>
      </c>
      <c r="S505" s="434">
        <f t="shared" si="168"/>
        <v>0</v>
      </c>
      <c r="T505" s="897"/>
      <c r="U505" s="118">
        <f t="shared" si="169"/>
        <v>26087.999999999996</v>
      </c>
      <c r="V505" s="67"/>
      <c r="W505" s="67"/>
      <c r="X505" s="370">
        <f t="shared" si="159"/>
        <v>0</v>
      </c>
    </row>
    <row r="506" spans="1:24" ht="15">
      <c r="A506" s="67"/>
      <c r="B506" s="17">
        <f t="shared" si="166"/>
        <v>7</v>
      </c>
      <c r="C506" s="43">
        <v>182</v>
      </c>
      <c r="D506" s="43" t="s">
        <v>1213</v>
      </c>
      <c r="E506" s="897"/>
      <c r="F506" s="290">
        <f>' WP II-I-1.4'!G506</f>
        <v>28752061.66</v>
      </c>
      <c r="G506" s="358">
        <v>69</v>
      </c>
      <c r="H506" s="1" t="str">
        <f t="shared" si="167"/>
        <v>PLANT_xWHL</v>
      </c>
      <c r="I506" s="897"/>
      <c r="J506" s="434">
        <f t="shared" si="168"/>
        <v>15714105.735296581</v>
      </c>
      <c r="K506" s="434">
        <f t="shared" si="168"/>
        <v>635370.62354611245</v>
      </c>
      <c r="L506" s="434">
        <f t="shared" si="168"/>
        <v>9791465.8830498233</v>
      </c>
      <c r="M506" s="434">
        <f t="shared" si="168"/>
        <v>3388.4804824727066</v>
      </c>
      <c r="N506" s="434">
        <f t="shared" si="168"/>
        <v>1434175.5347641688</v>
      </c>
      <c r="O506" s="434">
        <f t="shared" si="168"/>
        <v>131327.89516022391</v>
      </c>
      <c r="P506" s="434">
        <f t="shared" si="168"/>
        <v>25993.546244320656</v>
      </c>
      <c r="Q506" s="434">
        <f t="shared" si="168"/>
        <v>1016233.961456293</v>
      </c>
      <c r="R506" s="434">
        <f t="shared" si="168"/>
        <v>0</v>
      </c>
      <c r="S506" s="434">
        <f t="shared" si="168"/>
        <v>0</v>
      </c>
      <c r="T506" s="897"/>
      <c r="U506" s="118">
        <f t="shared" si="170" ref="U506">SUM(I506:T506)</f>
        <v>28752061.659999996</v>
      </c>
      <c r="V506" s="67"/>
      <c r="W506" s="67"/>
      <c r="X506" s="370">
        <f t="shared" si="171" ref="X506">U506-F506</f>
        <v>0</v>
      </c>
    </row>
    <row r="507" spans="1:24" ht="15">
      <c r="A507" s="67"/>
      <c r="B507" s="17">
        <f t="shared" si="166"/>
        <v>8</v>
      </c>
      <c r="C507" s="43">
        <v>182</v>
      </c>
      <c r="D507" s="43" t="s">
        <v>135</v>
      </c>
      <c r="E507" s="897"/>
      <c r="F507" s="290">
        <f>' WP II-I-1.4'!G507</f>
        <v>105257009.84</v>
      </c>
      <c r="G507" s="358">
        <v>88</v>
      </c>
      <c r="H507" s="1" t="str">
        <f t="shared" si="167"/>
        <v>PAYROLL</v>
      </c>
      <c r="I507" s="897"/>
      <c r="J507" s="434">
        <f t="shared" si="168"/>
        <v>56964930.423151851</v>
      </c>
      <c r="K507" s="434">
        <f t="shared" si="168"/>
        <v>1584118.6067381506</v>
      </c>
      <c r="L507" s="434">
        <f t="shared" si="168"/>
        <v>36417782.241614379</v>
      </c>
      <c r="M507" s="434">
        <f t="shared" si="168"/>
        <v>26802.558347615781</v>
      </c>
      <c r="N507" s="434">
        <f t="shared" si="168"/>
        <v>7447174.1652201293</v>
      </c>
      <c r="O507" s="434">
        <f t="shared" si="168"/>
        <v>833781.7078688168</v>
      </c>
      <c r="P507" s="434">
        <f t="shared" si="168"/>
        <v>25614.750345001259</v>
      </c>
      <c r="Q507" s="434">
        <f t="shared" si="168"/>
        <v>1464380.7386826878</v>
      </c>
      <c r="R507" s="434">
        <f t="shared" si="168"/>
        <v>99111.287816595446</v>
      </c>
      <c r="S507" s="434">
        <f t="shared" si="168"/>
        <v>393313.36021475861</v>
      </c>
      <c r="T507" s="897"/>
      <c r="U507" s="118">
        <f t="shared" si="169"/>
        <v>105257009.83999997</v>
      </c>
      <c r="V507" s="67"/>
      <c r="W507" s="67"/>
      <c r="X507" s="370">
        <f t="shared" si="159"/>
        <v>0</v>
      </c>
    </row>
    <row r="508" spans="1:24" ht="15">
      <c r="A508" s="67"/>
      <c r="B508" s="17">
        <f t="shared" si="166"/>
        <v>9</v>
      </c>
      <c r="C508" s="43">
        <v>182</v>
      </c>
      <c r="D508" s="43" t="s">
        <v>136</v>
      </c>
      <c r="E508" s="897"/>
      <c r="F508" s="290">
        <f>' WP II-I-1.4'!G508</f>
        <v>-10594886.380000001</v>
      </c>
      <c r="G508" s="358">
        <v>88</v>
      </c>
      <c r="H508" s="1" t="str">
        <f t="shared" si="167"/>
        <v>PAYROLL</v>
      </c>
      <c r="I508" s="897"/>
      <c r="J508" s="434">
        <f t="shared" si="168"/>
        <v>-5733936.0712918695</v>
      </c>
      <c r="K508" s="434">
        <f t="shared" si="168"/>
        <v>-159453.10128367797</v>
      </c>
      <c r="L508" s="434">
        <f t="shared" si="168"/>
        <v>-3665715.6197767784</v>
      </c>
      <c r="M508" s="434">
        <f t="shared" si="168"/>
        <v>-2697.8731470518633</v>
      </c>
      <c r="N508" s="434">
        <f t="shared" si="168"/>
        <v>-749612.44151355443</v>
      </c>
      <c r="O508" s="434">
        <f t="shared" si="168"/>
        <v>-83926.215213795833</v>
      </c>
      <c r="P508" s="434">
        <f t="shared" si="168"/>
        <v>-2578.3116010029548</v>
      </c>
      <c r="Q508" s="434">
        <f t="shared" si="168"/>
        <v>-147400.61081905753</v>
      </c>
      <c r="R508" s="434">
        <f t="shared" si="168"/>
        <v>-9976.2745967086757</v>
      </c>
      <c r="S508" s="434">
        <f t="shared" si="168"/>
        <v>-39589.860756502181</v>
      </c>
      <c r="T508" s="897"/>
      <c r="U508" s="118">
        <f t="shared" si="169"/>
        <v>-10594886.379999999</v>
      </c>
      <c r="V508" s="67"/>
      <c r="W508" s="67"/>
      <c r="X508" s="370">
        <f t="shared" si="159"/>
        <v>0</v>
      </c>
    </row>
    <row r="509" spans="1:24" ht="15">
      <c r="A509" s="67"/>
      <c r="B509" s="17">
        <f t="shared" si="166"/>
        <v>10</v>
      </c>
      <c r="C509" s="43">
        <v>182</v>
      </c>
      <c r="D509" s="43" t="s">
        <v>137</v>
      </c>
      <c r="E509" s="897"/>
      <c r="F509" s="290">
        <f>' WP II-I-1.4'!G509</f>
        <v>11449481.08</v>
      </c>
      <c r="G509" s="358">
        <v>37</v>
      </c>
      <c r="H509" s="1" t="str">
        <f t="shared" si="167"/>
        <v>OPEB TOTAL</v>
      </c>
      <c r="I509" s="897"/>
      <c r="J509" s="434">
        <f t="shared" si="168"/>
        <v>5909431.3611004576</v>
      </c>
      <c r="K509" s="434">
        <f t="shared" si="168"/>
        <v>164192.40109644408</v>
      </c>
      <c r="L509" s="434">
        <f t="shared" si="168"/>
        <v>4489372.3259072797</v>
      </c>
      <c r="M509" s="434">
        <f t="shared" si="168"/>
        <v>1705.9425424045678</v>
      </c>
      <c r="N509" s="434">
        <f t="shared" si="168"/>
        <v>613161.43504350365</v>
      </c>
      <c r="O509" s="434">
        <f t="shared" si="168"/>
        <v>36802.634648410771</v>
      </c>
      <c r="P509" s="434">
        <f t="shared" si="168"/>
        <v>1009.8754199860392</v>
      </c>
      <c r="Q509" s="434">
        <f t="shared" si="168"/>
        <v>188483.43196333302</v>
      </c>
      <c r="R509" s="434">
        <f t="shared" si="168"/>
        <v>7178.0146528918222</v>
      </c>
      <c r="S509" s="434">
        <f t="shared" si="168"/>
        <v>38143.657625285559</v>
      </c>
      <c r="T509" s="897"/>
      <c r="U509" s="118">
        <f t="shared" si="169"/>
        <v>11449481.079999996</v>
      </c>
      <c r="V509" s="67"/>
      <c r="W509" s="67"/>
      <c r="X509" s="370">
        <f t="shared" si="159"/>
        <v>0</v>
      </c>
    </row>
    <row r="510" spans="1:24" ht="15">
      <c r="A510" s="67"/>
      <c r="B510" s="17">
        <f t="shared" si="166"/>
        <v>11</v>
      </c>
      <c r="C510" s="43">
        <v>182</v>
      </c>
      <c r="D510" s="43" t="s">
        <v>1360</v>
      </c>
      <c r="E510" s="897"/>
      <c r="F510" s="290">
        <f>' WP II-I-1.4'!G510</f>
        <v>0</v>
      </c>
      <c r="G510" s="358">
        <v>37</v>
      </c>
      <c r="H510" s="1" t="str">
        <f t="shared" si="167"/>
        <v>OPEB TOTAL</v>
      </c>
      <c r="I510" s="897"/>
      <c r="J510" s="434">
        <f t="shared" si="168"/>
        <v>0</v>
      </c>
      <c r="K510" s="434">
        <f t="shared" si="168"/>
        <v>0</v>
      </c>
      <c r="L510" s="434">
        <f t="shared" si="168"/>
        <v>0</v>
      </c>
      <c r="M510" s="434">
        <f t="shared" si="168"/>
        <v>0</v>
      </c>
      <c r="N510" s="434">
        <f t="shared" si="168"/>
        <v>0</v>
      </c>
      <c r="O510" s="434">
        <f t="shared" si="168"/>
        <v>0</v>
      </c>
      <c r="P510" s="434">
        <f t="shared" si="168"/>
        <v>0</v>
      </c>
      <c r="Q510" s="434">
        <f t="shared" si="168"/>
        <v>0</v>
      </c>
      <c r="R510" s="434">
        <f t="shared" si="168"/>
        <v>0</v>
      </c>
      <c r="S510" s="434">
        <f t="shared" si="168"/>
        <v>0</v>
      </c>
      <c r="T510" s="897"/>
      <c r="U510" s="118">
        <f t="shared" si="169"/>
        <v>0</v>
      </c>
      <c r="V510" s="67"/>
      <c r="W510" s="67"/>
      <c r="X510" s="370">
        <f t="shared" si="159"/>
        <v>0</v>
      </c>
    </row>
    <row r="511" spans="1:24" ht="14.25">
      <c r="A511" s="67"/>
      <c r="B511" s="17">
        <f t="shared" si="166"/>
        <v>12</v>
      </c>
      <c r="C511" s="43">
        <v>182</v>
      </c>
      <c r="D511" s="43" t="s">
        <v>1361</v>
      </c>
      <c r="E511" s="263"/>
      <c r="F511" s="290">
        <f>' WP II-I-1.4'!G511</f>
        <v>0</v>
      </c>
      <c r="G511" s="358">
        <v>64</v>
      </c>
      <c r="H511" s="1" t="str">
        <f t="shared" si="167"/>
        <v>PLANT</v>
      </c>
      <c r="I511" s="263"/>
      <c r="J511" s="434">
        <f t="shared" si="168"/>
        <v>0</v>
      </c>
      <c r="K511" s="434">
        <f t="shared" si="168"/>
        <v>0</v>
      </c>
      <c r="L511" s="434">
        <f t="shared" si="168"/>
        <v>0</v>
      </c>
      <c r="M511" s="434">
        <f t="shared" si="168"/>
        <v>0</v>
      </c>
      <c r="N511" s="434">
        <f t="shared" si="168"/>
        <v>0</v>
      </c>
      <c r="O511" s="434">
        <f t="shared" si="168"/>
        <v>0</v>
      </c>
      <c r="P511" s="434">
        <f t="shared" si="168"/>
        <v>0</v>
      </c>
      <c r="Q511" s="434">
        <f t="shared" si="168"/>
        <v>0</v>
      </c>
      <c r="R511" s="434">
        <f t="shared" si="168"/>
        <v>0</v>
      </c>
      <c r="S511" s="434">
        <f t="shared" si="168"/>
        <v>0</v>
      </c>
      <c r="T511" s="263"/>
      <c r="U511" s="118">
        <f t="shared" si="169"/>
        <v>0</v>
      </c>
      <c r="V511" s="67"/>
      <c r="W511" s="67"/>
      <c r="X511" s="370">
        <f t="shared" si="159"/>
        <v>0</v>
      </c>
    </row>
    <row r="512" spans="1:24" ht="15">
      <c r="A512" s="67"/>
      <c r="B512" s="17">
        <f t="shared" si="166"/>
        <v>13</v>
      </c>
      <c r="C512" s="691">
        <v>182</v>
      </c>
      <c r="D512" s="691" t="s">
        <v>1362</v>
      </c>
      <c r="E512" s="897"/>
      <c r="F512" s="290">
        <f>' WP II-I-1.4'!G512</f>
        <v>0</v>
      </c>
      <c r="G512" s="358">
        <v>37</v>
      </c>
      <c r="H512" s="1" t="str">
        <f t="shared" si="167"/>
        <v>OPEB TOTAL</v>
      </c>
      <c r="I512" s="897"/>
      <c r="J512" s="434">
        <f t="shared" si="168"/>
        <v>0</v>
      </c>
      <c r="K512" s="434">
        <f t="shared" si="168"/>
        <v>0</v>
      </c>
      <c r="L512" s="434">
        <f t="shared" si="168"/>
        <v>0</v>
      </c>
      <c r="M512" s="434">
        <f t="shared" si="168"/>
        <v>0</v>
      </c>
      <c r="N512" s="434">
        <f t="shared" si="168"/>
        <v>0</v>
      </c>
      <c r="O512" s="434">
        <f t="shared" si="168"/>
        <v>0</v>
      </c>
      <c r="P512" s="434">
        <f t="shared" si="168"/>
        <v>0</v>
      </c>
      <c r="Q512" s="434">
        <f t="shared" si="168"/>
        <v>0</v>
      </c>
      <c r="R512" s="434">
        <f t="shared" si="168"/>
        <v>0</v>
      </c>
      <c r="S512" s="434">
        <f t="shared" si="168"/>
        <v>0</v>
      </c>
      <c r="T512" s="897"/>
      <c r="U512" s="118">
        <f t="shared" si="169"/>
        <v>0</v>
      </c>
      <c r="V512" s="67"/>
      <c r="W512" s="67"/>
      <c r="X512" s="370">
        <f t="shared" si="159"/>
        <v>0</v>
      </c>
    </row>
    <row r="513" spans="1:24" s="386" customFormat="1" ht="15">
      <c r="A513" s="47"/>
      <c r="B513" s="17">
        <f t="shared" si="166"/>
        <v>14</v>
      </c>
      <c r="C513" s="43">
        <v>186</v>
      </c>
      <c r="D513" s="43" t="s">
        <v>1335</v>
      </c>
      <c r="E513" s="897"/>
      <c r="F513" s="290">
        <f>' WP II-I-1.4'!G513</f>
        <v>0</v>
      </c>
      <c r="G513" s="358">
        <v>51</v>
      </c>
      <c r="H513" s="1" t="str">
        <f t="shared" si="167"/>
        <v>PLT 370</v>
      </c>
      <c r="I513" s="897"/>
      <c r="J513" s="434">
        <f t="shared" si="172" ref="J513:S522">$F513*HLOOKUP(J$1318,FactorTable,$G513+1)</f>
        <v>0</v>
      </c>
      <c r="K513" s="434">
        <f t="shared" si="172"/>
        <v>0</v>
      </c>
      <c r="L513" s="434">
        <f t="shared" si="172"/>
        <v>0</v>
      </c>
      <c r="M513" s="434">
        <f t="shared" si="172"/>
        <v>0</v>
      </c>
      <c r="N513" s="434">
        <f t="shared" si="172"/>
        <v>0</v>
      </c>
      <c r="O513" s="434">
        <f t="shared" si="172"/>
        <v>0</v>
      </c>
      <c r="P513" s="434">
        <f t="shared" si="172"/>
        <v>0</v>
      </c>
      <c r="Q513" s="434">
        <f t="shared" si="172"/>
        <v>0</v>
      </c>
      <c r="R513" s="434">
        <f t="shared" si="172"/>
        <v>0</v>
      </c>
      <c r="S513" s="434">
        <f t="shared" si="172"/>
        <v>0</v>
      </c>
      <c r="T513" s="897"/>
      <c r="U513" s="290">
        <f t="shared" si="169"/>
        <v>0</v>
      </c>
      <c r="V513" s="47"/>
      <c r="W513" s="47"/>
      <c r="X513" s="839">
        <f t="shared" si="159"/>
        <v>0</v>
      </c>
    </row>
    <row r="514" spans="1:24" s="386" customFormat="1" ht="15">
      <c r="A514" s="47"/>
      <c r="B514" s="17">
        <f t="shared" si="166"/>
        <v>15</v>
      </c>
      <c r="C514" s="43">
        <v>186</v>
      </c>
      <c r="D514" s="43" t="s">
        <v>1216</v>
      </c>
      <c r="E514" s="897"/>
      <c r="F514" s="290">
        <f>' WP II-I-1.4'!G514</f>
        <v>0</v>
      </c>
      <c r="G514" s="358">
        <v>51</v>
      </c>
      <c r="H514" s="1" t="str">
        <f t="shared" si="167"/>
        <v>PLT 370</v>
      </c>
      <c r="I514" s="897"/>
      <c r="J514" s="434">
        <f t="shared" si="172"/>
        <v>0</v>
      </c>
      <c r="K514" s="434">
        <f t="shared" si="172"/>
        <v>0</v>
      </c>
      <c r="L514" s="434">
        <f t="shared" si="172"/>
        <v>0</v>
      </c>
      <c r="M514" s="434">
        <f t="shared" si="172"/>
        <v>0</v>
      </c>
      <c r="N514" s="434">
        <f t="shared" si="172"/>
        <v>0</v>
      </c>
      <c r="O514" s="434">
        <f t="shared" si="172"/>
        <v>0</v>
      </c>
      <c r="P514" s="434">
        <f t="shared" si="172"/>
        <v>0</v>
      </c>
      <c r="Q514" s="434">
        <f t="shared" si="172"/>
        <v>0</v>
      </c>
      <c r="R514" s="434">
        <f t="shared" si="172"/>
        <v>0</v>
      </c>
      <c r="S514" s="434">
        <f t="shared" si="172"/>
        <v>0</v>
      </c>
      <c r="T514" s="897"/>
      <c r="U514" s="290">
        <f t="shared" si="169"/>
        <v>0</v>
      </c>
      <c r="V514" s="47"/>
      <c r="W514" s="47"/>
      <c r="X514" s="839">
        <f t="shared" si="159"/>
        <v>0</v>
      </c>
    </row>
    <row r="515" spans="1:24" s="386" customFormat="1" ht="15">
      <c r="A515" s="47"/>
      <c r="B515" s="17">
        <f t="shared" si="166"/>
        <v>16</v>
      </c>
      <c r="C515" s="43">
        <v>186</v>
      </c>
      <c r="D515" s="43" t="s">
        <v>1217</v>
      </c>
      <c r="E515" s="897"/>
      <c r="F515" s="290">
        <f>' WP II-I-1.4'!G515</f>
        <v>178482.85000000001</v>
      </c>
      <c r="G515" s="358">
        <v>64</v>
      </c>
      <c r="H515" s="1" t="str">
        <f t="shared" si="167"/>
        <v>PLANT</v>
      </c>
      <c r="I515" s="897"/>
      <c r="J515" s="434">
        <f t="shared" si="172"/>
        <v>97231.231396990901</v>
      </c>
      <c r="K515" s="434">
        <f t="shared" si="172"/>
        <v>3931.3639071486423</v>
      </c>
      <c r="L515" s="434">
        <f t="shared" si="172"/>
        <v>60584.82111725404</v>
      </c>
      <c r="M515" s="434">
        <f t="shared" si="172"/>
        <v>20.966266577642635</v>
      </c>
      <c r="N515" s="434">
        <f t="shared" si="172"/>
        <v>8873.9795718274272</v>
      </c>
      <c r="O515" s="434">
        <f t="shared" si="172"/>
        <v>812.59304081948085</v>
      </c>
      <c r="P515" s="434">
        <f t="shared" si="172"/>
        <v>160.83540179018814</v>
      </c>
      <c r="Q515" s="434">
        <f t="shared" si="172"/>
        <v>6287.9607102231757</v>
      </c>
      <c r="R515" s="434">
        <f t="shared" si="172"/>
        <v>97.394361864786632</v>
      </c>
      <c r="S515" s="434">
        <f t="shared" si="172"/>
        <v>481.704225503668</v>
      </c>
      <c r="T515" s="897"/>
      <c r="U515" s="290">
        <f t="shared" si="169"/>
        <v>178482.84999999995</v>
      </c>
      <c r="V515" s="47"/>
      <c r="W515" s="47"/>
      <c r="X515" s="839">
        <f t="shared" si="159"/>
        <v>0</v>
      </c>
    </row>
    <row r="516" spans="1:24" s="386" customFormat="1" ht="15">
      <c r="A516" s="47"/>
      <c r="B516" s="17">
        <f t="shared" si="166"/>
        <v>17</v>
      </c>
      <c r="C516" s="43">
        <v>186</v>
      </c>
      <c r="D516" s="43" t="s">
        <v>1218</v>
      </c>
      <c r="E516" s="897"/>
      <c r="F516" s="290">
        <f>' WP II-I-1.4'!G516</f>
        <v>304615.98999999999</v>
      </c>
      <c r="G516" s="1137">
        <v>64</v>
      </c>
      <c r="H516" s="730" t="str">
        <f>VLOOKUP(G516,FactorTable,2)</f>
        <v>PLANT</v>
      </c>
      <c r="I516" s="897"/>
      <c r="J516" s="434">
        <f t="shared" si="172"/>
        <v>165944.1666855581</v>
      </c>
      <c r="K516" s="434">
        <f t="shared" si="172"/>
        <v>6709.6435799089477</v>
      </c>
      <c r="L516" s="434">
        <f t="shared" si="172"/>
        <v>103399.87995264107</v>
      </c>
      <c r="M516" s="434">
        <f t="shared" si="172"/>
        <v>35.783046103043084</v>
      </c>
      <c r="N516" s="434">
        <f t="shared" si="172"/>
        <v>15145.186624440317</v>
      </c>
      <c r="O516" s="434">
        <f t="shared" si="172"/>
        <v>1386.8494009163153</v>
      </c>
      <c r="P516" s="434">
        <f t="shared" si="172"/>
        <v>274.4971583732887</v>
      </c>
      <c r="Q516" s="434">
        <f t="shared" si="172"/>
        <v>10731.638232052746</v>
      </c>
      <c r="R516" s="434">
        <f t="shared" si="172"/>
        <v>166.2225808242093</v>
      </c>
      <c r="S516" s="434">
        <f t="shared" si="172"/>
        <v>822.12273918184894</v>
      </c>
      <c r="T516" s="897"/>
      <c r="U516" s="290">
        <f t="shared" si="169"/>
        <v>304615.98999999987</v>
      </c>
      <c r="V516" s="47"/>
      <c r="W516" s="47"/>
      <c r="X516" s="839">
        <f t="shared" si="159"/>
        <v>0</v>
      </c>
    </row>
    <row r="517" spans="1:24" s="386" customFormat="1" ht="15">
      <c r="A517" s="47"/>
      <c r="B517" s="17">
        <f t="shared" si="166"/>
        <v>18</v>
      </c>
      <c r="C517" s="43">
        <v>186</v>
      </c>
      <c r="D517" s="43" t="s">
        <v>1219</v>
      </c>
      <c r="E517" s="897"/>
      <c r="F517" s="290">
        <f>' WP II-I-1.4'!G517</f>
        <v>167728.14000000001</v>
      </c>
      <c r="G517" s="358">
        <v>64</v>
      </c>
      <c r="H517" s="730" t="str">
        <f>VLOOKUP(G517,FactorTable,2)</f>
        <v>PLANT</v>
      </c>
      <c r="I517" s="897"/>
      <c r="J517" s="434">
        <f t="shared" si="172"/>
        <v>91372.440501296835</v>
      </c>
      <c r="K517" s="434">
        <f t="shared" si="172"/>
        <v>3694.4745997118184</v>
      </c>
      <c r="L517" s="434">
        <f t="shared" si="172"/>
        <v>56934.206049655433</v>
      </c>
      <c r="M517" s="434">
        <f t="shared" si="172"/>
        <v>19.702917651820133</v>
      </c>
      <c r="N517" s="434">
        <f t="shared" si="172"/>
        <v>8339.2667025465507</v>
      </c>
      <c r="O517" s="434">
        <f t="shared" si="172"/>
        <v>763.62921879382588</v>
      </c>
      <c r="P517" s="434">
        <f t="shared" si="172"/>
        <v>151.1440611152328</v>
      </c>
      <c r="Q517" s="434">
        <f t="shared" si="172"/>
        <v>5909.071680101546</v>
      </c>
      <c r="R517" s="434">
        <f t="shared" si="172"/>
        <v>91.525741336311</v>
      </c>
      <c r="S517" s="434">
        <f t="shared" si="172"/>
        <v>452.67852779060178</v>
      </c>
      <c r="T517" s="897"/>
      <c r="U517" s="290">
        <f t="shared" si="169"/>
        <v>167728.13999999996</v>
      </c>
      <c r="V517" s="47"/>
      <c r="W517" s="47"/>
      <c r="X517" s="839">
        <f t="shared" si="159"/>
        <v>0</v>
      </c>
    </row>
    <row r="518" spans="1:24" ht="15">
      <c r="A518" s="67"/>
      <c r="B518" s="17">
        <f t="shared" si="166"/>
        <v>19</v>
      </c>
      <c r="C518" s="43">
        <v>186</v>
      </c>
      <c r="D518" s="43" t="s">
        <v>1363</v>
      </c>
      <c r="E518" s="897"/>
      <c r="F518" s="290">
        <f>' WP II-I-1.4'!G518</f>
        <v>215521.45999999999</v>
      </c>
      <c r="G518" s="358">
        <v>64</v>
      </c>
      <c r="H518" s="730" t="str">
        <f>VLOOKUP(G518,FactorTable,2)</f>
        <v>PLANT</v>
      </c>
      <c r="I518" s="897"/>
      <c r="J518" s="434">
        <f t="shared" si="172"/>
        <v>117408.57425952867</v>
      </c>
      <c r="K518" s="434">
        <f t="shared" si="172"/>
        <v>4747.1972184441238</v>
      </c>
      <c r="L518" s="434">
        <f t="shared" si="172"/>
        <v>73157.331928694664</v>
      </c>
      <c r="M518" s="434">
        <f t="shared" si="172"/>
        <v>25.317168476202301</v>
      </c>
      <c r="N518" s="434">
        <f t="shared" si="172"/>
        <v>10715.500303420871</v>
      </c>
      <c r="O518" s="434">
        <f t="shared" si="172"/>
        <v>981.22166103496272</v>
      </c>
      <c r="P518" s="434">
        <f t="shared" si="172"/>
        <v>194.21182827094009</v>
      </c>
      <c r="Q518" s="434">
        <f t="shared" si="172"/>
        <v>7592.8329959429475</v>
      </c>
      <c r="R518" s="434">
        <f t="shared" si="172"/>
        <v>117.60555742396055</v>
      </c>
      <c r="S518" s="434">
        <f t="shared" si="172"/>
        <v>581.66707876257999</v>
      </c>
      <c r="T518" s="897"/>
      <c r="U518" s="118">
        <f t="shared" si="169"/>
        <v>215521.45999999993</v>
      </c>
      <c r="V518" s="67"/>
      <c r="W518" s="67"/>
      <c r="X518" s="370">
        <f t="shared" si="159"/>
        <v>0</v>
      </c>
    </row>
    <row r="519" spans="1:24" ht="14.25">
      <c r="A519" s="67"/>
      <c r="B519" s="17">
        <f t="shared" si="166"/>
        <v>20</v>
      </c>
      <c r="C519" s="702">
        <v>186</v>
      </c>
      <c r="D519" s="691" t="s">
        <v>1364</v>
      </c>
      <c r="E519" s="263"/>
      <c r="F519" s="290">
        <f>' WP II-I-1.4'!G519</f>
        <v>586172.70000000007</v>
      </c>
      <c r="G519" s="358">
        <v>64</v>
      </c>
      <c r="H519" s="1" t="str">
        <f t="shared" si="167"/>
        <v>PLANT</v>
      </c>
      <c r="I519" s="263"/>
      <c r="J519" s="434">
        <f t="shared" si="172"/>
        <v>319326.44190911861</v>
      </c>
      <c r="K519" s="434">
        <f t="shared" si="172"/>
        <v>12911.370454561147</v>
      </c>
      <c r="L519" s="434">
        <f t="shared" si="172"/>
        <v>198972.44005974702</v>
      </c>
      <c r="M519" s="434">
        <f t="shared" si="172"/>
        <v>68.857333288529091</v>
      </c>
      <c r="N519" s="434">
        <f t="shared" si="172"/>
        <v>29143.89010127823</v>
      </c>
      <c r="O519" s="434">
        <f t="shared" si="172"/>
        <v>2668.7149871170554</v>
      </c>
      <c r="P519" s="434">
        <f t="shared" si="172"/>
        <v>528.21501742570467</v>
      </c>
      <c r="Q519" s="434">
        <f t="shared" si="172"/>
        <v>20650.896750054344</v>
      </c>
      <c r="R519" s="434">
        <f t="shared" si="172"/>
        <v>319.86219437362763</v>
      </c>
      <c r="S519" s="434">
        <f t="shared" si="172"/>
        <v>1582.0111930355995</v>
      </c>
      <c r="T519" s="263"/>
      <c r="U519" s="118">
        <f t="shared" si="169"/>
        <v>586172.69999999995</v>
      </c>
      <c r="V519" s="67"/>
      <c r="W519" s="67"/>
      <c r="X519" s="370">
        <f t="shared" si="159"/>
        <v>0</v>
      </c>
    </row>
    <row r="520" spans="1:24" ht="14.25">
      <c r="A520" s="67"/>
      <c r="B520" s="17">
        <f t="shared" si="166"/>
        <v>21</v>
      </c>
      <c r="C520" s="43">
        <v>186</v>
      </c>
      <c r="D520" s="43" t="s">
        <v>1221</v>
      </c>
      <c r="E520" s="263"/>
      <c r="F520" s="290">
        <f>' WP II-I-1.4'!G520</f>
        <v>334785.03000000003</v>
      </c>
      <c r="G520" s="358">
        <v>64</v>
      </c>
      <c r="H520" s="1" t="str">
        <f t="shared" si="167"/>
        <v>PLANT</v>
      </c>
      <c r="I520" s="263"/>
      <c r="J520" s="434">
        <f t="shared" si="172"/>
        <v>182379.207415046</v>
      </c>
      <c r="K520" s="434">
        <f t="shared" si="172"/>
        <v>7374.1638683810543</v>
      </c>
      <c r="L520" s="434">
        <f t="shared" si="172"/>
        <v>113640.56073333953</v>
      </c>
      <c r="M520" s="434">
        <f t="shared" si="172"/>
        <v>39.326983994171357</v>
      </c>
      <c r="N520" s="434">
        <f t="shared" si="172"/>
        <v>16645.15956112104</v>
      </c>
      <c r="O520" s="434">
        <f t="shared" si="172"/>
        <v>1524.2023844225994</v>
      </c>
      <c r="P520" s="434">
        <f t="shared" si="172"/>
        <v>301.68324191030229</v>
      </c>
      <c r="Q520" s="434">
        <f t="shared" si="172"/>
        <v>11794.495185452761</v>
      </c>
      <c r="R520" s="434">
        <f t="shared" si="172"/>
        <v>182.6851955733195</v>
      </c>
      <c r="S520" s="434">
        <f t="shared" si="172"/>
        <v>903.54543075915853</v>
      </c>
      <c r="T520" s="263"/>
      <c r="U520" s="118">
        <f t="shared" si="173" ref="U520">SUM(I520:T520)</f>
        <v>334785.02999999985</v>
      </c>
      <c r="V520" s="67"/>
      <c r="W520" s="67"/>
      <c r="X520" s="370">
        <f t="shared" si="159"/>
        <v>0</v>
      </c>
    </row>
    <row r="521" spans="1:24" ht="15">
      <c r="A521" s="67"/>
      <c r="B521" s="17">
        <f t="shared" si="166"/>
        <v>22</v>
      </c>
      <c r="C521" s="43">
        <v>186</v>
      </c>
      <c r="D521" s="43" t="s">
        <v>1222</v>
      </c>
      <c r="E521" s="897"/>
      <c r="F521" s="290">
        <f>' WP II-I-1.4'!G521</f>
        <v>6700000</v>
      </c>
      <c r="G521" s="358">
        <v>64</v>
      </c>
      <c r="H521" s="1" t="str">
        <f t="shared" si="167"/>
        <v>PLANT</v>
      </c>
      <c r="I521" s="897"/>
      <c r="J521" s="434">
        <f t="shared" si="172"/>
        <v>3649926.3114626366</v>
      </c>
      <c r="K521" s="434">
        <f t="shared" si="172"/>
        <v>147577.97837661099</v>
      </c>
      <c r="L521" s="434">
        <f t="shared" si="172"/>
        <v>2274270.6175164846</v>
      </c>
      <c r="M521" s="434">
        <f t="shared" si="172"/>
        <v>787.04472765986009</v>
      </c>
      <c r="N521" s="434">
        <f t="shared" si="172"/>
        <v>333116.9528682658</v>
      </c>
      <c r="O521" s="434">
        <f t="shared" si="172"/>
        <v>30503.621908158242</v>
      </c>
      <c r="P521" s="434">
        <f t="shared" si="172"/>
        <v>6037.5391360809208</v>
      </c>
      <c r="Q521" s="434">
        <f t="shared" si="172"/>
        <v>236041.37180964599</v>
      </c>
      <c r="R521" s="434">
        <f t="shared" si="172"/>
        <v>3656.0500042108833</v>
      </c>
      <c r="S521" s="434">
        <f t="shared" si="172"/>
        <v>18082.512190244473</v>
      </c>
      <c r="T521" s="897"/>
      <c r="U521" s="118">
        <f t="shared" si="169"/>
        <v>6699999.9999999981</v>
      </c>
      <c r="V521" s="67"/>
      <c r="W521" s="67"/>
      <c r="X521" s="370">
        <f t="shared" si="159"/>
        <v>0</v>
      </c>
    </row>
    <row r="522" spans="1:24" ht="15">
      <c r="A522" s="67"/>
      <c r="B522" s="17">
        <f t="shared" si="166"/>
        <v>23</v>
      </c>
      <c r="C522" s="43">
        <v>182</v>
      </c>
      <c r="D522" s="43" t="s">
        <v>1223</v>
      </c>
      <c r="E522" s="897"/>
      <c r="F522" s="290">
        <f>' WP II-I-1.4'!G522</f>
        <v>75267069.370000005</v>
      </c>
      <c r="G522" s="358">
        <v>64</v>
      </c>
      <c r="H522" s="1" t="str">
        <f t="shared" si="167"/>
        <v>PLANT</v>
      </c>
      <c r="I522" s="897"/>
      <c r="J522" s="434">
        <f t="shared" si="172"/>
        <v>41002874.161230825</v>
      </c>
      <c r="K522" s="434">
        <f t="shared" si="172"/>
        <v>1657874.9158144388</v>
      </c>
      <c r="L522" s="434">
        <f t="shared" si="172"/>
        <v>25548908.109666564</v>
      </c>
      <c r="M522" s="434">
        <f t="shared" si="172"/>
        <v>8841.5746438906644</v>
      </c>
      <c r="N522" s="434">
        <f t="shared" si="172"/>
        <v>3742199.5223669829</v>
      </c>
      <c r="O522" s="434">
        <f t="shared" si="172"/>
        <v>342674.36211904453</v>
      </c>
      <c r="P522" s="434">
        <f t="shared" si="172"/>
        <v>67825.056265595907</v>
      </c>
      <c r="Q522" s="434">
        <f t="shared" si="172"/>
        <v>2651663.0307741179</v>
      </c>
      <c r="R522" s="434">
        <f t="shared" si="172"/>
        <v>41071.667057780498</v>
      </c>
      <c r="S522" s="434">
        <f t="shared" si="172"/>
        <v>203136.97006074648</v>
      </c>
      <c r="T522" s="897"/>
      <c r="U522" s="118">
        <f t="shared" si="169"/>
        <v>75267069.36999999</v>
      </c>
      <c r="V522" s="67"/>
      <c r="W522" s="67"/>
      <c r="X522" s="370">
        <f t="shared" si="159"/>
        <v>0</v>
      </c>
    </row>
    <row r="523" spans="1:24" ht="15">
      <c r="A523" s="67"/>
      <c r="B523" s="17">
        <f t="shared" si="166"/>
        <v>24</v>
      </c>
      <c r="C523" s="43">
        <v>182</v>
      </c>
      <c r="D523" s="43" t="s">
        <v>1224</v>
      </c>
      <c r="E523" s="897"/>
      <c r="F523" s="290">
        <f>' WP II-I-1.4'!G523</f>
        <v>627362.98999999999</v>
      </c>
      <c r="G523" s="358">
        <v>64</v>
      </c>
      <c r="H523" s="1" t="str">
        <f t="shared" si="174" ref="H523:H532">VLOOKUP(G523,FactorTable,2)</f>
        <v>PLANT</v>
      </c>
      <c r="I523" s="897"/>
      <c r="J523" s="434">
        <f t="shared" si="175" ref="J523:S534">$F523*HLOOKUP(J$1318,FactorTable,$G523+1)</f>
        <v>341765.47522968223</v>
      </c>
      <c r="K523" s="434">
        <f t="shared" si="175"/>
        <v>13818.651010821794</v>
      </c>
      <c r="L523" s="434">
        <f t="shared" si="175"/>
        <v>212954.21114541611</v>
      </c>
      <c r="M523" s="434">
        <f t="shared" si="175"/>
        <v>73.69593038931724</v>
      </c>
      <c r="N523" s="434">
        <f t="shared" si="175"/>
        <v>31191.827995690197</v>
      </c>
      <c r="O523" s="434">
        <f t="shared" si="175"/>
        <v>2856.2452904674119</v>
      </c>
      <c r="P523" s="434">
        <f t="shared" si="175"/>
        <v>565.33262756026011</v>
      </c>
      <c r="Q523" s="434">
        <f t="shared" si="175"/>
        <v>22102.032952567348</v>
      </c>
      <c r="R523" s="434">
        <f t="shared" si="175"/>
        <v>342.33887495988841</v>
      </c>
      <c r="S523" s="434">
        <f t="shared" si="175"/>
        <v>1693.1789424452568</v>
      </c>
      <c r="T523" s="897"/>
      <c r="U523" s="118">
        <f t="shared" si="176" ref="U523:U532">SUM(I523:T523)</f>
        <v>627362.98999999964</v>
      </c>
      <c r="V523" s="67"/>
      <c r="W523" s="67"/>
      <c r="X523" s="370"/>
    </row>
    <row r="524" spans="1:24" ht="15">
      <c r="A524" s="67"/>
      <c r="B524" s="17">
        <f t="shared" si="166"/>
        <v>25</v>
      </c>
      <c r="C524" s="43">
        <v>182</v>
      </c>
      <c r="D524" s="43" t="s">
        <v>1225</v>
      </c>
      <c r="E524" s="897"/>
      <c r="F524" s="290">
        <f>' WP II-I-1.4'!G524</f>
        <v>0</v>
      </c>
      <c r="G524" s="358">
        <v>64</v>
      </c>
      <c r="H524" s="1" t="str">
        <f t="shared" si="174"/>
        <v>PLANT</v>
      </c>
      <c r="I524" s="897"/>
      <c r="J524" s="434">
        <f t="shared" si="175"/>
        <v>0</v>
      </c>
      <c r="K524" s="434">
        <f t="shared" si="175"/>
        <v>0</v>
      </c>
      <c r="L524" s="434">
        <f t="shared" si="175"/>
        <v>0</v>
      </c>
      <c r="M524" s="434">
        <f t="shared" si="175"/>
        <v>0</v>
      </c>
      <c r="N524" s="434">
        <f t="shared" si="175"/>
        <v>0</v>
      </c>
      <c r="O524" s="434">
        <f t="shared" si="175"/>
        <v>0</v>
      </c>
      <c r="P524" s="434">
        <f t="shared" si="175"/>
        <v>0</v>
      </c>
      <c r="Q524" s="434">
        <f t="shared" si="175"/>
        <v>0</v>
      </c>
      <c r="R524" s="434">
        <f t="shared" si="175"/>
        <v>0</v>
      </c>
      <c r="S524" s="434">
        <f t="shared" si="175"/>
        <v>0</v>
      </c>
      <c r="T524" s="897"/>
      <c r="U524" s="118">
        <f t="shared" si="176"/>
        <v>0</v>
      </c>
      <c r="V524" s="67"/>
      <c r="W524" s="67"/>
      <c r="X524" s="370"/>
    </row>
    <row r="525" spans="1:24" ht="15">
      <c r="A525" s="67"/>
      <c r="B525" s="17">
        <f t="shared" si="166"/>
        <v>26</v>
      </c>
      <c r="C525" s="43">
        <v>182</v>
      </c>
      <c r="D525" s="43" t="s">
        <v>1226</v>
      </c>
      <c r="E525" s="897"/>
      <c r="F525" s="290">
        <f>' WP II-I-1.4'!G525</f>
        <v>613207.77999999933</v>
      </c>
      <c r="G525" s="358">
        <v>64</v>
      </c>
      <c r="H525" s="1" t="str">
        <f t="shared" si="174"/>
        <v>PLANT</v>
      </c>
      <c r="I525" s="897"/>
      <c r="J525" s="434">
        <f t="shared" si="175"/>
        <v>334054.21053964022</v>
      </c>
      <c r="K525" s="434">
        <f t="shared" si="175"/>
        <v>13506.86037271784</v>
      </c>
      <c r="L525" s="434">
        <f t="shared" si="175"/>
        <v>208149.31887858373</v>
      </c>
      <c r="M525" s="434">
        <f t="shared" si="175"/>
        <v>72.03312689686669</v>
      </c>
      <c r="N525" s="434">
        <f t="shared" si="175"/>
        <v>30488.045843091597</v>
      </c>
      <c r="O525" s="434">
        <f t="shared" si="175"/>
        <v>2791.7997421285163</v>
      </c>
      <c r="P525" s="434">
        <f t="shared" si="175"/>
        <v>552.57701049243212</v>
      </c>
      <c r="Q525" s="434">
        <f t="shared" si="175"/>
        <v>21603.344118738427</v>
      </c>
      <c r="R525" s="434">
        <f t="shared" si="175"/>
        <v>334.61467263449907</v>
      </c>
      <c r="S525" s="434">
        <f t="shared" si="175"/>
        <v>1654.9756950750357</v>
      </c>
      <c r="T525" s="897"/>
      <c r="U525" s="118">
        <f t="shared" si="176"/>
        <v>613207.77999999898</v>
      </c>
      <c r="V525" s="67"/>
      <c r="W525" s="67"/>
      <c r="X525" s="370"/>
    </row>
    <row r="526" spans="1:24" ht="15">
      <c r="A526" s="67"/>
      <c r="B526" s="17">
        <f t="shared" si="166"/>
        <v>27</v>
      </c>
      <c r="C526" s="43">
        <v>182</v>
      </c>
      <c r="D526" s="43" t="s">
        <v>992</v>
      </c>
      <c r="E526" s="897"/>
      <c r="F526" s="290">
        <f>' WP II-I-1.4'!G526</f>
        <v>0</v>
      </c>
      <c r="G526" s="358">
        <v>51</v>
      </c>
      <c r="H526" s="1" t="str">
        <f t="shared" si="174"/>
        <v>PLT 370</v>
      </c>
      <c r="I526" s="897"/>
      <c r="J526" s="434">
        <f t="shared" si="175"/>
        <v>0</v>
      </c>
      <c r="K526" s="434">
        <f t="shared" si="175"/>
        <v>0</v>
      </c>
      <c r="L526" s="434">
        <f t="shared" si="175"/>
        <v>0</v>
      </c>
      <c r="M526" s="434">
        <f t="shared" si="175"/>
        <v>0</v>
      </c>
      <c r="N526" s="434">
        <f t="shared" si="175"/>
        <v>0</v>
      </c>
      <c r="O526" s="434">
        <f t="shared" si="175"/>
        <v>0</v>
      </c>
      <c r="P526" s="434">
        <f t="shared" si="175"/>
        <v>0</v>
      </c>
      <c r="Q526" s="434">
        <f t="shared" si="175"/>
        <v>0</v>
      </c>
      <c r="R526" s="434">
        <f t="shared" si="175"/>
        <v>0</v>
      </c>
      <c r="S526" s="434">
        <f t="shared" si="175"/>
        <v>0</v>
      </c>
      <c r="T526" s="897"/>
      <c r="U526" s="118">
        <f t="shared" si="176"/>
        <v>0</v>
      </c>
      <c r="V526" s="67"/>
      <c r="W526" s="67"/>
      <c r="X526" s="370"/>
    </row>
    <row r="527" spans="1:24" ht="15">
      <c r="A527" s="67"/>
      <c r="B527" s="17">
        <f t="shared" si="166"/>
        <v>28</v>
      </c>
      <c r="C527" s="43">
        <v>182</v>
      </c>
      <c r="D527" s="43" t="s">
        <v>993</v>
      </c>
      <c r="E527" s="897"/>
      <c r="F527" s="290">
        <f>' WP II-I-1.4'!G527</f>
        <v>0</v>
      </c>
      <c r="G527" s="358">
        <v>51</v>
      </c>
      <c r="H527" s="1" t="str">
        <f t="shared" si="174"/>
        <v>PLT 370</v>
      </c>
      <c r="I527" s="897"/>
      <c r="J527" s="434">
        <f t="shared" si="175"/>
        <v>0</v>
      </c>
      <c r="K527" s="434">
        <f t="shared" si="175"/>
        <v>0</v>
      </c>
      <c r="L527" s="434">
        <f t="shared" si="175"/>
        <v>0</v>
      </c>
      <c r="M527" s="434">
        <f t="shared" si="175"/>
        <v>0</v>
      </c>
      <c r="N527" s="434">
        <f t="shared" si="175"/>
        <v>0</v>
      </c>
      <c r="O527" s="434">
        <f t="shared" si="175"/>
        <v>0</v>
      </c>
      <c r="P527" s="434">
        <f t="shared" si="175"/>
        <v>0</v>
      </c>
      <c r="Q527" s="434">
        <f t="shared" si="175"/>
        <v>0</v>
      </c>
      <c r="R527" s="434">
        <f t="shared" si="175"/>
        <v>0</v>
      </c>
      <c r="S527" s="434">
        <f t="shared" si="175"/>
        <v>0</v>
      </c>
      <c r="T527" s="897"/>
      <c r="U527" s="118">
        <f t="shared" si="176"/>
        <v>0</v>
      </c>
      <c r="V527" s="67"/>
      <c r="W527" s="67"/>
      <c r="X527" s="370"/>
    </row>
    <row r="528" spans="1:24" ht="15">
      <c r="A528" s="67"/>
      <c r="B528" s="17">
        <f t="shared" si="166"/>
        <v>29</v>
      </c>
      <c r="C528" s="43">
        <v>182</v>
      </c>
      <c r="D528" s="43" t="s">
        <v>140</v>
      </c>
      <c r="E528" s="897"/>
      <c r="F528" s="290">
        <f>' WP II-I-1.4'!G528</f>
        <v>0</v>
      </c>
      <c r="G528" s="358">
        <v>51</v>
      </c>
      <c r="H528" s="1" t="str">
        <f t="shared" si="174"/>
        <v>PLT 370</v>
      </c>
      <c r="I528" s="897"/>
      <c r="J528" s="434">
        <f t="shared" si="175"/>
        <v>0</v>
      </c>
      <c r="K528" s="434">
        <f t="shared" si="175"/>
        <v>0</v>
      </c>
      <c r="L528" s="434">
        <f t="shared" si="175"/>
        <v>0</v>
      </c>
      <c r="M528" s="434">
        <f t="shared" si="175"/>
        <v>0</v>
      </c>
      <c r="N528" s="434">
        <f t="shared" si="175"/>
        <v>0</v>
      </c>
      <c r="O528" s="434">
        <f t="shared" si="175"/>
        <v>0</v>
      </c>
      <c r="P528" s="434">
        <f t="shared" si="175"/>
        <v>0</v>
      </c>
      <c r="Q528" s="434">
        <f t="shared" si="175"/>
        <v>0</v>
      </c>
      <c r="R528" s="434">
        <f t="shared" si="175"/>
        <v>0</v>
      </c>
      <c r="S528" s="434">
        <f t="shared" si="175"/>
        <v>0</v>
      </c>
      <c r="T528" s="897"/>
      <c r="U528" s="118">
        <f t="shared" si="176"/>
        <v>0</v>
      </c>
      <c r="V528" s="67"/>
      <c r="W528" s="67"/>
      <c r="X528" s="370"/>
    </row>
    <row r="529" spans="1:24" ht="15">
      <c r="A529" s="67"/>
      <c r="B529" s="17">
        <f t="shared" si="166"/>
        <v>30</v>
      </c>
      <c r="C529" s="43">
        <v>182</v>
      </c>
      <c r="D529" s="43" t="s">
        <v>994</v>
      </c>
      <c r="E529" s="897"/>
      <c r="F529" s="290">
        <f>' WP II-I-1.4'!G529</f>
        <v>0</v>
      </c>
      <c r="G529" s="358">
        <v>51</v>
      </c>
      <c r="H529" s="1" t="str">
        <f t="shared" si="174"/>
        <v>PLT 370</v>
      </c>
      <c r="I529" s="897"/>
      <c r="J529" s="434">
        <f t="shared" si="175"/>
        <v>0</v>
      </c>
      <c r="K529" s="434">
        <f t="shared" si="175"/>
        <v>0</v>
      </c>
      <c r="L529" s="434">
        <f t="shared" si="175"/>
        <v>0</v>
      </c>
      <c r="M529" s="434">
        <f t="shared" si="175"/>
        <v>0</v>
      </c>
      <c r="N529" s="434">
        <f t="shared" si="175"/>
        <v>0</v>
      </c>
      <c r="O529" s="434">
        <f t="shared" si="175"/>
        <v>0</v>
      </c>
      <c r="P529" s="434">
        <f t="shared" si="175"/>
        <v>0</v>
      </c>
      <c r="Q529" s="434">
        <f t="shared" si="175"/>
        <v>0</v>
      </c>
      <c r="R529" s="434">
        <f t="shared" si="175"/>
        <v>0</v>
      </c>
      <c r="S529" s="434">
        <f t="shared" si="175"/>
        <v>0</v>
      </c>
      <c r="T529" s="897"/>
      <c r="U529" s="118">
        <f t="shared" si="176"/>
        <v>0</v>
      </c>
      <c r="V529" s="67"/>
      <c r="W529" s="67"/>
      <c r="X529" s="370"/>
    </row>
    <row r="530" spans="1:24" ht="15">
      <c r="A530" s="67"/>
      <c r="B530" s="17">
        <f t="shared" si="166"/>
        <v>31</v>
      </c>
      <c r="C530" s="43">
        <v>182</v>
      </c>
      <c r="D530" s="43" t="s">
        <v>139</v>
      </c>
      <c r="E530" s="897"/>
      <c r="F530" s="290">
        <f>' WP II-I-1.4'!G530</f>
        <v>0</v>
      </c>
      <c r="G530" s="358">
        <v>69</v>
      </c>
      <c r="H530" s="1" t="str">
        <f t="shared" si="174"/>
        <v>PLANT_xWHL</v>
      </c>
      <c r="I530" s="897"/>
      <c r="J530" s="434">
        <f t="shared" si="175"/>
        <v>0</v>
      </c>
      <c r="K530" s="434">
        <f t="shared" si="175"/>
        <v>0</v>
      </c>
      <c r="L530" s="434">
        <f t="shared" si="175"/>
        <v>0</v>
      </c>
      <c r="M530" s="434">
        <f t="shared" si="175"/>
        <v>0</v>
      </c>
      <c r="N530" s="434">
        <f t="shared" si="175"/>
        <v>0</v>
      </c>
      <c r="O530" s="434">
        <f t="shared" si="175"/>
        <v>0</v>
      </c>
      <c r="P530" s="434">
        <f t="shared" si="175"/>
        <v>0</v>
      </c>
      <c r="Q530" s="434">
        <f t="shared" si="175"/>
        <v>0</v>
      </c>
      <c r="R530" s="434">
        <f t="shared" si="175"/>
        <v>0</v>
      </c>
      <c r="S530" s="434">
        <f t="shared" si="175"/>
        <v>0</v>
      </c>
      <c r="T530" s="897"/>
      <c r="U530" s="118">
        <f t="shared" si="176"/>
        <v>0</v>
      </c>
      <c r="V530" s="67"/>
      <c r="W530" s="67"/>
      <c r="X530" s="370"/>
    </row>
    <row r="531" spans="1:24" ht="15">
      <c r="A531" s="67"/>
      <c r="B531" s="17">
        <f t="shared" si="166"/>
        <v>32</v>
      </c>
      <c r="C531" s="43">
        <v>182</v>
      </c>
      <c r="D531" s="43" t="s">
        <v>1227</v>
      </c>
      <c r="E531" s="897"/>
      <c r="F531" s="290">
        <f>' WP II-I-1.4'!G531</f>
        <v>0</v>
      </c>
      <c r="G531" s="358">
        <v>64</v>
      </c>
      <c r="H531" s="1" t="str">
        <f t="shared" si="174"/>
        <v>PLANT</v>
      </c>
      <c r="I531" s="897"/>
      <c r="J531" s="434">
        <f t="shared" si="175"/>
        <v>0</v>
      </c>
      <c r="K531" s="434">
        <f t="shared" si="175"/>
        <v>0</v>
      </c>
      <c r="L531" s="434">
        <f t="shared" si="175"/>
        <v>0</v>
      </c>
      <c r="M531" s="434">
        <f t="shared" si="175"/>
        <v>0</v>
      </c>
      <c r="N531" s="434">
        <f t="shared" si="175"/>
        <v>0</v>
      </c>
      <c r="O531" s="434">
        <f t="shared" si="175"/>
        <v>0</v>
      </c>
      <c r="P531" s="434">
        <f t="shared" si="175"/>
        <v>0</v>
      </c>
      <c r="Q531" s="434">
        <f t="shared" si="175"/>
        <v>0</v>
      </c>
      <c r="R531" s="434">
        <f t="shared" si="175"/>
        <v>0</v>
      </c>
      <c r="S531" s="434">
        <f t="shared" si="175"/>
        <v>0</v>
      </c>
      <c r="T531" s="897"/>
      <c r="U531" s="118">
        <f t="shared" si="176"/>
        <v>0</v>
      </c>
      <c r="V531" s="67"/>
      <c r="W531" s="67"/>
      <c r="X531" s="370"/>
    </row>
    <row r="532" spans="1:24" ht="15">
      <c r="A532" s="67"/>
      <c r="B532" s="17">
        <f t="shared" si="166"/>
        <v>33</v>
      </c>
      <c r="C532" s="43">
        <v>186</v>
      </c>
      <c r="D532" s="43" t="s">
        <v>1228</v>
      </c>
      <c r="E532" s="897"/>
      <c r="F532" s="290">
        <f>' WP II-I-1.4'!G532</f>
        <v>0</v>
      </c>
      <c r="G532" s="358">
        <v>88</v>
      </c>
      <c r="H532" s="1" t="str">
        <f t="shared" si="174"/>
        <v>PAYROLL</v>
      </c>
      <c r="I532" s="897"/>
      <c r="J532" s="434">
        <f t="shared" si="175"/>
        <v>0</v>
      </c>
      <c r="K532" s="434">
        <f t="shared" si="175"/>
        <v>0</v>
      </c>
      <c r="L532" s="434">
        <f t="shared" si="175"/>
        <v>0</v>
      </c>
      <c r="M532" s="434">
        <f t="shared" si="175"/>
        <v>0</v>
      </c>
      <c r="N532" s="434">
        <f t="shared" si="175"/>
        <v>0</v>
      </c>
      <c r="O532" s="434">
        <f t="shared" si="175"/>
        <v>0</v>
      </c>
      <c r="P532" s="434">
        <f t="shared" si="175"/>
        <v>0</v>
      </c>
      <c r="Q532" s="434">
        <f t="shared" si="175"/>
        <v>0</v>
      </c>
      <c r="R532" s="434">
        <f t="shared" si="175"/>
        <v>0</v>
      </c>
      <c r="S532" s="434">
        <f t="shared" si="175"/>
        <v>0</v>
      </c>
      <c r="T532" s="897"/>
      <c r="U532" s="118">
        <f t="shared" si="176"/>
        <v>0</v>
      </c>
      <c r="V532" s="67"/>
      <c r="W532" s="67"/>
      <c r="X532" s="370"/>
    </row>
    <row r="533" spans="1:24" ht="15">
      <c r="A533" s="67"/>
      <c r="B533" s="17">
        <f t="shared" si="166"/>
        <v>34</v>
      </c>
      <c r="C533" s="43">
        <v>186</v>
      </c>
      <c r="D533" s="43" t="s">
        <v>995</v>
      </c>
      <c r="E533" s="897"/>
      <c r="F533" s="290">
        <f>' WP II-I-1.4'!G533</f>
        <v>221954256.47</v>
      </c>
      <c r="G533" s="358">
        <v>64</v>
      </c>
      <c r="H533" s="1" t="str">
        <f t="shared" si="167"/>
        <v>PLANT</v>
      </c>
      <c r="I533" s="897"/>
      <c r="J533" s="434">
        <f t="shared" si="175"/>
        <v>120912937.40760882</v>
      </c>
      <c r="K533" s="434">
        <f t="shared" si="175"/>
        <v>4888889.6211830489</v>
      </c>
      <c r="L533" s="434">
        <f t="shared" si="175"/>
        <v>75340902.077975973</v>
      </c>
      <c r="M533" s="434">
        <f t="shared" si="175"/>
        <v>26072.824975578787</v>
      </c>
      <c r="N533" s="434">
        <f t="shared" si="175"/>
        <v>11035332.177825071</v>
      </c>
      <c r="O533" s="434">
        <f t="shared" si="175"/>
        <v>1010508.7642189949</v>
      </c>
      <c r="P533" s="434">
        <f t="shared" si="175"/>
        <v>200008.58356080102</v>
      </c>
      <c r="Q533" s="434">
        <f t="shared" si="175"/>
        <v>7819460.7725625066</v>
      </c>
      <c r="R533" s="434">
        <f t="shared" si="175"/>
        <v>121115.80004503984</v>
      </c>
      <c r="S533" s="434">
        <f t="shared" si="175"/>
        <v>599028.44004409295</v>
      </c>
      <c r="T533" s="897"/>
      <c r="U533" s="118">
        <f t="shared" si="169"/>
        <v>221954256.46999991</v>
      </c>
      <c r="V533" s="67"/>
      <c r="W533" s="67"/>
      <c r="X533" s="370">
        <f t="shared" si="159"/>
        <v>0</v>
      </c>
    </row>
    <row r="534" spans="1:24" ht="15">
      <c r="A534" s="67"/>
      <c r="B534" s="17">
        <f t="shared" si="166"/>
        <v>35</v>
      </c>
      <c r="C534" s="43">
        <v>186</v>
      </c>
      <c r="D534" s="43" t="s">
        <v>996</v>
      </c>
      <c r="E534" s="897"/>
      <c r="F534" s="290">
        <f>' WP II-I-1.4'!G534</f>
        <v>340803895.18000001</v>
      </c>
      <c r="G534" s="358">
        <v>64</v>
      </c>
      <c r="H534" s="65" t="str">
        <f t="shared" si="167"/>
        <v>PLANT</v>
      </c>
      <c r="I534" s="459"/>
      <c r="J534" s="435">
        <f t="shared" si="175"/>
        <v>185658075.23379648</v>
      </c>
      <c r="K534" s="435">
        <f t="shared" si="175"/>
        <v>7506738.7870953493</v>
      </c>
      <c r="L534" s="435">
        <f t="shared" si="175"/>
        <v>115683624.6482152</v>
      </c>
      <c r="M534" s="435">
        <f t="shared" si="175"/>
        <v>40034.016248860091</v>
      </c>
      <c r="N534" s="435">
        <f t="shared" si="175"/>
        <v>16944411.2071638</v>
      </c>
      <c r="O534" s="435">
        <f t="shared" si="175"/>
        <v>1551604.9497609423</v>
      </c>
      <c r="P534" s="435">
        <f t="shared" si="175"/>
        <v>307106.99326538353</v>
      </c>
      <c r="Q534" s="435">
        <f t="shared" si="175"/>
        <v>12006540.139754927</v>
      </c>
      <c r="R534" s="435">
        <f t="shared" si="175"/>
        <v>185969.56453849617</v>
      </c>
      <c r="S534" s="435">
        <f t="shared" si="175"/>
        <v>919789.64016047004</v>
      </c>
      <c r="T534" s="897"/>
      <c r="U534" s="118">
        <f t="shared" si="169"/>
        <v>340803895.17999989</v>
      </c>
      <c r="V534" s="67"/>
      <c r="W534" s="67"/>
      <c r="X534" s="370">
        <f t="shared" si="159"/>
        <v>0</v>
      </c>
    </row>
    <row r="535" spans="1:24" ht="15">
      <c r="A535" s="133"/>
      <c r="B535" s="17">
        <f t="shared" si="166"/>
        <v>36</v>
      </c>
      <c r="C535" s="36"/>
      <c r="D535" s="44" t="s">
        <v>612</v>
      </c>
      <c r="E535" s="897"/>
      <c r="F535" s="898">
        <f>SUM(F503:F534)</f>
        <v>782642852.16000009</v>
      </c>
      <c r="G535" s="897"/>
      <c r="H535" s="897"/>
      <c r="I535" s="897"/>
      <c r="J535" s="898">
        <f t="shared" si="177" ref="J535:S535">SUM(J503:J534)</f>
        <v>425742084.40403461</v>
      </c>
      <c r="K535" s="898">
        <f t="shared" si="177"/>
        <v>16492580.057066212</v>
      </c>
      <c r="L535" s="898">
        <f t="shared" si="177"/>
        <v>266917287.27823278</v>
      </c>
      <c r="M535" s="898">
        <f t="shared" si="177"/>
        <v>105293.32611098973</v>
      </c>
      <c r="N535" s="898">
        <f t="shared" si="177"/>
        <v>40951802.700477719</v>
      </c>
      <c r="O535" s="898">
        <f t="shared" si="177"/>
        <v>3867182.1357256263</v>
      </c>
      <c r="P535" s="898">
        <f t="shared" si="177"/>
        <v>633770.11406171368</v>
      </c>
      <c r="Q535" s="898">
        <f t="shared" si="177"/>
        <v>25342997.182221226</v>
      </c>
      <c r="R535" s="898">
        <f t="shared" si="177"/>
        <v>449778.35869729659</v>
      </c>
      <c r="S535" s="898">
        <f t="shared" si="177"/>
        <v>2140076.6033716495</v>
      </c>
      <c r="T535" s="897"/>
      <c r="U535" s="39">
        <f t="shared" si="169"/>
        <v>782642852.15999973</v>
      </c>
      <c r="V535" s="133"/>
      <c r="W535" s="133"/>
      <c r="X535" s="370">
        <f t="shared" si="159"/>
        <v>0</v>
      </c>
    </row>
    <row r="536" spans="1:24" ht="15">
      <c r="A536" s="67"/>
      <c r="B536" s="17">
        <f t="shared" si="166"/>
        <v>37</v>
      </c>
      <c r="C536" s="43"/>
      <c r="D536" s="44"/>
      <c r="E536" s="897"/>
      <c r="F536" s="263"/>
      <c r="G536" s="897"/>
      <c r="H536" s="897"/>
      <c r="I536" s="897"/>
      <c r="J536" s="897"/>
      <c r="K536" s="897"/>
      <c r="L536" s="897"/>
      <c r="M536" s="897"/>
      <c r="N536" s="897"/>
      <c r="O536" s="897"/>
      <c r="P536" s="897"/>
      <c r="Q536" s="897"/>
      <c r="R536" s="897"/>
      <c r="S536" s="897"/>
      <c r="T536" s="897"/>
      <c r="U536" s="118"/>
      <c r="V536" s="67"/>
      <c r="W536" s="67"/>
      <c r="X536" s="370">
        <f t="shared" si="159"/>
        <v>0</v>
      </c>
    </row>
    <row r="537" spans="1:24" ht="15">
      <c r="A537" s="67"/>
      <c r="B537" s="17">
        <f t="shared" si="166"/>
        <v>38</v>
      </c>
      <c r="C537" s="36" t="s">
        <v>141</v>
      </c>
      <c r="D537" s="43"/>
      <c r="E537" s="897"/>
      <c r="F537" s="18"/>
      <c r="G537" s="897"/>
      <c r="H537" s="897"/>
      <c r="I537" s="897"/>
      <c r="J537" s="897"/>
      <c r="K537" s="37"/>
      <c r="L537" s="37"/>
      <c r="M537" s="37"/>
      <c r="N537" s="37"/>
      <c r="O537" s="37"/>
      <c r="P537" s="37"/>
      <c r="Q537" s="37"/>
      <c r="R537" s="37"/>
      <c r="S537" s="37"/>
      <c r="T537" s="897"/>
      <c r="U537" s="118"/>
      <c r="V537" s="67"/>
      <c r="W537" s="67"/>
      <c r="X537" s="370">
        <f t="shared" si="159"/>
        <v>0</v>
      </c>
    </row>
    <row r="538" spans="1:24" ht="15">
      <c r="A538" s="67"/>
      <c r="B538" s="17">
        <f t="shared" si="166"/>
        <v>39</v>
      </c>
      <c r="C538" s="690">
        <v>254</v>
      </c>
      <c r="D538" s="691" t="s">
        <v>1367</v>
      </c>
      <c r="E538" s="43"/>
      <c r="F538" s="290">
        <f>' WP II-I-1.4'!G538</f>
        <v>0</v>
      </c>
      <c r="G538" s="358">
        <v>64</v>
      </c>
      <c r="H538" s="47" t="str">
        <f t="shared" si="178" ref="H538:H548">VLOOKUP(G538,FactorTable,2)</f>
        <v>PLANT</v>
      </c>
      <c r="I538" s="897"/>
      <c r="J538" s="434">
        <f t="shared" si="179" ref="J538:S548">$F538*HLOOKUP(J$1318,FactorTable,$G538+1)</f>
        <v>0</v>
      </c>
      <c r="K538" s="434">
        <f t="shared" si="179"/>
        <v>0</v>
      </c>
      <c r="L538" s="434">
        <f t="shared" si="179"/>
        <v>0</v>
      </c>
      <c r="M538" s="434">
        <f t="shared" si="179"/>
        <v>0</v>
      </c>
      <c r="N538" s="434">
        <f t="shared" si="179"/>
        <v>0</v>
      </c>
      <c r="O538" s="434">
        <f t="shared" si="179"/>
        <v>0</v>
      </c>
      <c r="P538" s="434">
        <f t="shared" si="179"/>
        <v>0</v>
      </c>
      <c r="Q538" s="434">
        <f t="shared" si="179"/>
        <v>0</v>
      </c>
      <c r="R538" s="434">
        <f t="shared" si="179"/>
        <v>0</v>
      </c>
      <c r="S538" s="434">
        <f t="shared" si="179"/>
        <v>0</v>
      </c>
      <c r="T538" s="897"/>
      <c r="U538" s="118">
        <f t="shared" si="180" ref="U538:U547">SUM(I538:T538)</f>
        <v>0</v>
      </c>
      <c r="V538" s="67"/>
      <c r="W538" s="67"/>
      <c r="X538" s="370">
        <f t="shared" si="159"/>
        <v>0</v>
      </c>
    </row>
    <row r="539" spans="1:24" ht="15">
      <c r="A539" s="67"/>
      <c r="B539" s="17">
        <f t="shared" si="166"/>
        <v>40</v>
      </c>
      <c r="C539" s="690" t="s">
        <v>1229</v>
      </c>
      <c r="D539" s="691" t="s">
        <v>997</v>
      </c>
      <c r="E539" s="43"/>
      <c r="F539" s="290">
        <f>' WP II-I-1.4'!G539</f>
        <v>0</v>
      </c>
      <c r="G539" s="358">
        <v>69</v>
      </c>
      <c r="H539" s="47" t="str">
        <f t="shared" si="178"/>
        <v>PLANT_xWHL</v>
      </c>
      <c r="I539" s="897"/>
      <c r="J539" s="434">
        <f t="shared" si="179"/>
        <v>0</v>
      </c>
      <c r="K539" s="434">
        <f t="shared" si="179"/>
        <v>0</v>
      </c>
      <c r="L539" s="434">
        <f t="shared" si="179"/>
        <v>0</v>
      </c>
      <c r="M539" s="434">
        <f t="shared" si="179"/>
        <v>0</v>
      </c>
      <c r="N539" s="434">
        <f t="shared" si="179"/>
        <v>0</v>
      </c>
      <c r="O539" s="434">
        <f t="shared" si="179"/>
        <v>0</v>
      </c>
      <c r="P539" s="434">
        <f t="shared" si="179"/>
        <v>0</v>
      </c>
      <c r="Q539" s="434">
        <f t="shared" si="179"/>
        <v>0</v>
      </c>
      <c r="R539" s="434">
        <f t="shared" si="179"/>
        <v>0</v>
      </c>
      <c r="S539" s="434">
        <f t="shared" si="179"/>
        <v>0</v>
      </c>
      <c r="T539" s="897"/>
      <c r="U539" s="118">
        <f t="shared" si="181" ref="U539:U541">SUM(I539:T539)</f>
        <v>0</v>
      </c>
      <c r="V539" s="67"/>
      <c r="W539" s="67"/>
      <c r="X539" s="370">
        <f t="shared" si="182" ref="X539:X541">U539-F539</f>
        <v>0</v>
      </c>
    </row>
    <row r="540" spans="1:24" ht="15">
      <c r="A540" s="67"/>
      <c r="B540" s="17">
        <f t="shared" si="166"/>
        <v>41</v>
      </c>
      <c r="C540" s="690">
        <v>254</v>
      </c>
      <c r="D540" s="691" t="s">
        <v>1368</v>
      </c>
      <c r="E540" s="43"/>
      <c r="F540" s="290">
        <f>' WP II-I-1.4'!G540</f>
        <v>-13373824.789999999</v>
      </c>
      <c r="G540" s="358">
        <v>64</v>
      </c>
      <c r="H540" s="47" t="str">
        <f t="shared" si="178"/>
        <v>PLANT</v>
      </c>
      <c r="I540" s="897"/>
      <c r="J540" s="434">
        <f t="shared" si="179"/>
        <v>-7285593.2814794425</v>
      </c>
      <c r="K540" s="434">
        <f t="shared" si="179"/>
        <v>-294579.40681659756</v>
      </c>
      <c r="L540" s="434">
        <f t="shared" si="179"/>
        <v>-4539656.2333896365</v>
      </c>
      <c r="M540" s="434">
        <f t="shared" si="179"/>
        <v>-1571.0146700919752</v>
      </c>
      <c r="N540" s="434">
        <f t="shared" si="179"/>
        <v>-664932.50182669773</v>
      </c>
      <c r="O540" s="434">
        <f t="shared" si="179"/>
        <v>-60888.073859718475</v>
      </c>
      <c r="P540" s="434">
        <f t="shared" si="179"/>
        <v>-12051.491129658834</v>
      </c>
      <c r="Q540" s="434">
        <f t="shared" si="179"/>
        <v>-471160.58951842546</v>
      </c>
      <c r="R540" s="434">
        <f t="shared" si="179"/>
        <v>-7297.8167432530017</v>
      </c>
      <c r="S540" s="434">
        <f t="shared" si="179"/>
        <v>-36094.380566472944</v>
      </c>
      <c r="T540" s="897"/>
      <c r="U540" s="118">
        <f t="shared" si="181"/>
        <v>-13373824.789999995</v>
      </c>
      <c r="V540" s="67"/>
      <c r="W540" s="67"/>
      <c r="X540" s="370">
        <f t="shared" si="182"/>
        <v>0</v>
      </c>
    </row>
    <row r="541" spans="1:24" ht="15">
      <c r="A541" s="67"/>
      <c r="B541" s="17">
        <f t="shared" si="166"/>
        <v>42</v>
      </c>
      <c r="C541" s="690">
        <v>254</v>
      </c>
      <c r="D541" s="691" t="s">
        <v>1230</v>
      </c>
      <c r="E541" s="43"/>
      <c r="F541" s="290">
        <f>' WP II-I-1.4'!G541</f>
        <v>0</v>
      </c>
      <c r="G541" s="358">
        <v>51</v>
      </c>
      <c r="H541" s="47" t="str">
        <f t="shared" si="178"/>
        <v>PLT 370</v>
      </c>
      <c r="I541" s="897"/>
      <c r="J541" s="434">
        <f t="shared" si="179"/>
        <v>0</v>
      </c>
      <c r="K541" s="434">
        <f t="shared" si="179"/>
        <v>0</v>
      </c>
      <c r="L541" s="434">
        <f t="shared" si="179"/>
        <v>0</v>
      </c>
      <c r="M541" s="434">
        <f t="shared" si="179"/>
        <v>0</v>
      </c>
      <c r="N541" s="434">
        <f t="shared" si="179"/>
        <v>0</v>
      </c>
      <c r="O541" s="434">
        <f t="shared" si="179"/>
        <v>0</v>
      </c>
      <c r="P541" s="434">
        <f t="shared" si="179"/>
        <v>0</v>
      </c>
      <c r="Q541" s="434">
        <f t="shared" si="179"/>
        <v>0</v>
      </c>
      <c r="R541" s="434">
        <f t="shared" si="179"/>
        <v>0</v>
      </c>
      <c r="S541" s="434">
        <f t="shared" si="179"/>
        <v>0</v>
      </c>
      <c r="T541" s="897"/>
      <c r="U541" s="118">
        <f t="shared" si="181"/>
        <v>0</v>
      </c>
      <c r="V541" s="67"/>
      <c r="W541" s="67"/>
      <c r="X541" s="370">
        <f t="shared" si="182"/>
        <v>0</v>
      </c>
    </row>
    <row r="542" spans="1:24" ht="15">
      <c r="A542" s="67"/>
      <c r="B542" s="17">
        <f t="shared" si="166"/>
        <v>43</v>
      </c>
      <c r="C542" s="690">
        <v>254</v>
      </c>
      <c r="D542" s="43" t="s">
        <v>1231</v>
      </c>
      <c r="E542" s="43"/>
      <c r="F542" s="290">
        <f>' WP II-I-1.4'!G542</f>
        <v>0</v>
      </c>
      <c r="G542" s="358">
        <v>64</v>
      </c>
      <c r="H542" s="47" t="str">
        <f t="shared" si="178"/>
        <v>PLANT</v>
      </c>
      <c r="I542" s="897"/>
      <c r="J542" s="434">
        <f t="shared" si="179"/>
        <v>0</v>
      </c>
      <c r="K542" s="434">
        <f t="shared" si="179"/>
        <v>0</v>
      </c>
      <c r="L542" s="434">
        <f t="shared" si="179"/>
        <v>0</v>
      </c>
      <c r="M542" s="434">
        <f t="shared" si="179"/>
        <v>0</v>
      </c>
      <c r="N542" s="434">
        <f t="shared" si="179"/>
        <v>0</v>
      </c>
      <c r="O542" s="434">
        <f t="shared" si="179"/>
        <v>0</v>
      </c>
      <c r="P542" s="434">
        <f t="shared" si="179"/>
        <v>0</v>
      </c>
      <c r="Q542" s="434">
        <f t="shared" si="179"/>
        <v>0</v>
      </c>
      <c r="R542" s="434">
        <f t="shared" si="179"/>
        <v>0</v>
      </c>
      <c r="S542" s="434">
        <f t="shared" si="179"/>
        <v>0</v>
      </c>
      <c r="T542" s="897"/>
      <c r="U542" s="118">
        <f t="shared" si="183" ref="U542">SUM(I542:T542)</f>
        <v>0</v>
      </c>
      <c r="V542" s="67"/>
      <c r="W542" s="67"/>
      <c r="X542" s="370">
        <f t="shared" si="184" ref="X542">U542-F542</f>
        <v>0</v>
      </c>
    </row>
    <row r="543" spans="1:24" ht="14.25">
      <c r="A543" s="67"/>
      <c r="B543" s="17">
        <f t="shared" si="166"/>
        <v>44</v>
      </c>
      <c r="C543" s="690">
        <v>254</v>
      </c>
      <c r="D543" s="43" t="s">
        <v>1232</v>
      </c>
      <c r="E543" s="43"/>
      <c r="F543" s="290">
        <f>' WP II-I-1.4'!G543</f>
        <v>81644.489999999743</v>
      </c>
      <c r="G543" s="358">
        <v>64</v>
      </c>
      <c r="H543" s="47" t="str">
        <f t="shared" si="178"/>
        <v>PLANT</v>
      </c>
      <c r="I543" s="263"/>
      <c r="J543" s="434">
        <f t="shared" si="179"/>
        <v>44477.070483126445</v>
      </c>
      <c r="K543" s="434">
        <f t="shared" si="179"/>
        <v>1798.3475790730438</v>
      </c>
      <c r="L543" s="434">
        <f t="shared" si="179"/>
        <v>27713.68129688326</v>
      </c>
      <c r="M543" s="434">
        <f t="shared" si="179"/>
        <v>9.5907261786534281</v>
      </c>
      <c r="N543" s="434">
        <f t="shared" si="179"/>
        <v>4059.2781682512709</v>
      </c>
      <c r="O543" s="434">
        <f t="shared" si="179"/>
        <v>371.70935132005951</v>
      </c>
      <c r="P543" s="434">
        <f t="shared" si="179"/>
        <v>73.571910988114297</v>
      </c>
      <c r="Q543" s="434">
        <f t="shared" si="179"/>
        <v>2876.3399134774422</v>
      </c>
      <c r="R543" s="434">
        <f t="shared" si="179"/>
        <v>44.551692240043948</v>
      </c>
      <c r="S543" s="434">
        <f t="shared" si="179"/>
        <v>220.34887846138631</v>
      </c>
      <c r="T543" s="263"/>
      <c r="U543" s="118">
        <f t="shared" si="180"/>
        <v>81644.489999999714</v>
      </c>
      <c r="V543" s="67"/>
      <c r="W543" s="67"/>
      <c r="X543" s="370">
        <f t="shared" si="159"/>
        <v>0</v>
      </c>
    </row>
    <row r="544" spans="1:24" ht="15">
      <c r="A544" s="67"/>
      <c r="B544" s="17">
        <f t="shared" si="166"/>
        <v>45</v>
      </c>
      <c r="C544" s="690">
        <v>254</v>
      </c>
      <c r="D544" s="43" t="s">
        <v>1233</v>
      </c>
      <c r="E544" s="43"/>
      <c r="F544" s="290">
        <f>' WP II-I-1.4'!G544</f>
        <v>2368303.2899999991</v>
      </c>
      <c r="G544" s="358">
        <v>64</v>
      </c>
      <c r="H544" s="47" t="str">
        <f t="shared" si="178"/>
        <v>PLANT</v>
      </c>
      <c r="I544" s="897"/>
      <c r="J544" s="434">
        <f t="shared" si="179"/>
        <v>1290169.0286111229</v>
      </c>
      <c r="K544" s="434">
        <f t="shared" si="179"/>
        <v>52165.583838936793</v>
      </c>
      <c r="L544" s="434">
        <f t="shared" si="179"/>
        <v>803904.86355442088</v>
      </c>
      <c r="M544" s="434">
        <f t="shared" si="179"/>
        <v>278.20307729761191</v>
      </c>
      <c r="N544" s="434">
        <f t="shared" si="179"/>
        <v>117749.54857204307</v>
      </c>
      <c r="O544" s="434">
        <f t="shared" si="179"/>
        <v>10782.362406269735</v>
      </c>
      <c r="P544" s="434">
        <f t="shared" si="179"/>
        <v>2134.1378805200293</v>
      </c>
      <c r="Q544" s="434">
        <f t="shared" si="179"/>
        <v>83435.456333268303</v>
      </c>
      <c r="R544" s="434">
        <f t="shared" si="179"/>
        <v>1292.3336199070366</v>
      </c>
      <c r="S544" s="434">
        <f t="shared" si="179"/>
        <v>6391.7721062121009</v>
      </c>
      <c r="T544" s="897"/>
      <c r="U544" s="118">
        <f t="shared" si="180"/>
        <v>2368303.2899999982</v>
      </c>
      <c r="V544" s="67"/>
      <c r="W544" s="67"/>
      <c r="X544" s="370">
        <f t="shared" si="159"/>
        <v>0</v>
      </c>
    </row>
    <row r="545" spans="1:24" ht="15">
      <c r="A545" s="67"/>
      <c r="B545" s="17">
        <f t="shared" si="166"/>
        <v>46</v>
      </c>
      <c r="C545" s="690">
        <v>254</v>
      </c>
      <c r="D545" s="43" t="s">
        <v>1234</v>
      </c>
      <c r="E545" s="43"/>
      <c r="F545" s="290">
        <f>' WP II-I-1.4'!G545</f>
        <v>0</v>
      </c>
      <c r="G545" s="358">
        <v>64</v>
      </c>
      <c r="H545" s="47" t="str">
        <f t="shared" si="178"/>
        <v>PLANT</v>
      </c>
      <c r="I545" s="897"/>
      <c r="J545" s="434">
        <f t="shared" si="179"/>
        <v>0</v>
      </c>
      <c r="K545" s="434">
        <f t="shared" si="179"/>
        <v>0</v>
      </c>
      <c r="L545" s="434">
        <f t="shared" si="179"/>
        <v>0</v>
      </c>
      <c r="M545" s="434">
        <f t="shared" si="179"/>
        <v>0</v>
      </c>
      <c r="N545" s="434">
        <f t="shared" si="179"/>
        <v>0</v>
      </c>
      <c r="O545" s="434">
        <f t="shared" si="179"/>
        <v>0</v>
      </c>
      <c r="P545" s="434">
        <f t="shared" si="179"/>
        <v>0</v>
      </c>
      <c r="Q545" s="434">
        <f t="shared" si="179"/>
        <v>0</v>
      </c>
      <c r="R545" s="434">
        <f t="shared" si="179"/>
        <v>0</v>
      </c>
      <c r="S545" s="434">
        <f t="shared" si="179"/>
        <v>0</v>
      </c>
      <c r="T545" s="897"/>
      <c r="U545" s="118">
        <f t="shared" si="180"/>
        <v>0</v>
      </c>
      <c r="V545" s="67"/>
      <c r="W545" s="67"/>
      <c r="X545" s="370">
        <f t="shared" si="159"/>
        <v>0</v>
      </c>
    </row>
    <row r="546" spans="1:24" ht="15">
      <c r="A546" s="67"/>
      <c r="B546" s="17">
        <f t="shared" si="166"/>
        <v>47</v>
      </c>
      <c r="C546" s="690">
        <v>254</v>
      </c>
      <c r="D546" s="43" t="s">
        <v>1235</v>
      </c>
      <c r="E546" s="43"/>
      <c r="F546" s="290">
        <f>' WP II-I-1.4'!G546</f>
        <v>-254178.24000000002</v>
      </c>
      <c r="G546" s="358">
        <v>64</v>
      </c>
      <c r="H546" s="47" t="str">
        <f t="shared" si="178"/>
        <v>PLANT</v>
      </c>
      <c r="I546" s="897"/>
      <c r="J546" s="434">
        <f t="shared" si="179"/>
        <v>-138467.43969809925</v>
      </c>
      <c r="K546" s="434">
        <f t="shared" si="179"/>
        <v>-5598.6732547052297</v>
      </c>
      <c r="L546" s="434">
        <f t="shared" si="179"/>
        <v>-86279.119827470626</v>
      </c>
      <c r="M546" s="434">
        <f t="shared" si="179"/>
        <v>-29.858155772815309</v>
      </c>
      <c r="N546" s="434">
        <f t="shared" si="179"/>
        <v>-12637.474745405785</v>
      </c>
      <c r="O546" s="434">
        <f t="shared" si="179"/>
        <v>-1157.2174522747916</v>
      </c>
      <c r="P546" s="434">
        <f t="shared" si="179"/>
        <v>-229.04642858808492</v>
      </c>
      <c r="Q546" s="434">
        <f t="shared" si="179"/>
        <v>-8954.7135005614091</v>
      </c>
      <c r="R546" s="434">
        <f t="shared" si="179"/>
        <v>-138.69975454064402</v>
      </c>
      <c r="S546" s="434">
        <f t="shared" si="179"/>
        <v>-685.99718258132623</v>
      </c>
      <c r="T546" s="897"/>
      <c r="U546" s="118">
        <f t="shared" si="180"/>
        <v>-254178.2399999999</v>
      </c>
      <c r="V546" s="67"/>
      <c r="W546" s="67"/>
      <c r="X546" s="370">
        <f t="shared" si="159"/>
        <v>0</v>
      </c>
    </row>
    <row r="547" spans="1:24" ht="15">
      <c r="A547" s="67"/>
      <c r="B547" s="17">
        <f t="shared" si="166"/>
        <v>48</v>
      </c>
      <c r="C547" s="690">
        <v>254</v>
      </c>
      <c r="D547" s="43" t="s">
        <v>1372</v>
      </c>
      <c r="E547" s="43"/>
      <c r="F547" s="290">
        <f>' WP II-I-1.4'!G547</f>
        <v>-23868135.579999998</v>
      </c>
      <c r="G547" s="358">
        <v>64</v>
      </c>
      <c r="H547" s="47" t="str">
        <f t="shared" si="178"/>
        <v>PLANT</v>
      </c>
      <c r="I547" s="897"/>
      <c r="J547" s="434">
        <f t="shared" si="179"/>
        <v>-13002527.769999927</v>
      </c>
      <c r="K547" s="434">
        <f t="shared" si="179"/>
        <v>-525733.01440526254</v>
      </c>
      <c r="L547" s="434">
        <f t="shared" si="179"/>
        <v>-8101880.5141035477</v>
      </c>
      <c r="M547" s="434">
        <f t="shared" si="179"/>
        <v>-2803.7746667626438</v>
      </c>
      <c r="N547" s="434">
        <f t="shared" si="179"/>
        <v>-1186698.5962770504</v>
      </c>
      <c r="O547" s="434">
        <f t="shared" si="179"/>
        <v>-108666.35572910137</v>
      </c>
      <c r="P547" s="434">
        <f t="shared" si="179"/>
        <v>-21508.17950291574</v>
      </c>
      <c r="Q547" s="434">
        <f t="shared" si="179"/>
        <v>-840875.74102116725</v>
      </c>
      <c r="R547" s="434">
        <f t="shared" si="179"/>
        <v>-13024.342863845512</v>
      </c>
      <c r="S547" s="434">
        <f t="shared" si="179"/>
        <v>-64417.291430411613</v>
      </c>
      <c r="T547" s="897"/>
      <c r="U547" s="121">
        <f t="shared" si="180"/>
        <v>-23868135.579999994</v>
      </c>
      <c r="V547" s="67"/>
      <c r="W547" s="67"/>
      <c r="X547" s="370">
        <f t="shared" si="159"/>
        <v>0</v>
      </c>
    </row>
    <row r="548" spans="1:24" ht="15">
      <c r="A548" s="133"/>
      <c r="B548" s="17">
        <f t="shared" si="166"/>
        <v>49</v>
      </c>
      <c r="C548" s="690">
        <v>257</v>
      </c>
      <c r="D548" s="691" t="s">
        <v>1236</v>
      </c>
      <c r="E548" s="37"/>
      <c r="F548" s="290">
        <f>' WP II-I-1.4'!G548</f>
        <v>0</v>
      </c>
      <c r="G548" s="1137">
        <v>64</v>
      </c>
      <c r="H548" s="47" t="str">
        <f t="shared" si="178"/>
        <v>PLANT</v>
      </c>
      <c r="J548" s="434">
        <f t="shared" si="179"/>
        <v>0</v>
      </c>
      <c r="K548" s="434">
        <f t="shared" si="179"/>
        <v>0</v>
      </c>
      <c r="L548" s="434">
        <f t="shared" si="179"/>
        <v>0</v>
      </c>
      <c r="M548" s="434">
        <f t="shared" si="179"/>
        <v>0</v>
      </c>
      <c r="N548" s="434">
        <f t="shared" si="179"/>
        <v>0</v>
      </c>
      <c r="O548" s="434">
        <f t="shared" si="179"/>
        <v>0</v>
      </c>
      <c r="P548" s="434">
        <f t="shared" si="179"/>
        <v>0</v>
      </c>
      <c r="Q548" s="434">
        <f t="shared" si="179"/>
        <v>0</v>
      </c>
      <c r="R548" s="434">
        <f t="shared" si="179"/>
        <v>0</v>
      </c>
      <c r="S548" s="434">
        <f t="shared" si="179"/>
        <v>0</v>
      </c>
      <c r="V548" s="133"/>
      <c r="W548" s="133"/>
      <c r="X548" s="370">
        <f>U550-F550</f>
        <v>0</v>
      </c>
    </row>
    <row r="549" spans="1:24" ht="15">
      <c r="A549" s="133"/>
      <c r="B549" s="17">
        <f t="shared" si="166"/>
        <v>50</v>
      </c>
      <c r="C549" s="690"/>
      <c r="D549" s="691"/>
      <c r="E549" s="897"/>
      <c r="F549" s="290"/>
      <c r="J549" s="422"/>
      <c r="K549" s="422"/>
      <c r="L549" s="422"/>
      <c r="M549" s="422"/>
      <c r="N549" s="422"/>
      <c r="O549" s="422"/>
      <c r="P549" s="422"/>
      <c r="Q549" s="422"/>
      <c r="R549" s="422"/>
      <c r="S549" s="422"/>
      <c r="V549" s="133"/>
      <c r="W549" s="133"/>
      <c r="X549" s="370"/>
    </row>
    <row r="550" spans="1:24" ht="15">
      <c r="A550" s="67"/>
      <c r="B550" s="17">
        <f t="shared" si="166"/>
        <v>51</v>
      </c>
      <c r="C550" s="43"/>
      <c r="D550" s="44" t="s">
        <v>613</v>
      </c>
      <c r="E550" s="37"/>
      <c r="F550" s="39">
        <f>SUM(F538:F547)</f>
        <v>-35046190.829999998</v>
      </c>
      <c r="G550" s="37"/>
      <c r="H550" s="37"/>
      <c r="I550" s="37"/>
      <c r="J550" s="898">
        <f t="shared" si="185" ref="J550:U550">SUM(J538:J547)</f>
        <v>-19091942.39208322</v>
      </c>
      <c r="K550" s="898">
        <f t="shared" si="185"/>
        <v>-771947.16305855545</v>
      </c>
      <c r="L550" s="898">
        <f t="shared" si="185"/>
        <v>-11896197.32246935</v>
      </c>
      <c r="M550" s="898">
        <f t="shared" si="185"/>
        <v>-4116.8536891511685</v>
      </c>
      <c r="N550" s="898">
        <f t="shared" si="185"/>
        <v>-1742459.7461088598</v>
      </c>
      <c r="O550" s="898">
        <f t="shared" si="185"/>
        <v>-159557.57528350485</v>
      </c>
      <c r="P550" s="898">
        <f t="shared" si="185"/>
        <v>-31581.007269654518</v>
      </c>
      <c r="Q550" s="898">
        <f t="shared" si="185"/>
        <v>-1234679.2477934083</v>
      </c>
      <c r="R550" s="898">
        <f t="shared" si="185"/>
        <v>-19123.974049492077</v>
      </c>
      <c r="S550" s="898">
        <f t="shared" si="185"/>
        <v>-94585.548194792398</v>
      </c>
      <c r="T550" s="898">
        <f t="shared" si="185"/>
        <v>0</v>
      </c>
      <c r="U550" s="898">
        <f t="shared" si="185"/>
        <v>-35046190.829999991</v>
      </c>
      <c r="V550" s="67"/>
      <c r="W550" s="67"/>
      <c r="X550" s="370" t="e">
        <f>#REF!-#REF!</f>
        <v>#REF!</v>
      </c>
    </row>
    <row r="551" spans="1:24" ht="15.75" thickBot="1">
      <c r="A551" s="67"/>
      <c r="B551" s="17">
        <f t="shared" si="166"/>
        <v>52</v>
      </c>
      <c r="C551" s="43"/>
      <c r="D551" s="44"/>
      <c r="E551" s="897"/>
      <c r="F551" s="898"/>
      <c r="G551" s="897"/>
      <c r="H551" s="897"/>
      <c r="I551" s="897"/>
      <c r="J551" s="898"/>
      <c r="K551" s="898"/>
      <c r="L551" s="898"/>
      <c r="M551" s="898"/>
      <c r="N551" s="898"/>
      <c r="O551" s="898"/>
      <c r="P551" s="898"/>
      <c r="Q551" s="898"/>
      <c r="R551" s="898"/>
      <c r="S551" s="898"/>
      <c r="T551" s="898"/>
      <c r="U551" s="898"/>
      <c r="V551" s="67"/>
      <c r="W551" s="67"/>
      <c r="X551" s="370"/>
    </row>
    <row r="552" spans="1:24" ht="15.75" thickBot="1">
      <c r="A552" s="40"/>
      <c r="B552" s="17">
        <f t="shared" si="166"/>
        <v>53</v>
      </c>
      <c r="C552" s="356" t="s">
        <v>614</v>
      </c>
      <c r="D552" s="278"/>
      <c r="E552" s="337" t="s">
        <v>132</v>
      </c>
      <c r="F552" s="278">
        <f>F535+F550</f>
        <v>747596661.33000004</v>
      </c>
      <c r="G552" s="337"/>
      <c r="H552" s="457"/>
      <c r="I552" s="458"/>
      <c r="J552" s="356">
        <f t="shared" si="186" ref="J552:S552">J535+J550</f>
        <v>406650142.01195139</v>
      </c>
      <c r="K552" s="278">
        <f t="shared" si="186"/>
        <v>15720632.894007657</v>
      </c>
      <c r="L552" s="279">
        <f t="shared" si="186"/>
        <v>255021089.95576343</v>
      </c>
      <c r="M552" s="356">
        <f t="shared" si="186"/>
        <v>101176.47242183855</v>
      </c>
      <c r="N552" s="278">
        <f t="shared" si="186"/>
        <v>39209342.95436886</v>
      </c>
      <c r="O552" s="278">
        <f t="shared" si="186"/>
        <v>3707624.5604421212</v>
      </c>
      <c r="P552" s="278">
        <f t="shared" si="186"/>
        <v>602189.10679205914</v>
      </c>
      <c r="Q552" s="278">
        <f t="shared" si="186"/>
        <v>24108317.934427816</v>
      </c>
      <c r="R552" s="278">
        <f t="shared" si="186"/>
        <v>430654.38464780449</v>
      </c>
      <c r="S552" s="279">
        <f t="shared" si="186"/>
        <v>2045491.0551768572</v>
      </c>
      <c r="T552" s="458"/>
      <c r="U552" s="279">
        <f>SUM(I552:T552)</f>
        <v>747596661.32999992</v>
      </c>
      <c r="V552" s="36"/>
      <c r="W552" s="36"/>
      <c r="X552" s="370">
        <f t="shared" si="159"/>
        <v>0</v>
      </c>
    </row>
    <row r="553" spans="1:24" ht="15">
      <c r="A553" s="67"/>
      <c r="B553" s="17"/>
      <c r="C553" s="43"/>
      <c r="D553" s="44"/>
      <c r="E553" s="37"/>
      <c r="F553" s="263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118"/>
      <c r="V553" s="67"/>
      <c r="W553" s="67"/>
      <c r="X553" s="370">
        <f t="shared" si="187" ref="X553:X618">U553-F553</f>
        <v>0</v>
      </c>
    </row>
    <row r="554" spans="1:24" ht="15">
      <c r="A554" s="67"/>
      <c r="B554" s="17"/>
      <c r="C554" s="43"/>
      <c r="D554" s="44"/>
      <c r="E554" s="37"/>
      <c r="F554" s="263"/>
      <c r="G554" s="37"/>
      <c r="H554" s="134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134"/>
      <c r="V554" s="134">
        <f>$H$2</f>
        <v>0</v>
      </c>
      <c r="W554" s="134"/>
      <c r="X554" s="370"/>
    </row>
    <row r="555" spans="1:24" ht="15.75" thickBot="1">
      <c r="A555" s="67"/>
      <c r="B555" s="17"/>
      <c r="C555" s="43"/>
      <c r="D555" s="44"/>
      <c r="E555" s="37"/>
      <c r="F555" s="26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118"/>
      <c r="V555" s="67"/>
      <c r="W555" s="67"/>
      <c r="X555" s="370">
        <f t="shared" si="187"/>
        <v>0</v>
      </c>
    </row>
    <row r="556" spans="1:24" ht="15">
      <c r="A556" s="67"/>
      <c r="B556" s="920" t="str">
        <f>+$B$4</f>
        <v>2022 RATE CASE</v>
      </c>
      <c r="C556" s="935"/>
      <c r="D556" s="969"/>
      <c r="F556" s="332"/>
      <c r="U556" s="134"/>
      <c r="X556" s="370">
        <f t="shared" si="187"/>
        <v>0</v>
      </c>
    </row>
    <row r="557" spans="1:24" ht="15">
      <c r="A557" s="67"/>
      <c r="B557" s="917" t="str">
        <f>+$B$5</f>
        <v>ONCOR ELECTRIC DELIVERY COMPANY LLC</v>
      </c>
      <c r="C557" s="8"/>
      <c r="D557" s="970"/>
      <c r="F557" s="332"/>
      <c r="U557" s="134"/>
      <c r="V557" s="67"/>
      <c r="W557" s="67"/>
      <c r="X557" s="370">
        <f t="shared" si="187"/>
        <v>0</v>
      </c>
    </row>
    <row r="558" spans="1:24" ht="15">
      <c r="A558" s="67"/>
      <c r="B558" s="917" t="str">
        <f>+$B$6</f>
        <v>II-I-1-DIST:  CLASS REVENUE REQUIREMENT</v>
      </c>
      <c r="C558" s="85"/>
      <c r="D558" s="970"/>
      <c r="F558" s="332"/>
      <c r="U558" s="332"/>
      <c r="V558" s="67"/>
      <c r="W558" s="67"/>
      <c r="X558" s="370">
        <f t="shared" si="187"/>
        <v>0</v>
      </c>
    </row>
    <row r="559" spans="1:24" ht="15">
      <c r="A559" s="67"/>
      <c r="B559" s="406" t="str">
        <f>+$B$7</f>
        <v>TEST YEAR ENDING 12/31/2021</v>
      </c>
      <c r="C559" s="85"/>
      <c r="D559" s="970"/>
      <c r="F559" s="332"/>
      <c r="U559" s="332"/>
      <c r="V559" s="67"/>
      <c r="W559" s="67"/>
      <c r="X559" s="370">
        <f t="shared" si="187"/>
        <v>0</v>
      </c>
    </row>
    <row r="560" spans="1:24" ht="15">
      <c r="A560" s="67"/>
      <c r="B560" s="406" t="str">
        <f>+$B$8</f>
        <v>SPONSOR:  MATTHEW A. TROXLE</v>
      </c>
      <c r="C560" s="85"/>
      <c r="D560" s="970"/>
      <c r="F560" s="332"/>
      <c r="U560" s="332"/>
      <c r="V560" s="67"/>
      <c r="W560" s="67"/>
      <c r="X560" s="370">
        <f t="shared" si="187"/>
        <v>0</v>
      </c>
    </row>
    <row r="561" spans="1:24" ht="15.75" thickBot="1">
      <c r="A561" s="67"/>
      <c r="B561" s="410"/>
      <c r="C561" s="934"/>
      <c r="D561" s="936"/>
      <c r="F561" s="332"/>
      <c r="U561" s="332"/>
      <c r="V561" s="67"/>
      <c r="W561" s="67"/>
      <c r="X561" s="370">
        <f t="shared" si="187"/>
        <v>0</v>
      </c>
    </row>
    <row r="562" spans="1:24" ht="15" thickBot="1">
      <c r="A562" s="67"/>
      <c r="B562" s="13"/>
      <c r="C562" s="14"/>
      <c r="D562" s="14"/>
      <c r="E562" s="14"/>
      <c r="F562" s="13"/>
      <c r="G562" s="14"/>
      <c r="H562" s="14"/>
      <c r="I562" s="14"/>
      <c r="J562" s="238"/>
      <c r="K562" s="238"/>
      <c r="L562" s="14"/>
      <c r="M562" s="238"/>
      <c r="N562" s="238"/>
      <c r="O562" s="238"/>
      <c r="P562" s="238"/>
      <c r="Q562" s="14"/>
      <c r="R562" s="393" t="str">
        <f>R$10</f>
        <v xml:space="preserve"> </v>
      </c>
      <c r="S562" s="394"/>
      <c r="T562" s="238"/>
      <c r="U562" s="13"/>
      <c r="V562" s="67"/>
      <c r="W562" s="67"/>
      <c r="X562" s="370">
        <f t="shared" si="187"/>
        <v>0</v>
      </c>
    </row>
    <row r="563" spans="1:24" ht="15">
      <c r="A563" s="67"/>
      <c r="B563" s="15" t="s">
        <v>2</v>
      </c>
      <c r="C563" s="15" t="s">
        <v>370</v>
      </c>
      <c r="D563" s="287" t="s">
        <v>615</v>
      </c>
      <c r="E563" s="15" t="s">
        <v>371</v>
      </c>
      <c r="F563" s="287" t="str">
        <f>F$11</f>
        <v>DIST</v>
      </c>
      <c r="G563" s="242" t="s">
        <v>741</v>
      </c>
      <c r="H563" s="242" t="s">
        <v>376</v>
      </c>
      <c r="I563" s="15"/>
      <c r="J563" s="242" t="s">
        <v>730</v>
      </c>
      <c r="K563" s="242" t="s">
        <v>409</v>
      </c>
      <c r="L563" s="15" t="s">
        <v>409</v>
      </c>
      <c r="M563" s="242" t="s">
        <v>410</v>
      </c>
      <c r="N563" s="242" t="s">
        <v>410</v>
      </c>
      <c r="O563" s="242" t="s">
        <v>410</v>
      </c>
      <c r="P563" s="242" t="s">
        <v>411</v>
      </c>
      <c r="Q563" s="15" t="s">
        <v>412</v>
      </c>
      <c r="R563" s="396" t="str">
        <f>R$11</f>
        <v>Wholesale</v>
      </c>
      <c r="S563" s="13" t="str">
        <f>S$11</f>
        <v>Wholesale</v>
      </c>
      <c r="T563" s="242"/>
      <c r="U563" s="15" t="s">
        <v>10</v>
      </c>
      <c r="V563" s="67"/>
      <c r="W563" s="67"/>
      <c r="X563" s="370"/>
    </row>
    <row r="564" spans="1:24" ht="14.25">
      <c r="A564" s="67"/>
      <c r="B564" s="15"/>
      <c r="C564" s="15"/>
      <c r="D564" s="15"/>
      <c r="E564" s="15"/>
      <c r="F564" s="15"/>
      <c r="G564" s="242" t="s">
        <v>742</v>
      </c>
      <c r="H564" s="242" t="s">
        <v>743</v>
      </c>
      <c r="I564" s="15"/>
      <c r="J564" s="242"/>
      <c r="K564" s="242" t="s">
        <v>731</v>
      </c>
      <c r="L564" s="15" t="s">
        <v>732</v>
      </c>
      <c r="M564" s="242" t="s">
        <v>731</v>
      </c>
      <c r="N564" s="242" t="s">
        <v>732</v>
      </c>
      <c r="O564" s="242" t="s">
        <v>414</v>
      </c>
      <c r="P564" s="242"/>
      <c r="Q564" s="15"/>
      <c r="R564" s="235" t="str">
        <f>R$12</f>
        <v>XFMR</v>
      </c>
      <c r="S564" s="15" t="str">
        <f>S$12</f>
        <v>DLS</v>
      </c>
      <c r="T564" s="242"/>
      <c r="U564" s="15"/>
      <c r="V564" s="67"/>
      <c r="W564" s="67"/>
      <c r="X564" s="370">
        <f t="shared" si="187"/>
        <v>0</v>
      </c>
    </row>
    <row r="565" spans="1:24" ht="15" thickBot="1">
      <c r="A565" s="67"/>
      <c r="B565" s="16"/>
      <c r="C565" s="16"/>
      <c r="D565" s="16"/>
      <c r="E565" s="16"/>
      <c r="F565" s="16" t="s">
        <v>13</v>
      </c>
      <c r="G565" s="16" t="s">
        <v>14</v>
      </c>
      <c r="H565" s="16" t="s">
        <v>15</v>
      </c>
      <c r="I565" s="16"/>
      <c r="J565" s="243" t="str">
        <f t="shared" si="188" ref="J565:S565">J$13</f>
        <v>(d)</v>
      </c>
      <c r="K565" s="243" t="str">
        <f t="shared" si="188"/>
        <v>(e)</v>
      </c>
      <c r="L565" s="16" t="str">
        <f t="shared" si="188"/>
        <v>(f)</v>
      </c>
      <c r="M565" s="243" t="str">
        <f t="shared" si="188"/>
        <v>(g)</v>
      </c>
      <c r="N565" s="243" t="str">
        <f t="shared" si="188"/>
        <v>(h)</v>
      </c>
      <c r="O565" s="243" t="str">
        <f t="shared" si="188"/>
        <v>(i)</v>
      </c>
      <c r="P565" s="243" t="str">
        <f t="shared" si="188"/>
        <v>(j)</v>
      </c>
      <c r="Q565" s="243" t="str">
        <f t="shared" si="188"/>
        <v>(k)</v>
      </c>
      <c r="R565" s="243" t="str">
        <f t="shared" si="188"/>
        <v>(l)</v>
      </c>
      <c r="S565" s="16" t="str">
        <f t="shared" si="188"/>
        <v>(m)</v>
      </c>
      <c r="T565" s="16"/>
      <c r="U565" s="16" t="s">
        <v>734</v>
      </c>
      <c r="V565" s="67"/>
      <c r="W565" s="67"/>
      <c r="X565" s="370"/>
    </row>
    <row r="566" spans="1:24" ht="14.25">
      <c r="A566" s="67"/>
      <c r="B566" s="67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43"/>
      <c r="V566" s="67"/>
      <c r="W566" s="67"/>
      <c r="X566" s="370">
        <f t="shared" si="187"/>
        <v>0</v>
      </c>
    </row>
    <row r="567" spans="1:24" ht="15">
      <c r="A567" s="40"/>
      <c r="B567" s="17">
        <f>B553+1</f>
        <v>1</v>
      </c>
      <c r="C567" s="36" t="s">
        <v>146</v>
      </c>
      <c r="D567" s="43"/>
      <c r="E567" s="897" t="s">
        <v>132</v>
      </c>
      <c r="F567" s="346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43"/>
      <c r="V567" s="43"/>
      <c r="W567" s="43"/>
      <c r="X567" s="370">
        <f t="shared" si="187"/>
        <v>0</v>
      </c>
    </row>
    <row r="568" spans="1:24" ht="14.25">
      <c r="A568" s="40"/>
      <c r="B568" s="17">
        <f t="shared" si="189" ref="B568:B599">B567+1</f>
        <v>2</v>
      </c>
      <c r="C568" s="43">
        <v>182</v>
      </c>
      <c r="D568" s="43" t="s">
        <v>147</v>
      </c>
      <c r="E568" s="358"/>
      <c r="F568" s="118">
        <f>' WP II-I-1.4'!G568</f>
        <v>0</v>
      </c>
      <c r="G568" s="358">
        <v>64</v>
      </c>
      <c r="H568" s="47" t="str">
        <f t="shared" si="190" ref="H568:H573">VLOOKUP(G568,FactorTable,2)</f>
        <v>PLANT</v>
      </c>
      <c r="I568" s="358"/>
      <c r="J568" s="434">
        <f t="shared" si="191" ref="J568:S573">$F568*HLOOKUP(J$1318,FactorTable,$G568+1)</f>
        <v>0</v>
      </c>
      <c r="K568" s="434">
        <f t="shared" si="191"/>
        <v>0</v>
      </c>
      <c r="L568" s="434">
        <f t="shared" si="191"/>
        <v>0</v>
      </c>
      <c r="M568" s="434">
        <f t="shared" si="191"/>
        <v>0</v>
      </c>
      <c r="N568" s="434">
        <f t="shared" si="191"/>
        <v>0</v>
      </c>
      <c r="O568" s="434">
        <f t="shared" si="191"/>
        <v>0</v>
      </c>
      <c r="P568" s="434">
        <f t="shared" si="191"/>
        <v>0</v>
      </c>
      <c r="Q568" s="434">
        <f t="shared" si="191"/>
        <v>0</v>
      </c>
      <c r="R568" s="434">
        <f t="shared" si="191"/>
        <v>0</v>
      </c>
      <c r="S568" s="434">
        <f t="shared" si="191"/>
        <v>0</v>
      </c>
      <c r="T568" s="358"/>
      <c r="U568" s="121">
        <f t="shared" si="192" ref="U568:U574">SUM(I568:T568)</f>
        <v>0</v>
      </c>
      <c r="V568" s="43"/>
      <c r="W568" s="43"/>
      <c r="X568" s="370">
        <f t="shared" si="187"/>
        <v>0</v>
      </c>
    </row>
    <row r="569" spans="1:24" ht="14.25">
      <c r="A569" s="40"/>
      <c r="B569" s="17">
        <f t="shared" si="189"/>
        <v>3</v>
      </c>
      <c r="C569" s="43">
        <v>182</v>
      </c>
      <c r="D569" s="43" t="s">
        <v>148</v>
      </c>
      <c r="E569" s="358"/>
      <c r="F569" s="118">
        <f>' WP II-I-1.4'!G569</f>
        <v>0</v>
      </c>
      <c r="G569" s="358">
        <v>64</v>
      </c>
      <c r="H569" s="47" t="str">
        <f t="shared" si="190"/>
        <v>PLANT</v>
      </c>
      <c r="I569" s="358"/>
      <c r="J569" s="434">
        <f t="shared" si="191"/>
        <v>0</v>
      </c>
      <c r="K569" s="434">
        <f t="shared" si="191"/>
        <v>0</v>
      </c>
      <c r="L569" s="434">
        <f t="shared" si="191"/>
        <v>0</v>
      </c>
      <c r="M569" s="434">
        <f t="shared" si="191"/>
        <v>0</v>
      </c>
      <c r="N569" s="434">
        <f t="shared" si="191"/>
        <v>0</v>
      </c>
      <c r="O569" s="434">
        <f t="shared" si="191"/>
        <v>0</v>
      </c>
      <c r="P569" s="434">
        <f t="shared" si="191"/>
        <v>0</v>
      </c>
      <c r="Q569" s="434">
        <f t="shared" si="191"/>
        <v>0</v>
      </c>
      <c r="R569" s="434">
        <f t="shared" si="191"/>
        <v>0</v>
      </c>
      <c r="S569" s="434">
        <f t="shared" si="191"/>
        <v>0</v>
      </c>
      <c r="T569" s="358"/>
      <c r="U569" s="121">
        <f t="shared" si="192"/>
        <v>0</v>
      </c>
      <c r="V569" s="43"/>
      <c r="W569" s="43"/>
      <c r="X569" s="370">
        <f t="shared" si="187"/>
        <v>0</v>
      </c>
    </row>
    <row r="570" spans="1:24" ht="14.25">
      <c r="A570" s="40"/>
      <c r="B570" s="17">
        <f>B569+1</f>
        <v>4</v>
      </c>
      <c r="C570" s="43">
        <v>182</v>
      </c>
      <c r="D570" s="43" t="s">
        <v>149</v>
      </c>
      <c r="E570" s="358"/>
      <c r="F570" s="118">
        <f>' WP II-I-1.4'!G570</f>
        <v>0</v>
      </c>
      <c r="G570" s="358">
        <v>37</v>
      </c>
      <c r="H570" s="47" t="str">
        <f t="shared" si="190"/>
        <v>OPEB TOTAL</v>
      </c>
      <c r="I570" s="358"/>
      <c r="J570" s="434">
        <f t="shared" si="191"/>
        <v>0</v>
      </c>
      <c r="K570" s="434">
        <f t="shared" si="191"/>
        <v>0</v>
      </c>
      <c r="L570" s="434">
        <f t="shared" si="191"/>
        <v>0</v>
      </c>
      <c r="M570" s="434">
        <f t="shared" si="191"/>
        <v>0</v>
      </c>
      <c r="N570" s="434">
        <f t="shared" si="191"/>
        <v>0</v>
      </c>
      <c r="O570" s="434">
        <f t="shared" si="191"/>
        <v>0</v>
      </c>
      <c r="P570" s="434">
        <f t="shared" si="191"/>
        <v>0</v>
      </c>
      <c r="Q570" s="434">
        <f t="shared" si="191"/>
        <v>0</v>
      </c>
      <c r="R570" s="434">
        <f t="shared" si="191"/>
        <v>0</v>
      </c>
      <c r="S570" s="434">
        <f t="shared" si="191"/>
        <v>0</v>
      </c>
      <c r="T570" s="358"/>
      <c r="U570" s="121">
        <f t="shared" si="192"/>
        <v>0</v>
      </c>
      <c r="V570" s="43"/>
      <c r="W570" s="43"/>
      <c r="X570" s="370">
        <f t="shared" si="187"/>
        <v>0</v>
      </c>
    </row>
    <row r="571" spans="1:24" ht="14.25">
      <c r="A571" s="40"/>
      <c r="B571" s="17">
        <f t="shared" si="189"/>
        <v>5</v>
      </c>
      <c r="C571" s="43">
        <v>182</v>
      </c>
      <c r="D571" s="43" t="s">
        <v>150</v>
      </c>
      <c r="E571" s="358"/>
      <c r="F571" s="118">
        <f>' WP II-I-1.4'!G571</f>
        <v>0</v>
      </c>
      <c r="G571" s="358">
        <v>64</v>
      </c>
      <c r="H571" s="47" t="str">
        <f t="shared" si="190"/>
        <v>PLANT</v>
      </c>
      <c r="I571" s="358"/>
      <c r="J571" s="434">
        <f t="shared" si="191"/>
        <v>0</v>
      </c>
      <c r="K571" s="434">
        <f t="shared" si="191"/>
        <v>0</v>
      </c>
      <c r="L571" s="434">
        <f t="shared" si="191"/>
        <v>0</v>
      </c>
      <c r="M571" s="434">
        <f t="shared" si="191"/>
        <v>0</v>
      </c>
      <c r="N571" s="434">
        <f t="shared" si="191"/>
        <v>0</v>
      </c>
      <c r="O571" s="434">
        <f t="shared" si="191"/>
        <v>0</v>
      </c>
      <c r="P571" s="434">
        <f t="shared" si="191"/>
        <v>0</v>
      </c>
      <c r="Q571" s="434">
        <f t="shared" si="191"/>
        <v>0</v>
      </c>
      <c r="R571" s="434">
        <f t="shared" si="191"/>
        <v>0</v>
      </c>
      <c r="S571" s="434">
        <f t="shared" si="191"/>
        <v>0</v>
      </c>
      <c r="T571" s="358"/>
      <c r="U571" s="121">
        <f t="shared" si="192"/>
        <v>0</v>
      </c>
      <c r="V571" s="43"/>
      <c r="W571" s="43"/>
      <c r="X571" s="370">
        <f t="shared" si="187"/>
        <v>0</v>
      </c>
    </row>
    <row r="572" spans="1:24" ht="14.25">
      <c r="A572" s="40"/>
      <c r="B572" s="17">
        <f t="shared" si="189"/>
        <v>6</v>
      </c>
      <c r="C572" s="43">
        <v>182</v>
      </c>
      <c r="D572" s="43" t="s">
        <v>1237</v>
      </c>
      <c r="E572" s="358"/>
      <c r="F572" s="118">
        <f>' WP II-I-1.4'!G572</f>
        <v>56462358.469999991</v>
      </c>
      <c r="G572" s="358">
        <v>64</v>
      </c>
      <c r="H572" s="47" t="str">
        <f t="shared" si="190"/>
        <v>PLANT</v>
      </c>
      <c r="I572" s="358"/>
      <c r="J572" s="434">
        <f t="shared" si="191"/>
        <v>30758723.550281826</v>
      </c>
      <c r="K572" s="434">
        <f t="shared" si="191"/>
        <v>1243671.7488624055</v>
      </c>
      <c r="L572" s="434">
        <f t="shared" si="191"/>
        <v>19165773.56179164</v>
      </c>
      <c r="M572" s="434">
        <f t="shared" si="191"/>
        <v>6632.5972455305273</v>
      </c>
      <c r="N572" s="434">
        <f t="shared" si="191"/>
        <v>2807249.0754152411</v>
      </c>
      <c r="O572" s="434">
        <f t="shared" si="191"/>
        <v>257060.66191220537</v>
      </c>
      <c r="P572" s="434">
        <f t="shared" si="191"/>
        <v>50879.656563888806</v>
      </c>
      <c r="Q572" s="434">
        <f t="shared" si="191"/>
        <v>1989172.0222189229</v>
      </c>
      <c r="R572" s="434">
        <f t="shared" si="191"/>
        <v>30810.32924208953</v>
      </c>
      <c r="S572" s="434">
        <f t="shared" si="191"/>
        <v>152385.26646622806</v>
      </c>
      <c r="T572" s="358"/>
      <c r="U572" s="121">
        <f t="shared" si="192"/>
        <v>56462358.469999962</v>
      </c>
      <c r="V572" s="43"/>
      <c r="W572" s="43"/>
      <c r="X572" s="370">
        <f t="shared" si="187"/>
        <v>0</v>
      </c>
    </row>
    <row r="573" spans="1:24" ht="14.25">
      <c r="A573" s="40"/>
      <c r="B573" s="17">
        <f t="shared" si="189"/>
        <v>7</v>
      </c>
      <c r="C573" s="43">
        <v>182</v>
      </c>
      <c r="D573" s="43" t="s">
        <v>1238</v>
      </c>
      <c r="E573" s="358"/>
      <c r="F573" s="118">
        <f>' WP II-I-1.4'!G573</f>
        <v>0</v>
      </c>
      <c r="G573" s="358">
        <v>64</v>
      </c>
      <c r="H573" s="47" t="str">
        <f t="shared" si="190"/>
        <v>PLANT</v>
      </c>
      <c r="I573" s="358"/>
      <c r="J573" s="435">
        <f t="shared" si="191"/>
        <v>0</v>
      </c>
      <c r="K573" s="435">
        <f t="shared" si="191"/>
        <v>0</v>
      </c>
      <c r="L573" s="435">
        <f t="shared" si="191"/>
        <v>0</v>
      </c>
      <c r="M573" s="435">
        <f t="shared" si="191"/>
        <v>0</v>
      </c>
      <c r="N573" s="435">
        <f t="shared" si="191"/>
        <v>0</v>
      </c>
      <c r="O573" s="435">
        <f t="shared" si="191"/>
        <v>0</v>
      </c>
      <c r="P573" s="435">
        <f t="shared" si="191"/>
        <v>0</v>
      </c>
      <c r="Q573" s="435">
        <f t="shared" si="191"/>
        <v>0</v>
      </c>
      <c r="R573" s="435">
        <f t="shared" si="191"/>
        <v>0</v>
      </c>
      <c r="S573" s="435">
        <f t="shared" si="191"/>
        <v>0</v>
      </c>
      <c r="T573" s="358"/>
      <c r="U573" s="121">
        <f t="shared" si="192"/>
        <v>0</v>
      </c>
      <c r="V573" s="43"/>
      <c r="W573" s="43"/>
      <c r="X573" s="370">
        <f t="shared" si="187"/>
        <v>0</v>
      </c>
    </row>
    <row r="574" spans="1:24" ht="15">
      <c r="A574" s="38"/>
      <c r="B574" s="17">
        <f t="shared" si="189"/>
        <v>8</v>
      </c>
      <c r="C574" s="35"/>
      <c r="D574" s="44" t="s">
        <v>616</v>
      </c>
      <c r="E574" s="37"/>
      <c r="F574" s="21">
        <f>SUM(F568:F573)</f>
        <v>56462358.469999991</v>
      </c>
      <c r="G574" s="37"/>
      <c r="H574" s="37"/>
      <c r="I574" s="897"/>
      <c r="J574" s="895">
        <f t="shared" si="193" ref="J574:Q574">SUM(J568:J573)</f>
        <v>30758723.550281826</v>
      </c>
      <c r="K574" s="895">
        <f t="shared" si="193"/>
        <v>1243671.7488624055</v>
      </c>
      <c r="L574" s="895">
        <f t="shared" si="193"/>
        <v>19165773.56179164</v>
      </c>
      <c r="M574" s="895">
        <f t="shared" si="193"/>
        <v>6632.5972455305273</v>
      </c>
      <c r="N574" s="895">
        <f t="shared" si="193"/>
        <v>2807249.0754152411</v>
      </c>
      <c r="O574" s="895">
        <f>SUM(O568:O573)</f>
        <v>257060.66191220537</v>
      </c>
      <c r="P574" s="895">
        <f t="shared" si="193"/>
        <v>50879.656563888806</v>
      </c>
      <c r="Q574" s="895">
        <f t="shared" si="193"/>
        <v>1989172.0222189229</v>
      </c>
      <c r="R574" s="895">
        <f>SUM(R568:R573)</f>
        <v>30810.32924208953</v>
      </c>
      <c r="S574" s="895">
        <f>SUM(S568:S573)</f>
        <v>152385.26646622806</v>
      </c>
      <c r="T574" s="897"/>
      <c r="U574" s="121">
        <f t="shared" si="192"/>
        <v>56462358.469999962</v>
      </c>
      <c r="V574" s="36"/>
      <c r="W574" s="36"/>
      <c r="X574" s="370">
        <f t="shared" si="187"/>
        <v>0</v>
      </c>
    </row>
    <row r="575" spans="1:24" ht="15">
      <c r="A575" s="38"/>
      <c r="B575" s="17">
        <f t="shared" si="189"/>
        <v>9</v>
      </c>
      <c r="C575" s="35"/>
      <c r="D575" s="44"/>
      <c r="E575" s="37"/>
      <c r="F575" s="21"/>
      <c r="G575" s="37"/>
      <c r="H575" s="37"/>
      <c r="I575" s="37"/>
      <c r="J575" s="897"/>
      <c r="K575" s="897"/>
      <c r="L575" s="897"/>
      <c r="M575" s="897"/>
      <c r="N575" s="897"/>
      <c r="O575" s="897"/>
      <c r="P575" s="897"/>
      <c r="Q575" s="897"/>
      <c r="R575" s="897"/>
      <c r="S575" s="897"/>
      <c r="T575" s="37"/>
      <c r="U575" s="118"/>
      <c r="V575" s="36"/>
      <c r="W575" s="36"/>
      <c r="X575" s="370">
        <f t="shared" si="187"/>
        <v>0</v>
      </c>
    </row>
    <row r="576" spans="1:24" ht="15">
      <c r="A576" s="40"/>
      <c r="B576" s="17">
        <f t="shared" si="189"/>
        <v>10</v>
      </c>
      <c r="C576" s="36" t="s">
        <v>153</v>
      </c>
      <c r="D576" s="43"/>
      <c r="E576" s="897" t="s">
        <v>132</v>
      </c>
      <c r="F576" s="263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263"/>
      <c r="V576" s="43"/>
      <c r="W576" s="43"/>
      <c r="X576" s="370">
        <f t="shared" si="187"/>
        <v>0</v>
      </c>
    </row>
    <row r="577" spans="1:24" ht="14.25">
      <c r="A577" s="40"/>
      <c r="B577" s="17">
        <f t="shared" si="189"/>
        <v>11</v>
      </c>
      <c r="C577" s="43">
        <v>254</v>
      </c>
      <c r="D577" s="43" t="s">
        <v>154</v>
      </c>
      <c r="E577" s="358"/>
      <c r="F577" s="118">
        <f>' WP II-I-1.4'!G577</f>
        <v>0</v>
      </c>
      <c r="G577" s="358">
        <v>64</v>
      </c>
      <c r="H577" s="47" t="str">
        <f t="shared" si="194" ref="H577:H586">VLOOKUP(G577,FactorTable,2)</f>
        <v>PLANT</v>
      </c>
      <c r="I577" s="358"/>
      <c r="J577" s="434">
        <f t="shared" si="195" ref="J577:S586">$F577*HLOOKUP(J$1318,FactorTable,$G577+1)</f>
        <v>0</v>
      </c>
      <c r="K577" s="434">
        <f t="shared" si="195"/>
        <v>0</v>
      </c>
      <c r="L577" s="434">
        <f t="shared" si="195"/>
        <v>0</v>
      </c>
      <c r="M577" s="434">
        <f t="shared" si="195"/>
        <v>0</v>
      </c>
      <c r="N577" s="434">
        <f t="shared" si="195"/>
        <v>0</v>
      </c>
      <c r="O577" s="434">
        <f t="shared" si="195"/>
        <v>0</v>
      </c>
      <c r="P577" s="434">
        <f t="shared" si="195"/>
        <v>0</v>
      </c>
      <c r="Q577" s="434">
        <f t="shared" si="195"/>
        <v>0</v>
      </c>
      <c r="R577" s="434">
        <f t="shared" si="195"/>
        <v>0</v>
      </c>
      <c r="S577" s="434">
        <f t="shared" si="195"/>
        <v>0</v>
      </c>
      <c r="T577" s="358"/>
      <c r="U577" s="118">
        <f t="shared" si="196" ref="U577:U587">SUM(I577:T577)</f>
        <v>0</v>
      </c>
      <c r="V577" s="43"/>
      <c r="W577" s="43"/>
      <c r="X577" s="370">
        <f t="shared" si="187"/>
        <v>0</v>
      </c>
    </row>
    <row r="578" spans="1:24" ht="14.25">
      <c r="A578" s="40"/>
      <c r="B578" s="17">
        <f t="shared" si="189"/>
        <v>12</v>
      </c>
      <c r="C578" s="43">
        <v>254</v>
      </c>
      <c r="D578" s="43" t="s">
        <v>1239</v>
      </c>
      <c r="E578" s="358"/>
      <c r="F578" s="118">
        <f>' WP II-I-1.4'!G578</f>
        <v>-67515629.090000004</v>
      </c>
      <c r="G578" s="358">
        <v>64</v>
      </c>
      <c r="H578" s="47" t="str">
        <f t="shared" si="194"/>
        <v>PLANT</v>
      </c>
      <c r="I578" s="358"/>
      <c r="J578" s="434">
        <f t="shared" si="195"/>
        <v>-36780159.858290032</v>
      </c>
      <c r="K578" s="434">
        <f t="shared" si="195"/>
        <v>-1487137.3208846729</v>
      </c>
      <c r="L578" s="434">
        <f t="shared" si="195"/>
        <v>-22917733.05410869</v>
      </c>
      <c r="M578" s="434">
        <f t="shared" si="195"/>
        <v>-7931.0178970034594</v>
      </c>
      <c r="N578" s="434">
        <f t="shared" si="195"/>
        <v>-3356806.0646932609</v>
      </c>
      <c r="O578" s="434">
        <f t="shared" si="195"/>
        <v>-307383.76457504631</v>
      </c>
      <c r="P578" s="434">
        <f t="shared" si="195"/>
        <v>-60840.037750447533</v>
      </c>
      <c r="Q578" s="434">
        <f t="shared" si="195"/>
        <v>-2378579.3595514689</v>
      </c>
      <c r="R578" s="434">
        <f t="shared" si="195"/>
        <v>-36841.868062506706</v>
      </c>
      <c r="S578" s="434">
        <f t="shared" si="195"/>
        <v>-182216.74418685812</v>
      </c>
      <c r="T578" s="358"/>
      <c r="U578" s="118">
        <f t="shared" si="197" ref="U578:U581">SUM(I578:T578)</f>
        <v>-67515629.090000004</v>
      </c>
      <c r="V578" s="43"/>
      <c r="W578" s="43"/>
      <c r="X578" s="370">
        <f t="shared" si="198" ref="X578:X581">U578-F578</f>
        <v>0</v>
      </c>
    </row>
    <row r="579" spans="1:24" ht="14.25">
      <c r="A579" s="40"/>
      <c r="B579" s="17">
        <f t="shared" si="189"/>
        <v>13</v>
      </c>
      <c r="C579" s="43">
        <v>254</v>
      </c>
      <c r="D579" s="43" t="s">
        <v>1240</v>
      </c>
      <c r="E579" s="358"/>
      <c r="F579" s="118">
        <f>' WP II-I-1.4'!G579</f>
        <v>0</v>
      </c>
      <c r="G579" s="358">
        <v>64</v>
      </c>
      <c r="H579" s="47" t="str">
        <f t="shared" si="194"/>
        <v>PLANT</v>
      </c>
      <c r="I579" s="358"/>
      <c r="J579" s="434">
        <f t="shared" si="195"/>
        <v>0</v>
      </c>
      <c r="K579" s="434">
        <f t="shared" si="195"/>
        <v>0</v>
      </c>
      <c r="L579" s="434">
        <f t="shared" si="195"/>
        <v>0</v>
      </c>
      <c r="M579" s="434">
        <f t="shared" si="195"/>
        <v>0</v>
      </c>
      <c r="N579" s="434">
        <f t="shared" si="195"/>
        <v>0</v>
      </c>
      <c r="O579" s="434">
        <f t="shared" si="195"/>
        <v>0</v>
      </c>
      <c r="P579" s="434">
        <f t="shared" si="195"/>
        <v>0</v>
      </c>
      <c r="Q579" s="434">
        <f t="shared" si="195"/>
        <v>0</v>
      </c>
      <c r="R579" s="434">
        <f t="shared" si="195"/>
        <v>0</v>
      </c>
      <c r="S579" s="434">
        <f t="shared" si="195"/>
        <v>0</v>
      </c>
      <c r="T579" s="358"/>
      <c r="U579" s="118">
        <f t="shared" si="197"/>
        <v>0</v>
      </c>
      <c r="V579" s="43"/>
      <c r="W579" s="43"/>
      <c r="X579" s="370">
        <f t="shared" si="198"/>
        <v>0</v>
      </c>
    </row>
    <row r="580" spans="1:24" ht="14.25">
      <c r="A580" s="40"/>
      <c r="B580" s="17">
        <f t="shared" si="189"/>
        <v>14</v>
      </c>
      <c r="C580" s="43">
        <v>254</v>
      </c>
      <c r="D580" s="43" t="s">
        <v>1241</v>
      </c>
      <c r="E580" s="358"/>
      <c r="F580" s="118">
        <f>' WP II-I-1.4'!G580</f>
        <v>-462439966.73000002</v>
      </c>
      <c r="G580" s="358">
        <v>64</v>
      </c>
      <c r="H580" s="47" t="str">
        <f t="shared" si="194"/>
        <v>PLANT</v>
      </c>
      <c r="I580" s="358"/>
      <c r="J580" s="434">
        <f t="shared" si="195"/>
        <v>-251921164.48354229</v>
      </c>
      <c r="K580" s="434">
        <f t="shared" si="195"/>
        <v>-10185963.494113529</v>
      </c>
      <c r="L580" s="434">
        <f t="shared" si="195"/>
        <v>-156972183.38796115</v>
      </c>
      <c r="M580" s="434">
        <f t="shared" si="195"/>
        <v>-54322.52801105188</v>
      </c>
      <c r="N580" s="434">
        <f t="shared" si="195"/>
        <v>-22992028.746507436</v>
      </c>
      <c r="O580" s="434">
        <f t="shared" si="195"/>
        <v>-2105387.1493064472</v>
      </c>
      <c r="P580" s="434">
        <f t="shared" si="195"/>
        <v>-416716.32794333342</v>
      </c>
      <c r="Q580" s="434">
        <f t="shared" si="195"/>
        <v>-16291785.690530784</v>
      </c>
      <c r="R580" s="434">
        <f t="shared" si="195"/>
        <v>-252343.82721052197</v>
      </c>
      <c r="S580" s="434">
        <f t="shared" si="195"/>
        <v>-1248071.0948733543</v>
      </c>
      <c r="T580" s="358"/>
      <c r="U580" s="118">
        <f t="shared" si="197"/>
        <v>-462439966.7299999</v>
      </c>
      <c r="V580" s="43"/>
      <c r="W580" s="43"/>
      <c r="X580" s="370">
        <f t="shared" si="198"/>
        <v>0</v>
      </c>
    </row>
    <row r="581" spans="1:24" ht="14.25">
      <c r="A581" s="40"/>
      <c r="B581" s="17">
        <f t="shared" si="189"/>
        <v>15</v>
      </c>
      <c r="C581" s="43">
        <v>254</v>
      </c>
      <c r="D581" s="43" t="s">
        <v>1242</v>
      </c>
      <c r="E581" s="358"/>
      <c r="F581" s="118">
        <f>' WP II-I-1.4'!G581</f>
        <v>0</v>
      </c>
      <c r="G581" s="358">
        <v>64</v>
      </c>
      <c r="H581" s="47" t="str">
        <f t="shared" si="194"/>
        <v>PLANT</v>
      </c>
      <c r="I581" s="358"/>
      <c r="J581" s="434">
        <f t="shared" si="195"/>
        <v>0</v>
      </c>
      <c r="K581" s="434">
        <f t="shared" si="195"/>
        <v>0</v>
      </c>
      <c r="L581" s="434">
        <f t="shared" si="195"/>
        <v>0</v>
      </c>
      <c r="M581" s="434">
        <f t="shared" si="195"/>
        <v>0</v>
      </c>
      <c r="N581" s="434">
        <f t="shared" si="195"/>
        <v>0</v>
      </c>
      <c r="O581" s="434">
        <f t="shared" si="195"/>
        <v>0</v>
      </c>
      <c r="P581" s="434">
        <f t="shared" si="195"/>
        <v>0</v>
      </c>
      <c r="Q581" s="434">
        <f t="shared" si="195"/>
        <v>0</v>
      </c>
      <c r="R581" s="434">
        <f t="shared" si="195"/>
        <v>0</v>
      </c>
      <c r="S581" s="434">
        <f t="shared" si="195"/>
        <v>0</v>
      </c>
      <c r="T581" s="358"/>
      <c r="U581" s="118">
        <f t="shared" si="197"/>
        <v>0</v>
      </c>
      <c r="V581" s="43"/>
      <c r="W581" s="43"/>
      <c r="X581" s="370">
        <f t="shared" si="198"/>
        <v>0</v>
      </c>
    </row>
    <row r="582" spans="1:24" ht="14.25">
      <c r="A582" s="40"/>
      <c r="B582" s="17">
        <f t="shared" si="189"/>
        <v>16</v>
      </c>
      <c r="C582" s="43">
        <v>254</v>
      </c>
      <c r="D582" s="43" t="s">
        <v>1244</v>
      </c>
      <c r="E582" s="358"/>
      <c r="F582" s="118">
        <f>' WP II-I-1.4'!G582</f>
        <v>-91968029.510000005</v>
      </c>
      <c r="G582" s="358">
        <v>64</v>
      </c>
      <c r="H582" s="47" t="str">
        <f t="shared" si="194"/>
        <v>PLANT</v>
      </c>
      <c r="I582" s="358"/>
      <c r="J582" s="434">
        <f t="shared" si="195"/>
        <v>-50100974.73461511</v>
      </c>
      <c r="K582" s="434">
        <f t="shared" si="195"/>
        <v>-2025739.6821442242</v>
      </c>
      <c r="L582" s="434">
        <f t="shared" si="195"/>
        <v>-31217938.397833131</v>
      </c>
      <c r="M582" s="434">
        <f t="shared" si="195"/>
        <v>-10803.425781957005</v>
      </c>
      <c r="N582" s="434">
        <f t="shared" si="195"/>
        <v>-4572553.694279097</v>
      </c>
      <c r="O582" s="434">
        <f t="shared" si="195"/>
        <v>-418710.14922557911</v>
      </c>
      <c r="P582" s="434">
        <f t="shared" si="195"/>
        <v>-82874.713049980608</v>
      </c>
      <c r="Q582" s="434">
        <f t="shared" si="195"/>
        <v>-3240038.7833090159</v>
      </c>
      <c r="R582" s="434">
        <f t="shared" si="195"/>
        <v>-50185.032041388382</v>
      </c>
      <c r="S582" s="434">
        <f t="shared" si="195"/>
        <v>-248210.89772049827</v>
      </c>
      <c r="T582" s="358"/>
      <c r="U582" s="118">
        <f t="shared" si="196"/>
        <v>-91968029.509999976</v>
      </c>
      <c r="V582" s="43"/>
      <c r="W582" s="43"/>
      <c r="X582" s="370">
        <f t="shared" si="187"/>
        <v>0</v>
      </c>
    </row>
    <row r="583" spans="1:24" ht="14.25">
      <c r="A583" s="40"/>
      <c r="B583" s="17">
        <f t="shared" si="189"/>
        <v>17</v>
      </c>
      <c r="C583" s="43">
        <v>254</v>
      </c>
      <c r="D583" s="43" t="s">
        <v>1245</v>
      </c>
      <c r="E583" s="358"/>
      <c r="F583" s="118">
        <f>' WP II-I-1.4'!G583</f>
        <v>8384714.2699999996</v>
      </c>
      <c r="G583" s="358">
        <v>64</v>
      </c>
      <c r="H583" s="47" t="str">
        <f t="shared" si="194"/>
        <v>PLANT</v>
      </c>
      <c r="I583" s="358"/>
      <c r="J583" s="434">
        <f t="shared" si="195"/>
        <v>4567699.8848013775</v>
      </c>
      <c r="K583" s="434">
        <f t="shared" si="195"/>
        <v>184686.44496001813</v>
      </c>
      <c r="L583" s="434">
        <f t="shared" si="195"/>
        <v>2846135.7164973398</v>
      </c>
      <c r="M583" s="434">
        <f t="shared" si="195"/>
        <v>984.94703867729731</v>
      </c>
      <c r="N583" s="434">
        <f t="shared" si="195"/>
        <v>416879.17437215906</v>
      </c>
      <c r="O583" s="434">
        <f t="shared" si="195"/>
        <v>38173.754313435675</v>
      </c>
      <c r="P583" s="434">
        <f t="shared" si="195"/>
        <v>7555.6776940270393</v>
      </c>
      <c r="Q583" s="434">
        <f t="shared" si="195"/>
        <v>295393.94903324096</v>
      </c>
      <c r="R583" s="434">
        <f t="shared" si="195"/>
        <v>4575.3633794239631</v>
      </c>
      <c r="S583" s="434">
        <f t="shared" si="195"/>
        <v>22629.35791029728</v>
      </c>
      <c r="T583" s="358"/>
      <c r="U583" s="118">
        <f t="shared" si="196"/>
        <v>8384714.2699999949</v>
      </c>
      <c r="V583" s="43"/>
      <c r="W583" s="43"/>
      <c r="X583" s="370">
        <f t="shared" si="187"/>
        <v>0</v>
      </c>
    </row>
    <row r="584" spans="1:24" ht="14.25">
      <c r="A584" s="40"/>
      <c r="B584" s="17">
        <f t="shared" si="189"/>
        <v>18</v>
      </c>
      <c r="C584" s="43">
        <v>254</v>
      </c>
      <c r="D584" s="43" t="s">
        <v>1246</v>
      </c>
      <c r="E584" s="358"/>
      <c r="F584" s="118">
        <f>' WP II-I-1.4'!G584</f>
        <v>0</v>
      </c>
      <c r="G584" s="358">
        <v>64</v>
      </c>
      <c r="H584" s="47" t="str">
        <f t="shared" si="194"/>
        <v>PLANT</v>
      </c>
      <c r="I584" s="358"/>
      <c r="J584" s="434">
        <f t="shared" si="195"/>
        <v>0</v>
      </c>
      <c r="K584" s="434">
        <f t="shared" si="195"/>
        <v>0</v>
      </c>
      <c r="L584" s="434">
        <f t="shared" si="195"/>
        <v>0</v>
      </c>
      <c r="M584" s="434">
        <f t="shared" si="195"/>
        <v>0</v>
      </c>
      <c r="N584" s="434">
        <f t="shared" si="195"/>
        <v>0</v>
      </c>
      <c r="O584" s="434">
        <f t="shared" si="195"/>
        <v>0</v>
      </c>
      <c r="P584" s="434">
        <f t="shared" si="195"/>
        <v>0</v>
      </c>
      <c r="Q584" s="434">
        <f t="shared" si="195"/>
        <v>0</v>
      </c>
      <c r="R584" s="434">
        <f t="shared" si="195"/>
        <v>0</v>
      </c>
      <c r="S584" s="434">
        <f t="shared" si="195"/>
        <v>0</v>
      </c>
      <c r="T584" s="358"/>
      <c r="U584" s="118">
        <f t="shared" si="196"/>
        <v>0</v>
      </c>
      <c r="V584" s="43"/>
      <c r="W584" s="43"/>
      <c r="X584" s="370">
        <f t="shared" si="187"/>
        <v>0</v>
      </c>
    </row>
    <row r="585" spans="1:24" ht="14.25">
      <c r="A585" s="40"/>
      <c r="B585" s="17">
        <f t="shared" si="189"/>
        <v>19</v>
      </c>
      <c r="C585" s="43">
        <v>254</v>
      </c>
      <c r="D585" s="43" t="s">
        <v>155</v>
      </c>
      <c r="E585" s="358"/>
      <c r="F585" s="118">
        <f>' WP II-I-1.4'!G585</f>
        <v>0</v>
      </c>
      <c r="G585" s="358">
        <v>37</v>
      </c>
      <c r="H585" s="47" t="str">
        <f t="shared" si="194"/>
        <v>OPEB TOTAL</v>
      </c>
      <c r="I585" s="358"/>
      <c r="J585" s="434">
        <f t="shared" si="195"/>
        <v>0</v>
      </c>
      <c r="K585" s="434">
        <f t="shared" si="195"/>
        <v>0</v>
      </c>
      <c r="L585" s="434">
        <f t="shared" si="195"/>
        <v>0</v>
      </c>
      <c r="M585" s="434">
        <f t="shared" si="195"/>
        <v>0</v>
      </c>
      <c r="N585" s="434">
        <f t="shared" si="195"/>
        <v>0</v>
      </c>
      <c r="O585" s="434">
        <f t="shared" si="195"/>
        <v>0</v>
      </c>
      <c r="P585" s="434">
        <f t="shared" si="195"/>
        <v>0</v>
      </c>
      <c r="Q585" s="434">
        <f t="shared" si="195"/>
        <v>0</v>
      </c>
      <c r="R585" s="434">
        <f t="shared" si="195"/>
        <v>0</v>
      </c>
      <c r="S585" s="434">
        <f t="shared" si="195"/>
        <v>0</v>
      </c>
      <c r="T585" s="358"/>
      <c r="U585" s="118">
        <f t="shared" si="196"/>
        <v>0</v>
      </c>
      <c r="V585" s="43"/>
      <c r="W585" s="43"/>
      <c r="X585" s="370">
        <f t="shared" si="187"/>
        <v>0</v>
      </c>
    </row>
    <row r="586" spans="1:24" ht="14.25">
      <c r="A586" s="40"/>
      <c r="B586" s="17">
        <f t="shared" si="189"/>
        <v>20</v>
      </c>
      <c r="C586" s="43">
        <v>254</v>
      </c>
      <c r="D586" s="43" t="s">
        <v>156</v>
      </c>
      <c r="E586" s="358"/>
      <c r="F586" s="118">
        <f>' WP II-I-1.4'!G586</f>
        <v>0</v>
      </c>
      <c r="G586" s="358">
        <v>37</v>
      </c>
      <c r="H586" s="47" t="str">
        <f t="shared" si="194"/>
        <v>OPEB TOTAL</v>
      </c>
      <c r="I586" s="358"/>
      <c r="J586" s="435">
        <f t="shared" si="195"/>
        <v>0</v>
      </c>
      <c r="K586" s="435">
        <f t="shared" si="195"/>
        <v>0</v>
      </c>
      <c r="L586" s="435">
        <f t="shared" si="195"/>
        <v>0</v>
      </c>
      <c r="M586" s="435">
        <f t="shared" si="195"/>
        <v>0</v>
      </c>
      <c r="N586" s="435">
        <f t="shared" si="195"/>
        <v>0</v>
      </c>
      <c r="O586" s="435">
        <f t="shared" si="195"/>
        <v>0</v>
      </c>
      <c r="P586" s="435">
        <f t="shared" si="195"/>
        <v>0</v>
      </c>
      <c r="Q586" s="435">
        <f t="shared" si="195"/>
        <v>0</v>
      </c>
      <c r="R586" s="435">
        <f t="shared" si="195"/>
        <v>0</v>
      </c>
      <c r="S586" s="435">
        <f t="shared" si="195"/>
        <v>0</v>
      </c>
      <c r="T586" s="358"/>
      <c r="U586" s="118">
        <f t="shared" si="196"/>
        <v>0</v>
      </c>
      <c r="V586" s="43"/>
      <c r="W586" s="43"/>
      <c r="X586" s="370">
        <f t="shared" si="187"/>
        <v>0</v>
      </c>
    </row>
    <row r="587" spans="1:24" ht="15">
      <c r="A587" s="38"/>
      <c r="B587" s="17">
        <f t="shared" si="189"/>
        <v>21</v>
      </c>
      <c r="C587" s="35"/>
      <c r="D587" s="44" t="s">
        <v>617</v>
      </c>
      <c r="E587" s="37"/>
      <c r="F587" s="21">
        <f>SUM(F577:F586)</f>
        <v>-613538911.06000006</v>
      </c>
      <c r="G587" s="37"/>
      <c r="H587" s="37"/>
      <c r="I587" s="37"/>
      <c r="J587" s="895">
        <f t="shared" si="199" ref="J587:Q587">SUM(J577:J586)</f>
        <v>-334234599.19164604</v>
      </c>
      <c r="K587" s="895">
        <f t="shared" si="199"/>
        <v>-13514154.052182408</v>
      </c>
      <c r="L587" s="895">
        <f t="shared" si="199"/>
        <v>-208261719.12340564</v>
      </c>
      <c r="M587" s="895">
        <f t="shared" si="199"/>
        <v>-72072.024651335043</v>
      </c>
      <c r="N587" s="895">
        <f t="shared" si="199"/>
        <v>-30504509.331107635</v>
      </c>
      <c r="O587" s="895">
        <f>SUM(O577:O586)</f>
        <v>-2793307.308793637</v>
      </c>
      <c r="P587" s="895">
        <f t="shared" si="199"/>
        <v>-552875.40104973444</v>
      </c>
      <c r="Q587" s="895">
        <f t="shared" si="199"/>
        <v>-21615009.884358026</v>
      </c>
      <c r="R587" s="895">
        <f>SUM(R577:R586)</f>
        <v>-334795.3639349931</v>
      </c>
      <c r="S587" s="895">
        <f>SUM(S577:S586)</f>
        <v>-1655869.3788704134</v>
      </c>
      <c r="T587" s="897"/>
      <c r="U587" s="21">
        <f t="shared" si="196"/>
        <v>-613538911.05999982</v>
      </c>
      <c r="V587" s="36"/>
      <c r="W587" s="36"/>
      <c r="X587" s="370">
        <f t="shared" si="187"/>
        <v>0</v>
      </c>
    </row>
    <row r="588" spans="1:24" ht="15.75" thickBot="1">
      <c r="A588" s="40"/>
      <c r="B588" s="17">
        <f t="shared" si="189"/>
        <v>22</v>
      </c>
      <c r="C588" s="35"/>
      <c r="D588" s="43"/>
      <c r="E588" s="358"/>
      <c r="F588" s="346"/>
      <c r="G588" s="358"/>
      <c r="H588" s="358"/>
      <c r="I588" s="358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58"/>
      <c r="U588" s="43"/>
      <c r="V588" s="43"/>
      <c r="W588" s="43"/>
      <c r="X588" s="370">
        <f t="shared" si="187"/>
        <v>0</v>
      </c>
    </row>
    <row r="589" spans="1:24" ht="15.75" thickBot="1">
      <c r="A589" s="38"/>
      <c r="B589" s="17">
        <f t="shared" si="189"/>
        <v>23</v>
      </c>
      <c r="C589" s="356" t="s">
        <v>618</v>
      </c>
      <c r="D589" s="278"/>
      <c r="E589" s="337" t="s">
        <v>132</v>
      </c>
      <c r="F589" s="278">
        <f>F574+F587</f>
        <v>-557076552.59000003</v>
      </c>
      <c r="G589" s="337"/>
      <c r="H589" s="457"/>
      <c r="I589" s="643"/>
      <c r="J589" s="356">
        <f t="shared" si="200" ref="J589:Q589">J574+J587</f>
        <v>-303475875.64136422</v>
      </c>
      <c r="K589" s="905">
        <f t="shared" si="200"/>
        <v>-12270482.303320002</v>
      </c>
      <c r="L589" s="905">
        <f t="shared" si="200"/>
        <v>-189095945.56161401</v>
      </c>
      <c r="M589" s="905">
        <f t="shared" si="200"/>
        <v>-65439.427405804512</v>
      </c>
      <c r="N589" s="905">
        <f t="shared" si="200"/>
        <v>-27697260.255692393</v>
      </c>
      <c r="O589" s="905">
        <f>O574+O587</f>
        <v>-2536246.6468814318</v>
      </c>
      <c r="P589" s="905">
        <f t="shared" si="200"/>
        <v>-501995.74448584561</v>
      </c>
      <c r="Q589" s="905">
        <f t="shared" si="200"/>
        <v>-19625837.862139102</v>
      </c>
      <c r="R589" s="905">
        <f>R574+R587</f>
        <v>-303985.03469290357</v>
      </c>
      <c r="S589" s="279">
        <f>S574+S587</f>
        <v>-1503484.1124041854</v>
      </c>
      <c r="T589" s="457"/>
      <c r="U589" s="279">
        <f>SUM(I589:T589)</f>
        <v>-557076552.58999991</v>
      </c>
      <c r="V589" s="36"/>
      <c r="W589" s="36"/>
      <c r="X589" s="370">
        <f t="shared" si="187"/>
        <v>0</v>
      </c>
    </row>
    <row r="590" spans="1:24" ht="15.75" thickBot="1">
      <c r="A590" s="40"/>
      <c r="B590" s="17">
        <f t="shared" si="189"/>
        <v>24</v>
      </c>
      <c r="C590" s="46"/>
      <c r="D590" s="36"/>
      <c r="E590" s="37"/>
      <c r="F590" s="39"/>
      <c r="G590" s="37"/>
      <c r="H590" s="37"/>
      <c r="I590" s="37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7"/>
      <c r="U590" s="43"/>
      <c r="V590" s="36"/>
      <c r="W590" s="36"/>
      <c r="X590" s="370">
        <f t="shared" si="187"/>
        <v>0</v>
      </c>
    </row>
    <row r="591" spans="1:24" ht="15.75" thickBot="1">
      <c r="A591" s="38"/>
      <c r="B591" s="17">
        <f t="shared" si="189"/>
        <v>25</v>
      </c>
      <c r="C591" s="335" t="s">
        <v>619</v>
      </c>
      <c r="D591" s="336"/>
      <c r="E591" s="336"/>
      <c r="F591" s="360">
        <f>F552+F589</f>
        <v>190520108.74000001</v>
      </c>
      <c r="G591" s="336"/>
      <c r="H591" s="464"/>
      <c r="I591" s="335"/>
      <c r="J591" s="465">
        <f t="shared" si="201" ref="J591:S591">J552+J589</f>
        <v>103174266.37058717</v>
      </c>
      <c r="K591" s="360">
        <f t="shared" si="201"/>
        <v>3450150.5906876549</v>
      </c>
      <c r="L591" s="360">
        <f t="shared" si="201"/>
        <v>65925144.394149423</v>
      </c>
      <c r="M591" s="360">
        <f t="shared" si="201"/>
        <v>35737.045016034041</v>
      </c>
      <c r="N591" s="360">
        <f t="shared" si="201"/>
        <v>11512082.698676467</v>
      </c>
      <c r="O591" s="360">
        <f t="shared" si="201"/>
        <v>1171377.9135606894</v>
      </c>
      <c r="P591" s="360">
        <f t="shared" si="201"/>
        <v>100193.36230621353</v>
      </c>
      <c r="Q591" s="360">
        <f t="shared" si="201"/>
        <v>4482480.0722887143</v>
      </c>
      <c r="R591" s="360">
        <f t="shared" si="201"/>
        <v>126669.34995490091</v>
      </c>
      <c r="S591" s="361">
        <f t="shared" si="201"/>
        <v>542006.94277267181</v>
      </c>
      <c r="T591" s="1023"/>
      <c r="U591" s="361">
        <f>SUM(I591:T591)</f>
        <v>190520108.73999995</v>
      </c>
      <c r="V591" s="36"/>
      <c r="W591" s="36"/>
      <c r="X591" s="370">
        <f t="shared" si="187"/>
        <v>0</v>
      </c>
    </row>
    <row r="592" spans="1:24" ht="15.75" thickBot="1">
      <c r="A592" s="40"/>
      <c r="B592" s="17">
        <f t="shared" si="189"/>
        <v>26</v>
      </c>
      <c r="C592" s="362"/>
      <c r="D592" s="362"/>
      <c r="E592" s="362"/>
      <c r="F592" s="362"/>
      <c r="G592" s="362"/>
      <c r="H592" s="362"/>
      <c r="I592" s="362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2"/>
      <c r="U592" s="362"/>
      <c r="V592" s="36"/>
      <c r="W592" s="36"/>
      <c r="X592" s="370">
        <f t="shared" si="187"/>
        <v>0</v>
      </c>
    </row>
    <row r="593" spans="1:24" ht="15.75" thickBot="1">
      <c r="A593" s="147"/>
      <c r="B593" s="17">
        <f t="shared" si="189"/>
        <v>27</v>
      </c>
      <c r="C593" s="341" t="s">
        <v>620</v>
      </c>
      <c r="D593" s="336"/>
      <c r="E593" s="337" t="s">
        <v>621</v>
      </c>
      <c r="F593" s="278">
        <f>F591+F483+F462+F441+F421+F374</f>
        <v>347954431.98538464</v>
      </c>
      <c r="G593" s="337"/>
      <c r="H593" s="457"/>
      <c r="I593" s="643"/>
      <c r="J593" s="356">
        <f t="shared" si="202" ref="J593:S593">J591+J483+J462+J441+J421+J374</f>
        <v>175968982.68919799</v>
      </c>
      <c r="K593" s="905">
        <f t="shared" si="202"/>
        <v>6307190.7394050313</v>
      </c>
      <c r="L593" s="905">
        <f t="shared" si="202"/>
        <v>127630206.64292952</v>
      </c>
      <c r="M593" s="905">
        <f t="shared" si="202"/>
        <v>42669.727118935974</v>
      </c>
      <c r="N593" s="905">
        <f t="shared" si="202"/>
        <v>20597315.127024565</v>
      </c>
      <c r="O593" s="905">
        <f t="shared" si="202"/>
        <v>2162345.11908293</v>
      </c>
      <c r="P593" s="905">
        <f t="shared" si="202"/>
        <v>6761953.6398991803</v>
      </c>
      <c r="Q593" s="905">
        <f t="shared" si="202"/>
        <v>7385737.7111426983</v>
      </c>
      <c r="R593" s="905">
        <f t="shared" si="202"/>
        <v>245222.3339382968</v>
      </c>
      <c r="S593" s="279">
        <f t="shared" si="202"/>
        <v>852808.25564537279</v>
      </c>
      <c r="T593" s="457"/>
      <c r="U593" s="279">
        <f>SUM(I593:T593)</f>
        <v>347954431.98538458</v>
      </c>
      <c r="V593" s="133"/>
      <c r="W593" s="133"/>
      <c r="X593" s="370">
        <f t="shared" si="187"/>
        <v>0</v>
      </c>
    </row>
    <row r="594" spans="1:24" ht="15.75" thickBot="1">
      <c r="A594" s="47"/>
      <c r="B594" s="17">
        <f t="shared" si="189"/>
        <v>28</v>
      </c>
      <c r="C594" s="36"/>
      <c r="D594" s="36"/>
      <c r="E594" s="363"/>
      <c r="F594" s="39"/>
      <c r="G594" s="363"/>
      <c r="H594" s="363"/>
      <c r="I594" s="3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63"/>
      <c r="U594" s="39"/>
      <c r="V594" s="67"/>
      <c r="W594" s="67"/>
      <c r="X594" s="370">
        <f t="shared" si="187"/>
        <v>0</v>
      </c>
    </row>
    <row r="595" spans="1:24" ht="15.75" thickBot="1">
      <c r="A595" s="147"/>
      <c r="B595" s="17">
        <f t="shared" si="189"/>
        <v>29</v>
      </c>
      <c r="C595" s="341" t="s">
        <v>622</v>
      </c>
      <c r="D595" s="336"/>
      <c r="E595" s="337" t="s">
        <v>623</v>
      </c>
      <c r="F595" s="278">
        <f>F352+F593+F397</f>
        <v>9061557949.7653847</v>
      </c>
      <c r="G595" s="337"/>
      <c r="H595" s="457"/>
      <c r="I595" s="458"/>
      <c r="J595" s="356">
        <f t="shared" si="203" ref="J595:S595">J352+J593+J397</f>
        <v>5039330953.6330776</v>
      </c>
      <c r="K595" s="905">
        <f t="shared" si="203"/>
        <v>163542363.02431753</v>
      </c>
      <c r="L595" s="905">
        <f t="shared" si="203"/>
        <v>3209110202.2609591</v>
      </c>
      <c r="M595" s="905">
        <f t="shared" si="203"/>
        <v>1164678.137649382</v>
      </c>
      <c r="N595" s="905">
        <f t="shared" si="203"/>
        <v>495487762.48416352</v>
      </c>
      <c r="O595" s="905">
        <f t="shared" si="203"/>
        <v>49664684.273062266</v>
      </c>
      <c r="P595" s="905">
        <f t="shared" si="203"/>
        <v>15712506.385271328</v>
      </c>
      <c r="Q595" s="905">
        <f t="shared" si="203"/>
        <v>54974945.600608259</v>
      </c>
      <c r="R595" s="905">
        <f t="shared" si="203"/>
        <v>5938674.9929972645</v>
      </c>
      <c r="S595" s="279">
        <f t="shared" si="203"/>
        <v>26631178.973277412</v>
      </c>
      <c r="T595" s="458"/>
      <c r="U595" s="279">
        <f>SUM(I595:T595)</f>
        <v>9061557949.7653847</v>
      </c>
      <c r="V595" s="133"/>
      <c r="W595" s="133"/>
      <c r="X595" s="370">
        <f t="shared" si="187"/>
        <v>0</v>
      </c>
    </row>
    <row r="596" spans="1:24" ht="14.25">
      <c r="A596" s="67"/>
      <c r="B596" s="17">
        <f t="shared" si="189"/>
        <v>30</v>
      </c>
      <c r="C596" s="43"/>
      <c r="D596" s="4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43"/>
      <c r="V596" s="67"/>
      <c r="W596" s="67"/>
      <c r="X596" s="370">
        <f t="shared" si="187"/>
        <v>0</v>
      </c>
    </row>
    <row r="597" spans="1:24" ht="15">
      <c r="A597" s="67"/>
      <c r="B597" s="17">
        <f t="shared" si="189"/>
        <v>31</v>
      </c>
      <c r="C597" s="364" t="s">
        <v>157</v>
      </c>
      <c r="D597" s="365"/>
      <c r="E597" s="36"/>
      <c r="F597" s="202">
        <f>' WP II-I-1.4'!G597</f>
        <v>0.070499999999999993</v>
      </c>
      <c r="G597" s="358">
        <v>1</v>
      </c>
      <c r="H597" s="47" t="str">
        <f>VLOOKUP(G597,FactorTable,2)</f>
        <v>ASSIGNED</v>
      </c>
      <c r="I597" s="36"/>
      <c r="J597" s="365">
        <f t="shared" si="204" ref="J597:S597">$F597</f>
        <v>0.070499999999999993</v>
      </c>
      <c r="K597" s="365">
        <f t="shared" si="204"/>
        <v>0.070499999999999993</v>
      </c>
      <c r="L597" s="365">
        <f t="shared" si="204"/>
        <v>0.070499999999999993</v>
      </c>
      <c r="M597" s="365">
        <f t="shared" si="204"/>
        <v>0.070499999999999993</v>
      </c>
      <c r="N597" s="365">
        <f t="shared" si="204"/>
        <v>0.070499999999999993</v>
      </c>
      <c r="O597" s="365">
        <f t="shared" si="204"/>
        <v>0.070499999999999993</v>
      </c>
      <c r="P597" s="365">
        <f t="shared" si="204"/>
        <v>0.070499999999999993</v>
      </c>
      <c r="Q597" s="365">
        <f t="shared" si="204"/>
        <v>0.070499999999999993</v>
      </c>
      <c r="R597" s="365">
        <f t="shared" si="204"/>
        <v>0.070499999999999993</v>
      </c>
      <c r="S597" s="365">
        <f t="shared" si="204"/>
        <v>0.070499999999999993</v>
      </c>
      <c r="T597" s="36"/>
      <c r="U597" s="282">
        <f>U599/U595</f>
        <v>0.070499999999999979</v>
      </c>
      <c r="V597" s="67"/>
      <c r="W597" s="67"/>
      <c r="X597" s="370">
        <f t="shared" si="187"/>
        <v>0</v>
      </c>
    </row>
    <row r="598" spans="1:24" ht="15" thickBot="1">
      <c r="A598" s="67"/>
      <c r="B598" s="17">
        <f t="shared" si="189"/>
        <v>32</v>
      </c>
      <c r="C598" s="1"/>
      <c r="D598" s="263"/>
      <c r="E598" s="263"/>
      <c r="F598" s="12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12"/>
      <c r="V598" s="67"/>
      <c r="W598" s="67"/>
      <c r="X598" s="370">
        <f t="shared" si="187"/>
        <v>0</v>
      </c>
    </row>
    <row r="599" spans="1:24" ht="15.75" thickBot="1">
      <c r="A599" s="47"/>
      <c r="B599" s="17">
        <f t="shared" si="189"/>
        <v>33</v>
      </c>
      <c r="C599" s="341" t="s">
        <v>624</v>
      </c>
      <c r="D599" s="336"/>
      <c r="E599" s="337"/>
      <c r="F599" s="278">
        <f>+F595*F597</f>
        <v>638839835.45845962</v>
      </c>
      <c r="G599" s="337"/>
      <c r="H599" s="457"/>
      <c r="I599" s="458"/>
      <c r="J599" s="356">
        <f t="shared" si="205" ref="J599:Q599">+J595*J597</f>
        <v>355272832.23113191</v>
      </c>
      <c r="K599" s="905">
        <f t="shared" si="205"/>
        <v>11529736.593214385</v>
      </c>
      <c r="L599" s="905">
        <f t="shared" si="205"/>
        <v>226242269.2593976</v>
      </c>
      <c r="M599" s="905">
        <f t="shared" si="205"/>
        <v>82109.80870428143</v>
      </c>
      <c r="N599" s="905">
        <f t="shared" si="205"/>
        <v>34931887.255133525</v>
      </c>
      <c r="O599" s="905">
        <f>+O595*O597</f>
        <v>3501360.2412508894</v>
      </c>
      <c r="P599" s="905">
        <f t="shared" si="205"/>
        <v>1107731.7001616284</v>
      </c>
      <c r="Q599" s="905">
        <f t="shared" si="205"/>
        <v>3875733.6648428817</v>
      </c>
      <c r="R599" s="905">
        <f>+R595*R597</f>
        <v>418676.58700630709</v>
      </c>
      <c r="S599" s="279">
        <f>+S595*S597</f>
        <v>1877498.1176160574</v>
      </c>
      <c r="T599" s="458"/>
      <c r="U599" s="256">
        <f>SUM(I599:T599)</f>
        <v>638839835.45845938</v>
      </c>
      <c r="V599" s="67"/>
      <c r="W599" s="67"/>
      <c r="X599" s="370">
        <f t="shared" si="187"/>
        <v>0</v>
      </c>
    </row>
    <row r="600" spans="1:24" ht="14.25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370">
        <f t="shared" si="187"/>
        <v>0</v>
      </c>
    </row>
    <row r="601" spans="1:24" ht="14.25">
      <c r="A601" s="67"/>
      <c r="B601" s="67"/>
      <c r="C601" s="67"/>
      <c r="D601" s="67"/>
      <c r="E601" s="67"/>
      <c r="F601" s="67"/>
      <c r="G601" s="67"/>
      <c r="H601" s="134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134"/>
      <c r="V601" s="134">
        <f>$H$2</f>
        <v>0</v>
      </c>
      <c r="W601" s="134"/>
      <c r="X601" s="370"/>
    </row>
    <row r="602" spans="1:24" ht="15" thickBo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370">
        <f t="shared" si="187"/>
        <v>0</v>
      </c>
    </row>
    <row r="603" spans="1:24" ht="15">
      <c r="A603" s="67"/>
      <c r="B603" s="920" t="str">
        <f>+$B$4</f>
        <v>2022 RATE CASE</v>
      </c>
      <c r="C603" s="935"/>
      <c r="D603" s="969"/>
      <c r="F603" s="332"/>
      <c r="U603" s="134" t="s">
        <v>0</v>
      </c>
      <c r="X603" s="370"/>
    </row>
    <row r="604" spans="1:24" ht="15">
      <c r="A604" s="67"/>
      <c r="B604" s="917" t="str">
        <f>+$B$5</f>
        <v>ONCOR ELECTRIC DELIVERY COMPANY LLC</v>
      </c>
      <c r="C604" s="8"/>
      <c r="D604" s="970"/>
      <c r="F604" s="332"/>
      <c r="U604" s="134"/>
      <c r="V604" s="67"/>
      <c r="W604" s="67"/>
      <c r="X604" s="370">
        <f t="shared" si="187"/>
        <v>0</v>
      </c>
    </row>
    <row r="605" spans="1:24" ht="15">
      <c r="A605" s="67"/>
      <c r="B605" s="917" t="str">
        <f>+$B$6</f>
        <v>II-I-1-DIST:  CLASS REVENUE REQUIREMENT</v>
      </c>
      <c r="C605" s="85"/>
      <c r="D605" s="970"/>
      <c r="F605" s="332"/>
      <c r="U605" s="332"/>
      <c r="V605" s="67"/>
      <c r="W605" s="67"/>
      <c r="X605" s="370">
        <f t="shared" si="187"/>
        <v>0</v>
      </c>
    </row>
    <row r="606" spans="1:24" ht="15">
      <c r="A606" s="67"/>
      <c r="B606" s="406" t="str">
        <f>+$B$7</f>
        <v>TEST YEAR ENDING 12/31/2021</v>
      </c>
      <c r="C606" s="85"/>
      <c r="D606" s="970"/>
      <c r="F606" s="332"/>
      <c r="U606" s="332"/>
      <c r="V606" s="67"/>
      <c r="W606" s="67"/>
      <c r="X606" s="370">
        <f t="shared" si="187"/>
        <v>0</v>
      </c>
    </row>
    <row r="607" spans="1:24" ht="15">
      <c r="A607" s="67"/>
      <c r="B607" s="406" t="str">
        <f>+$B$8</f>
        <v>SPONSOR:  MATTHEW A. TROXLE</v>
      </c>
      <c r="C607" s="85"/>
      <c r="D607" s="970"/>
      <c r="F607" s="332"/>
      <c r="U607" s="332"/>
      <c r="V607" s="67"/>
      <c r="W607" s="67"/>
      <c r="X607" s="370">
        <f t="shared" si="187"/>
        <v>0</v>
      </c>
    </row>
    <row r="608" spans="1:24" ht="15.75" thickBot="1">
      <c r="A608" s="67"/>
      <c r="B608" s="410"/>
      <c r="C608" s="934"/>
      <c r="D608" s="936"/>
      <c r="F608" s="332"/>
      <c r="U608" s="332"/>
      <c r="V608" s="67"/>
      <c r="W608" s="67"/>
      <c r="X608" s="370">
        <f t="shared" si="187"/>
        <v>0</v>
      </c>
    </row>
    <row r="609" spans="1:24" ht="15" thickBot="1">
      <c r="A609" s="67"/>
      <c r="B609" s="13"/>
      <c r="C609" s="14"/>
      <c r="D609" s="14"/>
      <c r="E609" s="14"/>
      <c r="F609" s="13"/>
      <c r="G609" s="14"/>
      <c r="H609" s="14"/>
      <c r="I609" s="14"/>
      <c r="J609" s="238"/>
      <c r="K609" s="238"/>
      <c r="L609" s="14"/>
      <c r="M609" s="238"/>
      <c r="N609" s="238"/>
      <c r="O609" s="238"/>
      <c r="P609" s="238"/>
      <c r="Q609" s="14"/>
      <c r="R609" s="393" t="str">
        <f>R$10</f>
        <v xml:space="preserve"> </v>
      </c>
      <c r="S609" s="394"/>
      <c r="T609" s="238"/>
      <c r="U609" s="13"/>
      <c r="V609" s="67"/>
      <c r="W609" s="67"/>
      <c r="X609" s="370">
        <f t="shared" si="187"/>
        <v>0</v>
      </c>
    </row>
    <row r="610" spans="1:24" ht="15">
      <c r="A610" s="67"/>
      <c r="B610" s="15" t="s">
        <v>2</v>
      </c>
      <c r="C610" s="15" t="s">
        <v>370</v>
      </c>
      <c r="D610" s="287" t="s">
        <v>625</v>
      </c>
      <c r="E610" s="15" t="s">
        <v>371</v>
      </c>
      <c r="F610" s="287" t="str">
        <f>F$11</f>
        <v>DIST</v>
      </c>
      <c r="G610" s="242" t="s">
        <v>741</v>
      </c>
      <c r="H610" s="242" t="s">
        <v>376</v>
      </c>
      <c r="I610" s="15"/>
      <c r="J610" s="242" t="s">
        <v>730</v>
      </c>
      <c r="K610" s="242" t="s">
        <v>409</v>
      </c>
      <c r="L610" s="15" t="s">
        <v>409</v>
      </c>
      <c r="M610" s="242" t="s">
        <v>410</v>
      </c>
      <c r="N610" s="242" t="s">
        <v>410</v>
      </c>
      <c r="O610" s="242" t="s">
        <v>410</v>
      </c>
      <c r="P610" s="242" t="s">
        <v>411</v>
      </c>
      <c r="Q610" s="15" t="s">
        <v>412</v>
      </c>
      <c r="R610" s="396" t="str">
        <f>R$11</f>
        <v>Wholesale</v>
      </c>
      <c r="S610" s="13" t="str">
        <f>S$11</f>
        <v>Wholesale</v>
      </c>
      <c r="T610" s="242"/>
      <c r="U610" s="15" t="s">
        <v>10</v>
      </c>
      <c r="V610" s="67"/>
      <c r="W610" s="67"/>
      <c r="X610" s="370"/>
    </row>
    <row r="611" spans="1:24" ht="14.25">
      <c r="A611" s="67"/>
      <c r="B611" s="15"/>
      <c r="C611" s="15"/>
      <c r="D611" s="15"/>
      <c r="E611" s="15"/>
      <c r="F611" s="15"/>
      <c r="G611" s="242" t="s">
        <v>742</v>
      </c>
      <c r="H611" s="242" t="s">
        <v>743</v>
      </c>
      <c r="I611" s="15"/>
      <c r="J611" s="242"/>
      <c r="K611" s="242" t="s">
        <v>731</v>
      </c>
      <c r="L611" s="15" t="s">
        <v>732</v>
      </c>
      <c r="M611" s="242" t="s">
        <v>731</v>
      </c>
      <c r="N611" s="242" t="s">
        <v>732</v>
      </c>
      <c r="O611" s="242" t="s">
        <v>414</v>
      </c>
      <c r="P611" s="242"/>
      <c r="Q611" s="15"/>
      <c r="R611" s="235" t="str">
        <f>R$12</f>
        <v>XFMR</v>
      </c>
      <c r="S611" s="15" t="str">
        <f>S$12</f>
        <v>DLS</v>
      </c>
      <c r="T611" s="242"/>
      <c r="U611" s="15"/>
      <c r="V611" s="67"/>
      <c r="W611" s="67"/>
      <c r="X611" s="370">
        <f t="shared" si="187"/>
        <v>0</v>
      </c>
    </row>
    <row r="612" spans="1:24" ht="15" thickBot="1">
      <c r="A612" s="67"/>
      <c r="B612" s="16"/>
      <c r="C612" s="16"/>
      <c r="D612" s="16"/>
      <c r="E612" s="16"/>
      <c r="F612" s="16" t="s">
        <v>13</v>
      </c>
      <c r="G612" s="16" t="s">
        <v>14</v>
      </c>
      <c r="H612" s="16" t="s">
        <v>15</v>
      </c>
      <c r="I612" s="16"/>
      <c r="J612" s="243" t="str">
        <f t="shared" si="206" ref="J612:Q612">J$13</f>
        <v>(d)</v>
      </c>
      <c r="K612" s="243" t="str">
        <f t="shared" si="206"/>
        <v>(e)</v>
      </c>
      <c r="L612" s="16" t="str">
        <f t="shared" si="206"/>
        <v>(f)</v>
      </c>
      <c r="M612" s="243" t="str">
        <f t="shared" si="206"/>
        <v>(g)</v>
      </c>
      <c r="N612" s="243" t="str">
        <f t="shared" si="206"/>
        <v>(h)</v>
      </c>
      <c r="O612" s="243" t="str">
        <f>O$13</f>
        <v>(i)</v>
      </c>
      <c r="P612" s="243" t="str">
        <f t="shared" si="206"/>
        <v>(j)</v>
      </c>
      <c r="Q612" s="243" t="str">
        <f t="shared" si="206"/>
        <v>(k)</v>
      </c>
      <c r="R612" s="243" t="str">
        <f>R$13</f>
        <v>(l)</v>
      </c>
      <c r="S612" s="16" t="str">
        <f>S$13</f>
        <v>(m)</v>
      </c>
      <c r="T612" s="16"/>
      <c r="U612" s="16" t="s">
        <v>734</v>
      </c>
      <c r="V612" s="67"/>
      <c r="W612" s="67"/>
      <c r="X612" s="370"/>
    </row>
    <row r="613" spans="1:24" ht="14.25">
      <c r="A613" s="47"/>
      <c r="B613" s="47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43"/>
      <c r="V613" s="67"/>
      <c r="W613" s="67"/>
      <c r="X613" s="370">
        <f t="shared" si="187"/>
        <v>0</v>
      </c>
    </row>
    <row r="614" spans="1:24" ht="15">
      <c r="A614" s="67"/>
      <c r="B614" s="17">
        <f t="shared" si="207" ref="B614:B640">B613+1</f>
        <v>1</v>
      </c>
      <c r="C614" s="8" t="s">
        <v>625</v>
      </c>
      <c r="D614" s="8"/>
      <c r="E614" s="20"/>
      <c r="F614" s="8"/>
      <c r="G614" s="1059"/>
      <c r="H614" s="1059"/>
      <c r="I614" s="1059"/>
      <c r="J614" s="1059"/>
      <c r="K614" s="1059"/>
      <c r="L614" s="1059"/>
      <c r="M614" s="1059"/>
      <c r="N614" s="1059"/>
      <c r="O614" s="1059"/>
      <c r="P614" s="1059"/>
      <c r="Q614" s="1059"/>
      <c r="R614" s="1059"/>
      <c r="S614" s="1059"/>
      <c r="T614" s="20"/>
      <c r="U614" s="8"/>
      <c r="V614" s="67"/>
      <c r="W614" s="67"/>
      <c r="X614" s="370">
        <f t="shared" si="187"/>
        <v>0</v>
      </c>
    </row>
    <row r="615" spans="1:24" ht="15">
      <c r="A615" s="67"/>
      <c r="B615" s="17">
        <f t="shared" si="207"/>
        <v>2</v>
      </c>
      <c r="C615" s="8"/>
      <c r="D615" s="8"/>
      <c r="E615" s="20"/>
      <c r="F615" s="8"/>
      <c r="G615" s="1059"/>
      <c r="H615" s="1059"/>
      <c r="I615" s="1059"/>
      <c r="J615" s="1059"/>
      <c r="K615" s="1059"/>
      <c r="L615" s="1059"/>
      <c r="M615" s="1059"/>
      <c r="N615" s="1059"/>
      <c r="O615" s="1059"/>
      <c r="P615" s="1059"/>
      <c r="Q615" s="1059"/>
      <c r="R615" s="1059"/>
      <c r="S615" s="1059"/>
      <c r="T615" s="20"/>
      <c r="U615" s="8"/>
      <c r="V615" s="67"/>
      <c r="W615" s="67"/>
      <c r="X615" s="370">
        <f t="shared" si="187"/>
        <v>0</v>
      </c>
    </row>
    <row r="616" spans="1:24" ht="15">
      <c r="A616" s="67"/>
      <c r="B616" s="17">
        <f t="shared" si="207"/>
        <v>3</v>
      </c>
      <c r="C616" s="8"/>
      <c r="D616" s="366" t="s">
        <v>626</v>
      </c>
      <c r="E616" s="20" t="s">
        <v>160</v>
      </c>
      <c r="F616" s="8"/>
      <c r="G616" s="1059"/>
      <c r="H616" s="1059"/>
      <c r="I616" s="1059"/>
      <c r="J616" s="1059"/>
      <c r="K616" s="1059"/>
      <c r="L616" s="1059"/>
      <c r="M616" s="1059"/>
      <c r="N616" s="1059"/>
      <c r="O616" s="1059"/>
      <c r="P616" s="1059"/>
      <c r="Q616" s="1059"/>
      <c r="R616" s="1059"/>
      <c r="S616" s="1059"/>
      <c r="T616" s="1010"/>
      <c r="U616" s="8"/>
      <c r="V616" s="67"/>
      <c r="W616" s="67"/>
      <c r="X616" s="370">
        <f t="shared" si="187"/>
        <v>0</v>
      </c>
    </row>
    <row r="617" spans="1:24" ht="14.25">
      <c r="A617" s="67"/>
      <c r="B617" s="17">
        <f t="shared" si="207"/>
        <v>4</v>
      </c>
      <c r="C617" s="28" t="s">
        <v>161</v>
      </c>
      <c r="D617" s="1" t="s">
        <v>162</v>
      </c>
      <c r="E617" s="17"/>
      <c r="F617" s="121">
        <f>' WP II-I-1.4'!G617</f>
        <v>46904.709999999999</v>
      </c>
      <c r="G617" s="17">
        <v>28</v>
      </c>
      <c r="H617" s="1" t="str">
        <f t="shared" si="208" ref="H617:H624">VLOOKUP(G617,FactorTable,2)</f>
        <v>NCP XHV</v>
      </c>
      <c r="I617" s="17"/>
      <c r="J617" s="434">
        <f t="shared" si="209" ref="J617:S624">$F617*HLOOKUP(J$1318,FactorTable,$G617+1)</f>
        <v>24687.026927922023</v>
      </c>
      <c r="K617" s="434">
        <f t="shared" si="209"/>
        <v>602.8625222211507</v>
      </c>
      <c r="L617" s="434">
        <f t="shared" si="209"/>
        <v>15895.293692093668</v>
      </c>
      <c r="M617" s="434">
        <f t="shared" si="209"/>
        <v>8.9862647091719055</v>
      </c>
      <c r="N617" s="434">
        <f t="shared" si="209"/>
        <v>3803.4396424807514</v>
      </c>
      <c r="O617" s="434">
        <f t="shared" si="209"/>
        <v>1375.455863907999</v>
      </c>
      <c r="P617" s="434">
        <f t="shared" si="209"/>
        <v>0</v>
      </c>
      <c r="Q617" s="434">
        <f t="shared" si="209"/>
        <v>160.32683891595659</v>
      </c>
      <c r="R617" s="434">
        <f t="shared" si="209"/>
        <v>164.85699410297832</v>
      </c>
      <c r="S617" s="434">
        <f t="shared" si="209"/>
        <v>206.46125364629904</v>
      </c>
      <c r="T617" s="17"/>
      <c r="U617" s="121">
        <f t="shared" si="210" ref="U617:U625">SUM(I617:T617)</f>
        <v>46904.709999999992</v>
      </c>
      <c r="V617" s="67"/>
      <c r="W617" s="67"/>
      <c r="X617" s="370">
        <f t="shared" si="187"/>
        <v>0</v>
      </c>
    </row>
    <row r="618" spans="1:24" ht="14.25">
      <c r="A618" s="67"/>
      <c r="B618" s="17">
        <f t="shared" si="207"/>
        <v>5</v>
      </c>
      <c r="C618" s="1" t="s">
        <v>163</v>
      </c>
      <c r="D618" s="1" t="s">
        <v>164</v>
      </c>
      <c r="E618" s="17"/>
      <c r="F618" s="121">
        <f>' WP II-I-1.4'!G618</f>
        <v>0</v>
      </c>
      <c r="G618" s="17">
        <v>28</v>
      </c>
      <c r="H618" s="1" t="str">
        <f t="shared" si="208"/>
        <v>NCP XHV</v>
      </c>
      <c r="I618" s="17"/>
      <c r="J618" s="434">
        <f t="shared" si="209"/>
        <v>0</v>
      </c>
      <c r="K618" s="434">
        <f t="shared" si="209"/>
        <v>0</v>
      </c>
      <c r="L618" s="434">
        <f t="shared" si="209"/>
        <v>0</v>
      </c>
      <c r="M618" s="434">
        <f t="shared" si="209"/>
        <v>0</v>
      </c>
      <c r="N618" s="434">
        <f t="shared" si="209"/>
        <v>0</v>
      </c>
      <c r="O618" s="434">
        <f t="shared" si="209"/>
        <v>0</v>
      </c>
      <c r="P618" s="434">
        <f t="shared" si="209"/>
        <v>0</v>
      </c>
      <c r="Q618" s="434">
        <f t="shared" si="209"/>
        <v>0</v>
      </c>
      <c r="R618" s="434">
        <f t="shared" si="209"/>
        <v>0</v>
      </c>
      <c r="S618" s="434">
        <f t="shared" si="209"/>
        <v>0</v>
      </c>
      <c r="T618" s="17"/>
      <c r="U618" s="121">
        <f t="shared" si="210"/>
        <v>0</v>
      </c>
      <c r="V618" s="67"/>
      <c r="W618" s="67"/>
      <c r="X618" s="370">
        <f t="shared" si="187"/>
        <v>0</v>
      </c>
    </row>
    <row r="619" spans="1:24" ht="14.25">
      <c r="A619" s="67"/>
      <c r="B619" s="17">
        <f t="shared" si="207"/>
        <v>6</v>
      </c>
      <c r="C619" s="1" t="s">
        <v>165</v>
      </c>
      <c r="D619" s="1" t="s">
        <v>166</v>
      </c>
      <c r="E619" s="17"/>
      <c r="F619" s="121">
        <f>' WP II-I-1.4'!G619</f>
        <v>522283.20000000001</v>
      </c>
      <c r="G619" s="17">
        <v>28</v>
      </c>
      <c r="H619" s="1" t="str">
        <f t="shared" si="208"/>
        <v>NCP XHV</v>
      </c>
      <c r="I619" s="17"/>
      <c r="J619" s="434">
        <f t="shared" si="209"/>
        <v>274889.65228441416</v>
      </c>
      <c r="K619" s="434">
        <f t="shared" si="209"/>
        <v>6712.8645985815438</v>
      </c>
      <c r="L619" s="434">
        <f t="shared" si="209"/>
        <v>176993.84250422817</v>
      </c>
      <c r="M619" s="434">
        <f t="shared" si="209"/>
        <v>100.06191464254597</v>
      </c>
      <c r="N619" s="434">
        <f t="shared" si="209"/>
        <v>42351.239939053092</v>
      </c>
      <c r="O619" s="434">
        <f t="shared" si="209"/>
        <v>15315.679172957987</v>
      </c>
      <c r="P619" s="434">
        <f t="shared" si="209"/>
        <v>0</v>
      </c>
      <c r="Q619" s="434">
        <f t="shared" si="209"/>
        <v>1785.2368019098794</v>
      </c>
      <c r="R619" s="434">
        <f t="shared" si="209"/>
        <v>1835.6800078816102</v>
      </c>
      <c r="S619" s="434">
        <f t="shared" si="209"/>
        <v>2298.9427763310068</v>
      </c>
      <c r="T619" s="17"/>
      <c r="U619" s="121">
        <f t="shared" si="210"/>
        <v>522283.20000000001</v>
      </c>
      <c r="V619" s="67"/>
      <c r="W619" s="67"/>
      <c r="X619" s="370">
        <f t="shared" si="211" ref="X619:X682">U619-F619</f>
        <v>0</v>
      </c>
    </row>
    <row r="620" spans="1:24" ht="14.25">
      <c r="A620" s="67"/>
      <c r="B620" s="17">
        <f t="shared" si="207"/>
        <v>7</v>
      </c>
      <c r="C620" s="1" t="s">
        <v>167</v>
      </c>
      <c r="D620" s="1" t="s">
        <v>168</v>
      </c>
      <c r="E620" s="17"/>
      <c r="F620" s="121">
        <f>' WP II-I-1.4'!G620</f>
        <v>0</v>
      </c>
      <c r="G620" s="17">
        <v>28</v>
      </c>
      <c r="H620" s="1" t="str">
        <f t="shared" si="208"/>
        <v>NCP XHV</v>
      </c>
      <c r="I620" s="17"/>
      <c r="J620" s="434">
        <f t="shared" si="209"/>
        <v>0</v>
      </c>
      <c r="K620" s="434">
        <f t="shared" si="209"/>
        <v>0</v>
      </c>
      <c r="L620" s="434">
        <f t="shared" si="209"/>
        <v>0</v>
      </c>
      <c r="M620" s="434">
        <f t="shared" si="209"/>
        <v>0</v>
      </c>
      <c r="N620" s="434">
        <f t="shared" si="209"/>
        <v>0</v>
      </c>
      <c r="O620" s="434">
        <f t="shared" si="209"/>
        <v>0</v>
      </c>
      <c r="P620" s="434">
        <f t="shared" si="209"/>
        <v>0</v>
      </c>
      <c r="Q620" s="434">
        <f t="shared" si="209"/>
        <v>0</v>
      </c>
      <c r="R620" s="434">
        <f t="shared" si="209"/>
        <v>0</v>
      </c>
      <c r="S620" s="434">
        <f t="shared" si="209"/>
        <v>0</v>
      </c>
      <c r="T620" s="17"/>
      <c r="U620" s="121">
        <f t="shared" si="210"/>
        <v>0</v>
      </c>
      <c r="V620" s="67"/>
      <c r="W620" s="67"/>
      <c r="X620" s="370">
        <f t="shared" si="211"/>
        <v>0</v>
      </c>
    </row>
    <row r="621" spans="1:24" s="386" customFormat="1" ht="13.5" customHeight="1">
      <c r="A621" s="47"/>
      <c r="B621" s="17">
        <f t="shared" si="207"/>
        <v>8</v>
      </c>
      <c r="C621" s="1" t="s">
        <v>169</v>
      </c>
      <c r="D621" s="1" t="s">
        <v>170</v>
      </c>
      <c r="E621" s="17"/>
      <c r="F621" s="24">
        <f>' WP II-I-1.4'!G621</f>
        <v>0</v>
      </c>
      <c r="G621" s="17">
        <v>28</v>
      </c>
      <c r="H621" s="1" t="str">
        <f t="shared" si="208"/>
        <v>NCP XHV</v>
      </c>
      <c r="I621" s="17"/>
      <c r="J621" s="434">
        <f t="shared" si="209"/>
        <v>0</v>
      </c>
      <c r="K621" s="434">
        <f t="shared" si="209"/>
        <v>0</v>
      </c>
      <c r="L621" s="434">
        <f t="shared" si="209"/>
        <v>0</v>
      </c>
      <c r="M621" s="434">
        <f t="shared" si="209"/>
        <v>0</v>
      </c>
      <c r="N621" s="434">
        <f t="shared" si="209"/>
        <v>0</v>
      </c>
      <c r="O621" s="434">
        <f t="shared" si="209"/>
        <v>0</v>
      </c>
      <c r="P621" s="434">
        <f t="shared" si="209"/>
        <v>0</v>
      </c>
      <c r="Q621" s="434">
        <f t="shared" si="209"/>
        <v>0</v>
      </c>
      <c r="R621" s="434">
        <f t="shared" si="209"/>
        <v>0</v>
      </c>
      <c r="S621" s="434">
        <f t="shared" si="209"/>
        <v>0</v>
      </c>
      <c r="T621" s="17"/>
      <c r="U621" s="24">
        <f t="shared" si="210"/>
        <v>0</v>
      </c>
      <c r="V621" s="47"/>
      <c r="W621" s="47"/>
      <c r="X621" s="839">
        <f t="shared" si="211"/>
        <v>0</v>
      </c>
    </row>
    <row r="622" spans="1:24" s="386" customFormat="1" ht="15">
      <c r="A622" s="612"/>
      <c r="B622" s="17">
        <f t="shared" si="207"/>
        <v>9</v>
      </c>
      <c r="C622" s="1" t="s">
        <v>171</v>
      </c>
      <c r="D622" s="1" t="s">
        <v>172</v>
      </c>
      <c r="E622" s="17"/>
      <c r="F622" s="24">
        <f>' WP II-I-1.4'!G622</f>
        <v>1652522021.4399998</v>
      </c>
      <c r="G622" s="17">
        <v>23</v>
      </c>
      <c r="H622" s="1" t="str">
        <f t="shared" si="208"/>
        <v>4CP RTL</v>
      </c>
      <c r="I622" s="17"/>
      <c r="J622" s="434">
        <f t="shared" si="209"/>
        <v>758188212.5284481</v>
      </c>
      <c r="K622" s="434">
        <f t="shared" si="209"/>
        <v>21192617.197626065</v>
      </c>
      <c r="L622" s="434">
        <f t="shared" si="209"/>
        <v>551175463.58832192</v>
      </c>
      <c r="M622" s="434">
        <f t="shared" si="209"/>
        <v>219196.03634105407</v>
      </c>
      <c r="N622" s="434">
        <f t="shared" si="209"/>
        <v>138570539.70599067</v>
      </c>
      <c r="O622" s="434">
        <f t="shared" si="209"/>
        <v>45384309.083489172</v>
      </c>
      <c r="P622" s="434">
        <f t="shared" si="209"/>
        <v>137791683.29978278</v>
      </c>
      <c r="Q622" s="434">
        <f t="shared" si="209"/>
        <v>0</v>
      </c>
      <c r="R622" s="434">
        <f t="shared" si="209"/>
        <v>0</v>
      </c>
      <c r="S622" s="434">
        <f t="shared" si="209"/>
        <v>0</v>
      </c>
      <c r="T622" s="17"/>
      <c r="U622" s="24">
        <f t="shared" si="210"/>
        <v>1652522021.4399998</v>
      </c>
      <c r="V622" s="612"/>
      <c r="W622" s="612"/>
      <c r="X622" s="839">
        <f t="shared" si="211"/>
        <v>0</v>
      </c>
    </row>
    <row r="623" spans="1:24" s="386" customFormat="1" ht="14.25">
      <c r="A623" s="47"/>
      <c r="B623" s="17">
        <f t="shared" si="207"/>
        <v>10</v>
      </c>
      <c r="C623" s="1" t="s">
        <v>173</v>
      </c>
      <c r="D623" s="31" t="s">
        <v>174</v>
      </c>
      <c r="E623" s="17"/>
      <c r="F623" s="24">
        <f>' WP II-I-1.4'!G623</f>
        <v>271783.87</v>
      </c>
      <c r="G623" s="17">
        <v>28</v>
      </c>
      <c r="H623" s="1" t="str">
        <f t="shared" si="208"/>
        <v>NCP XHV</v>
      </c>
      <c r="I623" s="17"/>
      <c r="J623" s="434">
        <f t="shared" si="209"/>
        <v>143046.09744447537</v>
      </c>
      <c r="K623" s="434">
        <f t="shared" si="209"/>
        <v>3493.2165526068775</v>
      </c>
      <c r="L623" s="434">
        <f t="shared" si="209"/>
        <v>92103.424888967565</v>
      </c>
      <c r="M623" s="434">
        <f t="shared" si="209"/>
        <v>52.069862482960986</v>
      </c>
      <c r="N623" s="434">
        <f t="shared" si="209"/>
        <v>22038.587283555</v>
      </c>
      <c r="O623" s="434">
        <f t="shared" si="209"/>
        <v>7969.9185371172589</v>
      </c>
      <c r="P623" s="434">
        <f t="shared" si="209"/>
        <v>0</v>
      </c>
      <c r="Q623" s="434">
        <f t="shared" si="209"/>
        <v>928.99516371480149</v>
      </c>
      <c r="R623" s="434">
        <f t="shared" si="209"/>
        <v>955.24461943959625</v>
      </c>
      <c r="S623" s="434">
        <f t="shared" si="209"/>
        <v>1196.3156476405625</v>
      </c>
      <c r="T623" s="17"/>
      <c r="U623" s="24">
        <f t="shared" si="210"/>
        <v>271783.87</v>
      </c>
      <c r="V623" s="47"/>
      <c r="W623" s="47"/>
      <c r="X623" s="839">
        <f t="shared" si="211"/>
        <v>0</v>
      </c>
    </row>
    <row r="624" spans="1:24" ht="14.25">
      <c r="A624" s="67"/>
      <c r="B624" s="17">
        <f t="shared" si="207"/>
        <v>11</v>
      </c>
      <c r="C624" s="1" t="s">
        <v>175</v>
      </c>
      <c r="D624" s="1" t="s">
        <v>176</v>
      </c>
      <c r="E624" s="17"/>
      <c r="F624" s="121">
        <f>' WP II-I-1.4'!G624</f>
        <v>0</v>
      </c>
      <c r="G624" s="17">
        <v>28</v>
      </c>
      <c r="H624" s="1" t="str">
        <f t="shared" si="208"/>
        <v>NCP XHV</v>
      </c>
      <c r="I624" s="17"/>
      <c r="J624" s="435">
        <f t="shared" si="209"/>
        <v>0</v>
      </c>
      <c r="K624" s="435">
        <f t="shared" si="209"/>
        <v>0</v>
      </c>
      <c r="L624" s="435">
        <f t="shared" si="209"/>
        <v>0</v>
      </c>
      <c r="M624" s="435">
        <f t="shared" si="209"/>
        <v>0</v>
      </c>
      <c r="N624" s="435">
        <f t="shared" si="209"/>
        <v>0</v>
      </c>
      <c r="O624" s="435">
        <f t="shared" si="209"/>
        <v>0</v>
      </c>
      <c r="P624" s="435">
        <f t="shared" si="209"/>
        <v>0</v>
      </c>
      <c r="Q624" s="435">
        <f t="shared" si="209"/>
        <v>0</v>
      </c>
      <c r="R624" s="435">
        <f t="shared" si="209"/>
        <v>0</v>
      </c>
      <c r="S624" s="435">
        <f t="shared" si="209"/>
        <v>0</v>
      </c>
      <c r="T624" s="17"/>
      <c r="U624" s="121">
        <f t="shared" si="210"/>
        <v>0</v>
      </c>
      <c r="V624" s="67"/>
      <c r="W624" s="67"/>
      <c r="X624" s="370">
        <f t="shared" si="211"/>
        <v>0</v>
      </c>
    </row>
    <row r="625" spans="1:24" ht="15">
      <c r="A625" s="67"/>
      <c r="B625" s="17">
        <f t="shared" si="207"/>
        <v>12</v>
      </c>
      <c r="C625" s="8"/>
      <c r="D625" s="297" t="s">
        <v>491</v>
      </c>
      <c r="E625" s="20"/>
      <c r="F625" s="896">
        <f>SUM(F617:F624)</f>
        <v>1653362993.2199998</v>
      </c>
      <c r="G625" s="1059"/>
      <c r="H625" s="1059"/>
      <c r="I625" s="1059"/>
      <c r="J625" s="896">
        <f t="shared" si="212" ref="J625:Q625">SUM(J617:J624)</f>
        <v>758630835.30510497</v>
      </c>
      <c r="K625" s="896">
        <f t="shared" si="212"/>
        <v>21203426.141299475</v>
      </c>
      <c r="L625" s="896">
        <f t="shared" si="212"/>
        <v>551460456.14940727</v>
      </c>
      <c r="M625" s="896">
        <f t="shared" si="212"/>
        <v>219357.15438288875</v>
      </c>
      <c r="N625" s="896">
        <f t="shared" si="212"/>
        <v>138638732.97285575</v>
      </c>
      <c r="O625" s="896">
        <f>SUM(O617:O624)</f>
        <v>45408970.137063153</v>
      </c>
      <c r="P625" s="896">
        <f t="shared" si="212"/>
        <v>137791683.29978278</v>
      </c>
      <c r="Q625" s="896">
        <f t="shared" si="212"/>
        <v>2874.5588045406375</v>
      </c>
      <c r="R625" s="896">
        <f>SUM(R617:R624)</f>
        <v>2955.7816214241848</v>
      </c>
      <c r="S625" s="896">
        <f>SUM(S617:S624)</f>
        <v>3701.7196776178685</v>
      </c>
      <c r="T625" s="1010"/>
      <c r="U625" s="299">
        <f t="shared" si="210"/>
        <v>1653362993.2200003</v>
      </c>
      <c r="V625" s="67"/>
      <c r="W625" s="67"/>
      <c r="X625" s="370">
        <f t="shared" si="211"/>
        <v>0</v>
      </c>
    </row>
    <row r="626" spans="1:24" ht="15">
      <c r="A626" s="67"/>
      <c r="B626" s="17">
        <f t="shared" si="207"/>
        <v>13</v>
      </c>
      <c r="C626" s="8"/>
      <c r="D626" s="20"/>
      <c r="E626" s="20"/>
      <c r="F626" s="896"/>
      <c r="G626" s="1059"/>
      <c r="H626" s="1059"/>
      <c r="I626" s="1059"/>
      <c r="J626" s="896"/>
      <c r="K626" s="896"/>
      <c r="L626" s="896"/>
      <c r="M626" s="896"/>
      <c r="N626" s="896"/>
      <c r="O626" s="896"/>
      <c r="P626" s="896"/>
      <c r="Q626" s="896"/>
      <c r="R626" s="896"/>
      <c r="S626" s="896"/>
      <c r="T626" s="1010"/>
      <c r="U626" s="8"/>
      <c r="V626" s="67"/>
      <c r="W626" s="67"/>
      <c r="X626" s="370">
        <f t="shared" si="211"/>
        <v>0</v>
      </c>
    </row>
    <row r="627" spans="1:24" ht="15">
      <c r="A627" s="67"/>
      <c r="B627" s="17">
        <f t="shared" si="207"/>
        <v>14</v>
      </c>
      <c r="C627" s="8"/>
      <c r="D627" s="297" t="s">
        <v>627</v>
      </c>
      <c r="E627" s="20"/>
      <c r="F627" s="896">
        <f>F625-F622</f>
        <v>840971.77999997139</v>
      </c>
      <c r="G627" s="1059"/>
      <c r="H627" s="1059"/>
      <c r="I627" s="1059"/>
      <c r="J627" s="896">
        <f t="shared" si="213" ref="J627:Q627">J625-J622</f>
        <v>442622.77665686607</v>
      </c>
      <c r="K627" s="896">
        <f t="shared" si="213"/>
        <v>10808.943673409522</v>
      </c>
      <c r="L627" s="896">
        <f t="shared" si="213"/>
        <v>284992.56108534336</v>
      </c>
      <c r="M627" s="896">
        <f t="shared" si="213"/>
        <v>161.11804183467757</v>
      </c>
      <c r="N627" s="896">
        <f t="shared" si="213"/>
        <v>68193.266865074635</v>
      </c>
      <c r="O627" s="896">
        <f>O625-O622</f>
        <v>24661.053573980927</v>
      </c>
      <c r="P627" s="896">
        <f t="shared" si="213"/>
        <v>0</v>
      </c>
      <c r="Q627" s="896">
        <f t="shared" si="213"/>
        <v>2874.5588045406375</v>
      </c>
      <c r="R627" s="896">
        <f>R625-R622</f>
        <v>2955.7816214241848</v>
      </c>
      <c r="S627" s="896">
        <f>S625-S622</f>
        <v>3701.7196776178685</v>
      </c>
      <c r="T627" s="1010"/>
      <c r="U627" s="299">
        <f>SUM(I627:T627)</f>
        <v>840971.78000009188</v>
      </c>
      <c r="V627" s="67"/>
      <c r="W627" s="67"/>
      <c r="X627" s="370">
        <f t="shared" si="211"/>
        <v>1.2048985809087753E-07</v>
      </c>
    </row>
    <row r="628" spans="1:24" ht="15">
      <c r="A628" s="67"/>
      <c r="B628" s="17">
        <f t="shared" si="207"/>
        <v>15</v>
      </c>
      <c r="C628" s="8"/>
      <c r="D628" s="20"/>
      <c r="E628" s="20"/>
      <c r="F628" s="896"/>
      <c r="G628" s="1059"/>
      <c r="H628" s="1059"/>
      <c r="I628" s="1059"/>
      <c r="J628" s="1059"/>
      <c r="K628" s="1059"/>
      <c r="L628" s="1059"/>
      <c r="M628" s="1059"/>
      <c r="N628" s="1059"/>
      <c r="O628" s="1059"/>
      <c r="P628" s="1059"/>
      <c r="Q628" s="1059"/>
      <c r="R628" s="1059"/>
      <c r="S628" s="1059"/>
      <c r="T628" s="1010"/>
      <c r="U628" s="8"/>
      <c r="V628" s="67"/>
      <c r="W628" s="67"/>
      <c r="X628" s="370">
        <f t="shared" si="211"/>
        <v>0</v>
      </c>
    </row>
    <row r="629" spans="1:24" ht="15">
      <c r="A629" s="67"/>
      <c r="B629" s="17">
        <f t="shared" si="207"/>
        <v>16</v>
      </c>
      <c r="C629" s="8"/>
      <c r="D629" s="366" t="s">
        <v>628</v>
      </c>
      <c r="E629" s="20" t="s">
        <v>160</v>
      </c>
      <c r="F629" s="896"/>
      <c r="G629" s="1059"/>
      <c r="H629" s="1059"/>
      <c r="I629" s="1059"/>
      <c r="J629" s="1059"/>
      <c r="K629" s="1059"/>
      <c r="L629" s="1059"/>
      <c r="M629" s="1059"/>
      <c r="N629" s="1059"/>
      <c r="O629" s="1059"/>
      <c r="P629" s="1059"/>
      <c r="Q629" s="1059"/>
      <c r="R629" s="1059"/>
      <c r="S629" s="1059"/>
      <c r="T629" s="1010"/>
      <c r="U629" s="8"/>
      <c r="V629" s="67"/>
      <c r="W629" s="67"/>
      <c r="X629" s="370">
        <f t="shared" si="211"/>
        <v>0</v>
      </c>
    </row>
    <row r="630" spans="1:24" ht="14.25">
      <c r="A630" s="67"/>
      <c r="B630" s="17">
        <f t="shared" si="207"/>
        <v>17</v>
      </c>
      <c r="C630" s="1" t="s">
        <v>178</v>
      </c>
      <c r="D630" s="1" t="s">
        <v>179</v>
      </c>
      <c r="E630" s="17"/>
      <c r="F630" s="121">
        <f>' WP II-I-1.4'!G630</f>
        <v>85793.720000000001</v>
      </c>
      <c r="G630" s="17">
        <v>28</v>
      </c>
      <c r="H630" s="1" t="str">
        <f t="shared" si="214" ref="H630:H635">VLOOKUP(G630,FactorTable,2)</f>
        <v>NCP XHV</v>
      </c>
      <c r="I630" s="17"/>
      <c r="J630" s="434">
        <f t="shared" si="215" ref="J630:S635">$F630*HLOOKUP(J$1318,FactorTable,$G630+1)</f>
        <v>45155.206713496409</v>
      </c>
      <c r="K630" s="434">
        <f t="shared" si="215"/>
        <v>1102.6998872807269</v>
      </c>
      <c r="L630" s="434">
        <f t="shared" si="215"/>
        <v>29074.188420251408</v>
      </c>
      <c r="M630" s="434">
        <f t="shared" si="215"/>
        <v>16.436837117308173</v>
      </c>
      <c r="N630" s="434">
        <f t="shared" si="215"/>
        <v>6956.8969880400855</v>
      </c>
      <c r="O630" s="434">
        <f t="shared" si="215"/>
        <v>2515.8555560940677</v>
      </c>
      <c r="P630" s="434">
        <f t="shared" si="215"/>
        <v>0</v>
      </c>
      <c r="Q630" s="434">
        <f t="shared" si="215"/>
        <v>293.25489756659158</v>
      </c>
      <c r="R630" s="434">
        <f t="shared" si="215"/>
        <v>301.54103483664164</v>
      </c>
      <c r="S630" s="434">
        <f t="shared" si="215"/>
        <v>377.63966531675732</v>
      </c>
      <c r="T630" s="17"/>
      <c r="U630" s="118">
        <f t="shared" si="216" ref="U630:U636">SUM(I630:T630)</f>
        <v>85793.719999999987</v>
      </c>
      <c r="V630" s="67"/>
      <c r="W630" s="67"/>
      <c r="X630" s="370">
        <f t="shared" si="211"/>
        <v>0</v>
      </c>
    </row>
    <row r="631" spans="1:24" ht="14.25">
      <c r="A631" s="67"/>
      <c r="B631" s="17">
        <f t="shared" si="207"/>
        <v>18</v>
      </c>
      <c r="C631" s="1" t="s">
        <v>180</v>
      </c>
      <c r="D631" s="31" t="s">
        <v>181</v>
      </c>
      <c r="E631" s="17"/>
      <c r="F631" s="121">
        <f>' WP II-I-1.4'!G631</f>
        <v>24.050000000000001</v>
      </c>
      <c r="G631" s="17">
        <v>28</v>
      </c>
      <c r="H631" s="1" t="str">
        <f t="shared" si="214"/>
        <v>NCP XHV</v>
      </c>
      <c r="I631" s="17"/>
      <c r="J631" s="434">
        <f t="shared" si="215"/>
        <v>12.658067763696325</v>
      </c>
      <c r="K631" s="434">
        <f t="shared" si="215"/>
        <v>0.30911274495500929</v>
      </c>
      <c r="L631" s="434">
        <f t="shared" si="215"/>
        <v>8.1501796577540446</v>
      </c>
      <c r="M631" s="434">
        <f t="shared" si="215"/>
        <v>0.0046076325012047691</v>
      </c>
      <c r="N631" s="434">
        <f t="shared" si="215"/>
        <v>1.9501820478511023</v>
      </c>
      <c r="O631" s="434">
        <f t="shared" si="215"/>
        <v>0.70525355613513818</v>
      </c>
      <c r="P631" s="434">
        <f t="shared" si="215"/>
        <v>0</v>
      </c>
      <c r="Q631" s="434">
        <f t="shared" si="215"/>
        <v>0.082206253400324961</v>
      </c>
      <c r="R631" s="434">
        <f t="shared" si="215"/>
        <v>0.08452905280038249</v>
      </c>
      <c r="S631" s="434">
        <f t="shared" si="215"/>
        <v>0.10586129090646744</v>
      </c>
      <c r="T631" s="17"/>
      <c r="U631" s="118">
        <f t="shared" si="216"/>
        <v>24.049999999999994</v>
      </c>
      <c r="V631" s="67"/>
      <c r="W631" s="67"/>
      <c r="X631" s="370">
        <f t="shared" si="211"/>
        <v>0</v>
      </c>
    </row>
    <row r="632" spans="1:24" ht="14.25">
      <c r="A632" s="67"/>
      <c r="B632" s="17">
        <f t="shared" si="207"/>
        <v>19</v>
      </c>
      <c r="C632" s="1" t="s">
        <v>182</v>
      </c>
      <c r="D632" s="1" t="s">
        <v>183</v>
      </c>
      <c r="E632" s="17"/>
      <c r="F632" s="121">
        <f>' WP II-I-1.4'!G632</f>
        <v>179023.23999999999</v>
      </c>
      <c r="G632" s="17">
        <v>28</v>
      </c>
      <c r="H632" s="1" t="str">
        <f t="shared" si="214"/>
        <v>NCP XHV</v>
      </c>
      <c r="I632" s="17"/>
      <c r="J632" s="434">
        <f t="shared" si="215"/>
        <v>94224.045870955102</v>
      </c>
      <c r="K632" s="434">
        <f t="shared" si="215"/>
        <v>2300.9715229579801</v>
      </c>
      <c r="L632" s="434">
        <f t="shared" si="215"/>
        <v>60668.256503668199</v>
      </c>
      <c r="M632" s="434">
        <f t="shared" si="215"/>
        <v>34.298266074635407</v>
      </c>
      <c r="N632" s="434">
        <f t="shared" si="215"/>
        <v>14516.752964496438</v>
      </c>
      <c r="O632" s="434">
        <f t="shared" si="215"/>
        <v>5249.7620224879129</v>
      </c>
      <c r="P632" s="434">
        <f t="shared" si="215"/>
        <v>0</v>
      </c>
      <c r="Q632" s="434">
        <f t="shared" si="215"/>
        <v>611.92639634042371</v>
      </c>
      <c r="R632" s="434">
        <f t="shared" si="215"/>
        <v>629.21683602725761</v>
      </c>
      <c r="S632" s="434">
        <f t="shared" si="215"/>
        <v>788.0096169920306</v>
      </c>
      <c r="T632" s="17"/>
      <c r="U632" s="118">
        <f t="shared" si="216"/>
        <v>179023.23999999996</v>
      </c>
      <c r="V632" s="67"/>
      <c r="W632" s="67"/>
      <c r="X632" s="370">
        <f t="shared" si="211"/>
        <v>0</v>
      </c>
    </row>
    <row r="633" spans="1:24" ht="14.25">
      <c r="A633" s="67"/>
      <c r="B633" s="17">
        <f t="shared" si="207"/>
        <v>20</v>
      </c>
      <c r="C633" s="1" t="s">
        <v>184</v>
      </c>
      <c r="D633" s="1" t="s">
        <v>185</v>
      </c>
      <c r="E633" s="17"/>
      <c r="F633" s="121">
        <f>' WP II-I-1.4'!G633</f>
        <v>4628.7399999999998</v>
      </c>
      <c r="G633" s="17">
        <v>28</v>
      </c>
      <c r="H633" s="1" t="str">
        <f t="shared" si="214"/>
        <v>NCP XHV</v>
      </c>
      <c r="I633" s="17"/>
      <c r="J633" s="434">
        <f t="shared" si="215"/>
        <v>2436.2122486707576</v>
      </c>
      <c r="K633" s="434">
        <f t="shared" si="215"/>
        <v>59.492828568941775</v>
      </c>
      <c r="L633" s="434">
        <f t="shared" si="215"/>
        <v>1568.6096710616407</v>
      </c>
      <c r="M633" s="434">
        <f t="shared" si="215"/>
        <v>0.88679970326929569</v>
      </c>
      <c r="N633" s="434">
        <f t="shared" si="215"/>
        <v>375.33828075552225</v>
      </c>
      <c r="O633" s="434">
        <f t="shared" si="215"/>
        <v>135.73535739812721</v>
      </c>
      <c r="P633" s="434">
        <f t="shared" si="215"/>
        <v>0</v>
      </c>
      <c r="Q633" s="434">
        <f t="shared" si="215"/>
        <v>15.821678726162999</v>
      </c>
      <c r="R633" s="434">
        <f t="shared" si="215"/>
        <v>16.268732135519436</v>
      </c>
      <c r="S633" s="434">
        <f t="shared" si="215"/>
        <v>20.374402980058299</v>
      </c>
      <c r="T633" s="17"/>
      <c r="U633" s="118">
        <f t="shared" si="216"/>
        <v>4628.7399999999998</v>
      </c>
      <c r="V633" s="67"/>
      <c r="W633" s="67"/>
      <c r="X633" s="370">
        <f t="shared" si="211"/>
        <v>0</v>
      </c>
    </row>
    <row r="634" spans="1:24" ht="14.25">
      <c r="A634" s="67"/>
      <c r="B634" s="17">
        <f t="shared" si="207"/>
        <v>21</v>
      </c>
      <c r="C634" s="1" t="s">
        <v>186</v>
      </c>
      <c r="D634" s="31" t="s">
        <v>187</v>
      </c>
      <c r="E634" s="17"/>
      <c r="F634" s="121">
        <f>' WP II-I-1.4'!G634</f>
        <v>79.019999999999996</v>
      </c>
      <c r="G634" s="17">
        <v>28</v>
      </c>
      <c r="H634" s="1" t="str">
        <f t="shared" si="214"/>
        <v>NCP XHV</v>
      </c>
      <c r="I634" s="17"/>
      <c r="J634" s="434">
        <f t="shared" si="215"/>
        <v>41.590042190739439</v>
      </c>
      <c r="K634" s="434">
        <f t="shared" si="215"/>
        <v>1.015637800679619</v>
      </c>
      <c r="L634" s="434">
        <f t="shared" si="215"/>
        <v>26.778677611464641</v>
      </c>
      <c r="M634" s="434">
        <f t="shared" si="215"/>
        <v>0.015139090238885688</v>
      </c>
      <c r="N634" s="434">
        <f t="shared" si="215"/>
        <v>6.407625173438424</v>
      </c>
      <c r="O634" s="434">
        <f t="shared" si="215"/>
        <v>2.3172197923408988</v>
      </c>
      <c r="P634" s="434">
        <f t="shared" si="215"/>
        <v>0</v>
      </c>
      <c r="Q634" s="434">
        <f t="shared" si="215"/>
        <v>0.27010137811616125</v>
      </c>
      <c r="R634" s="434">
        <f t="shared" si="215"/>
        <v>0.2777332953133565</v>
      </c>
      <c r="S634" s="434">
        <f t="shared" si="215"/>
        <v>0.34782366766856782</v>
      </c>
      <c r="T634" s="17"/>
      <c r="U634" s="118">
        <f t="shared" si="216"/>
        <v>79.019999999999982</v>
      </c>
      <c r="V634" s="67"/>
      <c r="W634" s="67"/>
      <c r="X634" s="370">
        <f t="shared" si="211"/>
        <v>0</v>
      </c>
    </row>
    <row r="635" spans="1:24" ht="14.25">
      <c r="A635" s="67"/>
      <c r="B635" s="17">
        <f t="shared" si="207"/>
        <v>22</v>
      </c>
      <c r="C635" s="1" t="s">
        <v>188</v>
      </c>
      <c r="D635" s="31" t="s">
        <v>189</v>
      </c>
      <c r="E635" s="17"/>
      <c r="F635" s="121">
        <f>' WP II-I-1.4'!G635</f>
        <v>35239.690000000002</v>
      </c>
      <c r="G635" s="17">
        <v>28</v>
      </c>
      <c r="H635" s="1" t="str">
        <f t="shared" si="214"/>
        <v>NCP XHV</v>
      </c>
      <c r="I635" s="17"/>
      <c r="J635" s="435">
        <f t="shared" si="215"/>
        <v>18547.458793831673</v>
      </c>
      <c r="K635" s="435">
        <f t="shared" si="215"/>
        <v>452.93294416896435</v>
      </c>
      <c r="L635" s="435">
        <f t="shared" si="215"/>
        <v>11942.195616779985</v>
      </c>
      <c r="M635" s="435">
        <f t="shared" si="215"/>
        <v>6.7514154252133345</v>
      </c>
      <c r="N635" s="435">
        <f t="shared" si="215"/>
        <v>2857.5389110119754</v>
      </c>
      <c r="O635" s="435">
        <f t="shared" si="215"/>
        <v>1033.3853093388718</v>
      </c>
      <c r="P635" s="435">
        <f t="shared" si="215"/>
        <v>0</v>
      </c>
      <c r="Q635" s="435">
        <f t="shared" si="215"/>
        <v>120.45417404943441</v>
      </c>
      <c r="R635" s="435">
        <f t="shared" si="215"/>
        <v>123.8576971592146</v>
      </c>
      <c r="S635" s="435">
        <f t="shared" si="215"/>
        <v>155.1151382346666</v>
      </c>
      <c r="T635" s="17"/>
      <c r="U635" s="118">
        <f t="shared" si="216"/>
        <v>35239.689999999995</v>
      </c>
      <c r="V635" s="67"/>
      <c r="W635" s="67"/>
      <c r="X635" s="370">
        <f t="shared" si="211"/>
        <v>0</v>
      </c>
    </row>
    <row r="636" spans="1:24" ht="15">
      <c r="A636" s="67"/>
      <c r="B636" s="17">
        <f t="shared" si="207"/>
        <v>23</v>
      </c>
      <c r="C636" s="8"/>
      <c r="D636" s="297" t="s">
        <v>491</v>
      </c>
      <c r="E636" s="20"/>
      <c r="F636" s="896">
        <f>SUM(F630:F635)</f>
        <v>304788.46000000002</v>
      </c>
      <c r="G636" s="1059"/>
      <c r="H636" s="1059"/>
      <c r="I636" s="1059"/>
      <c r="J636" s="896">
        <f t="shared" si="217" ref="J636:Q636">SUM(J630:J635)</f>
        <v>160417.17173690838</v>
      </c>
      <c r="K636" s="896">
        <f t="shared" si="217"/>
        <v>3917.4219335222474</v>
      </c>
      <c r="L636" s="896">
        <f t="shared" si="217"/>
        <v>103288.17906903045</v>
      </c>
      <c r="M636" s="896">
        <f t="shared" si="217"/>
        <v>58.393065043166303</v>
      </c>
      <c r="N636" s="896">
        <f t="shared" si="217"/>
        <v>24714.88495152531</v>
      </c>
      <c r="O636" s="896">
        <f>SUM(O630:O635)</f>
        <v>8937.7607186674559</v>
      </c>
      <c r="P636" s="896">
        <f t="shared" si="217"/>
        <v>0</v>
      </c>
      <c r="Q636" s="896">
        <f t="shared" si="217"/>
        <v>1041.8094543141292</v>
      </c>
      <c r="R636" s="896">
        <f>SUM(R630:R635)</f>
        <v>1071.2465625067471</v>
      </c>
      <c r="S636" s="896">
        <f>SUM(S630:S635)</f>
        <v>1341.5925084820876</v>
      </c>
      <c r="T636" s="1010"/>
      <c r="U636" s="299">
        <f t="shared" si="216"/>
        <v>304788.45999999996</v>
      </c>
      <c r="V636" s="67"/>
      <c r="W636" s="67"/>
      <c r="X636" s="370">
        <f t="shared" si="211"/>
        <v>0</v>
      </c>
    </row>
    <row r="637" spans="1:24" ht="15.75" thickBot="1">
      <c r="A637" s="67"/>
      <c r="B637" s="17">
        <f t="shared" si="207"/>
        <v>24</v>
      </c>
      <c r="C637" s="8"/>
      <c r="D637" s="297"/>
      <c r="E637" s="20"/>
      <c r="F637" s="22"/>
      <c r="G637" s="20"/>
      <c r="H637" s="20"/>
      <c r="I637" s="20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0"/>
      <c r="U637" s="8"/>
      <c r="V637" s="67"/>
      <c r="W637" s="67"/>
      <c r="X637" s="370">
        <f t="shared" si="211"/>
        <v>0</v>
      </c>
    </row>
    <row r="638" spans="1:24" ht="15.75" thickBot="1">
      <c r="A638" s="67"/>
      <c r="B638" s="17">
        <f t="shared" si="207"/>
        <v>25</v>
      </c>
      <c r="C638" s="870" t="s">
        <v>629</v>
      </c>
      <c r="D638" s="1017"/>
      <c r="E638" s="1013"/>
      <c r="F638" s="1014">
        <f>+F636+F625</f>
        <v>1653667781.6799998</v>
      </c>
      <c r="G638" s="1013"/>
      <c r="H638" s="1013"/>
      <c r="I638" s="1016"/>
      <c r="J638" s="1014">
        <f t="shared" si="218" ref="J638:Q638">+J636+J625</f>
        <v>758791252.47684193</v>
      </c>
      <c r="K638" s="1014">
        <f t="shared" si="218"/>
        <v>21207343.563232996</v>
      </c>
      <c r="L638" s="1014">
        <f t="shared" si="218"/>
        <v>551563744.32847631</v>
      </c>
      <c r="M638" s="1014">
        <f t="shared" si="218"/>
        <v>219415.54744793192</v>
      </c>
      <c r="N638" s="1014">
        <f t="shared" si="218"/>
        <v>138663447.85780728</v>
      </c>
      <c r="O638" s="1014">
        <f>+O636+O625</f>
        <v>45417907.897781819</v>
      </c>
      <c r="P638" s="1014">
        <f t="shared" si="218"/>
        <v>137791683.29978278</v>
      </c>
      <c r="Q638" s="1014">
        <f t="shared" si="218"/>
        <v>3916.3682588547667</v>
      </c>
      <c r="R638" s="1014">
        <f>+R636+R625</f>
        <v>4027.0281839309318</v>
      </c>
      <c r="S638" s="1014">
        <f>+S636+S625</f>
        <v>5043.3121860999563</v>
      </c>
      <c r="T638" s="1016"/>
      <c r="U638" s="1015">
        <f>SUM(I638:T638)</f>
        <v>1653667781.6800001</v>
      </c>
      <c r="V638" s="67"/>
      <c r="W638" s="67"/>
      <c r="X638" s="370">
        <f t="shared" si="211"/>
        <v>0</v>
      </c>
    </row>
    <row r="639" spans="1:24" ht="15.75" thickBot="1">
      <c r="A639" s="67"/>
      <c r="B639" s="17">
        <f t="shared" si="207"/>
        <v>26</v>
      </c>
      <c r="C639" s="8"/>
      <c r="D639" s="8"/>
      <c r="E639" s="20"/>
      <c r="F639" s="22"/>
      <c r="G639" s="20"/>
      <c r="H639" s="20"/>
      <c r="I639" s="20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0"/>
      <c r="U639" s="8"/>
      <c r="V639" s="67"/>
      <c r="W639" s="67"/>
      <c r="X639" s="370">
        <f t="shared" si="211"/>
        <v>0</v>
      </c>
    </row>
    <row r="640" spans="1:24" ht="15.75" thickBot="1">
      <c r="A640" s="67"/>
      <c r="B640" s="17">
        <f t="shared" si="207"/>
        <v>27</v>
      </c>
      <c r="C640" s="870" t="s">
        <v>630</v>
      </c>
      <c r="D640" s="1017"/>
      <c r="E640" s="1013"/>
      <c r="F640" s="1014">
        <f>F638-F622</f>
        <v>1145760.2400000095</v>
      </c>
      <c r="G640" s="1013"/>
      <c r="H640" s="1013"/>
      <c r="I640" s="1016"/>
      <c r="J640" s="1014">
        <f t="shared" si="219" ref="J640:Q640">J638-J622</f>
        <v>603039.94839382172</v>
      </c>
      <c r="K640" s="1014">
        <f t="shared" si="219"/>
        <v>14726.365606930107</v>
      </c>
      <c r="L640" s="1014">
        <f t="shared" si="219"/>
        <v>388280.74015438557</v>
      </c>
      <c r="M640" s="1014">
        <f t="shared" si="219"/>
        <v>219.51110687784967</v>
      </c>
      <c r="N640" s="1014">
        <f t="shared" si="219"/>
        <v>92908.151816606522</v>
      </c>
      <c r="O640" s="1014">
        <f>O638-O622</f>
        <v>33598.814292646945</v>
      </c>
      <c r="P640" s="1014">
        <f t="shared" si="219"/>
        <v>0</v>
      </c>
      <c r="Q640" s="1014">
        <f t="shared" si="219"/>
        <v>3916.3682588547667</v>
      </c>
      <c r="R640" s="1014">
        <f>R638-R622</f>
        <v>4027.0281839309318</v>
      </c>
      <c r="S640" s="1014">
        <f>S638-S622</f>
        <v>5043.3121860999563</v>
      </c>
      <c r="T640" s="1016"/>
      <c r="U640" s="1015">
        <f>SUM(I640:T640)</f>
        <v>1145760.2400001546</v>
      </c>
      <c r="V640" s="67"/>
      <c r="W640" s="67"/>
      <c r="X640" s="370">
        <f t="shared" si="211"/>
        <v>1.4505349099636078E-07</v>
      </c>
    </row>
    <row r="641" spans="1:24" ht="15">
      <c r="A641" s="67"/>
      <c r="B641" s="17"/>
      <c r="C641" s="8"/>
      <c r="D641" s="8"/>
      <c r="E641" s="20"/>
      <c r="F641" s="2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8"/>
      <c r="V641" s="67"/>
      <c r="W641" s="67"/>
      <c r="X641" s="370">
        <f t="shared" si="211"/>
        <v>0</v>
      </c>
    </row>
    <row r="642" spans="1:24" ht="15">
      <c r="A642" s="67"/>
      <c r="B642" s="17"/>
      <c r="C642" s="8"/>
      <c r="D642" s="8"/>
      <c r="E642" s="20"/>
      <c r="F642" s="22"/>
      <c r="G642" s="20"/>
      <c r="H642" s="13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134"/>
      <c r="V642" s="134">
        <f>$H$2</f>
        <v>0</v>
      </c>
      <c r="W642" s="134"/>
      <c r="X642" s="370"/>
    </row>
    <row r="643" spans="1:24" ht="15.75" thickBot="1">
      <c r="A643" s="67"/>
      <c r="B643" s="17"/>
      <c r="C643" s="8"/>
      <c r="D643" s="8"/>
      <c r="E643" s="20"/>
      <c r="F643" s="2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8"/>
      <c r="V643" s="67"/>
      <c r="W643" s="67"/>
      <c r="X643" s="370">
        <f t="shared" si="211"/>
        <v>0</v>
      </c>
    </row>
    <row r="644" spans="1:24" ht="15">
      <c r="A644" s="67"/>
      <c r="B644" s="920" t="str">
        <f>+$B$4</f>
        <v>2022 RATE CASE</v>
      </c>
      <c r="C644" s="935"/>
      <c r="D644" s="969"/>
      <c r="F644" s="332"/>
      <c r="U644" s="134"/>
      <c r="X644" s="370">
        <f t="shared" si="211"/>
        <v>0</v>
      </c>
    </row>
    <row r="645" spans="1:24" ht="15">
      <c r="A645" s="67"/>
      <c r="B645" s="917" t="str">
        <f>+$B$5</f>
        <v>ONCOR ELECTRIC DELIVERY COMPANY LLC</v>
      </c>
      <c r="C645" s="8"/>
      <c r="D645" s="970"/>
      <c r="F645" s="332"/>
      <c r="U645" s="134"/>
      <c r="V645" s="67"/>
      <c r="W645" s="67"/>
      <c r="X645" s="370">
        <f t="shared" si="211"/>
        <v>0</v>
      </c>
    </row>
    <row r="646" spans="1:24" ht="15">
      <c r="A646" s="67"/>
      <c r="B646" s="917" t="str">
        <f>+$B$6</f>
        <v>II-I-1-DIST:  CLASS REVENUE REQUIREMENT</v>
      </c>
      <c r="C646" s="85"/>
      <c r="D646" s="970"/>
      <c r="F646" s="332"/>
      <c r="U646" s="332"/>
      <c r="V646" s="67"/>
      <c r="W646" s="67"/>
      <c r="X646" s="370">
        <f t="shared" si="211"/>
        <v>0</v>
      </c>
    </row>
    <row r="647" spans="1:24" ht="15">
      <c r="A647" s="67"/>
      <c r="B647" s="406" t="str">
        <f>+$B$7</f>
        <v>TEST YEAR ENDING 12/31/2021</v>
      </c>
      <c r="C647" s="85"/>
      <c r="D647" s="970"/>
      <c r="F647" s="332"/>
      <c r="U647" s="332"/>
      <c r="V647" s="67"/>
      <c r="W647" s="67"/>
      <c r="X647" s="370">
        <f t="shared" si="211"/>
        <v>0</v>
      </c>
    </row>
    <row r="648" spans="1:24" ht="15">
      <c r="A648" s="67"/>
      <c r="B648" s="406" t="str">
        <f>+$B$8</f>
        <v>SPONSOR:  MATTHEW A. TROXLE</v>
      </c>
      <c r="C648" s="85"/>
      <c r="D648" s="970"/>
      <c r="F648" s="332"/>
      <c r="U648" s="332"/>
      <c r="V648" s="67"/>
      <c r="W648" s="67"/>
      <c r="X648" s="370">
        <f t="shared" si="211"/>
        <v>0</v>
      </c>
    </row>
    <row r="649" spans="1:24" ht="15.75" thickBot="1">
      <c r="A649" s="67"/>
      <c r="B649" s="410"/>
      <c r="C649" s="934"/>
      <c r="D649" s="936"/>
      <c r="F649" s="332"/>
      <c r="U649" s="332"/>
      <c r="V649" s="67"/>
      <c r="W649" s="67"/>
      <c r="X649" s="370">
        <f t="shared" si="211"/>
        <v>0</v>
      </c>
    </row>
    <row r="650" spans="1:24" ht="15" thickBot="1">
      <c r="A650" s="67"/>
      <c r="B650" s="13"/>
      <c r="C650" s="14"/>
      <c r="D650" s="14"/>
      <c r="E650" s="14"/>
      <c r="F650" s="13"/>
      <c r="G650" s="14"/>
      <c r="H650" s="14"/>
      <c r="I650" s="14"/>
      <c r="J650" s="238"/>
      <c r="K650" s="238"/>
      <c r="L650" s="14"/>
      <c r="M650" s="238"/>
      <c r="N650" s="238"/>
      <c r="O650" s="238"/>
      <c r="P650" s="238"/>
      <c r="Q650" s="14"/>
      <c r="R650" s="393" t="str">
        <f>R$10</f>
        <v xml:space="preserve"> </v>
      </c>
      <c r="S650" s="394"/>
      <c r="T650" s="238"/>
      <c r="U650" s="13"/>
      <c r="V650" s="67"/>
      <c r="W650" s="67"/>
      <c r="X650" s="370">
        <f t="shared" si="211"/>
        <v>0</v>
      </c>
    </row>
    <row r="651" spans="1:24" ht="15">
      <c r="A651" s="67"/>
      <c r="B651" s="15" t="s">
        <v>2</v>
      </c>
      <c r="C651" s="15" t="s">
        <v>370</v>
      </c>
      <c r="D651" s="287" t="s">
        <v>631</v>
      </c>
      <c r="E651" s="15" t="s">
        <v>371</v>
      </c>
      <c r="F651" s="287" t="str">
        <f>F$11</f>
        <v>DIST</v>
      </c>
      <c r="G651" s="242" t="s">
        <v>741</v>
      </c>
      <c r="H651" s="242" t="s">
        <v>376</v>
      </c>
      <c r="I651" s="15"/>
      <c r="J651" s="242" t="s">
        <v>730</v>
      </c>
      <c r="K651" s="242" t="s">
        <v>409</v>
      </c>
      <c r="L651" s="15" t="s">
        <v>409</v>
      </c>
      <c r="M651" s="242" t="s">
        <v>410</v>
      </c>
      <c r="N651" s="242" t="s">
        <v>410</v>
      </c>
      <c r="O651" s="242" t="s">
        <v>410</v>
      </c>
      <c r="P651" s="242" t="s">
        <v>411</v>
      </c>
      <c r="Q651" s="15" t="s">
        <v>412</v>
      </c>
      <c r="R651" s="396" t="str">
        <f>R$11</f>
        <v>Wholesale</v>
      </c>
      <c r="S651" s="13" t="str">
        <f>S$11</f>
        <v>Wholesale</v>
      </c>
      <c r="T651" s="242"/>
      <c r="U651" s="15" t="s">
        <v>10</v>
      </c>
      <c r="V651" s="67"/>
      <c r="W651" s="67"/>
      <c r="X651" s="370"/>
    </row>
    <row r="652" spans="1:24" ht="14.25">
      <c r="A652" s="67"/>
      <c r="B652" s="15"/>
      <c r="C652" s="15"/>
      <c r="D652" s="15"/>
      <c r="E652" s="15"/>
      <c r="F652" s="15"/>
      <c r="G652" s="242" t="s">
        <v>742</v>
      </c>
      <c r="H652" s="242" t="s">
        <v>743</v>
      </c>
      <c r="I652" s="15"/>
      <c r="J652" s="242"/>
      <c r="K652" s="242" t="s">
        <v>731</v>
      </c>
      <c r="L652" s="15" t="s">
        <v>732</v>
      </c>
      <c r="M652" s="242" t="s">
        <v>731</v>
      </c>
      <c r="N652" s="242" t="s">
        <v>732</v>
      </c>
      <c r="O652" s="242" t="s">
        <v>414</v>
      </c>
      <c r="P652" s="242"/>
      <c r="Q652" s="15"/>
      <c r="R652" s="235" t="str">
        <f>R$12</f>
        <v>XFMR</v>
      </c>
      <c r="S652" s="15" t="str">
        <f>S$12</f>
        <v>DLS</v>
      </c>
      <c r="T652" s="242"/>
      <c r="U652" s="15"/>
      <c r="V652" s="67"/>
      <c r="W652" s="67"/>
      <c r="X652" s="370">
        <f t="shared" si="211"/>
        <v>0</v>
      </c>
    </row>
    <row r="653" spans="1:24" ht="15" thickBot="1">
      <c r="A653" s="67"/>
      <c r="B653" s="16"/>
      <c r="C653" s="16"/>
      <c r="D653" s="16"/>
      <c r="E653" s="16"/>
      <c r="F653" s="16" t="s">
        <v>13</v>
      </c>
      <c r="G653" s="16" t="s">
        <v>14</v>
      </c>
      <c r="H653" s="16" t="s">
        <v>15</v>
      </c>
      <c r="I653" s="16"/>
      <c r="J653" s="243" t="str">
        <f t="shared" si="220" ref="J653:Q653">J$13</f>
        <v>(d)</v>
      </c>
      <c r="K653" s="243" t="str">
        <f t="shared" si="220"/>
        <v>(e)</v>
      </c>
      <c r="L653" s="16" t="str">
        <f t="shared" si="220"/>
        <v>(f)</v>
      </c>
      <c r="M653" s="243" t="str">
        <f t="shared" si="220"/>
        <v>(g)</v>
      </c>
      <c r="N653" s="243" t="str">
        <f t="shared" si="220"/>
        <v>(h)</v>
      </c>
      <c r="O653" s="243" t="str">
        <f>O$13</f>
        <v>(i)</v>
      </c>
      <c r="P653" s="243" t="str">
        <f t="shared" si="220"/>
        <v>(j)</v>
      </c>
      <c r="Q653" s="243" t="str">
        <f t="shared" si="220"/>
        <v>(k)</v>
      </c>
      <c r="R653" s="243" t="str">
        <f>R$13</f>
        <v>(l)</v>
      </c>
      <c r="S653" s="16" t="str">
        <f>S$13</f>
        <v>(m)</v>
      </c>
      <c r="T653" s="16"/>
      <c r="U653" s="16" t="s">
        <v>734</v>
      </c>
      <c r="V653" s="67"/>
      <c r="W653" s="67"/>
      <c r="X653" s="370"/>
    </row>
    <row r="654" spans="1:24" ht="14.25">
      <c r="A654" s="47"/>
      <c r="B654" s="47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43"/>
      <c r="V654" s="67"/>
      <c r="W654" s="67"/>
      <c r="X654" s="370">
        <f t="shared" si="211"/>
        <v>0</v>
      </c>
    </row>
    <row r="655" spans="1:24" ht="15">
      <c r="A655" s="67"/>
      <c r="B655" s="17">
        <f t="shared" si="221" ref="B655:B686">B654+1</f>
        <v>1</v>
      </c>
      <c r="C655" s="8" t="s">
        <v>631</v>
      </c>
      <c r="D655" s="8"/>
      <c r="E655" s="20"/>
      <c r="F655" s="8"/>
      <c r="G655" s="1059"/>
      <c r="H655" s="1059"/>
      <c r="I655" s="1059"/>
      <c r="J655" s="1059"/>
      <c r="K655" s="1059"/>
      <c r="L655" s="1059"/>
      <c r="M655" s="1059"/>
      <c r="N655" s="1059"/>
      <c r="O655" s="1059"/>
      <c r="P655" s="1059"/>
      <c r="Q655" s="1059"/>
      <c r="R655" s="1059"/>
      <c r="S655" s="1059"/>
      <c r="T655" s="20"/>
      <c r="U655" s="8"/>
      <c r="V655" s="67"/>
      <c r="W655" s="67"/>
      <c r="X655" s="370">
        <f t="shared" si="211"/>
        <v>0</v>
      </c>
    </row>
    <row r="656" spans="1:24" ht="15">
      <c r="A656" s="67"/>
      <c r="B656" s="17">
        <f t="shared" si="221"/>
        <v>2</v>
      </c>
      <c r="C656" s="8"/>
      <c r="D656" s="366" t="s">
        <v>626</v>
      </c>
      <c r="E656" s="20" t="s">
        <v>160</v>
      </c>
      <c r="F656" s="8"/>
      <c r="G656" s="1059"/>
      <c r="H656" s="1059"/>
      <c r="I656" s="1059"/>
      <c r="J656" s="1059"/>
      <c r="K656" s="1059"/>
      <c r="L656" s="1059"/>
      <c r="M656" s="1059"/>
      <c r="N656" s="1059"/>
      <c r="O656" s="1059"/>
      <c r="P656" s="1059"/>
      <c r="Q656" s="1059"/>
      <c r="R656" s="1059"/>
      <c r="S656" s="1059"/>
      <c r="T656" s="1010"/>
      <c r="U656" s="8"/>
      <c r="V656" s="67"/>
      <c r="W656" s="67"/>
      <c r="X656" s="370">
        <f t="shared" si="211"/>
        <v>0</v>
      </c>
    </row>
    <row r="657" spans="1:24" ht="14.25">
      <c r="A657" s="67"/>
      <c r="B657" s="17">
        <f t="shared" si="221"/>
        <v>3</v>
      </c>
      <c r="C657" s="1" t="s">
        <v>191</v>
      </c>
      <c r="D657" s="28" t="s">
        <v>162</v>
      </c>
      <c r="E657" s="67"/>
      <c r="F657" s="121">
        <f>' WP II-I-1.4'!G657</f>
        <v>7329102.46</v>
      </c>
      <c r="G657" s="11">
        <v>71</v>
      </c>
      <c r="H657" s="1" t="str">
        <f t="shared" si="222" ref="H657:H666">VLOOKUP(G657,FactorTable,2)</f>
        <v>DIST OPS</v>
      </c>
      <c r="I657" s="12"/>
      <c r="J657" s="434">
        <f t="shared" si="223" ref="J657:S666">$F657*HLOOKUP(J$1318,FactorTable,$G657+1)</f>
        <v>3986843.8707619635</v>
      </c>
      <c r="K657" s="434">
        <f t="shared" si="223"/>
        <v>119282.43337893243</v>
      </c>
      <c r="L657" s="434">
        <f t="shared" si="223"/>
        <v>2538580.2258656579</v>
      </c>
      <c r="M657" s="434">
        <f t="shared" si="223"/>
        <v>2358.554685245866</v>
      </c>
      <c r="N657" s="434">
        <f t="shared" si="223"/>
        <v>544284.7558374363</v>
      </c>
      <c r="O657" s="434">
        <f t="shared" si="223"/>
        <v>73861.606250806188</v>
      </c>
      <c r="P657" s="434">
        <f t="shared" si="223"/>
        <v>1751.3957170805661</v>
      </c>
      <c r="Q657" s="434">
        <f t="shared" si="223"/>
        <v>25115.951367794649</v>
      </c>
      <c r="R657" s="434">
        <f t="shared" si="223"/>
        <v>8756.3480757264078</v>
      </c>
      <c r="S657" s="434">
        <f t="shared" si="223"/>
        <v>28267.318059356578</v>
      </c>
      <c r="T657" s="12"/>
      <c r="U657" s="118">
        <f t="shared" si="224" ref="U657:U667">SUM(I657:T657)</f>
        <v>7329102.4600000009</v>
      </c>
      <c r="V657" s="67"/>
      <c r="W657" s="67"/>
      <c r="X657" s="370">
        <f t="shared" si="211"/>
        <v>0</v>
      </c>
    </row>
    <row r="658" spans="1:24" ht="14.25">
      <c r="A658" s="67"/>
      <c r="B658" s="17">
        <f t="shared" si="221"/>
        <v>4</v>
      </c>
      <c r="C658" s="1" t="s">
        <v>192</v>
      </c>
      <c r="D658" s="1" t="s">
        <v>193</v>
      </c>
      <c r="E658" s="19"/>
      <c r="F658" s="24">
        <f>' WP II-I-1.4'!G658</f>
        <v>9635578.4299999997</v>
      </c>
      <c r="G658" s="17">
        <v>28</v>
      </c>
      <c r="H658" s="1" t="str">
        <f t="shared" si="222"/>
        <v>NCP XHV</v>
      </c>
      <c r="I658" s="19"/>
      <c r="J658" s="434">
        <f t="shared" si="223"/>
        <v>5071426.391241191</v>
      </c>
      <c r="K658" s="434">
        <f t="shared" si="223"/>
        <v>123845.32630879746</v>
      </c>
      <c r="L658" s="434">
        <f t="shared" si="223"/>
        <v>3265351.1563775325</v>
      </c>
      <c r="M658" s="434">
        <f t="shared" si="223"/>
        <v>1846.0376025769488</v>
      </c>
      <c r="N658" s="434">
        <f t="shared" si="223"/>
        <v>781336.05300820409</v>
      </c>
      <c r="O658" s="434">
        <f t="shared" si="223"/>
        <v>282558.25169133185</v>
      </c>
      <c r="P658" s="434">
        <f t="shared" si="223"/>
        <v>0</v>
      </c>
      <c r="Q658" s="434">
        <f t="shared" si="223"/>
        <v>32935.750606040965</v>
      </c>
      <c r="R658" s="434">
        <f t="shared" si="223"/>
        <v>33866.374963480106</v>
      </c>
      <c r="S658" s="434">
        <f t="shared" si="223"/>
        <v>42413.088200844606</v>
      </c>
      <c r="T658" s="19"/>
      <c r="U658" s="118">
        <f t="shared" si="224"/>
        <v>9635578.4300000016</v>
      </c>
      <c r="V658" s="67"/>
      <c r="W658" s="67"/>
      <c r="X658" s="370">
        <f t="shared" si="211"/>
        <v>0</v>
      </c>
    </row>
    <row r="659" spans="1:24" ht="14.25">
      <c r="A659" s="67"/>
      <c r="B659" s="17">
        <f t="shared" si="221"/>
        <v>5</v>
      </c>
      <c r="C659" s="1" t="s">
        <v>194</v>
      </c>
      <c r="D659" s="1" t="s">
        <v>166</v>
      </c>
      <c r="E659" s="19"/>
      <c r="F659" s="24">
        <f>' WP II-I-1.4'!G659</f>
        <v>3847591.3799999999</v>
      </c>
      <c r="G659" s="17">
        <v>44</v>
      </c>
      <c r="H659" s="1" t="str">
        <f t="shared" si="222"/>
        <v>PLT 362</v>
      </c>
      <c r="I659" s="19"/>
      <c r="J659" s="434">
        <f t="shared" si="223"/>
        <v>2025075.7760937158</v>
      </c>
      <c r="K659" s="434">
        <f t="shared" si="223"/>
        <v>49452.787232309034</v>
      </c>
      <c r="L659" s="434">
        <f t="shared" si="223"/>
        <v>1303890.2701299717</v>
      </c>
      <c r="M659" s="434">
        <f t="shared" si="223"/>
        <v>737.1429145049193</v>
      </c>
      <c r="N659" s="434">
        <f t="shared" si="223"/>
        <v>311995.99321175256</v>
      </c>
      <c r="O659" s="434">
        <f t="shared" si="223"/>
        <v>112828.58641579642</v>
      </c>
      <c r="P659" s="434">
        <f t="shared" si="223"/>
        <v>0</v>
      </c>
      <c r="Q659" s="434">
        <f t="shared" si="223"/>
        <v>13151.603823916259</v>
      </c>
      <c r="R659" s="434">
        <f t="shared" si="223"/>
        <v>13523.212262549545</v>
      </c>
      <c r="S659" s="434">
        <f t="shared" si="223"/>
        <v>16936.007915484264</v>
      </c>
      <c r="T659" s="19"/>
      <c r="U659" s="118">
        <f t="shared" si="224"/>
        <v>3847591.3800000004</v>
      </c>
      <c r="V659" s="67"/>
      <c r="W659" s="67"/>
      <c r="X659" s="370">
        <f t="shared" si="211"/>
        <v>0</v>
      </c>
    </row>
    <row r="660" spans="1:24" ht="14.25">
      <c r="A660" s="67"/>
      <c r="B660" s="17">
        <f t="shared" si="221"/>
        <v>6</v>
      </c>
      <c r="C660" s="1" t="s">
        <v>195</v>
      </c>
      <c r="D660" s="1" t="s">
        <v>168</v>
      </c>
      <c r="E660" s="19"/>
      <c r="F660" s="24">
        <f>' WP II-I-1.4'!G660</f>
        <v>13740291.68</v>
      </c>
      <c r="G660" s="17">
        <v>46</v>
      </c>
      <c r="H660" s="1" t="str">
        <f t="shared" si="222"/>
        <v>PLT 365</v>
      </c>
      <c r="I660" s="19"/>
      <c r="J660" s="434">
        <f t="shared" si="223"/>
        <v>7586802.9848905718</v>
      </c>
      <c r="K660" s="434">
        <f t="shared" si="223"/>
        <v>185271.36525674278</v>
      </c>
      <c r="L660" s="434">
        <f t="shared" si="223"/>
        <v>4884932.5591528136</v>
      </c>
      <c r="M660" s="434">
        <f t="shared" si="223"/>
        <v>2312.0620512260075</v>
      </c>
      <c r="N660" s="434">
        <f t="shared" si="223"/>
        <v>978581.0618880284</v>
      </c>
      <c r="O660" s="434">
        <f t="shared" si="223"/>
        <v>0</v>
      </c>
      <c r="P660" s="434">
        <f t="shared" si="223"/>
        <v>0</v>
      </c>
      <c r="Q660" s="434">
        <f t="shared" si="223"/>
        <v>49271.552366230375</v>
      </c>
      <c r="R660" s="434">
        <f t="shared" si="223"/>
        <v>0</v>
      </c>
      <c r="S660" s="434">
        <f t="shared" si="223"/>
        <v>53120.094394386426</v>
      </c>
      <c r="T660" s="19"/>
      <c r="U660" s="118">
        <f t="shared" si="224"/>
        <v>13740291.679999998</v>
      </c>
      <c r="V660" s="67"/>
      <c r="W660" s="67"/>
      <c r="X660" s="370">
        <f t="shared" si="211"/>
        <v>0</v>
      </c>
    </row>
    <row r="661" spans="1:24" ht="14.25">
      <c r="A661" s="67"/>
      <c r="B661" s="17">
        <f t="shared" si="221"/>
        <v>7</v>
      </c>
      <c r="C661" s="1" t="s">
        <v>196</v>
      </c>
      <c r="D661" s="1" t="s">
        <v>170</v>
      </c>
      <c r="E661" s="19"/>
      <c r="F661" s="24">
        <f>' WP II-I-1.4'!G661</f>
        <v>10071135.370000001</v>
      </c>
      <c r="G661" s="17">
        <v>48</v>
      </c>
      <c r="H661" s="1" t="str">
        <f t="shared" si="222"/>
        <v>PLT 367</v>
      </c>
      <c r="I661" s="19"/>
      <c r="J661" s="434">
        <f t="shared" si="223"/>
        <v>5581185.0415405771</v>
      </c>
      <c r="K661" s="434">
        <f t="shared" si="223"/>
        <v>136293.74249681371</v>
      </c>
      <c r="L661" s="434">
        <f t="shared" si="223"/>
        <v>3593570.6492411899</v>
      </c>
      <c r="M661" s="434">
        <f t="shared" si="223"/>
        <v>1618.5113408800978</v>
      </c>
      <c r="N661" s="434">
        <f t="shared" si="223"/>
        <v>685035.48414559371</v>
      </c>
      <c r="O661" s="434">
        <f t="shared" si="223"/>
        <v>0</v>
      </c>
      <c r="P661" s="434">
        <f t="shared" si="223"/>
        <v>0</v>
      </c>
      <c r="Q661" s="434">
        <f t="shared" si="223"/>
        <v>36246.315027232064</v>
      </c>
      <c r="R661" s="434">
        <f t="shared" si="223"/>
        <v>0</v>
      </c>
      <c r="S661" s="434">
        <f t="shared" si="223"/>
        <v>37185.626207716137</v>
      </c>
      <c r="T661" s="19"/>
      <c r="U661" s="118">
        <f t="shared" si="224"/>
        <v>10071135.370000003</v>
      </c>
      <c r="V661" s="67"/>
      <c r="W661" s="67"/>
      <c r="X661" s="370">
        <f t="shared" si="211"/>
        <v>0</v>
      </c>
    </row>
    <row r="662" spans="1:24" ht="14.25">
      <c r="A662" s="67"/>
      <c r="B662" s="17">
        <f t="shared" si="221"/>
        <v>8</v>
      </c>
      <c r="C662" s="1" t="s">
        <v>197</v>
      </c>
      <c r="D662" s="1" t="s">
        <v>198</v>
      </c>
      <c r="E662" s="19"/>
      <c r="F662" s="24">
        <f>' WP II-I-1.4'!G662</f>
        <v>826.62</v>
      </c>
      <c r="G662" s="17">
        <v>33</v>
      </c>
      <c r="H662" s="1" t="str">
        <f t="shared" si="222"/>
        <v>NCP LGT</v>
      </c>
      <c r="I662" s="19"/>
      <c r="J662" s="434">
        <f t="shared" si="223"/>
        <v>0</v>
      </c>
      <c r="K662" s="434">
        <f t="shared" si="223"/>
        <v>0</v>
      </c>
      <c r="L662" s="434">
        <f t="shared" si="223"/>
        <v>0</v>
      </c>
      <c r="M662" s="434">
        <f t="shared" si="223"/>
        <v>0</v>
      </c>
      <c r="N662" s="434">
        <f t="shared" si="223"/>
        <v>0</v>
      </c>
      <c r="O662" s="434">
        <f t="shared" si="223"/>
        <v>0</v>
      </c>
      <c r="P662" s="434">
        <f t="shared" si="223"/>
        <v>0</v>
      </c>
      <c r="Q662" s="434">
        <f t="shared" si="223"/>
        <v>826.62</v>
      </c>
      <c r="R662" s="434">
        <f t="shared" si="223"/>
        <v>0</v>
      </c>
      <c r="S662" s="434">
        <f t="shared" si="223"/>
        <v>0</v>
      </c>
      <c r="T662" s="19"/>
      <c r="U662" s="118">
        <f t="shared" si="224"/>
        <v>826.62</v>
      </c>
      <c r="V662" s="67"/>
      <c r="W662" s="67"/>
      <c r="X662" s="370">
        <f t="shared" si="211"/>
        <v>0</v>
      </c>
    </row>
    <row r="663" spans="1:24" ht="14.25">
      <c r="A663" s="67"/>
      <c r="B663" s="17">
        <f t="shared" si="221"/>
        <v>9</v>
      </c>
      <c r="C663" s="1" t="s">
        <v>199</v>
      </c>
      <c r="D663" s="1" t="s">
        <v>200</v>
      </c>
      <c r="E663" s="19"/>
      <c r="F663" s="24">
        <f>' WP II-I-1.4'!G663</f>
        <v>0</v>
      </c>
      <c r="G663" s="17">
        <v>6</v>
      </c>
      <c r="H663" s="1" t="str">
        <f t="shared" si="222"/>
        <v>CUS W ALL</v>
      </c>
      <c r="I663" s="19"/>
      <c r="J663" s="434">
        <f t="shared" si="223"/>
        <v>0</v>
      </c>
      <c r="K663" s="434">
        <f t="shared" si="223"/>
        <v>0</v>
      </c>
      <c r="L663" s="434">
        <f t="shared" si="223"/>
        <v>0</v>
      </c>
      <c r="M663" s="434">
        <f t="shared" si="223"/>
        <v>0</v>
      </c>
      <c r="N663" s="434">
        <f t="shared" si="223"/>
        <v>0</v>
      </c>
      <c r="O663" s="434">
        <f t="shared" si="223"/>
        <v>0</v>
      </c>
      <c r="P663" s="434">
        <f t="shared" si="223"/>
        <v>0</v>
      </c>
      <c r="Q663" s="434">
        <f t="shared" si="223"/>
        <v>0</v>
      </c>
      <c r="R663" s="434">
        <f t="shared" si="223"/>
        <v>0</v>
      </c>
      <c r="S663" s="434">
        <f t="shared" si="223"/>
        <v>0</v>
      </c>
      <c r="T663" s="19"/>
      <c r="U663" s="118">
        <f t="shared" si="224"/>
        <v>0</v>
      </c>
      <c r="V663" s="67"/>
      <c r="W663" s="67"/>
      <c r="X663" s="370">
        <f t="shared" si="211"/>
        <v>0</v>
      </c>
    </row>
    <row r="664" spans="1:24" ht="14.25">
      <c r="A664" s="67"/>
      <c r="B664" s="17">
        <f t="shared" si="221"/>
        <v>10</v>
      </c>
      <c r="C664" s="1" t="s">
        <v>201</v>
      </c>
      <c r="D664" s="1" t="s">
        <v>202</v>
      </c>
      <c r="E664" s="19"/>
      <c r="F664" s="24">
        <f>' WP II-I-1.4'!G664</f>
        <v>1638488.73</v>
      </c>
      <c r="G664" s="17">
        <v>8</v>
      </c>
      <c r="H664" s="1" t="str">
        <f t="shared" si="222"/>
        <v>CUS W RTL</v>
      </c>
      <c r="I664" s="19"/>
      <c r="J664" s="434">
        <f t="shared" si="223"/>
        <v>914399.50989455229</v>
      </c>
      <c r="K664" s="434">
        <f t="shared" si="223"/>
        <v>140976.85606024813</v>
      </c>
      <c r="L664" s="434">
        <f t="shared" si="223"/>
        <v>434847.98936541216</v>
      </c>
      <c r="M664" s="434">
        <f t="shared" si="223"/>
        <v>6105.9260218144536</v>
      </c>
      <c r="N664" s="434">
        <f t="shared" si="223"/>
        <v>127414.2279419</v>
      </c>
      <c r="O664" s="434">
        <f t="shared" si="223"/>
        <v>4354.1271681542466</v>
      </c>
      <c r="P664" s="434">
        <f t="shared" si="223"/>
        <v>9478.5999122127068</v>
      </c>
      <c r="Q664" s="434">
        <f t="shared" si="223"/>
        <v>911.49363570591061</v>
      </c>
      <c r="R664" s="434">
        <f t="shared" si="223"/>
        <v>0</v>
      </c>
      <c r="S664" s="434">
        <f t="shared" si="223"/>
        <v>0</v>
      </c>
      <c r="T664" s="19"/>
      <c r="U664" s="118">
        <f t="shared" si="224"/>
        <v>1638488.73</v>
      </c>
      <c r="V664" s="67"/>
      <c r="W664" s="67"/>
      <c r="X664" s="370">
        <f t="shared" si="211"/>
        <v>0</v>
      </c>
    </row>
    <row r="665" spans="1:24" ht="14.25">
      <c r="A665" s="67"/>
      <c r="B665" s="17">
        <f t="shared" si="221"/>
        <v>11</v>
      </c>
      <c r="C665" s="1" t="s">
        <v>203</v>
      </c>
      <c r="D665" s="1" t="s">
        <v>204</v>
      </c>
      <c r="E665" s="19"/>
      <c r="F665" s="24">
        <f>' WP II-I-1.4'!G665</f>
        <v>100499344.2</v>
      </c>
      <c r="G665" s="17">
        <v>71</v>
      </c>
      <c r="H665" s="1" t="str">
        <f t="shared" si="222"/>
        <v>DIST OPS</v>
      </c>
      <c r="I665" s="19"/>
      <c r="J665" s="434">
        <f t="shared" si="223"/>
        <v>54669067.136955664</v>
      </c>
      <c r="K665" s="434">
        <f t="shared" si="223"/>
        <v>1635644.5273604346</v>
      </c>
      <c r="L665" s="434">
        <f t="shared" si="223"/>
        <v>34809944.231368616</v>
      </c>
      <c r="M665" s="434">
        <f t="shared" si="223"/>
        <v>32341.367912469726</v>
      </c>
      <c r="N665" s="434">
        <f t="shared" si="223"/>
        <v>7463432.4350432763</v>
      </c>
      <c r="O665" s="434">
        <f t="shared" si="223"/>
        <v>1012817.4671151538</v>
      </c>
      <c r="P665" s="434">
        <f t="shared" si="223"/>
        <v>24015.781190386802</v>
      </c>
      <c r="Q665" s="434">
        <f t="shared" si="223"/>
        <v>344399.14780812809</v>
      </c>
      <c r="R665" s="434">
        <f t="shared" si="223"/>
        <v>120070.26017172585</v>
      </c>
      <c r="S665" s="434">
        <f t="shared" si="223"/>
        <v>387611.84507415834</v>
      </c>
      <c r="T665" s="19"/>
      <c r="U665" s="118">
        <f t="shared" si="224"/>
        <v>100499344.20000002</v>
      </c>
      <c r="V665" s="67"/>
      <c r="W665" s="67"/>
      <c r="X665" s="370">
        <f t="shared" si="211"/>
        <v>0</v>
      </c>
    </row>
    <row r="666" spans="1:24" ht="14.25">
      <c r="A666" s="67"/>
      <c r="B666" s="17">
        <f t="shared" si="221"/>
        <v>12</v>
      </c>
      <c r="C666" s="1" t="s">
        <v>205</v>
      </c>
      <c r="D666" s="1" t="s">
        <v>206</v>
      </c>
      <c r="E666" s="19"/>
      <c r="F666" s="24">
        <f>' WP II-I-1.4'!G666</f>
        <v>731384.02000000002</v>
      </c>
      <c r="G666" s="17">
        <v>30</v>
      </c>
      <c r="H666" s="1" t="str">
        <f t="shared" si="222"/>
        <v>NCP XSS</v>
      </c>
      <c r="I666" s="19"/>
      <c r="J666" s="435">
        <f t="shared" si="223"/>
        <v>398014.70170270622</v>
      </c>
      <c r="K666" s="435">
        <f t="shared" si="223"/>
        <v>9719.6048617017295</v>
      </c>
      <c r="L666" s="435">
        <f t="shared" si="223"/>
        <v>256270.65566894875</v>
      </c>
      <c r="M666" s="435">
        <f t="shared" si="223"/>
        <v>144.88036482016631</v>
      </c>
      <c r="N666" s="435">
        <f t="shared" si="223"/>
        <v>61320.664459357271</v>
      </c>
      <c r="O666" s="435">
        <f t="shared" si="223"/>
        <v>0</v>
      </c>
      <c r="P666" s="435">
        <f t="shared" si="223"/>
        <v>0</v>
      </c>
      <c r="Q666" s="435">
        <f t="shared" si="223"/>
        <v>2584.8571864236046</v>
      </c>
      <c r="R666" s="435">
        <f t="shared" si="223"/>
        <v>0</v>
      </c>
      <c r="S666" s="435">
        <f t="shared" si="223"/>
        <v>3328.6557560422834</v>
      </c>
      <c r="T666" s="19"/>
      <c r="U666" s="118">
        <f t="shared" si="224"/>
        <v>731384.02000000002</v>
      </c>
      <c r="V666" s="67"/>
      <c r="W666" s="67"/>
      <c r="X666" s="370">
        <f t="shared" si="211"/>
        <v>0</v>
      </c>
    </row>
    <row r="667" spans="1:24" ht="15">
      <c r="A667" s="67"/>
      <c r="B667" s="17">
        <f t="shared" si="221"/>
        <v>13</v>
      </c>
      <c r="C667" s="8"/>
      <c r="D667" s="297" t="s">
        <v>632</v>
      </c>
      <c r="E667" s="20"/>
      <c r="F667" s="896">
        <f>SUM(F657:F666)</f>
        <v>147493742.89000002</v>
      </c>
      <c r="G667" s="1059"/>
      <c r="H667" s="1059"/>
      <c r="I667" s="1059"/>
      <c r="J667" s="896">
        <f t="shared" si="225" ref="J667:Q667">SUM(J657:J666)</f>
        <v>80232815.413080931</v>
      </c>
      <c r="K667" s="896">
        <f t="shared" si="225"/>
        <v>2400486.6429559803</v>
      </c>
      <c r="L667" s="896">
        <f t="shared" si="225"/>
        <v>51087387.737170145</v>
      </c>
      <c r="M667" s="896">
        <f t="shared" si="225"/>
        <v>47464.482893538188</v>
      </c>
      <c r="N667" s="896">
        <f t="shared" si="225"/>
        <v>10953400.675535549</v>
      </c>
      <c r="O667" s="896">
        <f>SUM(O657:O666)</f>
        <v>1486420.0386412425</v>
      </c>
      <c r="P667" s="896">
        <f t="shared" si="225"/>
        <v>35245.776819680075</v>
      </c>
      <c r="Q667" s="896">
        <f t="shared" si="225"/>
        <v>505443.29182147194</v>
      </c>
      <c r="R667" s="896">
        <f>SUM(R657:R666)</f>
        <v>176216.1954734819</v>
      </c>
      <c r="S667" s="896">
        <f>SUM(S657:S666)</f>
        <v>568862.63560798869</v>
      </c>
      <c r="T667" s="1010"/>
      <c r="U667" s="299">
        <f t="shared" si="224"/>
        <v>147493742.89000002</v>
      </c>
      <c r="V667" s="67"/>
      <c r="W667" s="67"/>
      <c r="X667" s="370">
        <f t="shared" si="211"/>
        <v>0</v>
      </c>
    </row>
    <row r="668" spans="1:24" ht="15">
      <c r="A668" s="67"/>
      <c r="B668" s="17">
        <f t="shared" si="221"/>
        <v>14</v>
      </c>
      <c r="C668" s="8"/>
      <c r="D668" s="297"/>
      <c r="E668" s="20"/>
      <c r="F668" s="896"/>
      <c r="G668" s="1059"/>
      <c r="H668" s="1059"/>
      <c r="I668" s="1059"/>
      <c r="J668" s="896"/>
      <c r="K668" s="896"/>
      <c r="L668" s="896"/>
      <c r="M668" s="896"/>
      <c r="N668" s="896"/>
      <c r="O668" s="896"/>
      <c r="P668" s="896"/>
      <c r="Q668" s="896"/>
      <c r="R668" s="896"/>
      <c r="S668" s="896"/>
      <c r="T668" s="1010"/>
      <c r="U668" s="299"/>
      <c r="V668" s="67"/>
      <c r="W668" s="67"/>
      <c r="X668" s="370">
        <f t="shared" si="211"/>
        <v>0</v>
      </c>
    </row>
    <row r="669" spans="1:24" ht="15">
      <c r="A669" s="67"/>
      <c r="B669" s="17">
        <f t="shared" si="221"/>
        <v>15</v>
      </c>
      <c r="C669" s="8"/>
      <c r="D669" s="297" t="s">
        <v>633</v>
      </c>
      <c r="E669" s="20"/>
      <c r="F669" s="896">
        <f>SUM(F658:F664)+F666</f>
        <v>39665296.229999997</v>
      </c>
      <c r="G669" s="1059"/>
      <c r="H669" s="1059"/>
      <c r="I669" s="1059"/>
      <c r="J669" s="896">
        <f t="shared" si="226" ref="J669:Q669">SUM(J658:J664)+J666</f>
        <v>21576904.405363318</v>
      </c>
      <c r="K669" s="896">
        <f t="shared" si="226"/>
        <v>645559.68221661285</v>
      </c>
      <c r="L669" s="896">
        <f t="shared" si="226"/>
        <v>13738863.279935869</v>
      </c>
      <c r="M669" s="896">
        <f t="shared" si="226"/>
        <v>12764.560295822594</v>
      </c>
      <c r="N669" s="896">
        <f t="shared" si="226"/>
        <v>2945683.4846548364</v>
      </c>
      <c r="O669" s="896">
        <f>SUM(O658:O664)+O666</f>
        <v>399740.96527528251</v>
      </c>
      <c r="P669" s="896">
        <f t="shared" si="226"/>
        <v>9478.5999122127068</v>
      </c>
      <c r="Q669" s="896">
        <f t="shared" si="226"/>
        <v>135928.19264554919</v>
      </c>
      <c r="R669" s="896">
        <f>SUM(R658:R664)+R666</f>
        <v>47389.587226029653</v>
      </c>
      <c r="S669" s="896">
        <f>SUM(S658:S664)+S666</f>
        <v>152983.4724744737</v>
      </c>
      <c r="T669" s="1010"/>
      <c r="U669" s="299">
        <f>SUM(I669:T669)</f>
        <v>39665296.230000004</v>
      </c>
      <c r="V669" s="67"/>
      <c r="W669" s="67"/>
      <c r="X669" s="370">
        <f t="shared" si="211"/>
        <v>0</v>
      </c>
    </row>
    <row r="670" spans="1:24" ht="14.25">
      <c r="A670" s="67"/>
      <c r="B670" s="17">
        <f t="shared" si="221"/>
        <v>16</v>
      </c>
      <c r="C670" s="1"/>
      <c r="D670" s="30"/>
      <c r="E670" s="17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"/>
      <c r="V670" s="67"/>
      <c r="W670" s="67"/>
      <c r="X670" s="370">
        <f t="shared" si="211"/>
        <v>0</v>
      </c>
    </row>
    <row r="671" spans="1:24" ht="15">
      <c r="A671" s="67"/>
      <c r="B671" s="17">
        <f t="shared" si="221"/>
        <v>17</v>
      </c>
      <c r="C671" s="366"/>
      <c r="D671" s="8"/>
      <c r="E671" s="20"/>
      <c r="F671" s="896"/>
      <c r="G671" s="1059"/>
      <c r="H671" s="1059"/>
      <c r="I671" s="1059"/>
      <c r="J671" s="1059"/>
      <c r="K671" s="1059"/>
      <c r="L671" s="1059"/>
      <c r="M671" s="1059"/>
      <c r="N671" s="1059"/>
      <c r="O671" s="1059"/>
      <c r="P671" s="1059"/>
      <c r="Q671" s="1059"/>
      <c r="R671" s="1059"/>
      <c r="S671" s="1059"/>
      <c r="T671" s="1010"/>
      <c r="U671" s="8"/>
      <c r="V671" s="67"/>
      <c r="W671" s="67"/>
      <c r="X671" s="370">
        <f t="shared" si="211"/>
        <v>0</v>
      </c>
    </row>
    <row r="672" spans="1:24" ht="15">
      <c r="A672" s="67"/>
      <c r="B672" s="17">
        <f t="shared" si="221"/>
        <v>18</v>
      </c>
      <c r="C672" s="8"/>
      <c r="D672" s="366" t="s">
        <v>628</v>
      </c>
      <c r="E672" s="20" t="s">
        <v>160</v>
      </c>
      <c r="F672" s="896"/>
      <c r="G672" s="1059"/>
      <c r="H672" s="1059"/>
      <c r="I672" s="1059"/>
      <c r="J672" s="1059"/>
      <c r="K672" s="1059"/>
      <c r="L672" s="1059"/>
      <c r="M672" s="1059"/>
      <c r="N672" s="1059"/>
      <c r="O672" s="1059"/>
      <c r="P672" s="1059"/>
      <c r="Q672" s="1059"/>
      <c r="R672" s="1059"/>
      <c r="S672" s="1059"/>
      <c r="T672" s="1010"/>
      <c r="U672" s="8"/>
      <c r="V672" s="67"/>
      <c r="W672" s="67"/>
      <c r="X672" s="370">
        <f t="shared" si="211"/>
        <v>0</v>
      </c>
    </row>
    <row r="673" spans="1:24" ht="14.25">
      <c r="A673" s="67"/>
      <c r="B673" s="17">
        <f t="shared" si="221"/>
        <v>19</v>
      </c>
      <c r="C673" s="1" t="s">
        <v>208</v>
      </c>
      <c r="D673" s="1" t="s">
        <v>179</v>
      </c>
      <c r="E673" s="17"/>
      <c r="F673" s="121">
        <f>' WP II-I-1.4'!G673</f>
        <v>2100731.52</v>
      </c>
      <c r="G673" s="17">
        <v>72</v>
      </c>
      <c r="H673" s="1" t="str">
        <f t="shared" si="227" ref="H673:H681">VLOOKUP(G673,FactorTable,2)</f>
        <v>DIST MAINT</v>
      </c>
      <c r="I673" s="17"/>
      <c r="J673" s="434">
        <f t="shared" si="228" ref="J673:S681">$F673*HLOOKUP(J$1318,FactorTable,$G673+1)</f>
        <v>1092931.773356738</v>
      </c>
      <c r="K673" s="434">
        <f t="shared" si="228"/>
        <v>26678.061518559422</v>
      </c>
      <c r="L673" s="434">
        <f t="shared" si="228"/>
        <v>703723.53990962717</v>
      </c>
      <c r="M673" s="434">
        <f t="shared" si="228"/>
        <v>314.98913196784332</v>
      </c>
      <c r="N673" s="434">
        <f t="shared" si="228"/>
        <v>133572.95593780404</v>
      </c>
      <c r="O673" s="434">
        <f t="shared" si="228"/>
        <v>3628.3599726085631</v>
      </c>
      <c r="P673" s="434">
        <f t="shared" si="228"/>
        <v>343.32458027756246</v>
      </c>
      <c r="Q673" s="434">
        <f t="shared" si="228"/>
        <v>131852.32834948221</v>
      </c>
      <c r="R673" s="434">
        <f t="shared" si="228"/>
        <v>434.88366263400246</v>
      </c>
      <c r="S673" s="434">
        <f t="shared" si="228"/>
        <v>7251.3035803008479</v>
      </c>
      <c r="T673" s="17"/>
      <c r="U673" s="118">
        <f t="shared" si="229" ref="U673:U682">SUM(I673:T673)</f>
        <v>2100731.5199999996</v>
      </c>
      <c r="V673" s="67"/>
      <c r="W673" s="67"/>
      <c r="X673" s="370">
        <f t="shared" si="211"/>
        <v>0</v>
      </c>
    </row>
    <row r="674" spans="1:24" ht="14.25">
      <c r="A674" s="67"/>
      <c r="B674" s="17">
        <f t="shared" si="221"/>
        <v>20</v>
      </c>
      <c r="C674" s="1" t="s">
        <v>209</v>
      </c>
      <c r="D674" s="31" t="s">
        <v>181</v>
      </c>
      <c r="E674" s="17"/>
      <c r="F674" s="121">
        <f>' WP II-I-1.4'!G674</f>
        <v>5772.4399999999996</v>
      </c>
      <c r="G674" s="17">
        <v>43</v>
      </c>
      <c r="H674" s="1" t="str">
        <f t="shared" si="227"/>
        <v>PLT 361</v>
      </c>
      <c r="I674" s="17"/>
      <c r="J674" s="434">
        <f t="shared" si="228"/>
        <v>3144.0651309798177</v>
      </c>
      <c r="K674" s="434">
        <f t="shared" si="228"/>
        <v>129.52487985535367</v>
      </c>
      <c r="L674" s="434">
        <f t="shared" si="228"/>
        <v>1955.9544379946321</v>
      </c>
      <c r="M674" s="434">
        <f t="shared" si="228"/>
        <v>0.66408774598862708</v>
      </c>
      <c r="N674" s="434">
        <f t="shared" si="228"/>
        <v>281.07536790017264</v>
      </c>
      <c r="O674" s="434">
        <f t="shared" si="228"/>
        <v>22.320997687457837</v>
      </c>
      <c r="P674" s="434">
        <f t="shared" si="228"/>
        <v>5.3060743588494583</v>
      </c>
      <c r="Q674" s="434">
        <f t="shared" si="228"/>
        <v>215.59616159344756</v>
      </c>
      <c r="R674" s="434">
        <f t="shared" si="228"/>
        <v>2.6753112772944343</v>
      </c>
      <c r="S674" s="434">
        <f t="shared" si="228"/>
        <v>15.257550606985362</v>
      </c>
      <c r="T674" s="17"/>
      <c r="U674" s="118">
        <f t="shared" si="229"/>
        <v>5772.4399999999987</v>
      </c>
      <c r="V674" s="67"/>
      <c r="W674" s="67"/>
      <c r="X674" s="370">
        <f t="shared" si="211"/>
        <v>0</v>
      </c>
    </row>
    <row r="675" spans="1:24" ht="14.25">
      <c r="A675" s="67"/>
      <c r="B675" s="17">
        <f t="shared" si="221"/>
        <v>21</v>
      </c>
      <c r="C675" s="1" t="s">
        <v>210</v>
      </c>
      <c r="D675" s="1" t="s">
        <v>183</v>
      </c>
      <c r="E675" s="17"/>
      <c r="F675" s="121">
        <f>' WP II-I-1.4'!G675</f>
        <v>9278485.1099999994</v>
      </c>
      <c r="G675" s="17">
        <v>44</v>
      </c>
      <c r="H675" s="1" t="str">
        <f t="shared" si="227"/>
        <v>PLT 362</v>
      </c>
      <c r="I675" s="17"/>
      <c r="J675" s="434">
        <f t="shared" si="228"/>
        <v>4883479.9695146512</v>
      </c>
      <c r="K675" s="434">
        <f t="shared" si="228"/>
        <v>119255.63415285993</v>
      </c>
      <c r="L675" s="434">
        <f t="shared" si="228"/>
        <v>3144337.6548147947</v>
      </c>
      <c r="M675" s="434">
        <f t="shared" si="228"/>
        <v>1777.6236821114555</v>
      </c>
      <c r="N675" s="434">
        <f t="shared" si="228"/>
        <v>752379.83753745363</v>
      </c>
      <c r="O675" s="434">
        <f t="shared" si="228"/>
        <v>272086.67856026732</v>
      </c>
      <c r="P675" s="434">
        <f t="shared" si="228"/>
        <v>0</v>
      </c>
      <c r="Q675" s="434">
        <f t="shared" si="228"/>
        <v>31715.155847143535</v>
      </c>
      <c r="R675" s="434">
        <f t="shared" si="228"/>
        <v>32611.291383399282</v>
      </c>
      <c r="S675" s="434">
        <f t="shared" si="228"/>
        <v>40841.264507319611</v>
      </c>
      <c r="T675" s="17"/>
      <c r="U675" s="118">
        <f t="shared" si="229"/>
        <v>9278485.1100000013</v>
      </c>
      <c r="V675" s="67"/>
      <c r="W675" s="67"/>
      <c r="X675" s="370">
        <f t="shared" si="211"/>
        <v>0</v>
      </c>
    </row>
    <row r="676" spans="1:24" ht="14.25">
      <c r="A676" s="67"/>
      <c r="B676" s="17">
        <f t="shared" si="221"/>
        <v>22</v>
      </c>
      <c r="C676" s="1" t="s">
        <v>211</v>
      </c>
      <c r="D676" s="31" t="s">
        <v>185</v>
      </c>
      <c r="E676" s="17"/>
      <c r="F676" s="121">
        <f>' WP II-I-1.4'!G676</f>
        <v>111767839.16000001</v>
      </c>
      <c r="G676" s="17">
        <v>52</v>
      </c>
      <c r="H676" s="1" t="str">
        <f t="shared" si="227"/>
        <v>PLT OH</v>
      </c>
      <c r="I676" s="17"/>
      <c r="J676" s="434">
        <f t="shared" si="228"/>
        <v>61785433.896137156</v>
      </c>
      <c r="K676" s="434">
        <f t="shared" si="228"/>
        <v>1508813.621984764</v>
      </c>
      <c r="L676" s="434">
        <f t="shared" si="228"/>
        <v>39781931.641260028</v>
      </c>
      <c r="M676" s="434">
        <f t="shared" si="228"/>
        <v>18537.407323010262</v>
      </c>
      <c r="N676" s="434">
        <f t="shared" si="228"/>
        <v>7845964.0532498192</v>
      </c>
      <c r="O676" s="434">
        <f t="shared" si="228"/>
        <v>0</v>
      </c>
      <c r="P676" s="434">
        <f t="shared" si="228"/>
        <v>0</v>
      </c>
      <c r="Q676" s="434">
        <f t="shared" si="228"/>
        <v>401257.84836466215</v>
      </c>
      <c r="R676" s="434">
        <f t="shared" si="228"/>
        <v>0</v>
      </c>
      <c r="S676" s="434">
        <f t="shared" si="228"/>
        <v>425900.69168054464</v>
      </c>
      <c r="T676" s="17"/>
      <c r="U676" s="118">
        <f t="shared" si="229"/>
        <v>111767839.16</v>
      </c>
      <c r="V676" s="67"/>
      <c r="W676" s="67"/>
      <c r="X676" s="370">
        <f t="shared" si="211"/>
        <v>0</v>
      </c>
    </row>
    <row r="677" spans="1:24" ht="14.25">
      <c r="A677" s="67"/>
      <c r="B677" s="17">
        <f t="shared" si="221"/>
        <v>23</v>
      </c>
      <c r="C677" s="1" t="s">
        <v>212</v>
      </c>
      <c r="D677" s="1" t="s">
        <v>187</v>
      </c>
      <c r="E677" s="17"/>
      <c r="F677" s="121">
        <f>' WP II-I-1.4'!G677</f>
        <v>26516321.099999998</v>
      </c>
      <c r="G677" s="17">
        <v>53</v>
      </c>
      <c r="H677" s="1" t="str">
        <f t="shared" si="227"/>
        <v>PLT UG</v>
      </c>
      <c r="I677" s="17"/>
      <c r="J677" s="434">
        <f t="shared" si="228"/>
        <v>14779938.815144243</v>
      </c>
      <c r="K677" s="434">
        <f t="shared" si="228"/>
        <v>360929.29368883494</v>
      </c>
      <c r="L677" s="434">
        <f t="shared" si="228"/>
        <v>9516393.7279209476</v>
      </c>
      <c r="M677" s="434">
        <f t="shared" si="228"/>
        <v>3942.2452232148712</v>
      </c>
      <c r="N677" s="434">
        <f t="shared" si="228"/>
        <v>1668556.6525824657</v>
      </c>
      <c r="O677" s="434">
        <f t="shared" si="228"/>
        <v>0</v>
      </c>
      <c r="P677" s="434">
        <f t="shared" si="228"/>
        <v>0</v>
      </c>
      <c r="Q677" s="434">
        <f t="shared" si="228"/>
        <v>95986.482152015975</v>
      </c>
      <c r="R677" s="434">
        <f t="shared" si="228"/>
        <v>0</v>
      </c>
      <c r="S677" s="434">
        <f t="shared" si="228"/>
        <v>90573.883288274519</v>
      </c>
      <c r="T677" s="17"/>
      <c r="U677" s="118">
        <f t="shared" si="229"/>
        <v>26516321.099999998</v>
      </c>
      <c r="V677" s="67"/>
      <c r="W677" s="67"/>
      <c r="X677" s="370">
        <f t="shared" si="211"/>
        <v>0</v>
      </c>
    </row>
    <row r="678" spans="1:24" ht="14.25">
      <c r="A678" s="67"/>
      <c r="B678" s="17">
        <f t="shared" si="221"/>
        <v>24</v>
      </c>
      <c r="C678" s="1" t="s">
        <v>213</v>
      </c>
      <c r="D678" s="1" t="s">
        <v>214</v>
      </c>
      <c r="E678" s="17"/>
      <c r="F678" s="121">
        <f>' WP II-I-1.4'!G678</f>
        <v>5010366.2699999996</v>
      </c>
      <c r="G678" s="17">
        <v>49</v>
      </c>
      <c r="H678" s="1" t="str">
        <f t="shared" si="227"/>
        <v>PLT 368</v>
      </c>
      <c r="I678" s="17"/>
      <c r="J678" s="434">
        <f t="shared" si="228"/>
        <v>2940710.7241608524</v>
      </c>
      <c r="K678" s="434">
        <f t="shared" si="228"/>
        <v>71812.790153570066</v>
      </c>
      <c r="L678" s="434">
        <f t="shared" si="228"/>
        <v>1893442.2828841114</v>
      </c>
      <c r="M678" s="434">
        <f t="shared" si="228"/>
        <v>111.09521470126491</v>
      </c>
      <c r="N678" s="434">
        <f t="shared" si="228"/>
        <v>47021.088000382224</v>
      </c>
      <c r="O678" s="434">
        <f t="shared" si="228"/>
        <v>8071.9025388225209</v>
      </c>
      <c r="P678" s="434">
        <f t="shared" si="228"/>
        <v>26578.402331521283</v>
      </c>
      <c r="Q678" s="434">
        <f t="shared" si="228"/>
        <v>19098.081593523355</v>
      </c>
      <c r="R678" s="434">
        <f t="shared" si="228"/>
        <v>967.46804034963077</v>
      </c>
      <c r="S678" s="434">
        <f t="shared" si="228"/>
        <v>2552.4350821668108</v>
      </c>
      <c r="T678" s="17"/>
      <c r="U678" s="118">
        <f t="shared" si="229"/>
        <v>5010366.2700000023</v>
      </c>
      <c r="V678" s="67"/>
      <c r="W678" s="67"/>
      <c r="X678" s="370">
        <f t="shared" si="211"/>
        <v>0</v>
      </c>
    </row>
    <row r="679" spans="1:24" ht="14.25">
      <c r="A679" s="67"/>
      <c r="B679" s="17">
        <f t="shared" si="221"/>
        <v>25</v>
      </c>
      <c r="C679" s="1" t="s">
        <v>215</v>
      </c>
      <c r="D679" s="1" t="s">
        <v>216</v>
      </c>
      <c r="E679" s="17"/>
      <c r="F679" s="121">
        <f>' WP II-I-1.4'!G679</f>
        <v>9632071.0899999999</v>
      </c>
      <c r="G679" s="17">
        <v>33</v>
      </c>
      <c r="H679" s="1" t="str">
        <f t="shared" si="227"/>
        <v>NCP LGT</v>
      </c>
      <c r="I679" s="17"/>
      <c r="J679" s="434">
        <f t="shared" si="228"/>
        <v>0</v>
      </c>
      <c r="K679" s="434">
        <f t="shared" si="228"/>
        <v>0</v>
      </c>
      <c r="L679" s="434">
        <f t="shared" si="228"/>
        <v>0</v>
      </c>
      <c r="M679" s="434">
        <f t="shared" si="228"/>
        <v>0</v>
      </c>
      <c r="N679" s="434">
        <f t="shared" si="228"/>
        <v>0</v>
      </c>
      <c r="O679" s="434">
        <f t="shared" si="228"/>
        <v>0</v>
      </c>
      <c r="P679" s="434">
        <f t="shared" si="228"/>
        <v>0</v>
      </c>
      <c r="Q679" s="434">
        <f t="shared" si="228"/>
        <v>9632071.0899999999</v>
      </c>
      <c r="R679" s="434">
        <f t="shared" si="228"/>
        <v>0</v>
      </c>
      <c r="S679" s="434">
        <f t="shared" si="228"/>
        <v>0</v>
      </c>
      <c r="T679" s="17"/>
      <c r="U679" s="118">
        <f t="shared" si="229"/>
        <v>9632071.0899999999</v>
      </c>
      <c r="V679" s="67"/>
      <c r="W679" s="67"/>
      <c r="X679" s="370">
        <f t="shared" si="211"/>
        <v>0</v>
      </c>
    </row>
    <row r="680" spans="1:24" ht="14.25">
      <c r="A680" s="67"/>
      <c r="B680" s="17">
        <f t="shared" si="221"/>
        <v>26</v>
      </c>
      <c r="C680" s="1" t="s">
        <v>217</v>
      </c>
      <c r="D680" s="1" t="s">
        <v>218</v>
      </c>
      <c r="E680" s="17"/>
      <c r="F680" s="121">
        <f>' WP II-I-1.4'!G680</f>
        <v>-13076.33</v>
      </c>
      <c r="G680" s="17">
        <v>6</v>
      </c>
      <c r="H680" s="1" t="str">
        <f t="shared" si="227"/>
        <v>CUS W ALL</v>
      </c>
      <c r="I680" s="17"/>
      <c r="J680" s="434">
        <f t="shared" si="228"/>
        <v>-7290.1169340590659</v>
      </c>
      <c r="K680" s="434">
        <f t="shared" si="228"/>
        <v>-1123.9482901666688</v>
      </c>
      <c r="L680" s="434">
        <f t="shared" si="228"/>
        <v>-3466.8573820428878</v>
      </c>
      <c r="M680" s="434">
        <f t="shared" si="228"/>
        <v>-48.679941544232264</v>
      </c>
      <c r="N680" s="434">
        <f t="shared" si="228"/>
        <v>-1015.8192460825167</v>
      </c>
      <c r="O680" s="434">
        <f t="shared" si="228"/>
        <v>-34.713597129189608</v>
      </c>
      <c r="P680" s="434">
        <f t="shared" si="228"/>
        <v>-75.568830673543516</v>
      </c>
      <c r="Q680" s="434">
        <f t="shared" si="228"/>
        <v>-7.2669496396744639</v>
      </c>
      <c r="R680" s="434">
        <f t="shared" si="228"/>
        <v>-4.0054150533680319</v>
      </c>
      <c r="S680" s="434">
        <f t="shared" si="228"/>
        <v>-9.3534136088536339</v>
      </c>
      <c r="T680" s="17"/>
      <c r="U680" s="118">
        <f t="shared" si="229"/>
        <v>-13076.330000000002</v>
      </c>
      <c r="V680" s="67"/>
      <c r="W680" s="67"/>
      <c r="X680" s="370">
        <f t="shared" si="211"/>
        <v>0</v>
      </c>
    </row>
    <row r="681" spans="1:24" ht="14.25">
      <c r="A681" s="67"/>
      <c r="B681" s="17">
        <f t="shared" si="221"/>
        <v>27</v>
      </c>
      <c r="C681" s="1" t="s">
        <v>219</v>
      </c>
      <c r="D681" s="1" t="s">
        <v>220</v>
      </c>
      <c r="E681" s="17"/>
      <c r="F681" s="121">
        <f>' WP II-I-1.4'!G681</f>
        <v>2165091.9399999999</v>
      </c>
      <c r="G681" s="17">
        <v>72</v>
      </c>
      <c r="H681" s="1" t="str">
        <f t="shared" si="227"/>
        <v>DIST MAINT</v>
      </c>
      <c r="I681" s="17"/>
      <c r="J681" s="435">
        <f t="shared" si="228"/>
        <v>1126416.0845573356</v>
      </c>
      <c r="K681" s="435">
        <f t="shared" si="228"/>
        <v>27495.401206079474</v>
      </c>
      <c r="L681" s="435">
        <f t="shared" si="228"/>
        <v>725283.6213199686</v>
      </c>
      <c r="M681" s="435">
        <f t="shared" si="228"/>
        <v>324.63950024950066</v>
      </c>
      <c r="N681" s="435">
        <f t="shared" si="228"/>
        <v>137665.25019956604</v>
      </c>
      <c r="O681" s="435">
        <f t="shared" si="228"/>
        <v>3739.5225697919841</v>
      </c>
      <c r="P681" s="435">
        <f t="shared" si="228"/>
        <v>353.8430658491921</v>
      </c>
      <c r="Q681" s="435">
        <f t="shared" si="228"/>
        <v>135891.9074912045</v>
      </c>
      <c r="R681" s="435">
        <f t="shared" si="228"/>
        <v>448.20725725415775</v>
      </c>
      <c r="S681" s="435">
        <f t="shared" si="228"/>
        <v>7473.4628327005385</v>
      </c>
      <c r="T681" s="17"/>
      <c r="U681" s="118">
        <f t="shared" si="229"/>
        <v>2165091.939999999</v>
      </c>
      <c r="V681" s="67"/>
      <c r="W681" s="67"/>
      <c r="X681" s="370">
        <f t="shared" si="211"/>
        <v>0</v>
      </c>
    </row>
    <row r="682" spans="1:24" ht="15">
      <c r="A682" s="67"/>
      <c r="B682" s="17">
        <f t="shared" si="221"/>
        <v>28</v>
      </c>
      <c r="C682" s="8"/>
      <c r="D682" s="297" t="s">
        <v>634</v>
      </c>
      <c r="E682" s="20"/>
      <c r="F682" s="896">
        <f>SUM(F673:F681)</f>
        <v>166463602.30000001</v>
      </c>
      <c r="G682" s="1059"/>
      <c r="H682" s="1059"/>
      <c r="I682" s="1059"/>
      <c r="J682" s="896">
        <f t="shared" si="230" ref="J682:Q682">SUM(J673:J681)</f>
        <v>86604765.2110679</v>
      </c>
      <c r="K682" s="896">
        <f t="shared" si="230"/>
        <v>2113990.3792943563</v>
      </c>
      <c r="L682" s="896">
        <f t="shared" si="230"/>
        <v>55763601.565165438</v>
      </c>
      <c r="M682" s="896">
        <f t="shared" si="230"/>
        <v>24959.984221456954</v>
      </c>
      <c r="N682" s="896">
        <f t="shared" si="230"/>
        <v>10584425.09362931</v>
      </c>
      <c r="O682" s="896">
        <f>SUM(O673:O681)</f>
        <v>287514.07104204863</v>
      </c>
      <c r="P682" s="896">
        <f t="shared" si="230"/>
        <v>27205.307221333343</v>
      </c>
      <c r="Q682" s="896">
        <f t="shared" si="230"/>
        <v>10448081.223009985</v>
      </c>
      <c r="R682" s="896">
        <f>SUM(R673:R681)</f>
        <v>34460.520239860998</v>
      </c>
      <c r="S682" s="896">
        <f>SUM(S673:S681)</f>
        <v>574598.9451083052</v>
      </c>
      <c r="T682" s="1010"/>
      <c r="U682" s="299">
        <f t="shared" si="229"/>
        <v>166463602.29999995</v>
      </c>
      <c r="V682" s="67"/>
      <c r="W682" s="67"/>
      <c r="X682" s="370">
        <f t="shared" si="211"/>
        <v>0</v>
      </c>
    </row>
    <row r="683" spans="1:24" ht="14.25">
      <c r="A683" s="67"/>
      <c r="B683" s="17">
        <f t="shared" si="221"/>
        <v>29</v>
      </c>
      <c r="C683" s="1"/>
      <c r="D683" s="1"/>
      <c r="E683" s="17"/>
      <c r="F683" s="19"/>
      <c r="G683" s="17"/>
      <c r="H683" s="17"/>
      <c r="I683" s="17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7"/>
      <c r="U683" s="1"/>
      <c r="V683" s="67"/>
      <c r="W683" s="67"/>
      <c r="X683" s="370">
        <f t="shared" si="231" ref="X683:X746">U683-F683</f>
        <v>0</v>
      </c>
    </row>
    <row r="684" spans="1:24" ht="15">
      <c r="A684" s="67"/>
      <c r="B684" s="17">
        <f t="shared" si="221"/>
        <v>30</v>
      </c>
      <c r="C684" s="8"/>
      <c r="D684" s="297" t="s">
        <v>635</v>
      </c>
      <c r="E684" s="20"/>
      <c r="F684" s="22">
        <f>SUM(F674:F680)</f>
        <v>162197778.84</v>
      </c>
      <c r="G684" s="20"/>
      <c r="H684" s="20"/>
      <c r="I684" s="20"/>
      <c r="J684" s="22">
        <f t="shared" si="232" ref="J684:Q684">SUM(J674:J680)</f>
        <v>84385417.353153825</v>
      </c>
      <c r="K684" s="22">
        <f t="shared" si="232"/>
        <v>2059816.9165697175</v>
      </c>
      <c r="L684" s="22">
        <f t="shared" si="232"/>
        <v>54334594.403935835</v>
      </c>
      <c r="M684" s="22">
        <f t="shared" si="232"/>
        <v>24320.355589239611</v>
      </c>
      <c r="N684" s="22">
        <f t="shared" si="232"/>
        <v>10313186.887491938</v>
      </c>
      <c r="O684" s="22">
        <f>SUM(O674:O680)</f>
        <v>280146.18849964807</v>
      </c>
      <c r="P684" s="22">
        <f t="shared" si="232"/>
        <v>26508.139575206591</v>
      </c>
      <c r="Q684" s="22">
        <f t="shared" si="232"/>
        <v>10180336.987169297</v>
      </c>
      <c r="R684" s="22">
        <f>SUM(R674:R680)</f>
        <v>33577.429319972834</v>
      </c>
      <c r="S684" s="22">
        <f>SUM(S674:S680)</f>
        <v>559874.17869530374</v>
      </c>
      <c r="T684" s="20"/>
      <c r="U684" s="299">
        <f>SUM(I684:T684)</f>
        <v>162197778.84</v>
      </c>
      <c r="V684" s="67"/>
      <c r="W684" s="67"/>
      <c r="X684" s="370">
        <f t="shared" si="231"/>
        <v>0</v>
      </c>
    </row>
    <row r="685" spans="1:24" ht="15" thickBot="1">
      <c r="A685" s="67"/>
      <c r="B685" s="17">
        <f t="shared" si="221"/>
        <v>31</v>
      </c>
      <c r="C685" s="1"/>
      <c r="D685" s="1"/>
      <c r="E685" s="17"/>
      <c r="F685" s="19"/>
      <c r="G685" s="17"/>
      <c r="H685" s="17"/>
      <c r="I685" s="17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7"/>
      <c r="U685" s="1"/>
      <c r="V685" s="67"/>
      <c r="W685" s="67"/>
      <c r="X685" s="370">
        <f t="shared" si="231"/>
        <v>0</v>
      </c>
    </row>
    <row r="686" spans="1:24" ht="15.75" thickBot="1">
      <c r="A686" s="67"/>
      <c r="B686" s="17">
        <f t="shared" si="221"/>
        <v>32</v>
      </c>
      <c r="C686" s="870" t="s">
        <v>636</v>
      </c>
      <c r="D686" s="1017"/>
      <c r="E686" s="1013" t="s">
        <v>160</v>
      </c>
      <c r="F686" s="1014">
        <f>+F682+F667</f>
        <v>313957345.19000006</v>
      </c>
      <c r="G686" s="1013"/>
      <c r="H686" s="1013"/>
      <c r="I686" s="1016"/>
      <c r="J686" s="1014">
        <f t="shared" si="233" ref="J686:Q686">+J682+J667</f>
        <v>166837580.62414885</v>
      </c>
      <c r="K686" s="1014">
        <f t="shared" si="233"/>
        <v>4514477.0222503366</v>
      </c>
      <c r="L686" s="1014">
        <f t="shared" si="233"/>
        <v>106850989.30233559</v>
      </c>
      <c r="M686" s="1014">
        <f t="shared" si="233"/>
        <v>72424.467114995146</v>
      </c>
      <c r="N686" s="1014">
        <f t="shared" si="233"/>
        <v>21537825.76916486</v>
      </c>
      <c r="O686" s="1014">
        <f>+O682+O667</f>
        <v>1773934.1096832911</v>
      </c>
      <c r="P686" s="1014">
        <f t="shared" si="233"/>
        <v>62451.084041013419</v>
      </c>
      <c r="Q686" s="1014">
        <f t="shared" si="233"/>
        <v>10953524.514831457</v>
      </c>
      <c r="R686" s="1014">
        <f>+R682+R667</f>
        <v>210676.71571334289</v>
      </c>
      <c r="S686" s="1014">
        <f>+S682+S667</f>
        <v>1143461.5807162938</v>
      </c>
      <c r="T686" s="1016"/>
      <c r="U686" s="1015">
        <f>SUM(I686:T686)</f>
        <v>313957345.19</v>
      </c>
      <c r="V686" s="67"/>
      <c r="W686" s="67"/>
      <c r="X686" s="370">
        <f t="shared" si="231"/>
        <v>0</v>
      </c>
    </row>
    <row r="687" spans="1:24" ht="15">
      <c r="A687" s="67"/>
      <c r="B687" s="17"/>
      <c r="C687" s="1"/>
      <c r="D687" s="8"/>
      <c r="E687" s="20"/>
      <c r="F687" s="2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1"/>
      <c r="V687" s="67"/>
      <c r="W687" s="67"/>
      <c r="X687" s="370">
        <f t="shared" si="231"/>
        <v>0</v>
      </c>
    </row>
    <row r="688" spans="1:24" ht="15.75" thickBot="1">
      <c r="A688" s="67"/>
      <c r="B688" s="17"/>
      <c r="C688" s="1"/>
      <c r="D688" s="8"/>
      <c r="E688" s="20"/>
      <c r="F688" s="22"/>
      <c r="G688" s="20"/>
      <c r="H688" s="13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134"/>
      <c r="V688" s="134">
        <f>$H$2</f>
        <v>0</v>
      </c>
      <c r="W688" s="134"/>
      <c r="X688" s="370"/>
    </row>
    <row r="689" spans="1:24" ht="15">
      <c r="A689" s="67"/>
      <c r="B689" s="920" t="str">
        <f>+$B$4</f>
        <v>2022 RATE CASE</v>
      </c>
      <c r="C689" s="935"/>
      <c r="D689" s="969"/>
      <c r="F689" s="332"/>
      <c r="U689" s="134"/>
      <c r="X689" s="370">
        <f t="shared" si="231"/>
        <v>0</v>
      </c>
    </row>
    <row r="690" spans="1:24" ht="15">
      <c r="A690" s="67"/>
      <c r="B690" s="917" t="str">
        <f>+$B$5</f>
        <v>ONCOR ELECTRIC DELIVERY COMPANY LLC</v>
      </c>
      <c r="C690" s="8"/>
      <c r="D690" s="970"/>
      <c r="F690" s="332"/>
      <c r="U690" s="134"/>
      <c r="V690" s="67"/>
      <c r="W690" s="67"/>
      <c r="X690" s="370">
        <f t="shared" si="231"/>
        <v>0</v>
      </c>
    </row>
    <row r="691" spans="1:24" ht="15">
      <c r="A691" s="67"/>
      <c r="B691" s="917" t="str">
        <f>+$B$6</f>
        <v>II-I-1-DIST:  CLASS REVENUE REQUIREMENT</v>
      </c>
      <c r="C691" s="85"/>
      <c r="D691" s="970"/>
      <c r="F691" s="332"/>
      <c r="U691" s="332"/>
      <c r="V691" s="67"/>
      <c r="W691" s="67"/>
      <c r="X691" s="370">
        <f t="shared" si="231"/>
        <v>0</v>
      </c>
    </row>
    <row r="692" spans="1:24" ht="15">
      <c r="A692" s="67"/>
      <c r="B692" s="406" t="str">
        <f>+$B$7</f>
        <v>TEST YEAR ENDING 12/31/2021</v>
      </c>
      <c r="C692" s="85"/>
      <c r="D692" s="970"/>
      <c r="F692" s="332"/>
      <c r="U692" s="332"/>
      <c r="V692" s="67"/>
      <c r="W692" s="67"/>
      <c r="X692" s="370">
        <f t="shared" si="231"/>
        <v>0</v>
      </c>
    </row>
    <row r="693" spans="1:24" ht="15">
      <c r="A693" s="67"/>
      <c r="B693" s="406" t="str">
        <f>+$B$8</f>
        <v>SPONSOR:  MATTHEW A. TROXLE</v>
      </c>
      <c r="C693" s="85"/>
      <c r="D693" s="970"/>
      <c r="F693" s="332"/>
      <c r="U693" s="332"/>
      <c r="V693" s="67"/>
      <c r="W693" s="67"/>
      <c r="X693" s="370">
        <f t="shared" si="231"/>
        <v>0</v>
      </c>
    </row>
    <row r="694" spans="1:24" ht="15.75" thickBot="1">
      <c r="A694" s="67"/>
      <c r="B694" s="410"/>
      <c r="C694" s="934"/>
      <c r="D694" s="936"/>
      <c r="F694" s="332"/>
      <c r="U694" s="332"/>
      <c r="V694" s="67"/>
      <c r="W694" s="67"/>
      <c r="X694" s="370">
        <f t="shared" si="231"/>
        <v>0</v>
      </c>
    </row>
    <row r="695" spans="1:24" ht="15" thickBot="1">
      <c r="A695" s="67"/>
      <c r="B695" s="13"/>
      <c r="C695" s="14"/>
      <c r="D695" s="14"/>
      <c r="E695" s="14"/>
      <c r="F695" s="13"/>
      <c r="G695" s="14"/>
      <c r="H695" s="14"/>
      <c r="I695" s="14"/>
      <c r="J695" s="238"/>
      <c r="K695" s="238"/>
      <c r="L695" s="14"/>
      <c r="M695" s="238"/>
      <c r="N695" s="238"/>
      <c r="O695" s="238"/>
      <c r="P695" s="238"/>
      <c r="Q695" s="14"/>
      <c r="R695" s="393" t="str">
        <f>R$10</f>
        <v xml:space="preserve"> </v>
      </c>
      <c r="S695" s="394"/>
      <c r="T695" s="238"/>
      <c r="U695" s="13"/>
      <c r="V695" s="67"/>
      <c r="W695" s="67"/>
      <c r="X695" s="370">
        <f t="shared" si="231"/>
        <v>0</v>
      </c>
    </row>
    <row r="696" spans="1:24" ht="15">
      <c r="A696" s="67"/>
      <c r="B696" s="15" t="s">
        <v>2</v>
      </c>
      <c r="C696" s="15" t="s">
        <v>370</v>
      </c>
      <c r="D696" s="287" t="s">
        <v>637</v>
      </c>
      <c r="E696" s="15" t="s">
        <v>371</v>
      </c>
      <c r="F696" s="287" t="str">
        <f>F$11</f>
        <v>DIST</v>
      </c>
      <c r="G696" s="242" t="s">
        <v>741</v>
      </c>
      <c r="H696" s="242" t="s">
        <v>376</v>
      </c>
      <c r="I696" s="15"/>
      <c r="J696" s="242" t="s">
        <v>730</v>
      </c>
      <c r="K696" s="242" t="s">
        <v>409</v>
      </c>
      <c r="L696" s="15" t="s">
        <v>409</v>
      </c>
      <c r="M696" s="242" t="s">
        <v>410</v>
      </c>
      <c r="N696" s="242" t="s">
        <v>410</v>
      </c>
      <c r="O696" s="242" t="s">
        <v>410</v>
      </c>
      <c r="P696" s="242" t="s">
        <v>411</v>
      </c>
      <c r="Q696" s="15" t="s">
        <v>412</v>
      </c>
      <c r="R696" s="396" t="str">
        <f>R$11</f>
        <v>Wholesale</v>
      </c>
      <c r="S696" s="13" t="str">
        <f>S$11</f>
        <v>Wholesale</v>
      </c>
      <c r="T696" s="242"/>
      <c r="U696" s="15" t="s">
        <v>10</v>
      </c>
      <c r="V696" s="67"/>
      <c r="W696" s="67"/>
      <c r="X696" s="370"/>
    </row>
    <row r="697" spans="1:24" ht="14.25">
      <c r="A697" s="67"/>
      <c r="B697" s="15"/>
      <c r="C697" s="15"/>
      <c r="D697" s="15"/>
      <c r="E697" s="15"/>
      <c r="F697" s="15"/>
      <c r="G697" s="242" t="s">
        <v>742</v>
      </c>
      <c r="H697" s="242" t="s">
        <v>743</v>
      </c>
      <c r="I697" s="15"/>
      <c r="J697" s="242"/>
      <c r="K697" s="242" t="s">
        <v>731</v>
      </c>
      <c r="L697" s="15" t="s">
        <v>732</v>
      </c>
      <c r="M697" s="242" t="s">
        <v>731</v>
      </c>
      <c r="N697" s="242" t="s">
        <v>732</v>
      </c>
      <c r="O697" s="242" t="s">
        <v>414</v>
      </c>
      <c r="P697" s="242"/>
      <c r="Q697" s="15"/>
      <c r="R697" s="235" t="str">
        <f>R$12</f>
        <v>XFMR</v>
      </c>
      <c r="S697" s="15" t="str">
        <f>S$12</f>
        <v>DLS</v>
      </c>
      <c r="T697" s="242"/>
      <c r="U697" s="15"/>
      <c r="V697" s="67"/>
      <c r="W697" s="67"/>
      <c r="X697" s="370">
        <f t="shared" si="231"/>
        <v>0</v>
      </c>
    </row>
    <row r="698" spans="1:24" ht="15" thickBot="1">
      <c r="A698" s="67"/>
      <c r="B698" s="16"/>
      <c r="C698" s="16"/>
      <c r="D698" s="16"/>
      <c r="E698" s="16"/>
      <c r="F698" s="16" t="s">
        <v>13</v>
      </c>
      <c r="G698" s="16" t="s">
        <v>14</v>
      </c>
      <c r="H698" s="16" t="s">
        <v>15</v>
      </c>
      <c r="I698" s="16"/>
      <c r="J698" s="243" t="str">
        <f t="shared" si="234" ref="J698:Q698">J$13</f>
        <v>(d)</v>
      </c>
      <c r="K698" s="243" t="str">
        <f t="shared" si="234"/>
        <v>(e)</v>
      </c>
      <c r="L698" s="16" t="str">
        <f t="shared" si="234"/>
        <v>(f)</v>
      </c>
      <c r="M698" s="243" t="str">
        <f t="shared" si="234"/>
        <v>(g)</v>
      </c>
      <c r="N698" s="243" t="str">
        <f t="shared" si="234"/>
        <v>(h)</v>
      </c>
      <c r="O698" s="243" t="str">
        <f>O$13</f>
        <v>(i)</v>
      </c>
      <c r="P698" s="243" t="str">
        <f t="shared" si="234"/>
        <v>(j)</v>
      </c>
      <c r="Q698" s="243" t="str">
        <f t="shared" si="234"/>
        <v>(k)</v>
      </c>
      <c r="R698" s="243" t="str">
        <f>R$13</f>
        <v>(l)</v>
      </c>
      <c r="S698" s="16" t="str">
        <f>S$13</f>
        <v>(m)</v>
      </c>
      <c r="T698" s="16"/>
      <c r="U698" s="16" t="s">
        <v>734</v>
      </c>
      <c r="V698" s="67"/>
      <c r="W698" s="67"/>
      <c r="X698" s="370"/>
    </row>
    <row r="699" spans="1:24" ht="14.25">
      <c r="A699" s="47"/>
      <c r="B699" s="47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43"/>
      <c r="V699" s="67"/>
      <c r="W699" s="67"/>
      <c r="X699" s="370">
        <f t="shared" si="231"/>
        <v>0</v>
      </c>
    </row>
    <row r="700" spans="1:24" ht="15">
      <c r="A700" s="67"/>
      <c r="B700" s="17">
        <f>B687+1</f>
        <v>1</v>
      </c>
      <c r="C700" s="8"/>
      <c r="D700" s="366" t="s">
        <v>638</v>
      </c>
      <c r="E700" s="20" t="s">
        <v>160</v>
      </c>
      <c r="F700" s="8"/>
      <c r="G700" s="1059"/>
      <c r="H700" s="1059"/>
      <c r="I700" s="1059"/>
      <c r="J700" s="1059"/>
      <c r="K700" s="1059"/>
      <c r="L700" s="1059"/>
      <c r="M700" s="1059"/>
      <c r="N700" s="1059"/>
      <c r="O700" s="1059"/>
      <c r="P700" s="1059"/>
      <c r="Q700" s="1059"/>
      <c r="R700" s="1059"/>
      <c r="S700" s="1059"/>
      <c r="T700" s="1010"/>
      <c r="U700" s="8"/>
      <c r="V700" s="67"/>
      <c r="W700" s="67"/>
      <c r="X700" s="370">
        <f t="shared" si="231"/>
        <v>0</v>
      </c>
    </row>
    <row r="701" spans="1:24" ht="14.25">
      <c r="A701" s="67"/>
      <c r="B701" s="17">
        <f t="shared" si="235" ref="B701:B731">B700+1</f>
        <v>2</v>
      </c>
      <c r="C701" s="1" t="s">
        <v>222</v>
      </c>
      <c r="D701" s="1" t="s">
        <v>223</v>
      </c>
      <c r="E701" s="17"/>
      <c r="F701" s="121">
        <f>' WP II-I-1.4'!G701</f>
        <v>114.29000000000001</v>
      </c>
      <c r="G701" s="17">
        <v>73</v>
      </c>
      <c r="H701" s="1" t="str">
        <f>VLOOKUP(G701,FactorTable,2)</f>
        <v>CUS ACCT</v>
      </c>
      <c r="I701" s="17"/>
      <c r="J701" s="434">
        <f t="shared" si="236" ref="J701:S705">$F701*HLOOKUP(J$1318,FactorTable,$G701+1)</f>
        <v>63.717225276022454</v>
      </c>
      <c r="K701" s="434">
        <f t="shared" si="236"/>
        <v>9.8235552393636887</v>
      </c>
      <c r="L701" s="434">
        <f t="shared" si="236"/>
        <v>30.301095964516168</v>
      </c>
      <c r="M701" s="434">
        <f t="shared" si="236"/>
        <v>0.42547339498852554</v>
      </c>
      <c r="N701" s="434">
        <f t="shared" si="236"/>
        <v>8.8784836138863756</v>
      </c>
      <c r="O701" s="434">
        <f t="shared" si="236"/>
        <v>0.30340447326544073</v>
      </c>
      <c r="P701" s="434">
        <f t="shared" si="236"/>
        <v>0.66048819949322857</v>
      </c>
      <c r="Q701" s="434">
        <f t="shared" si="236"/>
        <v>0.063514738028054851</v>
      </c>
      <c r="R701" s="434">
        <f t="shared" si="236"/>
        <v>0.035008208453704698</v>
      </c>
      <c r="S701" s="434">
        <f t="shared" si="236"/>
        <v>0.081750891982374396</v>
      </c>
      <c r="T701" s="17"/>
      <c r="U701" s="118">
        <f t="shared" si="237" ref="U701:U706">SUM(I701:T701)</f>
        <v>114.29000000000004</v>
      </c>
      <c r="V701" s="67"/>
      <c r="W701" s="67"/>
      <c r="X701" s="370">
        <f t="shared" si="231"/>
        <v>0</v>
      </c>
    </row>
    <row r="702" spans="1:24" ht="14.25">
      <c r="A702" s="67"/>
      <c r="B702" s="17">
        <f t="shared" si="235"/>
        <v>3</v>
      </c>
      <c r="C702" s="1" t="s">
        <v>224</v>
      </c>
      <c r="D702" s="1" t="s">
        <v>225</v>
      </c>
      <c r="E702" s="17"/>
      <c r="F702" s="121">
        <f>' WP II-I-1.4'!G702</f>
        <v>0</v>
      </c>
      <c r="G702" s="17">
        <v>6</v>
      </c>
      <c r="H702" s="1" t="str">
        <f>VLOOKUP(G702,FactorTable,2)</f>
        <v>CUS W ALL</v>
      </c>
      <c r="I702" s="17"/>
      <c r="J702" s="434">
        <f t="shared" si="236"/>
        <v>0</v>
      </c>
      <c r="K702" s="434">
        <f t="shared" si="236"/>
        <v>0</v>
      </c>
      <c r="L702" s="434">
        <f t="shared" si="236"/>
        <v>0</v>
      </c>
      <c r="M702" s="434">
        <f t="shared" si="236"/>
        <v>0</v>
      </c>
      <c r="N702" s="434">
        <f t="shared" si="236"/>
        <v>0</v>
      </c>
      <c r="O702" s="434">
        <f t="shared" si="236"/>
        <v>0</v>
      </c>
      <c r="P702" s="434">
        <f t="shared" si="236"/>
        <v>0</v>
      </c>
      <c r="Q702" s="434">
        <f t="shared" si="236"/>
        <v>0</v>
      </c>
      <c r="R702" s="434">
        <f t="shared" si="236"/>
        <v>0</v>
      </c>
      <c r="S702" s="434">
        <f t="shared" si="236"/>
        <v>0</v>
      </c>
      <c r="T702" s="17"/>
      <c r="U702" s="118">
        <f t="shared" si="237"/>
        <v>0</v>
      </c>
      <c r="V702" s="67"/>
      <c r="W702" s="67"/>
      <c r="X702" s="370">
        <f t="shared" si="231"/>
        <v>0</v>
      </c>
    </row>
    <row r="703" spans="1:24" ht="14.25">
      <c r="A703" s="67"/>
      <c r="B703" s="17">
        <f t="shared" si="235"/>
        <v>4</v>
      </c>
      <c r="C703" s="1" t="s">
        <v>226</v>
      </c>
      <c r="D703" s="1" t="s">
        <v>227</v>
      </c>
      <c r="E703" s="17"/>
      <c r="F703" s="121">
        <f>' WP II-I-1.4'!G703</f>
        <v>10743.190000000001</v>
      </c>
      <c r="G703" s="17">
        <v>6</v>
      </c>
      <c r="H703" s="1" t="str">
        <f>VLOOKUP(G703,FactorTable,2)</f>
        <v>CUS W ALL</v>
      </c>
      <c r="I703" s="17"/>
      <c r="J703" s="434">
        <f t="shared" si="236"/>
        <v>5989.3801506090786</v>
      </c>
      <c r="K703" s="434">
        <f t="shared" si="236"/>
        <v>923.40817579822897</v>
      </c>
      <c r="L703" s="434">
        <f t="shared" si="236"/>
        <v>2848.2844619391935</v>
      </c>
      <c r="M703" s="434">
        <f t="shared" si="236"/>
        <v>39.994238536239195</v>
      </c>
      <c r="N703" s="434">
        <f t="shared" si="236"/>
        <v>834.57202183802588</v>
      </c>
      <c r="O703" s="434">
        <f t="shared" si="236"/>
        <v>28.519834658680111</v>
      </c>
      <c r="P703" s="434">
        <f t="shared" si="236"/>
        <v>62.085486218511313</v>
      </c>
      <c r="Q703" s="434">
        <f t="shared" si="236"/>
        <v>5.9703464733189131</v>
      </c>
      <c r="R703" s="434">
        <f t="shared" si="236"/>
        <v>3.2907501529246286</v>
      </c>
      <c r="S703" s="434">
        <f t="shared" si="236"/>
        <v>7.6845337757994994</v>
      </c>
      <c r="T703" s="17"/>
      <c r="U703" s="118">
        <f t="shared" si="237"/>
        <v>10743.190000000001</v>
      </c>
      <c r="V703" s="67"/>
      <c r="W703" s="67"/>
      <c r="X703" s="370">
        <f t="shared" si="231"/>
        <v>0</v>
      </c>
    </row>
    <row r="704" spans="1:24" ht="14.25">
      <c r="A704" s="67"/>
      <c r="B704" s="17">
        <f t="shared" si="235"/>
        <v>5</v>
      </c>
      <c r="C704" s="1" t="s">
        <v>228</v>
      </c>
      <c r="D704" s="1" t="s">
        <v>229</v>
      </c>
      <c r="E704" s="17"/>
      <c r="F704" s="121">
        <f>' WP II-I-1.4'!G704</f>
        <v>-16239.889999999999</v>
      </c>
      <c r="G704" s="17">
        <v>15</v>
      </c>
      <c r="H704" s="1" t="str">
        <f>VLOOKUP(G704,FactorTable,2)</f>
        <v>REVENUE RTL</v>
      </c>
      <c r="I704" s="17"/>
      <c r="J704" s="434">
        <f t="shared" si="236"/>
        <v>-7812.8529836352973</v>
      </c>
      <c r="K704" s="434">
        <f t="shared" si="236"/>
        <v>-388.62045326411453</v>
      </c>
      <c r="L704" s="434">
        <f t="shared" si="236"/>
        <v>-6085.2064496584708</v>
      </c>
      <c r="M704" s="434">
        <f t="shared" si="236"/>
        <v>-5.0115663756402506</v>
      </c>
      <c r="N704" s="434">
        <f t="shared" si="236"/>
        <v>-1108.1487654646917</v>
      </c>
      <c r="O704" s="434">
        <f t="shared" si="236"/>
        <v>-128.38616823602825</v>
      </c>
      <c r="P704" s="434">
        <f t="shared" si="236"/>
        <v>-466.12704894812481</v>
      </c>
      <c r="Q704" s="434">
        <f t="shared" si="236"/>
        <v>-245.53656441763363</v>
      </c>
      <c r="R704" s="434">
        <f t="shared" si="236"/>
        <v>0</v>
      </c>
      <c r="S704" s="434">
        <f t="shared" si="236"/>
        <v>0</v>
      </c>
      <c r="T704" s="17"/>
      <c r="U704" s="118">
        <f t="shared" si="237"/>
        <v>-16239.890000000001</v>
      </c>
      <c r="V704" s="67"/>
      <c r="W704" s="67"/>
      <c r="X704" s="370">
        <f t="shared" si="231"/>
        <v>0</v>
      </c>
    </row>
    <row r="705" spans="1:24" ht="14.25">
      <c r="A705" s="67"/>
      <c r="B705" s="17">
        <f t="shared" si="235"/>
        <v>6</v>
      </c>
      <c r="C705" s="1" t="s">
        <v>230</v>
      </c>
      <c r="D705" s="31" t="s">
        <v>231</v>
      </c>
      <c r="E705" s="17"/>
      <c r="F705" s="121">
        <f>' WP II-I-1.4'!G705</f>
        <v>0</v>
      </c>
      <c r="G705" s="17">
        <v>73</v>
      </c>
      <c r="H705" s="1" t="str">
        <f>VLOOKUP(G705,FactorTable,2)</f>
        <v>CUS ACCT</v>
      </c>
      <c r="I705" s="17"/>
      <c r="J705" s="435">
        <f t="shared" si="236"/>
        <v>0</v>
      </c>
      <c r="K705" s="435">
        <f t="shared" si="236"/>
        <v>0</v>
      </c>
      <c r="L705" s="435">
        <f t="shared" si="236"/>
        <v>0</v>
      </c>
      <c r="M705" s="435">
        <f t="shared" si="236"/>
        <v>0</v>
      </c>
      <c r="N705" s="435">
        <f t="shared" si="236"/>
        <v>0</v>
      </c>
      <c r="O705" s="435">
        <f t="shared" si="236"/>
        <v>0</v>
      </c>
      <c r="P705" s="435">
        <f t="shared" si="236"/>
        <v>0</v>
      </c>
      <c r="Q705" s="435">
        <f t="shared" si="236"/>
        <v>0</v>
      </c>
      <c r="R705" s="435">
        <f t="shared" si="236"/>
        <v>0</v>
      </c>
      <c r="S705" s="435">
        <f t="shared" si="236"/>
        <v>0</v>
      </c>
      <c r="T705" s="17"/>
      <c r="U705" s="118">
        <f t="shared" si="237"/>
        <v>0</v>
      </c>
      <c r="V705" s="67"/>
      <c r="W705" s="67"/>
      <c r="X705" s="370">
        <f t="shared" si="231"/>
        <v>0</v>
      </c>
    </row>
    <row r="706" spans="1:24" ht="15">
      <c r="A706" s="67"/>
      <c r="B706" s="17">
        <f t="shared" si="235"/>
        <v>7</v>
      </c>
      <c r="C706" s="8"/>
      <c r="D706" s="297" t="s">
        <v>639</v>
      </c>
      <c r="E706" s="20"/>
      <c r="F706" s="896">
        <f>SUM(F701:F705)</f>
        <v>-5382.409999999998</v>
      </c>
      <c r="G706" s="1059"/>
      <c r="H706" s="1059"/>
      <c r="I706" s="1059"/>
      <c r="J706" s="896">
        <f t="shared" si="238" ref="J706:Q706">SUM(J701:J705)</f>
        <v>-1759.7556077501959</v>
      </c>
      <c r="K706" s="896">
        <f t="shared" si="238"/>
        <v>544.61127777347815</v>
      </c>
      <c r="L706" s="896">
        <f t="shared" si="238"/>
        <v>-3206.620891754761</v>
      </c>
      <c r="M706" s="896">
        <f t="shared" si="238"/>
        <v>35.408145555587467</v>
      </c>
      <c r="N706" s="896">
        <f t="shared" si="238"/>
        <v>-264.69826001277943</v>
      </c>
      <c r="O706" s="896">
        <f>SUM(O701:O705)</f>
        <v>-99.562929104082698</v>
      </c>
      <c r="P706" s="896">
        <f t="shared" si="238"/>
        <v>-403.38107453012026</v>
      </c>
      <c r="Q706" s="896">
        <f t="shared" si="238"/>
        <v>-239.50270320628667</v>
      </c>
      <c r="R706" s="896">
        <f>SUM(R701:R705)</f>
        <v>3.3257583613783335</v>
      </c>
      <c r="S706" s="896">
        <f>SUM(S701:S705)</f>
        <v>7.766284667781874</v>
      </c>
      <c r="T706" s="1010"/>
      <c r="U706" s="299">
        <f t="shared" si="237"/>
        <v>-5382.409999999998</v>
      </c>
      <c r="V706" s="67"/>
      <c r="W706" s="67"/>
      <c r="X706" s="370">
        <f t="shared" si="231"/>
        <v>0</v>
      </c>
    </row>
    <row r="707" spans="1:24" ht="14.25">
      <c r="A707" s="67"/>
      <c r="B707" s="17">
        <f t="shared" si="235"/>
        <v>8</v>
      </c>
      <c r="C707" s="1"/>
      <c r="D707" s="1"/>
      <c r="E707" s="17"/>
      <c r="F707" s="19"/>
      <c r="G707" s="17"/>
      <c r="H707" s="17"/>
      <c r="I707" s="17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7"/>
      <c r="U707" s="1"/>
      <c r="V707" s="67"/>
      <c r="W707" s="67"/>
      <c r="X707" s="370">
        <f t="shared" si="231"/>
        <v>0</v>
      </c>
    </row>
    <row r="708" spans="1:24" ht="15">
      <c r="A708" s="67"/>
      <c r="B708" s="17">
        <f t="shared" si="235"/>
        <v>9</v>
      </c>
      <c r="C708" s="8"/>
      <c r="D708" s="297" t="s">
        <v>649</v>
      </c>
      <c r="E708" s="20"/>
      <c r="F708" s="896">
        <f>SUM(F702:F703)</f>
        <v>10743.190000000001</v>
      </c>
      <c r="G708" s="1059"/>
      <c r="H708" s="1059"/>
      <c r="I708" s="1059"/>
      <c r="J708" s="896">
        <f t="shared" si="239" ref="J708:Q708">SUM(J702:J703)</f>
        <v>5989.3801506090786</v>
      </c>
      <c r="K708" s="896">
        <f t="shared" si="239"/>
        <v>923.40817579822897</v>
      </c>
      <c r="L708" s="896">
        <f t="shared" si="239"/>
        <v>2848.2844619391935</v>
      </c>
      <c r="M708" s="896">
        <f t="shared" si="239"/>
        <v>39.994238536239195</v>
      </c>
      <c r="N708" s="896">
        <f t="shared" si="239"/>
        <v>834.57202183802588</v>
      </c>
      <c r="O708" s="896">
        <f>SUM(O702:O703)</f>
        <v>28.519834658680111</v>
      </c>
      <c r="P708" s="896">
        <f t="shared" si="239"/>
        <v>62.085486218511313</v>
      </c>
      <c r="Q708" s="896">
        <f t="shared" si="239"/>
        <v>5.9703464733189131</v>
      </c>
      <c r="R708" s="896">
        <f>SUM(R702:R703)</f>
        <v>3.2907501529246286</v>
      </c>
      <c r="S708" s="896">
        <f>SUM(S702:S703)</f>
        <v>7.6845337757994994</v>
      </c>
      <c r="T708" s="1010"/>
      <c r="U708" s="299">
        <f>SUM(I708:T708)</f>
        <v>10743.190000000001</v>
      </c>
      <c r="V708" s="67"/>
      <c r="W708" s="67"/>
      <c r="X708" s="370">
        <f t="shared" si="231"/>
        <v>0</v>
      </c>
    </row>
    <row r="709" spans="1:24" ht="14.25">
      <c r="A709" s="67"/>
      <c r="B709" s="17">
        <f t="shared" si="235"/>
        <v>10</v>
      </c>
      <c r="C709" s="1"/>
      <c r="D709" s="1"/>
      <c r="E709" s="17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"/>
      <c r="V709" s="67"/>
      <c r="W709" s="67"/>
      <c r="X709" s="370">
        <f t="shared" si="231"/>
        <v>0</v>
      </c>
    </row>
    <row r="710" spans="1:24" ht="15">
      <c r="A710" s="67"/>
      <c r="B710" s="17">
        <f t="shared" si="235"/>
        <v>11</v>
      </c>
      <c r="C710" s="8"/>
      <c r="D710" s="366" t="s">
        <v>650</v>
      </c>
      <c r="E710" s="20" t="s">
        <v>160</v>
      </c>
      <c r="F710" s="896"/>
      <c r="G710" s="1059"/>
      <c r="H710" s="1059"/>
      <c r="I710" s="1059"/>
      <c r="J710" s="1059"/>
      <c r="K710" s="1059"/>
      <c r="L710" s="1059"/>
      <c r="M710" s="1059"/>
      <c r="N710" s="1059"/>
      <c r="O710" s="1059"/>
      <c r="P710" s="1059"/>
      <c r="Q710" s="1059"/>
      <c r="R710" s="1059"/>
      <c r="S710" s="1059"/>
      <c r="T710" s="1010"/>
      <c r="U710" s="8"/>
      <c r="V710" s="67"/>
      <c r="W710" s="67"/>
      <c r="X710" s="370">
        <f t="shared" si="231"/>
        <v>0</v>
      </c>
    </row>
    <row r="711" spans="1:24" ht="14.25">
      <c r="A711" s="67"/>
      <c r="B711" s="17">
        <f t="shared" si="235"/>
        <v>12</v>
      </c>
      <c r="C711" s="1" t="s">
        <v>233</v>
      </c>
      <c r="D711" s="1" t="s">
        <v>234</v>
      </c>
      <c r="E711" s="17"/>
      <c r="F711" s="121">
        <f>' WP II-I-1.4'!G711</f>
        <v>0</v>
      </c>
      <c r="G711" s="17">
        <v>9</v>
      </c>
      <c r="H711" s="1" t="str">
        <f>VLOOKUP(G711,FactorTable,2)</f>
        <v>CUS U ALL</v>
      </c>
      <c r="I711" s="17"/>
      <c r="J711" s="434">
        <f t="shared" si="240" ref="J711:S715">$F711*HLOOKUP(J$1318,FactorTable,$G711+1)</f>
        <v>0</v>
      </c>
      <c r="K711" s="434">
        <f t="shared" si="240"/>
        <v>0</v>
      </c>
      <c r="L711" s="434">
        <f t="shared" si="240"/>
        <v>0</v>
      </c>
      <c r="M711" s="434">
        <f t="shared" si="240"/>
        <v>0</v>
      </c>
      <c r="N711" s="434">
        <f t="shared" si="240"/>
        <v>0</v>
      </c>
      <c r="O711" s="434">
        <f t="shared" si="240"/>
        <v>0</v>
      </c>
      <c r="P711" s="434">
        <f t="shared" si="240"/>
        <v>0</v>
      </c>
      <c r="Q711" s="434">
        <f t="shared" si="240"/>
        <v>0</v>
      </c>
      <c r="R711" s="434">
        <f t="shared" si="240"/>
        <v>0</v>
      </c>
      <c r="S711" s="434">
        <f t="shared" si="240"/>
        <v>0</v>
      </c>
      <c r="T711" s="17"/>
      <c r="U711" s="118">
        <f t="shared" si="241" ref="U711:U716">SUM(I711:T711)</f>
        <v>0</v>
      </c>
      <c r="V711" s="67"/>
      <c r="W711" s="67"/>
      <c r="X711" s="370">
        <f t="shared" si="231"/>
        <v>0</v>
      </c>
    </row>
    <row r="712" spans="1:24" ht="14.25">
      <c r="A712" s="67"/>
      <c r="B712" s="17">
        <f t="shared" si="235"/>
        <v>13</v>
      </c>
      <c r="C712" s="1" t="s">
        <v>235</v>
      </c>
      <c r="D712" s="1" t="s">
        <v>223</v>
      </c>
      <c r="E712" s="17"/>
      <c r="F712" s="121">
        <f>' WP II-I-1.4'!G712</f>
        <v>0</v>
      </c>
      <c r="G712" s="17">
        <v>74</v>
      </c>
      <c r="H712" s="1" t="str">
        <f>VLOOKUP(G712,FactorTable,2)</f>
        <v>CUS SVC INFO</v>
      </c>
      <c r="I712" s="17"/>
      <c r="J712" s="434">
        <f t="shared" si="240"/>
        <v>0</v>
      </c>
      <c r="K712" s="434">
        <f t="shared" si="240"/>
        <v>0</v>
      </c>
      <c r="L712" s="434">
        <f t="shared" si="240"/>
        <v>0</v>
      </c>
      <c r="M712" s="434">
        <f t="shared" si="240"/>
        <v>0</v>
      </c>
      <c r="N712" s="434">
        <f t="shared" si="240"/>
        <v>0</v>
      </c>
      <c r="O712" s="434">
        <f t="shared" si="240"/>
        <v>0</v>
      </c>
      <c r="P712" s="434">
        <f t="shared" si="240"/>
        <v>0</v>
      </c>
      <c r="Q712" s="434">
        <f t="shared" si="240"/>
        <v>0</v>
      </c>
      <c r="R712" s="434">
        <f t="shared" si="240"/>
        <v>0</v>
      </c>
      <c r="S712" s="434">
        <f t="shared" si="240"/>
        <v>0</v>
      </c>
      <c r="T712" s="17"/>
      <c r="U712" s="118">
        <f t="shared" si="241"/>
        <v>0</v>
      </c>
      <c r="V712" s="67"/>
      <c r="W712" s="67"/>
      <c r="X712" s="370">
        <f t="shared" si="231"/>
        <v>0</v>
      </c>
    </row>
    <row r="713" spans="1:24" ht="15">
      <c r="A713" s="67"/>
      <c r="B713" s="17">
        <f t="shared" si="235"/>
        <v>14</v>
      </c>
      <c r="C713" s="1" t="s">
        <v>236</v>
      </c>
      <c r="D713" s="1" t="s">
        <v>237</v>
      </c>
      <c r="E713" s="20"/>
      <c r="F713" s="121">
        <f>' WP II-I-1.4'!G713</f>
        <v>250687.94</v>
      </c>
      <c r="G713" s="17">
        <v>9</v>
      </c>
      <c r="H713" s="1" t="str">
        <f>VLOOKUP(G713,FactorTable,2)</f>
        <v>CUS U ALL</v>
      </c>
      <c r="I713" s="1059"/>
      <c r="J713" s="434">
        <f t="shared" si="240"/>
        <v>213142.02676213204</v>
      </c>
      <c r="K713" s="434">
        <f t="shared" si="240"/>
        <v>19914.423396370377</v>
      </c>
      <c r="L713" s="434">
        <f t="shared" si="240"/>
        <v>13317.799265579122</v>
      </c>
      <c r="M713" s="434">
        <f t="shared" si="240"/>
        <v>202.85328959742645</v>
      </c>
      <c r="N713" s="434">
        <f t="shared" si="240"/>
        <v>468.24374296626206</v>
      </c>
      <c r="O713" s="434">
        <f t="shared" si="240"/>
        <v>8.5040076258192325</v>
      </c>
      <c r="P713" s="434">
        <f t="shared" si="240"/>
        <v>18.512570446975715</v>
      </c>
      <c r="Q713" s="434">
        <f t="shared" si="240"/>
        <v>3611.4557923556017</v>
      </c>
      <c r="R713" s="434">
        <f t="shared" si="240"/>
        <v>0.98123164913298844</v>
      </c>
      <c r="S713" s="434">
        <f t="shared" si="240"/>
        <v>3.1399412772255628</v>
      </c>
      <c r="T713" s="1010"/>
      <c r="U713" s="118">
        <f t="shared" si="241"/>
        <v>250687.94</v>
      </c>
      <c r="V713" s="67"/>
      <c r="W713" s="67"/>
      <c r="X713" s="370">
        <f t="shared" si="231"/>
        <v>0</v>
      </c>
    </row>
    <row r="714" spans="1:24" ht="14.25">
      <c r="A714" s="67"/>
      <c r="B714" s="17">
        <f t="shared" si="235"/>
        <v>15</v>
      </c>
      <c r="C714" s="1" t="s">
        <v>238</v>
      </c>
      <c r="D714" s="1" t="s">
        <v>239</v>
      </c>
      <c r="E714" s="17"/>
      <c r="F714" s="121">
        <f>' WP II-I-1.4'!G714</f>
        <v>0</v>
      </c>
      <c r="G714" s="17">
        <v>10</v>
      </c>
      <c r="H714" s="1" t="str">
        <f>VLOOKUP(G714,FactorTable,2)</f>
        <v>CUS U RTL</v>
      </c>
      <c r="I714" s="17"/>
      <c r="J714" s="434">
        <f t="shared" si="240"/>
        <v>0</v>
      </c>
      <c r="K714" s="434">
        <f t="shared" si="240"/>
        <v>0</v>
      </c>
      <c r="L714" s="434">
        <f t="shared" si="240"/>
        <v>0</v>
      </c>
      <c r="M714" s="434">
        <f t="shared" si="240"/>
        <v>0</v>
      </c>
      <c r="N714" s="434">
        <f t="shared" si="240"/>
        <v>0</v>
      </c>
      <c r="O714" s="434">
        <f t="shared" si="240"/>
        <v>0</v>
      </c>
      <c r="P714" s="434">
        <f t="shared" si="240"/>
        <v>0</v>
      </c>
      <c r="Q714" s="434">
        <f t="shared" si="240"/>
        <v>0</v>
      </c>
      <c r="R714" s="434">
        <f t="shared" si="240"/>
        <v>0</v>
      </c>
      <c r="S714" s="434">
        <f t="shared" si="240"/>
        <v>0</v>
      </c>
      <c r="T714" s="17"/>
      <c r="U714" s="118">
        <f t="shared" si="241"/>
        <v>0</v>
      </c>
      <c r="V714" s="67"/>
      <c r="W714" s="67"/>
      <c r="X714" s="370">
        <f t="shared" si="231"/>
        <v>0</v>
      </c>
    </row>
    <row r="715" spans="1:24" ht="14.25">
      <c r="A715" s="67"/>
      <c r="B715" s="17">
        <f t="shared" si="235"/>
        <v>16</v>
      </c>
      <c r="C715" s="1" t="s">
        <v>240</v>
      </c>
      <c r="D715" s="1" t="s">
        <v>241</v>
      </c>
      <c r="E715" s="17"/>
      <c r="F715" s="121">
        <f>' WP II-I-1.4'!G715</f>
        <v>0</v>
      </c>
      <c r="G715" s="17">
        <v>74</v>
      </c>
      <c r="H715" s="1" t="str">
        <f>VLOOKUP(G715,FactorTable,2)</f>
        <v>CUS SVC INFO</v>
      </c>
      <c r="I715" s="17"/>
      <c r="J715" s="435">
        <f t="shared" si="240"/>
        <v>0</v>
      </c>
      <c r="K715" s="435">
        <f t="shared" si="240"/>
        <v>0</v>
      </c>
      <c r="L715" s="435">
        <f t="shared" si="240"/>
        <v>0</v>
      </c>
      <c r="M715" s="435">
        <f t="shared" si="240"/>
        <v>0</v>
      </c>
      <c r="N715" s="435">
        <f t="shared" si="240"/>
        <v>0</v>
      </c>
      <c r="O715" s="435">
        <f t="shared" si="240"/>
        <v>0</v>
      </c>
      <c r="P715" s="435">
        <f t="shared" si="240"/>
        <v>0</v>
      </c>
      <c r="Q715" s="435">
        <f t="shared" si="240"/>
        <v>0</v>
      </c>
      <c r="R715" s="435">
        <f t="shared" si="240"/>
        <v>0</v>
      </c>
      <c r="S715" s="435">
        <f t="shared" si="240"/>
        <v>0</v>
      </c>
      <c r="T715" s="17"/>
      <c r="U715" s="118">
        <f t="shared" si="241"/>
        <v>0</v>
      </c>
      <c r="V715" s="67"/>
      <c r="W715" s="67"/>
      <c r="X715" s="370">
        <f t="shared" si="231"/>
        <v>0</v>
      </c>
    </row>
    <row r="716" spans="1:24" ht="15">
      <c r="A716" s="67"/>
      <c r="B716" s="17">
        <f t="shared" si="235"/>
        <v>17</v>
      </c>
      <c r="C716" s="8"/>
      <c r="D716" s="297" t="s">
        <v>651</v>
      </c>
      <c r="E716" s="20"/>
      <c r="F716" s="896">
        <f>SUM(F711:F715)</f>
        <v>250687.94</v>
      </c>
      <c r="G716" s="1059"/>
      <c r="H716" s="1059"/>
      <c r="I716" s="1059"/>
      <c r="J716" s="896">
        <f t="shared" si="242" ref="J716:Q716">SUM(J711:J715)</f>
        <v>213142.02676213204</v>
      </c>
      <c r="K716" s="896">
        <f t="shared" si="242"/>
        <v>19914.423396370377</v>
      </c>
      <c r="L716" s="896">
        <f t="shared" si="242"/>
        <v>13317.799265579122</v>
      </c>
      <c r="M716" s="896">
        <f t="shared" si="242"/>
        <v>202.85328959742645</v>
      </c>
      <c r="N716" s="896">
        <f t="shared" si="242"/>
        <v>468.24374296626206</v>
      </c>
      <c r="O716" s="896">
        <f>SUM(O711:O715)</f>
        <v>8.5040076258192325</v>
      </c>
      <c r="P716" s="896">
        <f t="shared" si="242"/>
        <v>18.512570446975715</v>
      </c>
      <c r="Q716" s="896">
        <f t="shared" si="242"/>
        <v>3611.4557923556017</v>
      </c>
      <c r="R716" s="896">
        <f>SUM(R711:R715)</f>
        <v>0.98123164913298844</v>
      </c>
      <c r="S716" s="896">
        <f>SUM(S711:S715)</f>
        <v>3.1399412772255628</v>
      </c>
      <c r="T716" s="1010"/>
      <c r="U716" s="299">
        <f t="shared" si="241"/>
        <v>250687.94</v>
      </c>
      <c r="V716" s="67"/>
      <c r="W716" s="67"/>
      <c r="X716" s="370">
        <f t="shared" si="231"/>
        <v>0</v>
      </c>
    </row>
    <row r="717" spans="1:24" ht="15">
      <c r="A717" s="67"/>
      <c r="B717" s="17">
        <f t="shared" si="235"/>
        <v>18</v>
      </c>
      <c r="C717" s="8"/>
      <c r="D717" s="297"/>
      <c r="E717" s="20"/>
      <c r="F717" s="896"/>
      <c r="G717" s="1059"/>
      <c r="H717" s="1059"/>
      <c r="I717" s="1059"/>
      <c r="J717" s="896"/>
      <c r="K717" s="896"/>
      <c r="L717" s="896"/>
      <c r="M717" s="896"/>
      <c r="N717" s="896"/>
      <c r="O717" s="896"/>
      <c r="P717" s="896"/>
      <c r="Q717" s="896"/>
      <c r="R717" s="896"/>
      <c r="S717" s="896"/>
      <c r="T717" s="1010"/>
      <c r="U717" s="299"/>
      <c r="V717" s="67"/>
      <c r="W717" s="67"/>
      <c r="X717" s="370">
        <f t="shared" si="231"/>
        <v>0</v>
      </c>
    </row>
    <row r="718" spans="1:24" ht="15">
      <c r="A718" s="67"/>
      <c r="B718" s="17">
        <f t="shared" si="235"/>
        <v>19</v>
      </c>
      <c r="C718" s="8"/>
      <c r="D718" s="297" t="s">
        <v>652</v>
      </c>
      <c r="E718" s="20"/>
      <c r="F718" s="896">
        <f>F711+F713+F714</f>
        <v>250687.94</v>
      </c>
      <c r="G718" s="1059"/>
      <c r="H718" s="1059"/>
      <c r="I718" s="1059"/>
      <c r="J718" s="896">
        <f t="shared" si="243" ref="J718:Q718">J711+J713+J714</f>
        <v>213142.02676213204</v>
      </c>
      <c r="K718" s="896">
        <f t="shared" si="243"/>
        <v>19914.423396370377</v>
      </c>
      <c r="L718" s="896">
        <f t="shared" si="243"/>
        <v>13317.799265579122</v>
      </c>
      <c r="M718" s="896">
        <f t="shared" si="243"/>
        <v>202.85328959742645</v>
      </c>
      <c r="N718" s="896">
        <f t="shared" si="243"/>
        <v>468.24374296626206</v>
      </c>
      <c r="O718" s="896">
        <f>O711+O713+O714</f>
        <v>8.5040076258192325</v>
      </c>
      <c r="P718" s="896">
        <f t="shared" si="243"/>
        <v>18.512570446975715</v>
      </c>
      <c r="Q718" s="896">
        <f t="shared" si="243"/>
        <v>3611.4557923556017</v>
      </c>
      <c r="R718" s="896">
        <f>R711+R713+R714</f>
        <v>0.98123164913298844</v>
      </c>
      <c r="S718" s="896">
        <f>S711+S713+S714</f>
        <v>3.1399412772255628</v>
      </c>
      <c r="T718" s="1010"/>
      <c r="U718" s="299">
        <f>SUM(I718:T718)</f>
        <v>250687.94</v>
      </c>
      <c r="V718" s="67"/>
      <c r="W718" s="67"/>
      <c r="X718" s="370">
        <f t="shared" si="231"/>
        <v>0</v>
      </c>
    </row>
    <row r="719" spans="1:24" ht="14.25">
      <c r="A719" s="67"/>
      <c r="B719" s="17">
        <f t="shared" si="235"/>
        <v>20</v>
      </c>
      <c r="C719" s="1"/>
      <c r="D719" s="1"/>
      <c r="E719" s="17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"/>
      <c r="V719" s="67"/>
      <c r="W719" s="67"/>
      <c r="X719" s="370">
        <f t="shared" si="231"/>
        <v>0</v>
      </c>
    </row>
    <row r="720" spans="1:24" ht="15">
      <c r="A720" s="67"/>
      <c r="B720" s="17">
        <f t="shared" si="235"/>
        <v>21</v>
      </c>
      <c r="C720" s="8"/>
      <c r="D720" s="368" t="s">
        <v>242</v>
      </c>
      <c r="E720" s="20" t="s">
        <v>160</v>
      </c>
      <c r="F720" s="896"/>
      <c r="G720" s="1059"/>
      <c r="H720" s="1059"/>
      <c r="I720" s="1059"/>
      <c r="J720" s="1059"/>
      <c r="K720" s="1059"/>
      <c r="L720" s="1059"/>
      <c r="M720" s="1059"/>
      <c r="N720" s="1059"/>
      <c r="O720" s="1059"/>
      <c r="P720" s="1059"/>
      <c r="Q720" s="1059"/>
      <c r="R720" s="1059"/>
      <c r="S720" s="1059"/>
      <c r="T720" s="1010"/>
      <c r="U720" s="8"/>
      <c r="V720" s="67"/>
      <c r="W720" s="67"/>
      <c r="X720" s="370">
        <f t="shared" si="231"/>
        <v>0</v>
      </c>
    </row>
    <row r="721" spans="1:24" ht="14.25">
      <c r="A721" s="67"/>
      <c r="B721" s="17">
        <f t="shared" si="235"/>
        <v>22</v>
      </c>
      <c r="C721" s="1" t="s">
        <v>243</v>
      </c>
      <c r="D721" s="51" t="s">
        <v>223</v>
      </c>
      <c r="E721" s="17"/>
      <c r="F721" s="121">
        <f>' WP II-I-1.4'!G721</f>
        <v>0</v>
      </c>
      <c r="G721" s="17">
        <v>10</v>
      </c>
      <c r="H721" s="1" t="str">
        <f>VLOOKUP(G721,FactorTable,2)</f>
        <v>CUS U RTL</v>
      </c>
      <c r="I721" s="17"/>
      <c r="J721" s="434">
        <f t="shared" si="244" ref="J721:S725">$F721*HLOOKUP(J$1318,FactorTable,$G721+1)</f>
        <v>0</v>
      </c>
      <c r="K721" s="434">
        <f t="shared" si="244"/>
        <v>0</v>
      </c>
      <c r="L721" s="434">
        <f t="shared" si="244"/>
        <v>0</v>
      </c>
      <c r="M721" s="434">
        <f t="shared" si="244"/>
        <v>0</v>
      </c>
      <c r="N721" s="434">
        <f t="shared" si="244"/>
        <v>0</v>
      </c>
      <c r="O721" s="434">
        <f t="shared" si="244"/>
        <v>0</v>
      </c>
      <c r="P721" s="434">
        <f t="shared" si="244"/>
        <v>0</v>
      </c>
      <c r="Q721" s="434">
        <f t="shared" si="244"/>
        <v>0</v>
      </c>
      <c r="R721" s="434">
        <f t="shared" si="244"/>
        <v>0</v>
      </c>
      <c r="S721" s="434">
        <f t="shared" si="244"/>
        <v>0</v>
      </c>
      <c r="T721" s="17"/>
      <c r="U721" s="118">
        <f t="shared" si="245" ref="U721:U726">SUM(I721:T721)</f>
        <v>0</v>
      </c>
      <c r="V721" s="67"/>
      <c r="W721" s="67"/>
      <c r="X721" s="370">
        <f t="shared" si="231"/>
        <v>0</v>
      </c>
    </row>
    <row r="722" spans="1:24" ht="14.25">
      <c r="A722" s="67"/>
      <c r="B722" s="17">
        <f t="shared" si="235"/>
        <v>23</v>
      </c>
      <c r="C722" s="1" t="s">
        <v>244</v>
      </c>
      <c r="D722" s="51" t="s">
        <v>245</v>
      </c>
      <c r="E722" s="17"/>
      <c r="F722" s="121">
        <f>' WP II-I-1.4'!G722</f>
        <v>0</v>
      </c>
      <c r="G722" s="17">
        <v>10</v>
      </c>
      <c r="H722" s="1" t="str">
        <f>VLOOKUP(G722,FactorTable,2)</f>
        <v>CUS U RTL</v>
      </c>
      <c r="I722" s="17"/>
      <c r="J722" s="434">
        <f t="shared" si="244"/>
        <v>0</v>
      </c>
      <c r="K722" s="434">
        <f t="shared" si="244"/>
        <v>0</v>
      </c>
      <c r="L722" s="434">
        <f t="shared" si="244"/>
        <v>0</v>
      </c>
      <c r="M722" s="434">
        <f t="shared" si="244"/>
        <v>0</v>
      </c>
      <c r="N722" s="434">
        <f t="shared" si="244"/>
        <v>0</v>
      </c>
      <c r="O722" s="434">
        <f t="shared" si="244"/>
        <v>0</v>
      </c>
      <c r="P722" s="434">
        <f t="shared" si="244"/>
        <v>0</v>
      </c>
      <c r="Q722" s="434">
        <f t="shared" si="244"/>
        <v>0</v>
      </c>
      <c r="R722" s="434">
        <f t="shared" si="244"/>
        <v>0</v>
      </c>
      <c r="S722" s="434">
        <f t="shared" si="244"/>
        <v>0</v>
      </c>
      <c r="T722" s="17"/>
      <c r="U722" s="118">
        <f t="shared" si="245"/>
        <v>0</v>
      </c>
      <c r="V722" s="67"/>
      <c r="W722" s="67"/>
      <c r="X722" s="370">
        <f t="shared" si="231"/>
        <v>0</v>
      </c>
    </row>
    <row r="723" spans="1:24" ht="14.25">
      <c r="A723" s="67"/>
      <c r="B723" s="17">
        <f t="shared" si="235"/>
        <v>24</v>
      </c>
      <c r="C723" s="1" t="s">
        <v>246</v>
      </c>
      <c r="D723" s="51" t="s">
        <v>247</v>
      </c>
      <c r="E723" s="17"/>
      <c r="F723" s="121">
        <f>' WP II-I-1.4'!G723</f>
        <v>0</v>
      </c>
      <c r="G723" s="17">
        <v>10</v>
      </c>
      <c r="H723" s="1" t="str">
        <f>VLOOKUP(G723,FactorTable,2)</f>
        <v>CUS U RTL</v>
      </c>
      <c r="I723" s="17"/>
      <c r="J723" s="434">
        <f t="shared" si="244"/>
        <v>0</v>
      </c>
      <c r="K723" s="434">
        <f t="shared" si="244"/>
        <v>0</v>
      </c>
      <c r="L723" s="434">
        <f t="shared" si="244"/>
        <v>0</v>
      </c>
      <c r="M723" s="434">
        <f t="shared" si="244"/>
        <v>0</v>
      </c>
      <c r="N723" s="434">
        <f t="shared" si="244"/>
        <v>0</v>
      </c>
      <c r="O723" s="434">
        <f t="shared" si="244"/>
        <v>0</v>
      </c>
      <c r="P723" s="434">
        <f t="shared" si="244"/>
        <v>0</v>
      </c>
      <c r="Q723" s="434">
        <f t="shared" si="244"/>
        <v>0</v>
      </c>
      <c r="R723" s="434">
        <f t="shared" si="244"/>
        <v>0</v>
      </c>
      <c r="S723" s="434">
        <f t="shared" si="244"/>
        <v>0</v>
      </c>
      <c r="T723" s="17"/>
      <c r="U723" s="118">
        <f t="shared" si="245"/>
        <v>0</v>
      </c>
      <c r="V723" s="67"/>
      <c r="W723" s="67"/>
      <c r="X723" s="370">
        <f t="shared" si="231"/>
        <v>0</v>
      </c>
    </row>
    <row r="724" spans="1:24" ht="14.25">
      <c r="A724" s="67"/>
      <c r="B724" s="17">
        <f t="shared" si="235"/>
        <v>25</v>
      </c>
      <c r="C724" s="1" t="s">
        <v>248</v>
      </c>
      <c r="D724" s="51" t="s">
        <v>249</v>
      </c>
      <c r="E724" s="17"/>
      <c r="F724" s="121">
        <f>' WP II-I-1.4'!G724</f>
        <v>0</v>
      </c>
      <c r="G724" s="17">
        <v>10</v>
      </c>
      <c r="H724" s="1" t="str">
        <f>VLOOKUP(G724,FactorTable,2)</f>
        <v>CUS U RTL</v>
      </c>
      <c r="I724" s="17"/>
      <c r="J724" s="434">
        <f t="shared" si="244"/>
        <v>0</v>
      </c>
      <c r="K724" s="434">
        <f t="shared" si="244"/>
        <v>0</v>
      </c>
      <c r="L724" s="434">
        <f t="shared" si="244"/>
        <v>0</v>
      </c>
      <c r="M724" s="434">
        <f t="shared" si="244"/>
        <v>0</v>
      </c>
      <c r="N724" s="434">
        <f t="shared" si="244"/>
        <v>0</v>
      </c>
      <c r="O724" s="434">
        <f t="shared" si="244"/>
        <v>0</v>
      </c>
      <c r="P724" s="434">
        <f t="shared" si="244"/>
        <v>0</v>
      </c>
      <c r="Q724" s="434">
        <f t="shared" si="244"/>
        <v>0</v>
      </c>
      <c r="R724" s="434">
        <f t="shared" si="244"/>
        <v>0</v>
      </c>
      <c r="S724" s="434">
        <f t="shared" si="244"/>
        <v>0</v>
      </c>
      <c r="T724" s="17"/>
      <c r="U724" s="118">
        <f t="shared" si="245"/>
        <v>0</v>
      </c>
      <c r="V724" s="67"/>
      <c r="W724" s="67"/>
      <c r="X724" s="370">
        <f t="shared" si="231"/>
        <v>0</v>
      </c>
    </row>
    <row r="725" spans="1:24" ht="14.25">
      <c r="A725" s="67"/>
      <c r="B725" s="17">
        <f t="shared" si="235"/>
        <v>26</v>
      </c>
      <c r="C725" s="1" t="s">
        <v>250</v>
      </c>
      <c r="D725" s="51" t="s">
        <v>251</v>
      </c>
      <c r="E725" s="17"/>
      <c r="F725" s="121">
        <f>' WP II-I-1.4'!G725</f>
        <v>0</v>
      </c>
      <c r="G725" s="17">
        <v>10</v>
      </c>
      <c r="H725" s="1" t="str">
        <f>VLOOKUP(G725,FactorTable,2)</f>
        <v>CUS U RTL</v>
      </c>
      <c r="I725" s="17"/>
      <c r="J725" s="435">
        <f t="shared" si="244"/>
        <v>0</v>
      </c>
      <c r="K725" s="435">
        <f t="shared" si="244"/>
        <v>0</v>
      </c>
      <c r="L725" s="435">
        <f t="shared" si="244"/>
        <v>0</v>
      </c>
      <c r="M725" s="435">
        <f t="shared" si="244"/>
        <v>0</v>
      </c>
      <c r="N725" s="435">
        <f t="shared" si="244"/>
        <v>0</v>
      </c>
      <c r="O725" s="435">
        <f t="shared" si="244"/>
        <v>0</v>
      </c>
      <c r="P725" s="435">
        <f t="shared" si="244"/>
        <v>0</v>
      </c>
      <c r="Q725" s="435">
        <f t="shared" si="244"/>
        <v>0</v>
      </c>
      <c r="R725" s="435">
        <f t="shared" si="244"/>
        <v>0</v>
      </c>
      <c r="S725" s="435">
        <f t="shared" si="244"/>
        <v>0</v>
      </c>
      <c r="T725" s="17"/>
      <c r="U725" s="118">
        <f t="shared" si="245"/>
        <v>0</v>
      </c>
      <c r="V725" s="67"/>
      <c r="W725" s="67"/>
      <c r="X725" s="370">
        <f t="shared" si="231"/>
        <v>0</v>
      </c>
    </row>
    <row r="726" spans="1:24" ht="15">
      <c r="A726" s="67"/>
      <c r="B726" s="17">
        <f t="shared" si="235"/>
        <v>27</v>
      </c>
      <c r="C726" s="8"/>
      <c r="D726" s="297" t="s">
        <v>653</v>
      </c>
      <c r="E726" s="20"/>
      <c r="F726" s="896">
        <f>SUM(F721:F725)</f>
        <v>0</v>
      </c>
      <c r="G726" s="1059"/>
      <c r="H726" s="1059"/>
      <c r="I726" s="1059"/>
      <c r="J726" s="896">
        <f t="shared" si="246" ref="J726:Q726">SUM(J721:J725)</f>
        <v>0</v>
      </c>
      <c r="K726" s="896">
        <f t="shared" si="246"/>
        <v>0</v>
      </c>
      <c r="L726" s="896">
        <f t="shared" si="246"/>
        <v>0</v>
      </c>
      <c r="M726" s="896">
        <f t="shared" si="246"/>
        <v>0</v>
      </c>
      <c r="N726" s="896">
        <f t="shared" si="246"/>
        <v>0</v>
      </c>
      <c r="O726" s="896">
        <f>SUM(O721:O725)</f>
        <v>0</v>
      </c>
      <c r="P726" s="896">
        <f t="shared" si="246"/>
        <v>0</v>
      </c>
      <c r="Q726" s="896">
        <f t="shared" si="246"/>
        <v>0</v>
      </c>
      <c r="R726" s="896">
        <f>SUM(R721:R725)</f>
        <v>0</v>
      </c>
      <c r="S726" s="896">
        <f>SUM(S721:S725)</f>
        <v>0</v>
      </c>
      <c r="T726" s="1010"/>
      <c r="U726" s="299">
        <f t="shared" si="245"/>
        <v>0</v>
      </c>
      <c r="V726" s="67"/>
      <c r="W726" s="67"/>
      <c r="X726" s="370">
        <f t="shared" si="231"/>
        <v>0</v>
      </c>
    </row>
    <row r="727" spans="1:24" ht="15">
      <c r="A727" s="67"/>
      <c r="B727" s="17">
        <f t="shared" si="235"/>
        <v>28</v>
      </c>
      <c r="C727" s="8"/>
      <c r="D727" s="369"/>
      <c r="E727" s="20"/>
      <c r="F727" s="896"/>
      <c r="G727" s="1059"/>
      <c r="H727" s="1059"/>
      <c r="I727" s="1059"/>
      <c r="J727" s="896"/>
      <c r="K727" s="896"/>
      <c r="L727" s="896"/>
      <c r="M727" s="896"/>
      <c r="N727" s="896"/>
      <c r="O727" s="896"/>
      <c r="P727" s="896"/>
      <c r="Q727" s="896"/>
      <c r="R727" s="896"/>
      <c r="S727" s="896"/>
      <c r="T727" s="1010"/>
      <c r="U727" s="8"/>
      <c r="V727" s="67"/>
      <c r="W727" s="67"/>
      <c r="X727" s="370">
        <f t="shared" si="231"/>
        <v>0</v>
      </c>
    </row>
    <row r="728" spans="1:24" ht="15">
      <c r="A728" s="67"/>
      <c r="B728" s="17">
        <f t="shared" si="235"/>
        <v>29</v>
      </c>
      <c r="C728" s="8"/>
      <c r="D728" s="297" t="s">
        <v>654</v>
      </c>
      <c r="E728" s="20"/>
      <c r="F728" s="22">
        <f>SUM(F722:F725)</f>
        <v>0</v>
      </c>
      <c r="G728" s="20"/>
      <c r="H728" s="20"/>
      <c r="I728" s="20"/>
      <c r="J728" s="22">
        <f t="shared" si="247" ref="J728:Q728">SUM(J722:J725)</f>
        <v>0</v>
      </c>
      <c r="K728" s="22">
        <f t="shared" si="247"/>
        <v>0</v>
      </c>
      <c r="L728" s="22">
        <f t="shared" si="247"/>
        <v>0</v>
      </c>
      <c r="M728" s="22">
        <f t="shared" si="247"/>
        <v>0</v>
      </c>
      <c r="N728" s="22">
        <f t="shared" si="247"/>
        <v>0</v>
      </c>
      <c r="O728" s="22">
        <f>SUM(O722:O725)</f>
        <v>0</v>
      </c>
      <c r="P728" s="22">
        <f t="shared" si="247"/>
        <v>0</v>
      </c>
      <c r="Q728" s="22">
        <f t="shared" si="247"/>
        <v>0</v>
      </c>
      <c r="R728" s="22">
        <f>SUM(R722:R725)</f>
        <v>0</v>
      </c>
      <c r="S728" s="22">
        <f>SUM(S722:S725)</f>
        <v>0</v>
      </c>
      <c r="T728" s="20"/>
      <c r="U728" s="299">
        <f>SUM(I728:T728)</f>
        <v>0</v>
      </c>
      <c r="V728" s="67"/>
      <c r="W728" s="67"/>
      <c r="X728" s="370">
        <f t="shared" si="231"/>
        <v>0</v>
      </c>
    </row>
    <row r="729" spans="1:24" ht="15.75" thickBot="1">
      <c r="A729" s="67"/>
      <c r="B729" s="17">
        <f t="shared" si="235"/>
        <v>30</v>
      </c>
      <c r="C729" s="8"/>
      <c r="D729" s="369"/>
      <c r="E729" s="20"/>
      <c r="F729" s="22"/>
      <c r="G729" s="20"/>
      <c r="H729" s="20"/>
      <c r="I729" s="20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0"/>
      <c r="U729" s="8"/>
      <c r="V729" s="67"/>
      <c r="W729" s="67"/>
      <c r="X729" s="370">
        <f t="shared" si="231"/>
        <v>0</v>
      </c>
    </row>
    <row r="730" spans="1:24" ht="15">
      <c r="A730" s="67"/>
      <c r="B730" s="17">
        <f t="shared" si="235"/>
        <v>31</v>
      </c>
      <c r="C730" s="319" t="s">
        <v>655</v>
      </c>
      <c r="D730" s="304"/>
      <c r="E730" s="305" t="s">
        <v>160</v>
      </c>
      <c r="F730" s="306">
        <f>+F726+F716+F706+F686+F638</f>
        <v>1967870432.3999999</v>
      </c>
      <c r="G730" s="305"/>
      <c r="H730" s="437"/>
      <c r="I730" s="857"/>
      <c r="J730" s="439">
        <f t="shared" si="248" ref="J730:Q730">+J726+J716+J706+J686+J638</f>
        <v>925840215.37214518</v>
      </c>
      <c r="K730" s="908">
        <f t="shared" si="248"/>
        <v>25742279.620157477</v>
      </c>
      <c r="L730" s="908">
        <f t="shared" si="248"/>
        <v>658424844.80918574</v>
      </c>
      <c r="M730" s="908">
        <f t="shared" si="248"/>
        <v>292078.27599808009</v>
      </c>
      <c r="N730" s="908">
        <f t="shared" si="248"/>
        <v>160201477.1724551</v>
      </c>
      <c r="O730" s="908">
        <f>+O726+O716+O706+O686+O638</f>
        <v>47191750.948543631</v>
      </c>
      <c r="P730" s="908">
        <f t="shared" si="248"/>
        <v>137853749.51531971</v>
      </c>
      <c r="Q730" s="908">
        <f t="shared" si="248"/>
        <v>10960812.836179461</v>
      </c>
      <c r="R730" s="908">
        <f>+R726+R716+R706+R686+R638</f>
        <v>214708.05088728434</v>
      </c>
      <c r="S730" s="641">
        <f>+S726+S716+S706+S686+S638</f>
        <v>1148515.7991283389</v>
      </c>
      <c r="T730" s="437"/>
      <c r="U730" s="307">
        <f>SUM(I730:T730)</f>
        <v>1967870432.3999999</v>
      </c>
      <c r="V730" s="67"/>
      <c r="W730" s="67"/>
      <c r="X730" s="370">
        <f t="shared" si="231"/>
        <v>0</v>
      </c>
    </row>
    <row r="731" spans="1:24" ht="15.75" thickBot="1">
      <c r="A731" s="67"/>
      <c r="B731" s="17">
        <f t="shared" si="235"/>
        <v>32</v>
      </c>
      <c r="C731" s="326" t="s">
        <v>656</v>
      </c>
      <c r="D731" s="310"/>
      <c r="E731" s="311" t="s">
        <v>160</v>
      </c>
      <c r="F731" s="312">
        <f>F730-F622</f>
        <v>315348410.96000004</v>
      </c>
      <c r="G731" s="311"/>
      <c r="H731" s="440"/>
      <c r="I731" s="1062"/>
      <c r="J731" s="442">
        <f t="shared" si="249" ref="J731:Q731">J730-J622</f>
        <v>167652002.84369707</v>
      </c>
      <c r="K731" s="312">
        <f t="shared" si="249"/>
        <v>4549662.4225314111</v>
      </c>
      <c r="L731" s="312">
        <f t="shared" si="249"/>
        <v>107249381.22086382</v>
      </c>
      <c r="M731" s="312">
        <f t="shared" si="249"/>
        <v>72882.239657026017</v>
      </c>
      <c r="N731" s="312">
        <f t="shared" si="249"/>
        <v>21630937.46646443</v>
      </c>
      <c r="O731" s="312">
        <f>O730-O622</f>
        <v>1807441.8650544584</v>
      </c>
      <c r="P731" s="312">
        <f t="shared" si="249"/>
        <v>62066.215536922216</v>
      </c>
      <c r="Q731" s="312">
        <f t="shared" si="249"/>
        <v>10960812.836179461</v>
      </c>
      <c r="R731" s="312">
        <f>R730-R622</f>
        <v>214708.05088728434</v>
      </c>
      <c r="S731" s="443">
        <f>S730-S622</f>
        <v>1148515.7991283389</v>
      </c>
      <c r="T731" s="440"/>
      <c r="U731" s="313">
        <f>SUM(I731:T731)</f>
        <v>315348410.96000034</v>
      </c>
      <c r="V731" s="67"/>
      <c r="W731" s="67"/>
      <c r="X731" s="370">
        <f t="shared" si="231"/>
        <v>0</v>
      </c>
    </row>
    <row r="732" spans="1:24" ht="15">
      <c r="A732" s="67"/>
      <c r="B732" s="17"/>
      <c r="C732" s="8"/>
      <c r="D732" s="8"/>
      <c r="E732" s="20"/>
      <c r="F732" s="22"/>
      <c r="G732" s="20"/>
      <c r="H732" s="13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134"/>
      <c r="V732" s="134">
        <f>$H$2</f>
        <v>0</v>
      </c>
      <c r="W732" s="134"/>
      <c r="X732" s="370"/>
    </row>
    <row r="733" spans="1:24" ht="15.75" thickBot="1">
      <c r="A733" s="67"/>
      <c r="B733" s="17"/>
      <c r="C733" s="8"/>
      <c r="D733" s="8"/>
      <c r="E733" s="20"/>
      <c r="F733" s="2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52"/>
      <c r="V733" s="67"/>
      <c r="W733" s="67"/>
      <c r="X733" s="370"/>
    </row>
    <row r="734" spans="1:24" ht="15">
      <c r="A734" s="67"/>
      <c r="B734" s="920" t="str">
        <f>+$B$4</f>
        <v>2022 RATE CASE</v>
      </c>
      <c r="C734" s="935"/>
      <c r="D734" s="969"/>
      <c r="F734" s="332"/>
      <c r="U734" s="134"/>
      <c r="X734" s="370">
        <f t="shared" si="231"/>
        <v>0</v>
      </c>
    </row>
    <row r="735" spans="1:24" ht="15">
      <c r="A735" s="67"/>
      <c r="B735" s="917" t="str">
        <f>+$B$5</f>
        <v>ONCOR ELECTRIC DELIVERY COMPANY LLC</v>
      </c>
      <c r="C735" s="8"/>
      <c r="D735" s="970"/>
      <c r="F735" s="371"/>
      <c r="U735" s="134"/>
      <c r="V735" s="67"/>
      <c r="W735" s="67"/>
      <c r="X735" s="370">
        <f t="shared" si="231"/>
        <v>0</v>
      </c>
    </row>
    <row r="736" spans="1:24" ht="15">
      <c r="A736" s="67"/>
      <c r="B736" s="917" t="str">
        <f>+$B$6</f>
        <v>II-I-1-DIST:  CLASS REVENUE REQUIREMENT</v>
      </c>
      <c r="C736" s="85"/>
      <c r="D736" s="970"/>
      <c r="F736" s="371"/>
      <c r="U736" s="332"/>
      <c r="V736" s="67"/>
      <c r="W736" s="67"/>
      <c r="X736" s="370">
        <f t="shared" si="231"/>
        <v>0</v>
      </c>
    </row>
    <row r="737" spans="1:24" ht="15">
      <c r="A737" s="67"/>
      <c r="B737" s="406" t="str">
        <f>+$B$7</f>
        <v>TEST YEAR ENDING 12/31/2021</v>
      </c>
      <c r="C737" s="85"/>
      <c r="D737" s="970"/>
      <c r="F737" s="371"/>
      <c r="U737" s="332"/>
      <c r="V737" s="67"/>
      <c r="W737" s="67"/>
      <c r="X737" s="370">
        <f t="shared" si="231"/>
        <v>0</v>
      </c>
    </row>
    <row r="738" spans="1:24" ht="15">
      <c r="A738" s="67"/>
      <c r="B738" s="406" t="str">
        <f>+$B$8</f>
        <v>SPONSOR:  MATTHEW A. TROXLE</v>
      </c>
      <c r="C738" s="85"/>
      <c r="D738" s="970"/>
      <c r="F738" s="371"/>
      <c r="U738" s="332"/>
      <c r="V738" s="67"/>
      <c r="W738" s="67"/>
      <c r="X738" s="370">
        <f t="shared" si="231"/>
        <v>0</v>
      </c>
    </row>
    <row r="739" spans="1:24" ht="15.75" thickBot="1">
      <c r="A739" s="67"/>
      <c r="B739" s="410"/>
      <c r="C739" s="934"/>
      <c r="D739" s="936"/>
      <c r="F739" s="371"/>
      <c r="U739" s="332"/>
      <c r="V739" s="67"/>
      <c r="W739" s="67"/>
      <c r="X739" s="370"/>
    </row>
    <row r="740" spans="1:24" ht="15" thickBot="1">
      <c r="A740" s="67"/>
      <c r="B740" s="13"/>
      <c r="C740" s="14"/>
      <c r="D740" s="14"/>
      <c r="E740" s="14"/>
      <c r="F740" s="13"/>
      <c r="G740" s="14"/>
      <c r="H740" s="14"/>
      <c r="I740" s="14"/>
      <c r="J740" s="238"/>
      <c r="K740" s="238"/>
      <c r="L740" s="14"/>
      <c r="M740" s="238"/>
      <c r="N740" s="238"/>
      <c r="O740" s="238"/>
      <c r="P740" s="238"/>
      <c r="Q740" s="14"/>
      <c r="R740" s="393" t="str">
        <f>R$10</f>
        <v xml:space="preserve"> </v>
      </c>
      <c r="S740" s="394"/>
      <c r="T740" s="238"/>
      <c r="U740" s="13"/>
      <c r="V740" s="67"/>
      <c r="W740" s="67"/>
      <c r="X740" s="370"/>
    </row>
    <row r="741" spans="1:24" ht="15">
      <c r="A741" s="67"/>
      <c r="B741" s="15" t="s">
        <v>2</v>
      </c>
      <c r="C741" s="15" t="s">
        <v>370</v>
      </c>
      <c r="D741" s="287" t="s">
        <v>252</v>
      </c>
      <c r="E741" s="15" t="s">
        <v>371</v>
      </c>
      <c r="F741" s="287" t="str">
        <f>F$11</f>
        <v>DIST</v>
      </c>
      <c r="G741" s="242" t="s">
        <v>741</v>
      </c>
      <c r="H741" s="242" t="s">
        <v>376</v>
      </c>
      <c r="I741" s="15"/>
      <c r="J741" s="242" t="s">
        <v>730</v>
      </c>
      <c r="K741" s="242" t="s">
        <v>409</v>
      </c>
      <c r="L741" s="15" t="s">
        <v>409</v>
      </c>
      <c r="M741" s="242" t="s">
        <v>410</v>
      </c>
      <c r="N741" s="242" t="s">
        <v>410</v>
      </c>
      <c r="O741" s="242" t="s">
        <v>410</v>
      </c>
      <c r="P741" s="242" t="s">
        <v>411</v>
      </c>
      <c r="Q741" s="15" t="s">
        <v>412</v>
      </c>
      <c r="R741" s="396" t="str">
        <f>R$11</f>
        <v>Wholesale</v>
      </c>
      <c r="S741" s="13" t="str">
        <f>S$11</f>
        <v>Wholesale</v>
      </c>
      <c r="T741" s="242"/>
      <c r="U741" s="15" t="s">
        <v>10</v>
      </c>
      <c r="V741" s="67"/>
      <c r="W741" s="67"/>
      <c r="X741" s="370"/>
    </row>
    <row r="742" spans="1:24" ht="14.25">
      <c r="A742" s="67"/>
      <c r="B742" s="15"/>
      <c r="C742" s="15"/>
      <c r="D742" s="15"/>
      <c r="E742" s="15"/>
      <c r="F742" s="15"/>
      <c r="G742" s="242" t="s">
        <v>742</v>
      </c>
      <c r="H742" s="242" t="s">
        <v>743</v>
      </c>
      <c r="I742" s="15"/>
      <c r="J742" s="242"/>
      <c r="K742" s="242" t="s">
        <v>731</v>
      </c>
      <c r="L742" s="15" t="s">
        <v>732</v>
      </c>
      <c r="M742" s="242" t="s">
        <v>731</v>
      </c>
      <c r="N742" s="242" t="s">
        <v>732</v>
      </c>
      <c r="O742" s="242" t="s">
        <v>414</v>
      </c>
      <c r="P742" s="242"/>
      <c r="Q742" s="15"/>
      <c r="R742" s="235" t="str">
        <f>R$12</f>
        <v>XFMR</v>
      </c>
      <c r="S742" s="15" t="str">
        <f>S$12</f>
        <v>DLS</v>
      </c>
      <c r="T742" s="242"/>
      <c r="U742" s="15"/>
      <c r="V742" s="67"/>
      <c r="W742" s="67"/>
      <c r="X742" s="370"/>
    </row>
    <row r="743" spans="1:24" ht="15" thickBot="1">
      <c r="A743" s="67"/>
      <c r="B743" s="16"/>
      <c r="C743" s="16"/>
      <c r="D743" s="16"/>
      <c r="E743" s="16"/>
      <c r="F743" s="16" t="s">
        <v>13</v>
      </c>
      <c r="G743" s="16" t="s">
        <v>14</v>
      </c>
      <c r="H743" s="16" t="s">
        <v>15</v>
      </c>
      <c r="I743" s="16"/>
      <c r="J743" s="243" t="str">
        <f t="shared" si="250" ref="J743:Q743">J$13</f>
        <v>(d)</v>
      </c>
      <c r="K743" s="243" t="str">
        <f t="shared" si="250"/>
        <v>(e)</v>
      </c>
      <c r="L743" s="16" t="str">
        <f t="shared" si="250"/>
        <v>(f)</v>
      </c>
      <c r="M743" s="243" t="str">
        <f t="shared" si="250"/>
        <v>(g)</v>
      </c>
      <c r="N743" s="243" t="str">
        <f t="shared" si="250"/>
        <v>(h)</v>
      </c>
      <c r="O743" s="243" t="str">
        <f>O$13</f>
        <v>(i)</v>
      </c>
      <c r="P743" s="243" t="str">
        <f t="shared" si="250"/>
        <v>(j)</v>
      </c>
      <c r="Q743" s="243" t="str">
        <f t="shared" si="250"/>
        <v>(k)</v>
      </c>
      <c r="R743" s="243" t="str">
        <f>R$13</f>
        <v>(l)</v>
      </c>
      <c r="S743" s="16" t="str">
        <f>S$13</f>
        <v>(m)</v>
      </c>
      <c r="T743" s="16"/>
      <c r="U743" s="16" t="s">
        <v>734</v>
      </c>
      <c r="V743" s="67"/>
      <c r="W743" s="67"/>
      <c r="X743" s="370"/>
    </row>
    <row r="744" spans="1:24" ht="14.25">
      <c r="A744" s="67"/>
      <c r="B744" s="67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43"/>
      <c r="V744" s="67"/>
      <c r="W744" s="67"/>
      <c r="X744" s="370">
        <f t="shared" si="231"/>
        <v>0</v>
      </c>
    </row>
    <row r="745" spans="1:24" ht="15">
      <c r="A745" s="67"/>
      <c r="B745" s="17">
        <f t="shared" si="251" ref="B745:B764">B744+1</f>
        <v>1</v>
      </c>
      <c r="C745" s="8" t="s">
        <v>252</v>
      </c>
      <c r="D745" s="8"/>
      <c r="E745" s="20" t="s">
        <v>253</v>
      </c>
      <c r="F745" s="8"/>
      <c r="G745" s="20"/>
      <c r="H745" s="1059"/>
      <c r="I745" s="1059"/>
      <c r="J745" s="1059"/>
      <c r="K745" s="1059"/>
      <c r="L745" s="1059"/>
      <c r="M745" s="1059"/>
      <c r="N745" s="1059"/>
      <c r="O745" s="1059"/>
      <c r="P745" s="1059"/>
      <c r="Q745" s="1059"/>
      <c r="R745" s="1059"/>
      <c r="S745" s="1059"/>
      <c r="T745" s="1010"/>
      <c r="U745" s="8"/>
      <c r="V745" s="67"/>
      <c r="W745" s="67"/>
      <c r="X745" s="370">
        <f t="shared" si="231"/>
        <v>0</v>
      </c>
    </row>
    <row r="746" spans="1:24" ht="14.25">
      <c r="A746" s="67"/>
      <c r="B746" s="17">
        <f t="shared" si="251"/>
        <v>2</v>
      </c>
      <c r="C746" s="1" t="s">
        <v>254</v>
      </c>
      <c r="D746" s="1" t="s">
        <v>255</v>
      </c>
      <c r="E746" s="17"/>
      <c r="F746" s="118">
        <f>' WP II-I-1.4'!G746</f>
        <v>48296108.630000003</v>
      </c>
      <c r="G746" s="17">
        <v>77</v>
      </c>
      <c r="H746" s="1" t="str">
        <f t="shared" si="252" ref="H746:H758">VLOOKUP(G746,FactorTable,2)</f>
        <v>O&amp;M x565</v>
      </c>
      <c r="I746" s="17"/>
      <c r="J746" s="434">
        <f t="shared" si="253" ref="J746:S758">$F746*HLOOKUP(J$1318,FactorTable,$G746+1)</f>
        <v>25676169.785435516</v>
      </c>
      <c r="K746" s="434">
        <f t="shared" si="253"/>
        <v>696788.00638154254</v>
      </c>
      <c r="L746" s="434">
        <f t="shared" si="253"/>
        <v>16425412.610054765</v>
      </c>
      <c r="M746" s="434">
        <f t="shared" si="253"/>
        <v>11162.030444224753</v>
      </c>
      <c r="N746" s="434">
        <f t="shared" si="253"/>
        <v>3312812.3349941806</v>
      </c>
      <c r="O746" s="434">
        <f t="shared" si="253"/>
        <v>276812.58450404031</v>
      </c>
      <c r="P746" s="434">
        <f t="shared" si="253"/>
        <v>9505.5392183485837</v>
      </c>
      <c r="Q746" s="434">
        <f t="shared" si="253"/>
        <v>1678665.8470791145</v>
      </c>
      <c r="R746" s="434">
        <f t="shared" si="253"/>
        <v>32882.878077045883</v>
      </c>
      <c r="S746" s="434">
        <f t="shared" si="253"/>
        <v>175897.01381120752</v>
      </c>
      <c r="T746" s="17"/>
      <c r="U746" s="118">
        <f t="shared" si="254" ref="U746:U758">SUM(I746:T746)</f>
        <v>48296108.629999988</v>
      </c>
      <c r="V746" s="67"/>
      <c r="W746" s="67"/>
      <c r="X746" s="370">
        <f t="shared" si="231"/>
        <v>0</v>
      </c>
    </row>
    <row r="747" spans="1:24" ht="14.25">
      <c r="A747" s="67"/>
      <c r="B747" s="17">
        <f t="shared" si="251"/>
        <v>3</v>
      </c>
      <c r="C747" s="1" t="s">
        <v>256</v>
      </c>
      <c r="D747" s="1" t="s">
        <v>257</v>
      </c>
      <c r="E747" s="17"/>
      <c r="F747" s="118">
        <f>' WP II-I-1.4'!G747</f>
        <v>4839529.96</v>
      </c>
      <c r="G747" s="17">
        <v>77</v>
      </c>
      <c r="H747" s="1" t="str">
        <f t="shared" si="252"/>
        <v>O&amp;M x565</v>
      </c>
      <c r="I747" s="17"/>
      <c r="J747" s="434">
        <f t="shared" si="253"/>
        <v>2572890.3727344032</v>
      </c>
      <c r="K747" s="434">
        <f t="shared" si="253"/>
        <v>69821.907567879884</v>
      </c>
      <c r="L747" s="434">
        <f t="shared" si="253"/>
        <v>1645914.7266027222</v>
      </c>
      <c r="M747" s="434">
        <f t="shared" si="253"/>
        <v>1118.4955119904407</v>
      </c>
      <c r="N747" s="434">
        <f t="shared" si="253"/>
        <v>331961.62179209286</v>
      </c>
      <c r="O747" s="434">
        <f t="shared" si="253"/>
        <v>27738.11046093663</v>
      </c>
      <c r="P747" s="434">
        <f t="shared" si="253"/>
        <v>952.50617778712217</v>
      </c>
      <c r="Q747" s="434">
        <f t="shared" si="253"/>
        <v>168211.35056669579</v>
      </c>
      <c r="R747" s="434">
        <f t="shared" si="253"/>
        <v>3295.0413219428515</v>
      </c>
      <c r="S747" s="434">
        <f t="shared" si="253"/>
        <v>17625.827263546813</v>
      </c>
      <c r="T747" s="17"/>
      <c r="U747" s="118">
        <f t="shared" si="254"/>
        <v>4839529.9599999972</v>
      </c>
      <c r="V747" s="67"/>
      <c r="W747" s="67"/>
      <c r="X747" s="370">
        <f t="shared" si="255" ref="X747:X810">U747-F747</f>
        <v>0</v>
      </c>
    </row>
    <row r="748" spans="1:24" ht="14.25">
      <c r="A748" s="67"/>
      <c r="B748" s="17">
        <f t="shared" si="251"/>
        <v>4</v>
      </c>
      <c r="C748" s="1" t="s">
        <v>258</v>
      </c>
      <c r="D748" s="1" t="s">
        <v>259</v>
      </c>
      <c r="E748" s="17"/>
      <c r="F748" s="118">
        <f>' WP II-I-1.4'!G748</f>
        <v>0</v>
      </c>
      <c r="G748" s="17">
        <v>77</v>
      </c>
      <c r="H748" s="1" t="str">
        <f t="shared" si="252"/>
        <v>O&amp;M x565</v>
      </c>
      <c r="I748" s="17"/>
      <c r="J748" s="434">
        <f t="shared" si="253"/>
        <v>0</v>
      </c>
      <c r="K748" s="434">
        <f t="shared" si="253"/>
        <v>0</v>
      </c>
      <c r="L748" s="434">
        <f t="shared" si="253"/>
        <v>0</v>
      </c>
      <c r="M748" s="434">
        <f t="shared" si="253"/>
        <v>0</v>
      </c>
      <c r="N748" s="434">
        <f t="shared" si="253"/>
        <v>0</v>
      </c>
      <c r="O748" s="434">
        <f t="shared" si="253"/>
        <v>0</v>
      </c>
      <c r="P748" s="434">
        <f t="shared" si="253"/>
        <v>0</v>
      </c>
      <c r="Q748" s="434">
        <f t="shared" si="253"/>
        <v>0</v>
      </c>
      <c r="R748" s="434">
        <f t="shared" si="253"/>
        <v>0</v>
      </c>
      <c r="S748" s="434">
        <f t="shared" si="253"/>
        <v>0</v>
      </c>
      <c r="T748" s="17"/>
      <c r="U748" s="118">
        <f t="shared" si="254"/>
        <v>0</v>
      </c>
      <c r="V748" s="67"/>
      <c r="W748" s="67"/>
      <c r="X748" s="370">
        <f t="shared" si="255"/>
        <v>0</v>
      </c>
    </row>
    <row r="749" spans="1:24" ht="14.25">
      <c r="A749" s="67"/>
      <c r="B749" s="17">
        <f t="shared" si="251"/>
        <v>5</v>
      </c>
      <c r="C749" s="1" t="s">
        <v>260</v>
      </c>
      <c r="D749" s="31" t="s">
        <v>261</v>
      </c>
      <c r="E749" s="17"/>
      <c r="F749" s="118">
        <f>' WP II-I-1.4'!G749</f>
        <v>67560500.079999998</v>
      </c>
      <c r="G749" s="17">
        <v>77</v>
      </c>
      <c r="H749" s="1" t="str">
        <f t="shared" si="252"/>
        <v>O&amp;M x565</v>
      </c>
      <c r="I749" s="17"/>
      <c r="J749" s="434">
        <f t="shared" si="253"/>
        <v>35917901.463503674</v>
      </c>
      <c r="K749" s="434">
        <f t="shared" si="253"/>
        <v>974723.37826492172</v>
      </c>
      <c r="L749" s="434">
        <f t="shared" si="253"/>
        <v>22977194.673326578</v>
      </c>
      <c r="M749" s="434">
        <f t="shared" si="253"/>
        <v>15614.350309200238</v>
      </c>
      <c r="N749" s="434">
        <f t="shared" si="253"/>
        <v>4634229.638210902</v>
      </c>
      <c r="O749" s="434">
        <f t="shared" si="253"/>
        <v>387227.81540857698</v>
      </c>
      <c r="P749" s="434">
        <f t="shared" si="253"/>
        <v>13297.116503559648</v>
      </c>
      <c r="Q749" s="434">
        <f t="shared" si="253"/>
        <v>2348253.4579490772</v>
      </c>
      <c r="R749" s="434">
        <f t="shared" si="253"/>
        <v>45999.227473472092</v>
      </c>
      <c r="S749" s="434">
        <f t="shared" si="253"/>
        <v>246058.9590500067</v>
      </c>
      <c r="T749" s="17"/>
      <c r="U749" s="118">
        <f t="shared" si="254"/>
        <v>67560500.079999954</v>
      </c>
      <c r="V749" s="67"/>
      <c r="W749" s="67"/>
      <c r="X749" s="370">
        <f t="shared" si="255"/>
        <v>0</v>
      </c>
    </row>
    <row r="750" spans="1:24" ht="14.25">
      <c r="A750" s="67"/>
      <c r="B750" s="17">
        <f t="shared" si="251"/>
        <v>6</v>
      </c>
      <c r="C750" s="1" t="s">
        <v>262</v>
      </c>
      <c r="D750" s="1" t="s">
        <v>263</v>
      </c>
      <c r="E750" s="17"/>
      <c r="F750" s="118">
        <f>' WP II-I-1.4'!G750</f>
        <v>226756416.41</v>
      </c>
      <c r="G750" s="17">
        <v>64</v>
      </c>
      <c r="H750" s="1" t="str">
        <f t="shared" si="252"/>
        <v>PLANT</v>
      </c>
      <c r="I750" s="17"/>
      <c r="J750" s="434">
        <f t="shared" si="253"/>
        <v>123528986.64893089</v>
      </c>
      <c r="K750" s="434">
        <f t="shared" si="253"/>
        <v>4994664.7041362356</v>
      </c>
      <c r="L750" s="434">
        <f t="shared" si="253"/>
        <v>76970963.458894894</v>
      </c>
      <c r="M750" s="434">
        <f t="shared" si="253"/>
        <v>26636.931641572279</v>
      </c>
      <c r="N750" s="434">
        <f t="shared" si="253"/>
        <v>11274090.519078631</v>
      </c>
      <c r="O750" s="434">
        <f t="shared" si="253"/>
        <v>1032371.9390178402</v>
      </c>
      <c r="P750" s="434">
        <f t="shared" si="253"/>
        <v>204335.93110937864</v>
      </c>
      <c r="Q750" s="434">
        <f t="shared" si="253"/>
        <v>7988641.1337396605</v>
      </c>
      <c r="R750" s="434">
        <f t="shared" si="253"/>
        <v>123736.23838367542</v>
      </c>
      <c r="S750" s="434">
        <f t="shared" si="253"/>
        <v>611988.90506716073</v>
      </c>
      <c r="T750" s="17"/>
      <c r="U750" s="118">
        <f t="shared" si="254"/>
        <v>226756416.40999991</v>
      </c>
      <c r="V750" s="67"/>
      <c r="W750" s="67"/>
      <c r="X750" s="370">
        <f t="shared" si="255"/>
        <v>0</v>
      </c>
    </row>
    <row r="751" spans="1:24" ht="14.25">
      <c r="A751" s="67"/>
      <c r="B751" s="17">
        <f t="shared" si="251"/>
        <v>7</v>
      </c>
      <c r="C751" s="1" t="s">
        <v>264</v>
      </c>
      <c r="D751" s="1" t="s">
        <v>265</v>
      </c>
      <c r="E751" s="17"/>
      <c r="F751" s="118">
        <f>' WP II-I-1.4'!G751</f>
        <v>16115667.280000001</v>
      </c>
      <c r="G751" s="17">
        <v>77</v>
      </c>
      <c r="H751" s="1" t="str">
        <f t="shared" si="252"/>
        <v>O&amp;M x565</v>
      </c>
      <c r="I751" s="17"/>
      <c r="J751" s="434">
        <f t="shared" si="253"/>
        <v>8567742.226541115</v>
      </c>
      <c r="K751" s="434">
        <f t="shared" si="253"/>
        <v>232507.42128247229</v>
      </c>
      <c r="L751" s="434">
        <f t="shared" si="253"/>
        <v>5480907.0972631481</v>
      </c>
      <c r="M751" s="434">
        <f t="shared" si="253"/>
        <v>3724.5975692670772</v>
      </c>
      <c r="N751" s="434">
        <f t="shared" si="253"/>
        <v>1105434.430770745</v>
      </c>
      <c r="O751" s="434">
        <f t="shared" si="253"/>
        <v>92368.094186639195</v>
      </c>
      <c r="P751" s="434">
        <f t="shared" si="253"/>
        <v>3171.8519712112266</v>
      </c>
      <c r="Q751" s="434">
        <f t="shared" si="253"/>
        <v>560144.92747397081</v>
      </c>
      <c r="R751" s="434">
        <f t="shared" si="253"/>
        <v>10972.509739000016</v>
      </c>
      <c r="S751" s="434">
        <f t="shared" si="253"/>
        <v>58694.123202426323</v>
      </c>
      <c r="T751" s="17"/>
      <c r="U751" s="118">
        <f t="shared" si="254"/>
        <v>16115667.279999996</v>
      </c>
      <c r="V751" s="67"/>
      <c r="W751" s="67"/>
      <c r="X751" s="370">
        <f t="shared" si="255"/>
        <v>0</v>
      </c>
    </row>
    <row r="752" spans="1:24" ht="14.25">
      <c r="A752" s="67"/>
      <c r="B752" s="17">
        <f t="shared" si="251"/>
        <v>8</v>
      </c>
      <c r="C752" s="1" t="s">
        <v>266</v>
      </c>
      <c r="D752" s="1" t="s">
        <v>267</v>
      </c>
      <c r="E752" s="17"/>
      <c r="F752" s="118">
        <f>' WP II-I-1.4'!G752</f>
        <v>45802180.63000001</v>
      </c>
      <c r="G752" s="17">
        <v>88</v>
      </c>
      <c r="H752" s="1" t="str">
        <f t="shared" si="252"/>
        <v>PAYROLL</v>
      </c>
      <c r="I752" s="17"/>
      <c r="J752" s="434">
        <f t="shared" si="253"/>
        <v>24788069.096611001</v>
      </c>
      <c r="K752" s="434">
        <f t="shared" si="253"/>
        <v>689323.08333151788</v>
      </c>
      <c r="L752" s="434">
        <f t="shared" si="253"/>
        <v>15847057.055011895</v>
      </c>
      <c r="M752" s="434">
        <f t="shared" si="253"/>
        <v>11663.029575414477</v>
      </c>
      <c r="N752" s="434">
        <f t="shared" si="253"/>
        <v>3240609.0275315568</v>
      </c>
      <c r="O752" s="434">
        <f t="shared" si="253"/>
        <v>362816.88457470096</v>
      </c>
      <c r="P752" s="434">
        <f t="shared" si="253"/>
        <v>11146.159518282804</v>
      </c>
      <c r="Q752" s="434">
        <f t="shared" si="253"/>
        <v>637219.6132703413</v>
      </c>
      <c r="R752" s="434">
        <f t="shared" si="253"/>
        <v>43127.893467124777</v>
      </c>
      <c r="S752" s="434">
        <f t="shared" si="253"/>
        <v>171148.78710816923</v>
      </c>
      <c r="T752" s="17"/>
      <c r="U752" s="118">
        <f t="shared" si="254"/>
        <v>45802180.63000001</v>
      </c>
      <c r="V752" s="67"/>
      <c r="W752" s="67"/>
      <c r="X752" s="370">
        <f t="shared" si="255"/>
        <v>0</v>
      </c>
    </row>
    <row r="753" spans="1:24" s="386" customFormat="1" ht="14.25">
      <c r="A753" s="47"/>
      <c r="B753" s="17">
        <f t="shared" si="251"/>
        <v>9</v>
      </c>
      <c r="C753" s="1" t="s">
        <v>268</v>
      </c>
      <c r="D753" s="1" t="s">
        <v>269</v>
      </c>
      <c r="E753" s="17"/>
      <c r="F753" s="290">
        <f>' WP II-I-1.4'!G753</f>
        <v>2262087.8500000001</v>
      </c>
      <c r="G753" s="17">
        <v>17</v>
      </c>
      <c r="H753" s="1" t="str">
        <f t="shared" si="252"/>
        <v>REV_RCE</v>
      </c>
      <c r="I753" s="17"/>
      <c r="J753" s="434">
        <f t="shared" si="253"/>
        <v>1133013.0018706636</v>
      </c>
      <c r="K753" s="434">
        <f t="shared" si="253"/>
        <v>46654.218967600609</v>
      </c>
      <c r="L753" s="434">
        <f t="shared" si="253"/>
        <v>769608.67115270463</v>
      </c>
      <c r="M753" s="434">
        <f t="shared" si="253"/>
        <v>856.14301657197018</v>
      </c>
      <c r="N753" s="434">
        <f t="shared" si="253"/>
        <v>156722.66791799309</v>
      </c>
      <c r="O753" s="434">
        <f t="shared" si="253"/>
        <v>31543.830251655352</v>
      </c>
      <c r="P753" s="434">
        <f t="shared" si="253"/>
        <v>86818.188856505454</v>
      </c>
      <c r="Q753" s="434">
        <f t="shared" si="253"/>
        <v>32466.227822779299</v>
      </c>
      <c r="R753" s="434">
        <f t="shared" si="253"/>
        <v>830.93310802038184</v>
      </c>
      <c r="S753" s="434">
        <f t="shared" si="253"/>
        <v>3573.9670355055282</v>
      </c>
      <c r="T753" s="17"/>
      <c r="U753" s="290">
        <f t="shared" si="254"/>
        <v>2262087.8499999996</v>
      </c>
      <c r="V753" s="47"/>
      <c r="W753" s="47"/>
      <c r="X753" s="839">
        <f t="shared" si="255"/>
        <v>0</v>
      </c>
    </row>
    <row r="754" spans="1:24" ht="14.25">
      <c r="A754" s="67"/>
      <c r="B754" s="17">
        <f t="shared" si="251"/>
        <v>10</v>
      </c>
      <c r="C754" s="28" t="s">
        <v>270</v>
      </c>
      <c r="D754" s="1" t="s">
        <v>271</v>
      </c>
      <c r="E754" s="17"/>
      <c r="F754" s="118">
        <f>' WP II-I-1.4'!G754</f>
        <v>0</v>
      </c>
      <c r="G754" s="17">
        <v>10</v>
      </c>
      <c r="H754" s="1" t="str">
        <f t="shared" si="252"/>
        <v>CUS U RTL</v>
      </c>
      <c r="I754" s="17"/>
      <c r="J754" s="434">
        <f t="shared" si="253"/>
        <v>0</v>
      </c>
      <c r="K754" s="434">
        <f t="shared" si="253"/>
        <v>0</v>
      </c>
      <c r="L754" s="434">
        <f t="shared" si="253"/>
        <v>0</v>
      </c>
      <c r="M754" s="434">
        <f t="shared" si="253"/>
        <v>0</v>
      </c>
      <c r="N754" s="434">
        <f t="shared" si="253"/>
        <v>0</v>
      </c>
      <c r="O754" s="434">
        <f t="shared" si="253"/>
        <v>0</v>
      </c>
      <c r="P754" s="434">
        <f t="shared" si="253"/>
        <v>0</v>
      </c>
      <c r="Q754" s="434">
        <f t="shared" si="253"/>
        <v>0</v>
      </c>
      <c r="R754" s="434">
        <f t="shared" si="253"/>
        <v>0</v>
      </c>
      <c r="S754" s="434">
        <f t="shared" si="253"/>
        <v>0</v>
      </c>
      <c r="T754" s="17"/>
      <c r="U754" s="118">
        <f t="shared" si="254"/>
        <v>0</v>
      </c>
      <c r="V754" s="67"/>
      <c r="W754" s="67"/>
      <c r="X754" s="370">
        <f t="shared" si="255"/>
        <v>0</v>
      </c>
    </row>
    <row r="755" spans="1:24" ht="14.25">
      <c r="A755" s="67"/>
      <c r="B755" s="17">
        <f t="shared" si="251"/>
        <v>11</v>
      </c>
      <c r="C755" s="1" t="s">
        <v>272</v>
      </c>
      <c r="D755" s="1" t="s">
        <v>273</v>
      </c>
      <c r="E755" s="17"/>
      <c r="F755" s="118">
        <f>' WP II-I-1.4'!G755</f>
        <v>8232754.9400000004</v>
      </c>
      <c r="G755" s="17">
        <v>77</v>
      </c>
      <c r="H755" s="1" t="str">
        <f t="shared" si="252"/>
        <v>O&amp;M x565</v>
      </c>
      <c r="I755" s="17"/>
      <c r="J755" s="434">
        <f t="shared" si="253"/>
        <v>4376866.3695198204</v>
      </c>
      <c r="K755" s="434">
        <f t="shared" si="253"/>
        <v>118777.37284421864</v>
      </c>
      <c r="L755" s="434">
        <f t="shared" si="253"/>
        <v>2799943.9425429883</v>
      </c>
      <c r="M755" s="434">
        <f t="shared" si="253"/>
        <v>1902.7259936018934</v>
      </c>
      <c r="N755" s="434">
        <f t="shared" si="253"/>
        <v>564715.72741317726</v>
      </c>
      <c r="O755" s="434">
        <f t="shared" si="253"/>
        <v>47186.620975798593</v>
      </c>
      <c r="P755" s="434">
        <f t="shared" si="253"/>
        <v>1620.3536304913068</v>
      </c>
      <c r="Q755" s="434">
        <f t="shared" si="253"/>
        <v>286152.34098933788</v>
      </c>
      <c r="R755" s="434">
        <f t="shared" si="253"/>
        <v>5605.3517479885877</v>
      </c>
      <c r="S755" s="434">
        <f t="shared" si="253"/>
        <v>29984.134342573987</v>
      </c>
      <c r="T755" s="17"/>
      <c r="U755" s="118">
        <f t="shared" si="254"/>
        <v>8232754.9399999967</v>
      </c>
      <c r="V755" s="67"/>
      <c r="W755" s="67"/>
      <c r="X755" s="370">
        <f t="shared" si="255"/>
        <v>0</v>
      </c>
    </row>
    <row r="756" spans="1:24" ht="14.25">
      <c r="A756" s="67"/>
      <c r="B756" s="17">
        <f t="shared" si="251"/>
        <v>12</v>
      </c>
      <c r="C756" s="1" t="s">
        <v>274</v>
      </c>
      <c r="D756" s="1" t="s">
        <v>206</v>
      </c>
      <c r="E756" s="17"/>
      <c r="F756" s="118">
        <f>' WP II-I-1.4'!G756</f>
        <v>1026551.72</v>
      </c>
      <c r="G756" s="17">
        <v>77</v>
      </c>
      <c r="H756" s="1" t="str">
        <f t="shared" si="252"/>
        <v>O&amp;M x565</v>
      </c>
      <c r="I756" s="17"/>
      <c r="J756" s="434">
        <f t="shared" si="253"/>
        <v>545756.5216730145</v>
      </c>
      <c r="K756" s="434">
        <f t="shared" si="253"/>
        <v>14810.487774620186</v>
      </c>
      <c r="L756" s="434">
        <f t="shared" si="253"/>
        <v>349128.24334852432</v>
      </c>
      <c r="M756" s="434">
        <f t="shared" si="253"/>
        <v>237.25310125904616</v>
      </c>
      <c r="N756" s="434">
        <f t="shared" si="253"/>
        <v>70415.056140010434</v>
      </c>
      <c r="O756" s="434">
        <f t="shared" si="253"/>
        <v>5883.754256833754</v>
      </c>
      <c r="P756" s="434">
        <f t="shared" si="253"/>
        <v>202.04376524161367</v>
      </c>
      <c r="Q756" s="434">
        <f t="shared" si="253"/>
        <v>35680.665823952157</v>
      </c>
      <c r="R756" s="434">
        <f t="shared" si="253"/>
        <v>698.93778207161006</v>
      </c>
      <c r="S756" s="434">
        <f t="shared" si="253"/>
        <v>3738.7563344719688</v>
      </c>
      <c r="T756" s="17"/>
      <c r="U756" s="118">
        <f t="shared" si="254"/>
        <v>1026551.7199999997</v>
      </c>
      <c r="V756" s="67"/>
      <c r="W756" s="67"/>
      <c r="X756" s="370">
        <f t="shared" si="255"/>
        <v>0</v>
      </c>
    </row>
    <row r="757" spans="1:24" ht="14.25">
      <c r="A757" s="67"/>
      <c r="B757" s="17">
        <f t="shared" si="251"/>
        <v>13</v>
      </c>
      <c r="C757" s="1" t="s">
        <v>275</v>
      </c>
      <c r="D757" s="1" t="s">
        <v>276</v>
      </c>
      <c r="E757" s="17"/>
      <c r="F757" s="118">
        <f>' WP II-I-1.4'!G757</f>
        <v>2244966.6100000003</v>
      </c>
      <c r="G757" s="17">
        <v>62</v>
      </c>
      <c r="H757" s="1" t="str">
        <f t="shared" si="252"/>
        <v>PLTGEN</v>
      </c>
      <c r="I757" s="17"/>
      <c r="J757" s="434">
        <f t="shared" si="253"/>
        <v>1249542.1377314124</v>
      </c>
      <c r="K757" s="434">
        <f t="shared" si="253"/>
        <v>41537.761977759001</v>
      </c>
      <c r="L757" s="434">
        <f t="shared" si="253"/>
        <v>790245.73904502101</v>
      </c>
      <c r="M757" s="434">
        <f t="shared" si="253"/>
        <v>286.15769804318319</v>
      </c>
      <c r="N757" s="434">
        <f t="shared" si="253"/>
        <v>121116.34455054636</v>
      </c>
      <c r="O757" s="434">
        <f t="shared" si="253"/>
        <v>12006.480625726352</v>
      </c>
      <c r="P757" s="434">
        <f t="shared" si="253"/>
        <v>2273.4724950758427</v>
      </c>
      <c r="Q757" s="434">
        <f t="shared" si="253"/>
        <v>19944.93289566792</v>
      </c>
      <c r="R757" s="434">
        <f t="shared" si="253"/>
        <v>1439.0518501183167</v>
      </c>
      <c r="S757" s="434">
        <f t="shared" si="253"/>
        <v>6574.5311306302519</v>
      </c>
      <c r="T757" s="17"/>
      <c r="U757" s="118">
        <f>SUM(I757:T757)</f>
        <v>2244966.6099999999</v>
      </c>
      <c r="V757" s="67"/>
      <c r="W757" s="67"/>
      <c r="X757" s="370">
        <f t="shared" si="255"/>
        <v>0</v>
      </c>
    </row>
    <row r="758" spans="1:24" ht="14.25">
      <c r="A758" s="67"/>
      <c r="B758" s="17">
        <f t="shared" si="251"/>
        <v>14</v>
      </c>
      <c r="C758" s="1" t="s">
        <v>277</v>
      </c>
      <c r="D758" s="1" t="s">
        <v>276</v>
      </c>
      <c r="E758" s="17"/>
      <c r="F758" s="118">
        <f>' WP II-I-1.4'!G758</f>
        <v>-10312.530000000001</v>
      </c>
      <c r="G758" s="17">
        <v>62</v>
      </c>
      <c r="H758" s="1" t="str">
        <f t="shared" si="252"/>
        <v>PLTGEN</v>
      </c>
      <c r="I758" s="17"/>
      <c r="J758" s="434">
        <f t="shared" si="253"/>
        <v>-5739.9253620165518</v>
      </c>
      <c r="K758" s="434">
        <f t="shared" si="253"/>
        <v>-190.80881409122563</v>
      </c>
      <c r="L758" s="434">
        <f t="shared" si="253"/>
        <v>-3630.0909131445615</v>
      </c>
      <c r="M758" s="434">
        <f t="shared" si="253"/>
        <v>-1.3145005509909424</v>
      </c>
      <c r="N758" s="434">
        <f t="shared" si="253"/>
        <v>-556.36281230385237</v>
      </c>
      <c r="O758" s="434">
        <f t="shared" si="253"/>
        <v>-55.153244193338701</v>
      </c>
      <c r="P758" s="434">
        <f t="shared" si="253"/>
        <v>-10.443475286095449</v>
      </c>
      <c r="Q758" s="434">
        <f t="shared" si="253"/>
        <v>-91.619500227026663</v>
      </c>
      <c r="R758" s="434">
        <f t="shared" si="253"/>
        <v>-6.6104615141249887</v>
      </c>
      <c r="S758" s="434">
        <f t="shared" si="253"/>
        <v>-30.200916672234332</v>
      </c>
      <c r="T758" s="17"/>
      <c r="U758" s="118">
        <f t="shared" si="254"/>
        <v>-10312.530000000004</v>
      </c>
      <c r="V758" s="67"/>
      <c r="W758" s="67"/>
      <c r="X758" s="370">
        <f t="shared" si="255"/>
        <v>0</v>
      </c>
    </row>
    <row r="759" spans="1:24" ht="15" thickBot="1">
      <c r="A759" s="67"/>
      <c r="B759" s="17">
        <f t="shared" si="251"/>
        <v>15</v>
      </c>
      <c r="C759" s="1"/>
      <c r="D759" s="1"/>
      <c r="E759" s="17"/>
      <c r="F759" s="18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4"/>
      <c r="V759" s="67"/>
      <c r="W759" s="67"/>
      <c r="X759" s="370">
        <f t="shared" si="255"/>
        <v>0</v>
      </c>
    </row>
    <row r="760" spans="1:24" ht="15.75" thickBot="1">
      <c r="A760" s="67"/>
      <c r="B760" s="17">
        <f t="shared" si="251"/>
        <v>16</v>
      </c>
      <c r="C760" s="284" t="s">
        <v>657</v>
      </c>
      <c r="D760" s="372"/>
      <c r="E760" s="316"/>
      <c r="F760" s="255">
        <f>SUM(F746:F758)</f>
        <v>423126451.5800001</v>
      </c>
      <c r="G760" s="316"/>
      <c r="H760" s="444"/>
      <c r="I760" s="1061"/>
      <c r="J760" s="446">
        <f t="shared" si="256" ref="J760:Q760">SUM(J746:J758)</f>
        <v>228351197.69918948</v>
      </c>
      <c r="K760" s="903">
        <f t="shared" si="256"/>
        <v>7879417.5337146763</v>
      </c>
      <c r="L760" s="903">
        <f t="shared" si="256"/>
        <v>144052746.12633011</v>
      </c>
      <c r="M760" s="903">
        <f t="shared" si="256"/>
        <v>73200.400360594373</v>
      </c>
      <c r="N760" s="903">
        <f t="shared" si="256"/>
        <v>24811551.005587529</v>
      </c>
      <c r="O760" s="903">
        <f>SUM(O746:O758)</f>
        <v>2275900.9610185553</v>
      </c>
      <c r="P760" s="903">
        <f t="shared" si="256"/>
        <v>333312.71977059619</v>
      </c>
      <c r="Q760" s="903">
        <f t="shared" si="256"/>
        <v>13755288.878110368</v>
      </c>
      <c r="R760" s="903">
        <f>SUM(R746:R758)</f>
        <v>268581.45248894574</v>
      </c>
      <c r="S760" s="380">
        <f>SUM(S746:S758)</f>
        <v>1325254.8034290271</v>
      </c>
      <c r="T760" s="444"/>
      <c r="U760" s="256">
        <f>SUM(I760:T760)</f>
        <v>423126451.57999986</v>
      </c>
      <c r="V760" s="67"/>
      <c r="W760" s="67"/>
      <c r="X760" s="370">
        <f t="shared" si="255"/>
        <v>0</v>
      </c>
    </row>
    <row r="761" spans="1:24" ht="15.75" thickBot="1">
      <c r="A761" s="67"/>
      <c r="B761" s="17">
        <f t="shared" si="251"/>
        <v>17</v>
      </c>
      <c r="C761" s="870" t="s">
        <v>1379</v>
      </c>
      <c r="D761" s="867"/>
      <c r="E761" s="868"/>
      <c r="F761" s="903">
        <f>SUM(F746:F759)-(0.727923)*F753</f>
        <v>421479825.80596453</v>
      </c>
      <c r="G761" s="868"/>
      <c r="H761" s="868"/>
      <c r="I761" s="1016"/>
      <c r="J761" s="903">
        <f>SUM(J746:J759)-(0.727923*(J753))</f>
        <v>227526451.4758288</v>
      </c>
      <c r="K761" s="903">
        <f>SUM(K746:K759)-(0.727923)*(K753)</f>
        <v>7845456.854681124</v>
      </c>
      <c r="L761" s="903">
        <f t="shared" si="257" ref="L761:S761">SUM(L746:L759)-(0.727923)*(L753)</f>
        <v>143492530.27359861</v>
      </c>
      <c r="M761" s="903">
        <f t="shared" si="257"/>
        <v>72577.194167542257</v>
      </c>
      <c r="N761" s="903">
        <f t="shared" si="257"/>
        <v>24697468.970988661</v>
      </c>
      <c r="O761" s="903">
        <f t="shared" si="257"/>
        <v>2252939.4814702794</v>
      </c>
      <c r="P761" s="903">
        <f t="shared" si="257"/>
        <v>270115.76328360219</v>
      </c>
      <c r="Q761" s="903">
        <f t="shared" si="257"/>
        <v>13731655.964154927</v>
      </c>
      <c r="R761" s="903">
        <f t="shared" si="257"/>
        <v>267976.59716815624</v>
      </c>
      <c r="S761" s="903">
        <f t="shared" si="257"/>
        <v>1322653.2306226408</v>
      </c>
      <c r="T761" s="869"/>
      <c r="U761" s="256">
        <f>SUM(I761:T761)</f>
        <v>421479825.80596441</v>
      </c>
      <c r="V761" s="67"/>
      <c r="W761" s="67"/>
      <c r="X761" s="370">
        <f t="shared" si="255"/>
        <v>0</v>
      </c>
    </row>
    <row r="762" spans="1:24" ht="15.75" thickBot="1">
      <c r="A762" s="47"/>
      <c r="B762" s="17">
        <f t="shared" si="251"/>
        <v>18</v>
      </c>
      <c r="C762" s="284" t="s">
        <v>658</v>
      </c>
      <c r="D762" s="372"/>
      <c r="E762" s="316"/>
      <c r="F762" s="255">
        <f>+F760+F730</f>
        <v>2390996883.98</v>
      </c>
      <c r="G762" s="316"/>
      <c r="H762" s="444"/>
      <c r="I762" s="1061"/>
      <c r="J762" s="446">
        <f t="shared" si="258" ref="J762:Q762">+J760+J730</f>
        <v>1154191413.0713346</v>
      </c>
      <c r="K762" s="903">
        <f t="shared" si="258"/>
        <v>33621697.153872155</v>
      </c>
      <c r="L762" s="903">
        <f t="shared" si="258"/>
        <v>802477590.93551588</v>
      </c>
      <c r="M762" s="903">
        <f t="shared" si="258"/>
        <v>365278.67635867448</v>
      </c>
      <c r="N762" s="903">
        <f t="shared" si="258"/>
        <v>185013028.17804262</v>
      </c>
      <c r="O762" s="903">
        <f>+O760+O730</f>
        <v>49467651.909562185</v>
      </c>
      <c r="P762" s="903">
        <f t="shared" si="258"/>
        <v>138187062.23509032</v>
      </c>
      <c r="Q762" s="903">
        <f t="shared" si="258"/>
        <v>24716101.714289829</v>
      </c>
      <c r="R762" s="903">
        <f>+R760+R730</f>
        <v>483289.50337623007</v>
      </c>
      <c r="S762" s="380">
        <f>+S760+S730</f>
        <v>2473770.6025573658</v>
      </c>
      <c r="T762" s="444"/>
      <c r="U762" s="256">
        <f>SUM(I762:T762)</f>
        <v>2390996883.9799991</v>
      </c>
      <c r="V762" s="67"/>
      <c r="W762" s="67"/>
      <c r="X762" s="370">
        <f t="shared" si="255"/>
        <v>0</v>
      </c>
    </row>
    <row r="763" spans="1:24" ht="15.75" thickBot="1">
      <c r="A763" s="67"/>
      <c r="B763" s="17">
        <f t="shared" si="251"/>
        <v>19</v>
      </c>
      <c r="C763" s="8"/>
      <c r="D763" s="8"/>
      <c r="E763" s="20"/>
      <c r="F763" s="22"/>
      <c r="G763" s="20"/>
      <c r="H763" s="20"/>
      <c r="I763" s="20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0"/>
      <c r="U763" s="8"/>
      <c r="V763" s="67"/>
      <c r="W763" s="67"/>
      <c r="X763" s="370">
        <f>U763-F763</f>
        <v>0</v>
      </c>
    </row>
    <row r="764" spans="1:24" ht="15.75" thickBot="1">
      <c r="A764" s="67"/>
      <c r="B764" s="17">
        <f t="shared" si="251"/>
        <v>20</v>
      </c>
      <c r="C764" s="284" t="s">
        <v>1381</v>
      </c>
      <c r="D764" s="372"/>
      <c r="E764" s="316"/>
      <c r="F764" s="903">
        <f>F762-F622-(0.727923)*F753</f>
        <v>736828236.76596463</v>
      </c>
      <c r="G764" s="316"/>
      <c r="H764" s="444"/>
      <c r="I764" s="445"/>
      <c r="J764" s="903">
        <f>J762-J622-(0.727923)*J753</f>
        <v>395178454.31952578</v>
      </c>
      <c r="K764" s="903">
        <f>K762-K622-(0.727923)*K753</f>
        <v>12395119.277212536</v>
      </c>
      <c r="L764" s="903">
        <f t="shared" si="259" ref="L764:S764">L762-L622-(0.727923)*L753</f>
        <v>250741911.49446246</v>
      </c>
      <c r="M764" s="903">
        <f t="shared" si="259"/>
        <v>145459.43382456829</v>
      </c>
      <c r="N764" s="903">
        <f t="shared" si="259"/>
        <v>46328406.437453076</v>
      </c>
      <c r="O764" s="903">
        <f t="shared" si="259"/>
        <v>4060381.3465247373</v>
      </c>
      <c r="P764" s="903">
        <f t="shared" si="259"/>
        <v>332181.97882053856</v>
      </c>
      <c r="Q764" s="903">
        <f t="shared" si="259"/>
        <v>24692468.800334387</v>
      </c>
      <c r="R764" s="903">
        <f t="shared" si="259"/>
        <v>482684.64805544057</v>
      </c>
      <c r="S764" s="903">
        <f t="shared" si="259"/>
        <v>2471169.0297509795</v>
      </c>
      <c r="T764" s="445"/>
      <c r="U764" s="256">
        <f>SUM(I764:T764)</f>
        <v>736828236.76596439</v>
      </c>
      <c r="V764" s="67"/>
      <c r="W764" s="67"/>
      <c r="X764" s="370">
        <f t="shared" si="255"/>
        <v>0</v>
      </c>
    </row>
    <row r="765" spans="1:24" ht="14.2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370">
        <f t="shared" si="255"/>
        <v>0</v>
      </c>
    </row>
    <row r="766" spans="1:24" ht="14.25">
      <c r="A766" s="67"/>
      <c r="B766" s="67"/>
      <c r="C766" s="67"/>
      <c r="D766" s="67"/>
      <c r="E766" s="67"/>
      <c r="F766" s="67"/>
      <c r="G766" s="67"/>
      <c r="H766" s="134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134"/>
      <c r="V766" s="134">
        <f>$H$2</f>
        <v>0</v>
      </c>
      <c r="W766" s="134"/>
      <c r="X766" s="370"/>
    </row>
    <row r="767" spans="1:24" s="386" customFormat="1" ht="15" thickBot="1">
      <c r="A767" s="47"/>
      <c r="B767" s="47"/>
      <c r="C767" s="47"/>
      <c r="D767" s="47"/>
      <c r="F767" s="611"/>
      <c r="G767" s="611"/>
      <c r="H767" s="611"/>
      <c r="I767" s="611"/>
      <c r="J767" s="611"/>
      <c r="K767" s="611"/>
      <c r="L767" s="611"/>
      <c r="M767" s="611"/>
      <c r="N767" s="611"/>
      <c r="O767" s="611"/>
      <c r="P767" s="611"/>
      <c r="Q767" s="611"/>
      <c r="R767" s="611"/>
      <c r="S767" s="611"/>
      <c r="T767" s="47"/>
      <c r="U767" s="611"/>
      <c r="V767" s="47"/>
      <c r="W767" s="47"/>
      <c r="X767" s="839"/>
    </row>
    <row r="768" spans="1:24" ht="15">
      <c r="A768" s="67"/>
      <c r="B768" s="920" t="str">
        <f>+$B$4</f>
        <v>2022 RATE CASE</v>
      </c>
      <c r="C768" s="935"/>
      <c r="D768" s="620"/>
      <c r="F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U768" s="134"/>
      <c r="X768" s="370"/>
    </row>
    <row r="769" spans="1:24" ht="15">
      <c r="A769" s="67"/>
      <c r="B769" s="917" t="str">
        <f>+$B$5</f>
        <v>ONCOR ELECTRIC DELIVERY COMPANY LLC</v>
      </c>
      <c r="C769" s="8"/>
      <c r="D769" s="621"/>
      <c r="F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U769" s="134"/>
      <c r="V769" s="67"/>
      <c r="W769" s="67"/>
      <c r="X769" s="370"/>
    </row>
    <row r="770" spans="1:24" ht="15">
      <c r="A770" s="67"/>
      <c r="B770" s="917" t="str">
        <f>+$B$6</f>
        <v>II-I-1-DIST:  CLASS REVENUE REQUIREMENT</v>
      </c>
      <c r="C770" s="85"/>
      <c r="D770" s="621"/>
      <c r="F770" s="12"/>
      <c r="U770" s="12"/>
      <c r="V770" s="67"/>
      <c r="W770" s="67"/>
      <c r="X770" s="370"/>
    </row>
    <row r="771" spans="1:24" ht="15">
      <c r="A771" s="67"/>
      <c r="B771" s="406" t="str">
        <f>+$B$7</f>
        <v>TEST YEAR ENDING 12/31/2021</v>
      </c>
      <c r="C771" s="85"/>
      <c r="D771" s="621"/>
      <c r="F771" s="12"/>
      <c r="U771" s="12"/>
      <c r="V771" s="67"/>
      <c r="W771" s="67"/>
      <c r="X771" s="370"/>
    </row>
    <row r="772" spans="1:24" ht="15">
      <c r="A772" s="67"/>
      <c r="B772" s="406" t="str">
        <f>+$B$8</f>
        <v>SPONSOR:  MATTHEW A. TROXLE</v>
      </c>
      <c r="C772" s="85"/>
      <c r="D772" s="621"/>
      <c r="F772" s="12"/>
      <c r="U772" s="12"/>
      <c r="V772" s="67"/>
      <c r="W772" s="67"/>
      <c r="X772" s="370"/>
    </row>
    <row r="773" spans="1:24" ht="15.75" thickBot="1">
      <c r="A773" s="67"/>
      <c r="B773" s="410"/>
      <c r="C773" s="934"/>
      <c r="D773" s="622"/>
      <c r="F773" s="12"/>
      <c r="U773" s="12"/>
      <c r="V773" s="67"/>
      <c r="W773" s="67"/>
      <c r="X773" s="370"/>
    </row>
    <row r="774" spans="1:24" ht="15" thickBot="1">
      <c r="A774" s="67"/>
      <c r="B774" s="13"/>
      <c r="C774" s="14"/>
      <c r="D774" s="14"/>
      <c r="E774" s="14"/>
      <c r="F774" s="13"/>
      <c r="G774" s="14"/>
      <c r="H774" s="14"/>
      <c r="I774" s="14"/>
      <c r="J774" s="238"/>
      <c r="K774" s="238"/>
      <c r="L774" s="14"/>
      <c r="M774" s="238"/>
      <c r="N774" s="238"/>
      <c r="O774" s="238"/>
      <c r="P774" s="238"/>
      <c r="Q774" s="14"/>
      <c r="R774" s="393" t="str">
        <f>R$10</f>
        <v xml:space="preserve"> </v>
      </c>
      <c r="S774" s="394"/>
      <c r="T774" s="238"/>
      <c r="U774" s="13"/>
      <c r="V774" s="67"/>
      <c r="W774" s="67"/>
      <c r="X774" s="370"/>
    </row>
    <row r="775" spans="1:24" ht="15">
      <c r="A775" s="67"/>
      <c r="B775" s="15" t="s">
        <v>2</v>
      </c>
      <c r="C775" s="15" t="s">
        <v>370</v>
      </c>
      <c r="D775" s="287" t="s">
        <v>659</v>
      </c>
      <c r="E775" s="15" t="s">
        <v>371</v>
      </c>
      <c r="F775" s="287" t="str">
        <f>F$11</f>
        <v>DIST</v>
      </c>
      <c r="G775" s="242" t="s">
        <v>741</v>
      </c>
      <c r="H775" s="242" t="s">
        <v>376</v>
      </c>
      <c r="I775" s="15"/>
      <c r="J775" s="242" t="s">
        <v>730</v>
      </c>
      <c r="K775" s="242" t="s">
        <v>409</v>
      </c>
      <c r="L775" s="15" t="s">
        <v>409</v>
      </c>
      <c r="M775" s="242" t="s">
        <v>410</v>
      </c>
      <c r="N775" s="242" t="s">
        <v>410</v>
      </c>
      <c r="O775" s="242" t="s">
        <v>410</v>
      </c>
      <c r="P775" s="242" t="s">
        <v>411</v>
      </c>
      <c r="Q775" s="15" t="s">
        <v>412</v>
      </c>
      <c r="R775" s="396" t="str">
        <f>R$11</f>
        <v>Wholesale</v>
      </c>
      <c r="S775" s="13" t="str">
        <f>S$11</f>
        <v>Wholesale</v>
      </c>
      <c r="T775" s="242"/>
      <c r="U775" s="15" t="s">
        <v>10</v>
      </c>
      <c r="V775" s="67"/>
      <c r="W775" s="67"/>
      <c r="X775" s="370"/>
    </row>
    <row r="776" spans="1:24" ht="14.25">
      <c r="A776" s="67"/>
      <c r="B776" s="15"/>
      <c r="C776" s="15"/>
      <c r="D776" s="15"/>
      <c r="E776" s="15"/>
      <c r="F776" s="15"/>
      <c r="G776" s="242" t="s">
        <v>742</v>
      </c>
      <c r="H776" s="242" t="s">
        <v>743</v>
      </c>
      <c r="I776" s="15"/>
      <c r="J776" s="242"/>
      <c r="K776" s="242" t="s">
        <v>731</v>
      </c>
      <c r="L776" s="15" t="s">
        <v>732</v>
      </c>
      <c r="M776" s="242" t="s">
        <v>731</v>
      </c>
      <c r="N776" s="242" t="s">
        <v>732</v>
      </c>
      <c r="O776" s="242" t="s">
        <v>414</v>
      </c>
      <c r="P776" s="242"/>
      <c r="Q776" s="15"/>
      <c r="R776" s="235" t="str">
        <f>R$12</f>
        <v>XFMR</v>
      </c>
      <c r="S776" s="15" t="str">
        <f>S$12</f>
        <v>DLS</v>
      </c>
      <c r="T776" s="242"/>
      <c r="U776" s="15"/>
      <c r="V776" s="67"/>
      <c r="W776" s="67"/>
      <c r="X776" s="370"/>
    </row>
    <row r="777" spans="1:24" ht="15" thickBot="1">
      <c r="A777" s="67"/>
      <c r="B777" s="16"/>
      <c r="C777" s="16"/>
      <c r="D777" s="16"/>
      <c r="E777" s="16"/>
      <c r="F777" s="16" t="s">
        <v>13</v>
      </c>
      <c r="G777" s="16" t="s">
        <v>14</v>
      </c>
      <c r="H777" s="16" t="s">
        <v>15</v>
      </c>
      <c r="I777" s="16"/>
      <c r="J777" s="243" t="str">
        <f t="shared" si="260" ref="J777:Q777">J$13</f>
        <v>(d)</v>
      </c>
      <c r="K777" s="243" t="str">
        <f t="shared" si="260"/>
        <v>(e)</v>
      </c>
      <c r="L777" s="16" t="str">
        <f t="shared" si="260"/>
        <v>(f)</v>
      </c>
      <c r="M777" s="243" t="str">
        <f t="shared" si="260"/>
        <v>(g)</v>
      </c>
      <c r="N777" s="243" t="str">
        <f t="shared" si="260"/>
        <v>(h)</v>
      </c>
      <c r="O777" s="243" t="str">
        <f>O$13</f>
        <v>(i)</v>
      </c>
      <c r="P777" s="243" t="str">
        <f t="shared" si="260"/>
        <v>(j)</v>
      </c>
      <c r="Q777" s="243" t="str">
        <f t="shared" si="260"/>
        <v>(k)</v>
      </c>
      <c r="R777" s="243" t="str">
        <f>R$13</f>
        <v>(l)</v>
      </c>
      <c r="S777" s="16" t="str">
        <f>S$13</f>
        <v>(m)</v>
      </c>
      <c r="T777" s="16"/>
      <c r="U777" s="16" t="s">
        <v>734</v>
      </c>
      <c r="V777" s="67"/>
      <c r="W777" s="67"/>
      <c r="X777" s="370"/>
    </row>
    <row r="778" spans="1:24" ht="14.25">
      <c r="A778" s="67"/>
      <c r="B778" s="67"/>
      <c r="C778" s="100"/>
      <c r="D778" s="100"/>
      <c r="E778" s="315"/>
      <c r="F778" s="373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1"/>
      <c r="V778" s="67"/>
      <c r="W778" s="67"/>
      <c r="X778" s="370">
        <f t="shared" si="255"/>
        <v>0</v>
      </c>
    </row>
    <row r="779" spans="1:24" ht="15">
      <c r="A779" s="67"/>
      <c r="B779" s="17">
        <f t="shared" si="261" ref="B779:B803">B778+1</f>
        <v>1</v>
      </c>
      <c r="C779" s="8" t="s">
        <v>659</v>
      </c>
      <c r="D779" s="1"/>
      <c r="E779" s="20"/>
      <c r="F779" s="19"/>
      <c r="G779" s="1059"/>
      <c r="H779" s="1059"/>
      <c r="I779" s="1059"/>
      <c r="J779" s="1059"/>
      <c r="K779" s="1059"/>
      <c r="L779" s="1059"/>
      <c r="M779" s="1059"/>
      <c r="N779" s="1059"/>
      <c r="O779" s="1059"/>
      <c r="P779" s="1059"/>
      <c r="Q779" s="1059"/>
      <c r="R779" s="1059"/>
      <c r="S779" s="1059"/>
      <c r="T779" s="20"/>
      <c r="U779" s="1"/>
      <c r="V779" s="67"/>
      <c r="W779" s="67"/>
      <c r="X779" s="370">
        <f t="shared" si="255"/>
        <v>0</v>
      </c>
    </row>
    <row r="780" spans="1:24" ht="15">
      <c r="A780" s="67"/>
      <c r="B780" s="17">
        <f t="shared" si="261"/>
        <v>2</v>
      </c>
      <c r="C780" s="8"/>
      <c r="D780" s="366" t="s">
        <v>660</v>
      </c>
      <c r="E780" s="20" t="s">
        <v>279</v>
      </c>
      <c r="F780" s="896"/>
      <c r="G780" s="1059"/>
      <c r="H780" s="1059"/>
      <c r="I780" s="1059"/>
      <c r="J780" s="1059"/>
      <c r="K780" s="1059"/>
      <c r="L780" s="1059"/>
      <c r="M780" s="1059"/>
      <c r="N780" s="1059"/>
      <c r="O780" s="1059"/>
      <c r="P780" s="1059"/>
      <c r="Q780" s="1059"/>
      <c r="R780" s="1059"/>
      <c r="S780" s="1059"/>
      <c r="T780" s="1010"/>
      <c r="U780" s="8"/>
      <c r="V780" s="67"/>
      <c r="W780" s="67"/>
      <c r="X780" s="370">
        <f t="shared" si="255"/>
        <v>0</v>
      </c>
    </row>
    <row r="781" spans="1:24" ht="14.25">
      <c r="A781" s="67"/>
      <c r="B781" s="17">
        <f t="shared" si="261"/>
        <v>3</v>
      </c>
      <c r="C781" s="1" t="s">
        <v>161</v>
      </c>
      <c r="D781" s="1" t="s">
        <v>162</v>
      </c>
      <c r="E781" s="17"/>
      <c r="F781" s="121">
        <f>' WP II-I-1.4'!G781</f>
        <v>48772.730000000003</v>
      </c>
      <c r="G781" s="17">
        <v>80</v>
      </c>
      <c r="H781" s="1" t="str">
        <f t="shared" si="262" ref="H781:H788">VLOOKUP(G781,FactorTable,2)</f>
        <v>PAY TR OPS</v>
      </c>
      <c r="I781" s="17"/>
      <c r="J781" s="434">
        <f t="shared" si="263" ref="J781:S788">$F781*HLOOKUP(J$1318,FactorTable,$G781+1)</f>
        <v>25670.208788376909</v>
      </c>
      <c r="K781" s="434">
        <f t="shared" si="263"/>
        <v>626.87203531183081</v>
      </c>
      <c r="L781" s="434">
        <f t="shared" si="263"/>
        <v>16528.337293103137</v>
      </c>
      <c r="M781" s="434">
        <f t="shared" si="263"/>
        <v>9.3441503501241119</v>
      </c>
      <c r="N781" s="434">
        <f t="shared" si="263"/>
        <v>3954.9148636461086</v>
      </c>
      <c r="O781" s="434">
        <f t="shared" si="263"/>
        <v>1430.2345644456943</v>
      </c>
      <c r="P781" s="434">
        <f t="shared" si="263"/>
        <v>0</v>
      </c>
      <c r="Q781" s="434">
        <f t="shared" si="263"/>
        <v>166.71199174243787</v>
      </c>
      <c r="R781" s="434">
        <f t="shared" si="263"/>
        <v>171.4225642157505</v>
      </c>
      <c r="S781" s="434">
        <f t="shared" si="263"/>
        <v>214.68374880800803</v>
      </c>
      <c r="T781" s="17"/>
      <c r="U781" s="118">
        <f t="shared" si="264" ref="U781:U789">SUM(I781:T781)</f>
        <v>48772.729999999989</v>
      </c>
      <c r="V781" s="67"/>
      <c r="W781" s="67"/>
      <c r="X781" s="370">
        <f t="shared" si="255"/>
        <v>0</v>
      </c>
    </row>
    <row r="782" spans="1:24" ht="14.25">
      <c r="A782" s="67"/>
      <c r="B782" s="17">
        <f t="shared" si="261"/>
        <v>4</v>
      </c>
      <c r="C782" s="1" t="s">
        <v>163</v>
      </c>
      <c r="D782" s="1" t="s">
        <v>164</v>
      </c>
      <c r="E782" s="17"/>
      <c r="F782" s="24">
        <f>' WP II-I-1.4'!G782</f>
        <v>0</v>
      </c>
      <c r="G782" s="17">
        <v>28</v>
      </c>
      <c r="H782" s="1" t="str">
        <f t="shared" si="262"/>
        <v>NCP XHV</v>
      </c>
      <c r="I782" s="17"/>
      <c r="J782" s="434">
        <f t="shared" si="263"/>
        <v>0</v>
      </c>
      <c r="K782" s="434">
        <f t="shared" si="263"/>
        <v>0</v>
      </c>
      <c r="L782" s="434">
        <f t="shared" si="263"/>
        <v>0</v>
      </c>
      <c r="M782" s="434">
        <f t="shared" si="263"/>
        <v>0</v>
      </c>
      <c r="N782" s="434">
        <f t="shared" si="263"/>
        <v>0</v>
      </c>
      <c r="O782" s="434">
        <f t="shared" si="263"/>
        <v>0</v>
      </c>
      <c r="P782" s="434">
        <f t="shared" si="263"/>
        <v>0</v>
      </c>
      <c r="Q782" s="434">
        <f t="shared" si="263"/>
        <v>0</v>
      </c>
      <c r="R782" s="434">
        <f t="shared" si="263"/>
        <v>0</v>
      </c>
      <c r="S782" s="434">
        <f t="shared" si="263"/>
        <v>0</v>
      </c>
      <c r="T782" s="17"/>
      <c r="U782" s="118">
        <f t="shared" si="264"/>
        <v>0</v>
      </c>
      <c r="V782" s="67"/>
      <c r="W782" s="67"/>
      <c r="X782" s="370">
        <f t="shared" si="255"/>
        <v>0</v>
      </c>
    </row>
    <row r="783" spans="1:24" ht="14.25">
      <c r="A783" s="67"/>
      <c r="B783" s="17">
        <f t="shared" si="261"/>
        <v>5</v>
      </c>
      <c r="C783" s="1" t="s">
        <v>165</v>
      </c>
      <c r="D783" s="1" t="s">
        <v>166</v>
      </c>
      <c r="E783" s="17"/>
      <c r="F783" s="24">
        <f>' WP II-I-1.4'!G783</f>
        <v>428931.78000000003</v>
      </c>
      <c r="G783" s="17">
        <v>28</v>
      </c>
      <c r="H783" s="1" t="str">
        <f t="shared" si="262"/>
        <v>NCP XHV</v>
      </c>
      <c r="I783" s="17"/>
      <c r="J783" s="434">
        <f t="shared" si="263"/>
        <v>225756.65435521348</v>
      </c>
      <c r="K783" s="434">
        <f t="shared" si="263"/>
        <v>5513.0261918602146</v>
      </c>
      <c r="L783" s="434">
        <f t="shared" si="263"/>
        <v>145358.46436258766</v>
      </c>
      <c r="M783" s="434">
        <f t="shared" si="263"/>
        <v>82.177131406553585</v>
      </c>
      <c r="N783" s="434">
        <f t="shared" si="263"/>
        <v>34781.499256083931</v>
      </c>
      <c r="O783" s="434">
        <f t="shared" si="263"/>
        <v>12578.198053404356</v>
      </c>
      <c r="P783" s="434">
        <f t="shared" si="263"/>
        <v>0</v>
      </c>
      <c r="Q783" s="434">
        <f t="shared" si="263"/>
        <v>1466.1486319389787</v>
      </c>
      <c r="R783" s="434">
        <f t="shared" si="263"/>
        <v>1507.5757621364676</v>
      </c>
      <c r="S783" s="434">
        <f t="shared" si="263"/>
        <v>1888.0362553683533</v>
      </c>
      <c r="T783" s="17"/>
      <c r="U783" s="118">
        <f t="shared" si="264"/>
        <v>428931.78000000003</v>
      </c>
      <c r="V783" s="67"/>
      <c r="W783" s="67"/>
      <c r="X783" s="370">
        <f t="shared" si="255"/>
        <v>0</v>
      </c>
    </row>
    <row r="784" spans="1:24" ht="14.25">
      <c r="A784" s="67"/>
      <c r="B784" s="17">
        <f t="shared" si="261"/>
        <v>6</v>
      </c>
      <c r="C784" s="1" t="s">
        <v>167</v>
      </c>
      <c r="D784" s="1" t="s">
        <v>168</v>
      </c>
      <c r="E784" s="17"/>
      <c r="F784" s="24">
        <f>' WP II-I-1.4'!G784</f>
        <v>0</v>
      </c>
      <c r="G784" s="17">
        <v>28</v>
      </c>
      <c r="H784" s="1" t="str">
        <f t="shared" si="262"/>
        <v>NCP XHV</v>
      </c>
      <c r="I784" s="17"/>
      <c r="J784" s="434">
        <f t="shared" si="263"/>
        <v>0</v>
      </c>
      <c r="K784" s="434">
        <f t="shared" si="263"/>
        <v>0</v>
      </c>
      <c r="L784" s="434">
        <f t="shared" si="263"/>
        <v>0</v>
      </c>
      <c r="M784" s="434">
        <f t="shared" si="263"/>
        <v>0</v>
      </c>
      <c r="N784" s="434">
        <f t="shared" si="263"/>
        <v>0</v>
      </c>
      <c r="O784" s="434">
        <f t="shared" si="263"/>
        <v>0</v>
      </c>
      <c r="P784" s="434">
        <f t="shared" si="263"/>
        <v>0</v>
      </c>
      <c r="Q784" s="434">
        <f t="shared" si="263"/>
        <v>0</v>
      </c>
      <c r="R784" s="434">
        <f t="shared" si="263"/>
        <v>0</v>
      </c>
      <c r="S784" s="434">
        <f t="shared" si="263"/>
        <v>0</v>
      </c>
      <c r="T784" s="17"/>
      <c r="U784" s="118">
        <f t="shared" si="264"/>
        <v>0</v>
      </c>
      <c r="V784" s="67"/>
      <c r="W784" s="67"/>
      <c r="X784" s="370">
        <f t="shared" si="255"/>
        <v>0</v>
      </c>
    </row>
    <row r="785" spans="1:24" ht="14.25">
      <c r="A785" s="67"/>
      <c r="B785" s="17">
        <f t="shared" si="261"/>
        <v>7</v>
      </c>
      <c r="C785" s="1" t="s">
        <v>169</v>
      </c>
      <c r="D785" s="1" t="s">
        <v>170</v>
      </c>
      <c r="E785" s="17"/>
      <c r="F785" s="24">
        <f>' WP II-I-1.4'!G785</f>
        <v>0</v>
      </c>
      <c r="G785" s="17">
        <v>28</v>
      </c>
      <c r="H785" s="1" t="str">
        <f t="shared" si="262"/>
        <v>NCP XHV</v>
      </c>
      <c r="I785" s="17"/>
      <c r="J785" s="434">
        <f t="shared" si="263"/>
        <v>0</v>
      </c>
      <c r="K785" s="434">
        <f t="shared" si="263"/>
        <v>0</v>
      </c>
      <c r="L785" s="434">
        <f t="shared" si="263"/>
        <v>0</v>
      </c>
      <c r="M785" s="434">
        <f t="shared" si="263"/>
        <v>0</v>
      </c>
      <c r="N785" s="434">
        <f t="shared" si="263"/>
        <v>0</v>
      </c>
      <c r="O785" s="434">
        <f t="shared" si="263"/>
        <v>0</v>
      </c>
      <c r="P785" s="434">
        <f t="shared" si="263"/>
        <v>0</v>
      </c>
      <c r="Q785" s="434">
        <f t="shared" si="263"/>
        <v>0</v>
      </c>
      <c r="R785" s="434">
        <f t="shared" si="263"/>
        <v>0</v>
      </c>
      <c r="S785" s="434">
        <f t="shared" si="263"/>
        <v>0</v>
      </c>
      <c r="T785" s="17"/>
      <c r="U785" s="118">
        <f t="shared" si="264"/>
        <v>0</v>
      </c>
      <c r="V785" s="67"/>
      <c r="W785" s="67"/>
      <c r="X785" s="370">
        <f t="shared" si="255"/>
        <v>0</v>
      </c>
    </row>
    <row r="786" spans="1:24" ht="15">
      <c r="A786" s="133"/>
      <c r="B786" s="17">
        <f t="shared" si="261"/>
        <v>8</v>
      </c>
      <c r="C786" s="1" t="s">
        <v>171</v>
      </c>
      <c r="D786" s="31" t="s">
        <v>172</v>
      </c>
      <c r="E786" s="20"/>
      <c r="F786" s="24">
        <f>' WP II-I-1.4'!G786</f>
        <v>0</v>
      </c>
      <c r="G786" s="17">
        <v>23</v>
      </c>
      <c r="H786" s="1" t="str">
        <f t="shared" si="262"/>
        <v>4CP RTL</v>
      </c>
      <c r="I786" s="1059"/>
      <c r="J786" s="434">
        <f t="shared" si="263"/>
        <v>0</v>
      </c>
      <c r="K786" s="434">
        <f t="shared" si="263"/>
        <v>0</v>
      </c>
      <c r="L786" s="434">
        <f t="shared" si="263"/>
        <v>0</v>
      </c>
      <c r="M786" s="434">
        <f t="shared" si="263"/>
        <v>0</v>
      </c>
      <c r="N786" s="434">
        <f t="shared" si="263"/>
        <v>0</v>
      </c>
      <c r="O786" s="434">
        <f t="shared" si="263"/>
        <v>0</v>
      </c>
      <c r="P786" s="434">
        <f t="shared" si="263"/>
        <v>0</v>
      </c>
      <c r="Q786" s="434">
        <f t="shared" si="263"/>
        <v>0</v>
      </c>
      <c r="R786" s="434">
        <f t="shared" si="263"/>
        <v>0</v>
      </c>
      <c r="S786" s="434">
        <f t="shared" si="263"/>
        <v>0</v>
      </c>
      <c r="T786" s="1010"/>
      <c r="U786" s="299">
        <f t="shared" si="264"/>
        <v>0</v>
      </c>
      <c r="V786" s="133"/>
      <c r="W786" s="133"/>
      <c r="X786" s="370">
        <f t="shared" si="255"/>
        <v>0</v>
      </c>
    </row>
    <row r="787" spans="1:24" ht="14.25">
      <c r="A787" s="67"/>
      <c r="B787" s="17">
        <f t="shared" si="261"/>
        <v>9</v>
      </c>
      <c r="C787" s="1" t="s">
        <v>173</v>
      </c>
      <c r="D787" s="31" t="s">
        <v>174</v>
      </c>
      <c r="E787" s="17"/>
      <c r="F787" s="24">
        <f>' WP II-I-1.4'!G787</f>
        <v>152607.32000000001</v>
      </c>
      <c r="G787" s="17">
        <v>28</v>
      </c>
      <c r="H787" s="1" t="str">
        <f t="shared" si="262"/>
        <v>NCP XHV</v>
      </c>
      <c r="I787" s="17"/>
      <c r="J787" s="434">
        <f t="shared" si="263"/>
        <v>80320.740033101436</v>
      </c>
      <c r="K787" s="434">
        <f t="shared" si="263"/>
        <v>1961.4497956518708</v>
      </c>
      <c r="L787" s="434">
        <f t="shared" si="263"/>
        <v>51716.302498476594</v>
      </c>
      <c r="M787" s="434">
        <f t="shared" si="263"/>
        <v>29.237357486642683</v>
      </c>
      <c r="N787" s="434">
        <f t="shared" si="263"/>
        <v>12374.721656327172</v>
      </c>
      <c r="O787" s="434">
        <f t="shared" si="263"/>
        <v>4475.129111112391</v>
      </c>
      <c r="P787" s="434">
        <f t="shared" si="263"/>
        <v>0</v>
      </c>
      <c r="Q787" s="434">
        <f t="shared" si="263"/>
        <v>521.63309848916754</v>
      </c>
      <c r="R787" s="434">
        <f t="shared" si="263"/>
        <v>536.37223326423566</v>
      </c>
      <c r="S787" s="434">
        <f t="shared" si="263"/>
        <v>671.73421609049342</v>
      </c>
      <c r="T787" s="17"/>
      <c r="U787" s="118">
        <f t="shared" si="264"/>
        <v>152607.32000000001</v>
      </c>
      <c r="V787" s="67"/>
      <c r="W787" s="67"/>
      <c r="X787" s="370">
        <f t="shared" si="255"/>
        <v>0</v>
      </c>
    </row>
    <row r="788" spans="1:24" ht="14.25">
      <c r="A788" s="67"/>
      <c r="B788" s="17">
        <f t="shared" si="261"/>
        <v>10</v>
      </c>
      <c r="C788" s="1" t="s">
        <v>175</v>
      </c>
      <c r="D788" s="1" t="s">
        <v>176</v>
      </c>
      <c r="E788" s="17"/>
      <c r="F788" s="24">
        <f>' WP II-I-1.4'!G788</f>
        <v>0</v>
      </c>
      <c r="G788" s="17">
        <v>28</v>
      </c>
      <c r="H788" s="1" t="str">
        <f t="shared" si="262"/>
        <v>NCP XHV</v>
      </c>
      <c r="I788" s="17"/>
      <c r="J788" s="435">
        <f t="shared" si="263"/>
        <v>0</v>
      </c>
      <c r="K788" s="435">
        <f t="shared" si="263"/>
        <v>0</v>
      </c>
      <c r="L788" s="435">
        <f t="shared" si="263"/>
        <v>0</v>
      </c>
      <c r="M788" s="435">
        <f t="shared" si="263"/>
        <v>0</v>
      </c>
      <c r="N788" s="435">
        <f t="shared" si="263"/>
        <v>0</v>
      </c>
      <c r="O788" s="435">
        <f t="shared" si="263"/>
        <v>0</v>
      </c>
      <c r="P788" s="435">
        <f t="shared" si="263"/>
        <v>0</v>
      </c>
      <c r="Q788" s="435">
        <f t="shared" si="263"/>
        <v>0</v>
      </c>
      <c r="R788" s="435">
        <f t="shared" si="263"/>
        <v>0</v>
      </c>
      <c r="S788" s="435">
        <f t="shared" si="263"/>
        <v>0</v>
      </c>
      <c r="T788" s="17"/>
      <c r="U788" s="118">
        <f t="shared" si="264"/>
        <v>0</v>
      </c>
      <c r="V788" s="67"/>
      <c r="W788" s="67"/>
      <c r="X788" s="370">
        <f t="shared" si="255"/>
        <v>0</v>
      </c>
    </row>
    <row r="789" spans="1:24" ht="15">
      <c r="A789" s="67"/>
      <c r="B789" s="17">
        <f t="shared" si="261"/>
        <v>11</v>
      </c>
      <c r="C789" s="8"/>
      <c r="D789" s="26" t="s">
        <v>491</v>
      </c>
      <c r="E789" s="20"/>
      <c r="F789" s="896">
        <f>SUM(F781:F788)</f>
        <v>630311.83000000007</v>
      </c>
      <c r="G789" s="1059"/>
      <c r="H789" s="1059"/>
      <c r="I789" s="1059"/>
      <c r="J789" s="896">
        <f t="shared" si="265" ref="J789:Q789">SUM(J781:J788)</f>
        <v>331747.6031766918</v>
      </c>
      <c r="K789" s="896">
        <f t="shared" si="265"/>
        <v>8101.3480228239159</v>
      </c>
      <c r="L789" s="896">
        <f t="shared" si="265"/>
        <v>213603.10415416741</v>
      </c>
      <c r="M789" s="896">
        <f t="shared" si="265"/>
        <v>120.75863924332037</v>
      </c>
      <c r="N789" s="896">
        <f t="shared" si="265"/>
        <v>51111.135776057214</v>
      </c>
      <c r="O789" s="896">
        <f>SUM(O781:O788)</f>
        <v>18483.561728962442</v>
      </c>
      <c r="P789" s="896">
        <f t="shared" si="265"/>
        <v>0</v>
      </c>
      <c r="Q789" s="896">
        <f t="shared" si="265"/>
        <v>2154.4937221705841</v>
      </c>
      <c r="R789" s="896">
        <f>SUM(R781:R788)</f>
        <v>2215.3705596164536</v>
      </c>
      <c r="S789" s="896">
        <f>SUM(S781:S788)</f>
        <v>2774.4542202668545</v>
      </c>
      <c r="T789" s="1010"/>
      <c r="U789" s="299">
        <f t="shared" si="264"/>
        <v>630311.83000000019</v>
      </c>
      <c r="V789" s="67"/>
      <c r="W789" s="67"/>
      <c r="X789" s="370">
        <f t="shared" si="255"/>
        <v>0</v>
      </c>
    </row>
    <row r="790" spans="1:24" ht="14.25">
      <c r="A790" s="67"/>
      <c r="B790" s="17">
        <f t="shared" si="261"/>
        <v>12</v>
      </c>
      <c r="C790" s="1"/>
      <c r="D790" s="1"/>
      <c r="E790" s="17"/>
      <c r="F790" s="19"/>
      <c r="G790" s="17"/>
      <c r="H790" s="17"/>
      <c r="I790" s="17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7"/>
      <c r="U790" s="1"/>
      <c r="V790" s="67"/>
      <c r="W790" s="67"/>
      <c r="X790" s="370">
        <f t="shared" si="255"/>
        <v>0</v>
      </c>
    </row>
    <row r="791" spans="1:24" ht="15">
      <c r="A791" s="67"/>
      <c r="B791" s="17">
        <f t="shared" si="261"/>
        <v>13</v>
      </c>
      <c r="C791" s="8"/>
      <c r="D791" s="26" t="s">
        <v>661</v>
      </c>
      <c r="E791" s="20"/>
      <c r="F791" s="896">
        <f>SUM(F782:F788)</f>
        <v>581539.10000000009</v>
      </c>
      <c r="G791" s="1059"/>
      <c r="H791" s="1059"/>
      <c r="I791" s="1059"/>
      <c r="J791" s="896">
        <f t="shared" si="266" ref="J791:Q791">SUM(J782:J788)</f>
        <v>306077.39438831492</v>
      </c>
      <c r="K791" s="896">
        <f t="shared" si="266"/>
        <v>7474.4759875120853</v>
      </c>
      <c r="L791" s="896">
        <f t="shared" si="266"/>
        <v>197074.76686106424</v>
      </c>
      <c r="M791" s="896">
        <f t="shared" si="266"/>
        <v>111.41448889319626</v>
      </c>
      <c r="N791" s="896">
        <f t="shared" si="266"/>
        <v>47156.220912411103</v>
      </c>
      <c r="O791" s="896">
        <f>SUM(O782:O788)</f>
        <v>17053.327164516748</v>
      </c>
      <c r="P791" s="896">
        <f t="shared" si="266"/>
        <v>0</v>
      </c>
      <c r="Q791" s="896">
        <f t="shared" si="266"/>
        <v>1987.7817304281462</v>
      </c>
      <c r="R791" s="896">
        <f>SUM(R782:R788)</f>
        <v>2043.9479954007034</v>
      </c>
      <c r="S791" s="896">
        <f>SUM(S782:S788)</f>
        <v>2559.7704714588467</v>
      </c>
      <c r="T791" s="1010"/>
      <c r="U791" s="299">
        <f>SUM(I791:T791)</f>
        <v>581539.09999999998</v>
      </c>
      <c r="V791" s="67"/>
      <c r="W791" s="67"/>
      <c r="X791" s="370">
        <f t="shared" si="255"/>
        <v>0</v>
      </c>
    </row>
    <row r="792" spans="1:24" ht="14.25">
      <c r="A792" s="67"/>
      <c r="B792" s="17">
        <f t="shared" si="261"/>
        <v>14</v>
      </c>
      <c r="C792" s="1"/>
      <c r="D792" s="1"/>
      <c r="E792" s="17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"/>
      <c r="V792" s="67"/>
      <c r="W792" s="67"/>
      <c r="X792" s="370">
        <f t="shared" si="255"/>
        <v>0</v>
      </c>
    </row>
    <row r="793" spans="1:24" ht="15">
      <c r="A793" s="67"/>
      <c r="B793" s="17">
        <f t="shared" si="261"/>
        <v>15</v>
      </c>
      <c r="C793" s="8"/>
      <c r="D793" s="366" t="s">
        <v>662</v>
      </c>
      <c r="E793" s="20" t="s">
        <v>279</v>
      </c>
      <c r="F793" s="896"/>
      <c r="G793" s="1059"/>
      <c r="H793" s="1059"/>
      <c r="I793" s="1059"/>
      <c r="J793" s="1059"/>
      <c r="K793" s="1059"/>
      <c r="L793" s="1059"/>
      <c r="M793" s="1059"/>
      <c r="N793" s="1059"/>
      <c r="O793" s="1059"/>
      <c r="P793" s="1059"/>
      <c r="Q793" s="1059"/>
      <c r="R793" s="1059"/>
      <c r="S793" s="1059"/>
      <c r="T793" s="1010"/>
      <c r="U793" s="8"/>
      <c r="V793" s="67"/>
      <c r="W793" s="67"/>
      <c r="X793" s="370">
        <f t="shared" si="255"/>
        <v>0</v>
      </c>
    </row>
    <row r="794" spans="1:24" ht="14.25">
      <c r="A794" s="67"/>
      <c r="B794" s="17">
        <f t="shared" si="261"/>
        <v>16</v>
      </c>
      <c r="C794" s="1" t="s">
        <v>178</v>
      </c>
      <c r="D794" s="1" t="s">
        <v>179</v>
      </c>
      <c r="E794" s="17"/>
      <c r="F794" s="24">
        <f>' WP II-I-1.4'!G794</f>
        <v>85793.720000000001</v>
      </c>
      <c r="G794" s="17">
        <v>81</v>
      </c>
      <c r="H794" s="1" t="str">
        <f t="shared" si="267" ref="H794:H799">VLOOKUP(G794,FactorTable,2)</f>
        <v>PAY TR MNT</v>
      </c>
      <c r="I794" s="17"/>
      <c r="J794" s="434">
        <f t="shared" si="268" ref="J794:S799">$F794*HLOOKUP(J$1318,FactorTable,$G794+1)</f>
        <v>45155.206713496409</v>
      </c>
      <c r="K794" s="434">
        <f t="shared" si="268"/>
        <v>1102.6998872807269</v>
      </c>
      <c r="L794" s="434">
        <f t="shared" si="268"/>
        <v>29074.188420251412</v>
      </c>
      <c r="M794" s="434">
        <f t="shared" si="268"/>
        <v>16.436837117308176</v>
      </c>
      <c r="N794" s="434">
        <f t="shared" si="268"/>
        <v>6956.8969880400855</v>
      </c>
      <c r="O794" s="434">
        <f t="shared" si="268"/>
        <v>2515.8555560940677</v>
      </c>
      <c r="P794" s="434">
        <f t="shared" si="268"/>
        <v>0</v>
      </c>
      <c r="Q794" s="434">
        <f t="shared" si="268"/>
        <v>293.25489756659158</v>
      </c>
      <c r="R794" s="434">
        <f t="shared" si="268"/>
        <v>301.5410348366417</v>
      </c>
      <c r="S794" s="434">
        <f t="shared" si="268"/>
        <v>377.63966531675732</v>
      </c>
      <c r="T794" s="17"/>
      <c r="U794" s="118">
        <f t="shared" si="269" ref="U794:U800">SUM(I794:T794)</f>
        <v>85793.719999999987</v>
      </c>
      <c r="V794" s="67"/>
      <c r="W794" s="67"/>
      <c r="X794" s="370">
        <f t="shared" si="255"/>
        <v>0</v>
      </c>
    </row>
    <row r="795" spans="1:24" ht="14.25">
      <c r="A795" s="67"/>
      <c r="B795" s="17">
        <f t="shared" si="261"/>
        <v>17</v>
      </c>
      <c r="C795" s="1" t="s">
        <v>180</v>
      </c>
      <c r="D795" s="31" t="s">
        <v>181</v>
      </c>
      <c r="E795" s="17"/>
      <c r="F795" s="24">
        <f>' WP II-I-1.4'!G795</f>
        <v>0</v>
      </c>
      <c r="G795" s="17">
        <v>28</v>
      </c>
      <c r="H795" s="1" t="str">
        <f t="shared" si="267"/>
        <v>NCP XHV</v>
      </c>
      <c r="I795" s="17"/>
      <c r="J795" s="434">
        <f t="shared" si="268"/>
        <v>0</v>
      </c>
      <c r="K795" s="434">
        <f t="shared" si="268"/>
        <v>0</v>
      </c>
      <c r="L795" s="434">
        <f t="shared" si="268"/>
        <v>0</v>
      </c>
      <c r="M795" s="434">
        <f t="shared" si="268"/>
        <v>0</v>
      </c>
      <c r="N795" s="434">
        <f t="shared" si="268"/>
        <v>0</v>
      </c>
      <c r="O795" s="434">
        <f t="shared" si="268"/>
        <v>0</v>
      </c>
      <c r="P795" s="434">
        <f t="shared" si="268"/>
        <v>0</v>
      </c>
      <c r="Q795" s="434">
        <f t="shared" si="268"/>
        <v>0</v>
      </c>
      <c r="R795" s="434">
        <f t="shared" si="268"/>
        <v>0</v>
      </c>
      <c r="S795" s="434">
        <f t="shared" si="268"/>
        <v>0</v>
      </c>
      <c r="T795" s="17"/>
      <c r="U795" s="118">
        <f t="shared" si="269"/>
        <v>0</v>
      </c>
      <c r="V795" s="67"/>
      <c r="W795" s="67"/>
      <c r="X795" s="370">
        <f t="shared" si="255"/>
        <v>0</v>
      </c>
    </row>
    <row r="796" spans="1:24" ht="14.25">
      <c r="A796" s="67"/>
      <c r="B796" s="17">
        <f t="shared" si="261"/>
        <v>18</v>
      </c>
      <c r="C796" s="1" t="s">
        <v>182</v>
      </c>
      <c r="D796" s="1" t="s">
        <v>183</v>
      </c>
      <c r="E796" s="17"/>
      <c r="F796" s="24">
        <f>' WP II-I-1.4'!G796</f>
        <v>70648.929999999993</v>
      </c>
      <c r="G796" s="17">
        <v>28</v>
      </c>
      <c r="H796" s="1" t="str">
        <f t="shared" si="267"/>
        <v>NCP XHV</v>
      </c>
      <c r="I796" s="17"/>
      <c r="J796" s="434">
        <f t="shared" si="268"/>
        <v>37184.155649589942</v>
      </c>
      <c r="K796" s="434">
        <f t="shared" si="268"/>
        <v>908.04510105755935</v>
      </c>
      <c r="L796" s="434">
        <f t="shared" si="268"/>
        <v>23941.849152935112</v>
      </c>
      <c r="M796" s="434">
        <f t="shared" si="268"/>
        <v>13.535314180596282</v>
      </c>
      <c r="N796" s="434">
        <f t="shared" si="268"/>
        <v>5728.8264027396735</v>
      </c>
      <c r="O796" s="434">
        <f t="shared" si="268"/>
        <v>2071.7425829373155</v>
      </c>
      <c r="P796" s="434">
        <f t="shared" si="268"/>
        <v>0</v>
      </c>
      <c r="Q796" s="434">
        <f t="shared" si="268"/>
        <v>241.48789363999248</v>
      </c>
      <c r="R796" s="434">
        <f t="shared" si="268"/>
        <v>248.31131535386803</v>
      </c>
      <c r="S796" s="434">
        <f t="shared" si="268"/>
        <v>310.97658756593154</v>
      </c>
      <c r="T796" s="17"/>
      <c r="U796" s="118">
        <f t="shared" si="269"/>
        <v>70648.929999999993</v>
      </c>
      <c r="V796" s="67"/>
      <c r="W796" s="67"/>
      <c r="X796" s="370">
        <f t="shared" si="255"/>
        <v>0</v>
      </c>
    </row>
    <row r="797" spans="1:24" ht="14.25">
      <c r="A797" s="67"/>
      <c r="B797" s="17">
        <f t="shared" si="261"/>
        <v>19</v>
      </c>
      <c r="C797" s="1" t="s">
        <v>184</v>
      </c>
      <c r="D797" s="1" t="s">
        <v>185</v>
      </c>
      <c r="E797" s="17"/>
      <c r="F797" s="24">
        <f>' WP II-I-1.4'!G797</f>
        <v>4236.9099999999999</v>
      </c>
      <c r="G797" s="17">
        <v>28</v>
      </c>
      <c r="H797" s="1" t="str">
        <f t="shared" si="267"/>
        <v>NCP XHV</v>
      </c>
      <c r="I797" s="17"/>
      <c r="J797" s="434">
        <f t="shared" si="268"/>
        <v>2229.9831138745362</v>
      </c>
      <c r="K797" s="434">
        <f t="shared" si="268"/>
        <v>54.456668616520929</v>
      </c>
      <c r="L797" s="434">
        <f t="shared" si="268"/>
        <v>1435.8244363299248</v>
      </c>
      <c r="M797" s="434">
        <f t="shared" si="268"/>
        <v>0.81173073682659025</v>
      </c>
      <c r="N797" s="434">
        <f t="shared" si="268"/>
        <v>343.56531477591739</v>
      </c>
      <c r="O797" s="434">
        <f t="shared" si="268"/>
        <v>124.24514946047934</v>
      </c>
      <c r="P797" s="434">
        <f t="shared" si="268"/>
        <v>0</v>
      </c>
      <c r="Q797" s="434">
        <f t="shared" si="268"/>
        <v>14.482349151533089</v>
      </c>
      <c r="R797" s="434">
        <f t="shared" si="268"/>
        <v>14.891558798356281</v>
      </c>
      <c r="S797" s="434">
        <f t="shared" si="268"/>
        <v>18.649678255905236</v>
      </c>
      <c r="T797" s="17"/>
      <c r="U797" s="118">
        <f t="shared" si="269"/>
        <v>4236.9100000000008</v>
      </c>
      <c r="V797" s="67"/>
      <c r="W797" s="67"/>
      <c r="X797" s="370">
        <f t="shared" si="255"/>
        <v>0</v>
      </c>
    </row>
    <row r="798" spans="1:24" ht="14.25">
      <c r="A798" s="67"/>
      <c r="B798" s="17">
        <f t="shared" si="261"/>
        <v>20</v>
      </c>
      <c r="C798" s="1" t="s">
        <v>186</v>
      </c>
      <c r="D798" s="31" t="s">
        <v>187</v>
      </c>
      <c r="E798" s="17"/>
      <c r="F798" s="24">
        <f>' WP II-I-1.4'!G798</f>
        <v>0</v>
      </c>
      <c r="G798" s="17">
        <v>28</v>
      </c>
      <c r="H798" s="1" t="str">
        <f t="shared" si="267"/>
        <v>NCP XHV</v>
      </c>
      <c r="I798" s="17"/>
      <c r="J798" s="434">
        <f t="shared" si="268"/>
        <v>0</v>
      </c>
      <c r="K798" s="434">
        <f t="shared" si="268"/>
        <v>0</v>
      </c>
      <c r="L798" s="434">
        <f t="shared" si="268"/>
        <v>0</v>
      </c>
      <c r="M798" s="434">
        <f t="shared" si="268"/>
        <v>0</v>
      </c>
      <c r="N798" s="434">
        <f t="shared" si="268"/>
        <v>0</v>
      </c>
      <c r="O798" s="434">
        <f t="shared" si="268"/>
        <v>0</v>
      </c>
      <c r="P798" s="434">
        <f t="shared" si="268"/>
        <v>0</v>
      </c>
      <c r="Q798" s="434">
        <f t="shared" si="268"/>
        <v>0</v>
      </c>
      <c r="R798" s="434">
        <f t="shared" si="268"/>
        <v>0</v>
      </c>
      <c r="S798" s="434">
        <f t="shared" si="268"/>
        <v>0</v>
      </c>
      <c r="T798" s="17"/>
      <c r="U798" s="118">
        <f t="shared" si="269"/>
        <v>0</v>
      </c>
      <c r="V798" s="67"/>
      <c r="W798" s="67"/>
      <c r="X798" s="370">
        <f t="shared" si="255"/>
        <v>0</v>
      </c>
    </row>
    <row r="799" spans="1:24" ht="14.25">
      <c r="A799" s="67"/>
      <c r="B799" s="17">
        <f t="shared" si="261"/>
        <v>21</v>
      </c>
      <c r="C799" s="1" t="s">
        <v>188</v>
      </c>
      <c r="D799" s="31" t="s">
        <v>189</v>
      </c>
      <c r="E799" s="17"/>
      <c r="F799" s="24">
        <f>' WP II-I-1.4'!G799</f>
        <v>1299.9400000000001</v>
      </c>
      <c r="G799" s="17">
        <v>28</v>
      </c>
      <c r="H799" s="1" t="str">
        <f t="shared" si="267"/>
        <v>NCP XHV</v>
      </c>
      <c r="I799" s="17"/>
      <c r="J799" s="435">
        <f t="shared" si="268"/>
        <v>684.188299739684</v>
      </c>
      <c r="K799" s="435">
        <f t="shared" si="268"/>
        <v>16.708025849347809</v>
      </c>
      <c r="L799" s="435">
        <f t="shared" si="268"/>
        <v>440.52991868194567</v>
      </c>
      <c r="M799" s="435">
        <f t="shared" si="268"/>
        <v>0.24904972114827972</v>
      </c>
      <c r="N799" s="435">
        <f t="shared" si="268"/>
        <v>105.41038051075101</v>
      </c>
      <c r="O799" s="435">
        <f t="shared" si="268"/>
        <v>38.120054376811289</v>
      </c>
      <c r="P799" s="435">
        <f t="shared" si="268"/>
        <v>0</v>
      </c>
      <c r="Q799" s="435">
        <f t="shared" si="268"/>
        <v>4.4433761765163586</v>
      </c>
      <c r="R799" s="435">
        <f t="shared" si="268"/>
        <v>4.5689271059180543</v>
      </c>
      <c r="S799" s="435">
        <f t="shared" si="268"/>
        <v>5.7219678378774752</v>
      </c>
      <c r="T799" s="17"/>
      <c r="U799" s="118">
        <f t="shared" si="269"/>
        <v>1299.9399999999998</v>
      </c>
      <c r="V799" s="67"/>
      <c r="W799" s="67"/>
      <c r="X799" s="370">
        <f t="shared" si="255"/>
        <v>0</v>
      </c>
    </row>
    <row r="800" spans="1:24" ht="15">
      <c r="A800" s="67"/>
      <c r="B800" s="17">
        <f t="shared" si="261"/>
        <v>22</v>
      </c>
      <c r="C800" s="8"/>
      <c r="D800" s="26" t="s">
        <v>491</v>
      </c>
      <c r="E800" s="20"/>
      <c r="F800" s="22">
        <f>SUM(F794:F799)</f>
        <v>161979.5</v>
      </c>
      <c r="G800" s="20"/>
      <c r="H800" s="20"/>
      <c r="I800" s="1010"/>
      <c r="J800" s="22">
        <f t="shared" si="270" ref="J800:Q800">SUM(J794:J799)</f>
        <v>85253.533776700569</v>
      </c>
      <c r="K800" s="22">
        <f t="shared" si="270"/>
        <v>2081.9096828041552</v>
      </c>
      <c r="L800" s="22">
        <f t="shared" si="270"/>
        <v>54892.391928198391</v>
      </c>
      <c r="M800" s="22">
        <f t="shared" si="270"/>
        <v>31.032931755879329</v>
      </c>
      <c r="N800" s="22">
        <f t="shared" si="270"/>
        <v>13134.699086066428</v>
      </c>
      <c r="O800" s="22">
        <f>SUM(O794:O799)</f>
        <v>4749.963342868673</v>
      </c>
      <c r="P800" s="22">
        <f t="shared" si="270"/>
        <v>0</v>
      </c>
      <c r="Q800" s="22">
        <f t="shared" si="270"/>
        <v>553.66851653463357</v>
      </c>
      <c r="R800" s="22">
        <f>SUM(R794:R799)</f>
        <v>569.31283609478407</v>
      </c>
      <c r="S800" s="22">
        <f>SUM(S794:S799)</f>
        <v>712.98789897647157</v>
      </c>
      <c r="T800" s="1010"/>
      <c r="U800" s="299">
        <f t="shared" si="269"/>
        <v>161979.5</v>
      </c>
      <c r="V800" s="67"/>
      <c r="W800" s="67"/>
      <c r="X800" s="370">
        <f t="shared" si="255"/>
        <v>0</v>
      </c>
    </row>
    <row r="801" spans="1:24" ht="14.25">
      <c r="A801" s="67"/>
      <c r="B801" s="17">
        <f t="shared" si="261"/>
        <v>23</v>
      </c>
      <c r="C801" s="1"/>
      <c r="D801" s="1"/>
      <c r="E801" s="17"/>
      <c r="F801" s="19"/>
      <c r="G801" s="17"/>
      <c r="H801" s="17"/>
      <c r="I801" s="17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7"/>
      <c r="U801" s="1"/>
      <c r="V801" s="67"/>
      <c r="W801" s="67"/>
      <c r="X801" s="370">
        <f t="shared" si="255"/>
        <v>0</v>
      </c>
    </row>
    <row r="802" spans="1:24" ht="15">
      <c r="A802" s="67"/>
      <c r="B802" s="17">
        <f t="shared" si="261"/>
        <v>24</v>
      </c>
      <c r="C802" s="8"/>
      <c r="D802" s="26" t="s">
        <v>663</v>
      </c>
      <c r="E802" s="20"/>
      <c r="F802" s="22">
        <f>SUM(F795:F799)</f>
        <v>76185.779999999999</v>
      </c>
      <c r="G802" s="20"/>
      <c r="H802" s="20"/>
      <c r="I802" s="20"/>
      <c r="J802" s="22">
        <f t="shared" si="271" ref="J802:Q802">SUM(J795:J799)</f>
        <v>40098.32706320416</v>
      </c>
      <c r="K802" s="22">
        <f t="shared" si="271"/>
        <v>979.20979552342806</v>
      </c>
      <c r="L802" s="22">
        <f t="shared" si="271"/>
        <v>25818.203507946982</v>
      </c>
      <c r="M802" s="22">
        <f t="shared" si="271"/>
        <v>14.596094638571152</v>
      </c>
      <c r="N802" s="22">
        <f t="shared" si="271"/>
        <v>6177.8020980263418</v>
      </c>
      <c r="O802" s="22">
        <f>SUM(O795:O799)</f>
        <v>2234.1077867746062</v>
      </c>
      <c r="P802" s="22">
        <f t="shared" si="271"/>
        <v>0</v>
      </c>
      <c r="Q802" s="22">
        <f t="shared" si="271"/>
        <v>260.41361896804193</v>
      </c>
      <c r="R802" s="22">
        <f>SUM(R795:R799)</f>
        <v>267.77180125814238</v>
      </c>
      <c r="S802" s="22">
        <f>SUM(S795:S799)</f>
        <v>335.34823365971425</v>
      </c>
      <c r="T802" s="20"/>
      <c r="U802" s="299">
        <f>SUM(I802:T802)</f>
        <v>76185.779999999984</v>
      </c>
      <c r="V802" s="67"/>
      <c r="W802" s="67"/>
      <c r="X802" s="370">
        <f t="shared" si="255"/>
        <v>0</v>
      </c>
    </row>
    <row r="803" spans="1:24" ht="15" thickBot="1">
      <c r="A803" s="67"/>
      <c r="B803" s="17">
        <f t="shared" si="261"/>
        <v>25</v>
      </c>
      <c r="C803" s="1"/>
      <c r="D803" s="1"/>
      <c r="E803" s="17"/>
      <c r="F803" s="19"/>
      <c r="G803" s="17"/>
      <c r="H803" s="17"/>
      <c r="I803" s="17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7"/>
      <c r="U803" s="1"/>
      <c r="V803" s="67"/>
      <c r="W803" s="67"/>
      <c r="X803" s="370">
        <f t="shared" si="255"/>
        <v>0</v>
      </c>
    </row>
    <row r="804" spans="1:24" ht="15.75" thickBot="1">
      <c r="A804" s="67"/>
      <c r="B804" s="17">
        <f>B801+1</f>
        <v>24</v>
      </c>
      <c r="C804" s="870" t="s">
        <v>664</v>
      </c>
      <c r="D804" s="1017"/>
      <c r="E804" s="1013"/>
      <c r="F804" s="1014">
        <f>+F800+F789</f>
        <v>792291.33000000007</v>
      </c>
      <c r="G804" s="1013"/>
      <c r="H804" s="1013"/>
      <c r="I804" s="1016"/>
      <c r="J804" s="1014">
        <f t="shared" si="272" ref="J804:Q804">+J800+J789</f>
        <v>417001.13695339236</v>
      </c>
      <c r="K804" s="1014">
        <f t="shared" si="272"/>
        <v>10183.257705628072</v>
      </c>
      <c r="L804" s="1014">
        <f t="shared" si="272"/>
        <v>268495.4960823658</v>
      </c>
      <c r="M804" s="1014">
        <f t="shared" si="272"/>
        <v>151.79157099919971</v>
      </c>
      <c r="N804" s="1014">
        <f t="shared" si="272"/>
        <v>64245.834862123644</v>
      </c>
      <c r="O804" s="1014">
        <f>+O800+O789</f>
        <v>23233.525071831114</v>
      </c>
      <c r="P804" s="1014">
        <f t="shared" si="272"/>
        <v>0</v>
      </c>
      <c r="Q804" s="1014">
        <f t="shared" si="272"/>
        <v>2708.1622387052175</v>
      </c>
      <c r="R804" s="1014">
        <f>+R800+R789</f>
        <v>2784.6833957112376</v>
      </c>
      <c r="S804" s="1014">
        <f>+S800+S789</f>
        <v>3487.442119243326</v>
      </c>
      <c r="T804" s="1016"/>
      <c r="U804" s="1015">
        <f>SUM(I804:T804)</f>
        <v>792291.32999999984</v>
      </c>
      <c r="V804" s="67"/>
      <c r="W804" s="67"/>
      <c r="X804" s="370">
        <f t="shared" si="255"/>
        <v>0</v>
      </c>
    </row>
    <row r="805" spans="1:24" ht="14.25">
      <c r="A805" s="67"/>
      <c r="B805" s="17"/>
      <c r="C805" s="1"/>
      <c r="D805" s="1"/>
      <c r="E805" s="17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"/>
      <c r="V805" s="67"/>
      <c r="W805" s="67"/>
      <c r="X805" s="370">
        <f t="shared" si="255"/>
        <v>0</v>
      </c>
    </row>
    <row r="806" spans="1:24" ht="14.25">
      <c r="A806" s="67"/>
      <c r="B806" s="17"/>
      <c r="C806" s="1"/>
      <c r="D806" s="1"/>
      <c r="E806" s="17"/>
      <c r="F806" s="19"/>
      <c r="G806" s="17"/>
      <c r="H806" s="13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34"/>
      <c r="V806" s="134">
        <f>$H$2</f>
        <v>0</v>
      </c>
      <c r="W806" s="134"/>
      <c r="X806" s="370"/>
    </row>
    <row r="807" spans="1:24" ht="15" thickBot="1">
      <c r="A807" s="67"/>
      <c r="B807" s="17"/>
      <c r="C807" s="1"/>
      <c r="D807" s="1"/>
      <c r="E807" s="17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"/>
      <c r="V807" s="67"/>
      <c r="W807" s="67"/>
      <c r="X807" s="370">
        <f t="shared" si="255"/>
        <v>0</v>
      </c>
    </row>
    <row r="808" spans="1:24" ht="15">
      <c r="A808" s="67"/>
      <c r="B808" s="920" t="str">
        <f>+$B$4</f>
        <v>2022 RATE CASE</v>
      </c>
      <c r="C808" s="935"/>
      <c r="D808" s="620"/>
      <c r="F808" s="12"/>
      <c r="U808" s="134"/>
      <c r="X808" s="370">
        <f t="shared" si="255"/>
        <v>0</v>
      </c>
    </row>
    <row r="809" spans="1:24" ht="15">
      <c r="A809" s="67"/>
      <c r="B809" s="917" t="str">
        <f>+$B$5</f>
        <v>ONCOR ELECTRIC DELIVERY COMPANY LLC</v>
      </c>
      <c r="C809" s="8"/>
      <c r="D809" s="621"/>
      <c r="F809" s="12"/>
      <c r="U809" s="134"/>
      <c r="V809" s="67"/>
      <c r="W809" s="67"/>
      <c r="X809" s="370">
        <f t="shared" si="255"/>
        <v>0</v>
      </c>
    </row>
    <row r="810" spans="1:24" ht="15">
      <c r="A810" s="67"/>
      <c r="B810" s="917" t="str">
        <f>+$B$6</f>
        <v>II-I-1-DIST:  CLASS REVENUE REQUIREMENT</v>
      </c>
      <c r="C810" s="85"/>
      <c r="D810" s="621"/>
      <c r="F810" s="12"/>
      <c r="U810" s="12"/>
      <c r="V810" s="67"/>
      <c r="W810" s="67"/>
      <c r="X810" s="370">
        <f t="shared" si="255"/>
        <v>0</v>
      </c>
    </row>
    <row r="811" spans="1:24" ht="15">
      <c r="A811" s="67"/>
      <c r="B811" s="406" t="str">
        <f>+$B$7</f>
        <v>TEST YEAR ENDING 12/31/2021</v>
      </c>
      <c r="C811" s="85"/>
      <c r="D811" s="621"/>
      <c r="F811" s="12"/>
      <c r="U811" s="12"/>
      <c r="V811" s="67"/>
      <c r="W811" s="67"/>
      <c r="X811" s="370">
        <f t="shared" si="273" ref="X811:X874">U811-F811</f>
        <v>0</v>
      </c>
    </row>
    <row r="812" spans="1:24" ht="15">
      <c r="A812" s="67"/>
      <c r="B812" s="406" t="str">
        <f>+$B$8</f>
        <v>SPONSOR:  MATTHEW A. TROXLE</v>
      </c>
      <c r="C812" s="85"/>
      <c r="D812" s="621"/>
      <c r="F812" s="12"/>
      <c r="U812" s="12"/>
      <c r="V812" s="67"/>
      <c r="W812" s="67"/>
      <c r="X812" s="370">
        <f t="shared" si="273"/>
        <v>0</v>
      </c>
    </row>
    <row r="813" spans="1:24" ht="15.75" thickBot="1">
      <c r="A813" s="67"/>
      <c r="B813" s="410"/>
      <c r="C813" s="934"/>
      <c r="D813" s="622"/>
      <c r="F813" s="12"/>
      <c r="U813" s="12"/>
      <c r="V813" s="67"/>
      <c r="W813" s="67"/>
      <c r="X813" s="370">
        <f t="shared" si="273"/>
        <v>0</v>
      </c>
    </row>
    <row r="814" spans="1:24" ht="15" thickBot="1">
      <c r="A814" s="67"/>
      <c r="B814" s="13"/>
      <c r="C814" s="14"/>
      <c r="D814" s="14"/>
      <c r="E814" s="14"/>
      <c r="F814" s="13"/>
      <c r="G814" s="14"/>
      <c r="H814" s="14"/>
      <c r="I814" s="14"/>
      <c r="J814" s="238"/>
      <c r="K814" s="238"/>
      <c r="L814" s="14"/>
      <c r="M814" s="238"/>
      <c r="N814" s="238"/>
      <c r="O814" s="238"/>
      <c r="P814" s="238"/>
      <c r="Q814" s="14"/>
      <c r="R814" s="393" t="str">
        <f>R$10</f>
        <v xml:space="preserve"> </v>
      </c>
      <c r="S814" s="394"/>
      <c r="T814" s="238"/>
      <c r="U814" s="13"/>
      <c r="V814" s="67"/>
      <c r="W814" s="67"/>
      <c r="X814" s="370">
        <f t="shared" si="273"/>
        <v>0</v>
      </c>
    </row>
    <row r="815" spans="1:24" ht="15">
      <c r="A815" s="67"/>
      <c r="B815" s="15" t="s">
        <v>2</v>
      </c>
      <c r="C815" s="15" t="s">
        <v>370</v>
      </c>
      <c r="D815" s="287" t="s">
        <v>665</v>
      </c>
      <c r="E815" s="15" t="s">
        <v>371</v>
      </c>
      <c r="F815" s="287" t="str">
        <f>F$11</f>
        <v>DIST</v>
      </c>
      <c r="G815" s="242" t="s">
        <v>741</v>
      </c>
      <c r="H815" s="242" t="s">
        <v>376</v>
      </c>
      <c r="I815" s="15"/>
      <c r="J815" s="242" t="s">
        <v>730</v>
      </c>
      <c r="K815" s="242" t="s">
        <v>409</v>
      </c>
      <c r="L815" s="15" t="s">
        <v>409</v>
      </c>
      <c r="M815" s="242" t="s">
        <v>410</v>
      </c>
      <c r="N815" s="242" t="s">
        <v>410</v>
      </c>
      <c r="O815" s="242" t="s">
        <v>410</v>
      </c>
      <c r="P815" s="242" t="s">
        <v>411</v>
      </c>
      <c r="Q815" s="15" t="s">
        <v>412</v>
      </c>
      <c r="R815" s="396" t="str">
        <f>R$11</f>
        <v>Wholesale</v>
      </c>
      <c r="S815" s="13" t="str">
        <f>S$11</f>
        <v>Wholesale</v>
      </c>
      <c r="T815" s="242"/>
      <c r="U815" s="15" t="s">
        <v>10</v>
      </c>
      <c r="V815" s="67"/>
      <c r="W815" s="67"/>
      <c r="X815" s="370"/>
    </row>
    <row r="816" spans="1:24" ht="14.25">
      <c r="A816" s="67"/>
      <c r="B816" s="15"/>
      <c r="C816" s="15"/>
      <c r="D816" s="15"/>
      <c r="E816" s="15"/>
      <c r="F816" s="15"/>
      <c r="G816" s="242" t="s">
        <v>742</v>
      </c>
      <c r="H816" s="242" t="s">
        <v>743</v>
      </c>
      <c r="I816" s="15"/>
      <c r="J816" s="242"/>
      <c r="K816" s="242" t="s">
        <v>731</v>
      </c>
      <c r="L816" s="15" t="s">
        <v>732</v>
      </c>
      <c r="M816" s="242" t="s">
        <v>731</v>
      </c>
      <c r="N816" s="242" t="s">
        <v>732</v>
      </c>
      <c r="O816" s="242" t="s">
        <v>414</v>
      </c>
      <c r="P816" s="242"/>
      <c r="Q816" s="15"/>
      <c r="R816" s="235" t="str">
        <f>R$12</f>
        <v>XFMR</v>
      </c>
      <c r="S816" s="15" t="str">
        <f>S$12</f>
        <v>DLS</v>
      </c>
      <c r="T816" s="242"/>
      <c r="U816" s="15"/>
      <c r="V816" s="67"/>
      <c r="W816" s="67"/>
      <c r="X816" s="370">
        <f t="shared" si="273"/>
        <v>0</v>
      </c>
    </row>
    <row r="817" spans="1:24" ht="15" thickBot="1">
      <c r="A817" s="67"/>
      <c r="B817" s="16"/>
      <c r="C817" s="16"/>
      <c r="D817" s="16"/>
      <c r="E817" s="16"/>
      <c r="F817" s="16" t="s">
        <v>13</v>
      </c>
      <c r="G817" s="16" t="s">
        <v>14</v>
      </c>
      <c r="H817" s="16" t="s">
        <v>15</v>
      </c>
      <c r="I817" s="16"/>
      <c r="J817" s="243" t="str">
        <f t="shared" si="274" ref="J817:Q817">J$13</f>
        <v>(d)</v>
      </c>
      <c r="K817" s="243" t="str">
        <f t="shared" si="274"/>
        <v>(e)</v>
      </c>
      <c r="L817" s="16" t="str">
        <f t="shared" si="274"/>
        <v>(f)</v>
      </c>
      <c r="M817" s="243" t="str">
        <f t="shared" si="274"/>
        <v>(g)</v>
      </c>
      <c r="N817" s="243" t="str">
        <f t="shared" si="274"/>
        <v>(h)</v>
      </c>
      <c r="O817" s="243" t="str">
        <f>O$13</f>
        <v>(i)</v>
      </c>
      <c r="P817" s="243" t="str">
        <f t="shared" si="274"/>
        <v>(j)</v>
      </c>
      <c r="Q817" s="243" t="str">
        <f t="shared" si="274"/>
        <v>(k)</v>
      </c>
      <c r="R817" s="243" t="str">
        <f>R$13</f>
        <v>(l)</v>
      </c>
      <c r="S817" s="16" t="str">
        <f>S$13</f>
        <v>(m)</v>
      </c>
      <c r="T817" s="16"/>
      <c r="U817" s="16" t="s">
        <v>734</v>
      </c>
      <c r="V817" s="67"/>
      <c r="W817" s="67"/>
      <c r="X817" s="370"/>
    </row>
    <row r="818" spans="1:24" ht="14.25">
      <c r="A818" s="67"/>
      <c r="B818" s="67"/>
      <c r="C818" s="100"/>
      <c r="D818" s="100"/>
      <c r="E818" s="315"/>
      <c r="F818" s="373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1"/>
      <c r="V818" s="67"/>
      <c r="W818" s="67"/>
      <c r="X818" s="370">
        <f t="shared" si="273"/>
        <v>0</v>
      </c>
    </row>
    <row r="819" spans="1:24" ht="15">
      <c r="A819" s="67"/>
      <c r="B819" s="17">
        <f>B805+1</f>
        <v>1</v>
      </c>
      <c r="C819" s="8" t="s">
        <v>665</v>
      </c>
      <c r="D819" s="8"/>
      <c r="E819" s="20"/>
      <c r="F819" s="22"/>
      <c r="G819" s="20"/>
      <c r="H819" s="1059"/>
      <c r="I819" s="1059"/>
      <c r="J819" s="1059"/>
      <c r="K819" s="1059"/>
      <c r="L819" s="1059"/>
      <c r="M819" s="1059"/>
      <c r="N819" s="1059"/>
      <c r="O819" s="1059"/>
      <c r="P819" s="1059"/>
      <c r="Q819" s="1059"/>
      <c r="R819" s="1059"/>
      <c r="S819" s="1059"/>
      <c r="T819" s="20"/>
      <c r="U819" s="8"/>
      <c r="V819" s="67"/>
      <c r="W819" s="67"/>
      <c r="X819" s="370">
        <f t="shared" si="273"/>
        <v>0</v>
      </c>
    </row>
    <row r="820" spans="1:24" ht="15">
      <c r="A820" s="67"/>
      <c r="B820" s="17">
        <f t="shared" si="275" ref="B820:B851">B819+1</f>
        <v>2</v>
      </c>
      <c r="C820" s="8"/>
      <c r="D820" s="366" t="s">
        <v>660</v>
      </c>
      <c r="E820" s="20" t="s">
        <v>279</v>
      </c>
      <c r="F820" s="22"/>
      <c r="G820" s="20"/>
      <c r="H820" s="1059"/>
      <c r="I820" s="1059"/>
      <c r="J820" s="1059"/>
      <c r="K820" s="1059"/>
      <c r="L820" s="1059"/>
      <c r="M820" s="1059"/>
      <c r="N820" s="1059"/>
      <c r="O820" s="1059"/>
      <c r="P820" s="1059"/>
      <c r="Q820" s="1059"/>
      <c r="R820" s="1059"/>
      <c r="S820" s="1059"/>
      <c r="T820" s="1010"/>
      <c r="U820" s="8"/>
      <c r="V820" s="67"/>
      <c r="W820" s="67"/>
      <c r="X820" s="370">
        <f t="shared" si="273"/>
        <v>0</v>
      </c>
    </row>
    <row r="821" spans="1:24" ht="14.25">
      <c r="A821" s="67"/>
      <c r="B821" s="17">
        <f t="shared" si="275"/>
        <v>3</v>
      </c>
      <c r="C821" s="1" t="s">
        <v>192</v>
      </c>
      <c r="D821" s="1" t="s">
        <v>193</v>
      </c>
      <c r="E821" s="17"/>
      <c r="F821" s="290">
        <f>' WP II-I-1.4'!G821</f>
        <v>9544431.3300000001</v>
      </c>
      <c r="G821" s="17">
        <v>28</v>
      </c>
      <c r="H821" s="1" t="str">
        <f t="shared" si="276" ref="H821:H829">VLOOKUP(G821,FactorTable,2)</f>
        <v>NCP XHV</v>
      </c>
      <c r="I821" s="17"/>
      <c r="J821" s="434">
        <f t="shared" si="277" ref="J821:S829">$F821*HLOOKUP(J$1318,FactorTable,$G821+1)</f>
        <v>5023453.5775919436</v>
      </c>
      <c r="K821" s="434">
        <f t="shared" si="277"/>
        <v>122673.81985242787</v>
      </c>
      <c r="L821" s="434">
        <f t="shared" si="277"/>
        <v>3234462.7887981865</v>
      </c>
      <c r="M821" s="434">
        <f t="shared" si="277"/>
        <v>1828.575135202705</v>
      </c>
      <c r="N821" s="434">
        <f t="shared" si="277"/>
        <v>773945.05765960994</v>
      </c>
      <c r="O821" s="434">
        <f t="shared" si="277"/>
        <v>279885.41109231295</v>
      </c>
      <c r="P821" s="434">
        <f t="shared" si="277"/>
        <v>0</v>
      </c>
      <c r="Q821" s="434">
        <f t="shared" si="277"/>
        <v>32624.197109188379</v>
      </c>
      <c r="R821" s="434">
        <f t="shared" si="277"/>
        <v>33546.018288698331</v>
      </c>
      <c r="S821" s="434">
        <f t="shared" si="277"/>
        <v>42011.8844724296</v>
      </c>
      <c r="T821" s="17"/>
      <c r="U821" s="118">
        <f t="shared" si="278" ref="U821:U830">SUM(I821:T821)</f>
        <v>9544431.3300000001</v>
      </c>
      <c r="V821" s="67"/>
      <c r="W821" s="67"/>
      <c r="X821" s="370">
        <f t="shared" si="273"/>
        <v>0</v>
      </c>
    </row>
    <row r="822" spans="1:24" ht="14.25">
      <c r="A822" s="67"/>
      <c r="B822" s="17">
        <f t="shared" si="275"/>
        <v>4</v>
      </c>
      <c r="C822" s="1" t="s">
        <v>194</v>
      </c>
      <c r="D822" s="1" t="s">
        <v>166</v>
      </c>
      <c r="E822" s="17"/>
      <c r="F822" s="118">
        <f>' WP II-I-1.4'!G822</f>
        <v>2814413.9500000002</v>
      </c>
      <c r="G822" s="17">
        <v>44</v>
      </c>
      <c r="H822" s="1" t="str">
        <f t="shared" si="276"/>
        <v>PLT 362</v>
      </c>
      <c r="I822" s="17"/>
      <c r="J822" s="434">
        <f t="shared" si="277"/>
        <v>1481290.748199262</v>
      </c>
      <c r="K822" s="434">
        <f t="shared" si="277"/>
        <v>36173.43956441457</v>
      </c>
      <c r="L822" s="434">
        <f t="shared" si="277"/>
        <v>953762.1340452896</v>
      </c>
      <c r="M822" s="434">
        <f t="shared" si="277"/>
        <v>539.20104731243646</v>
      </c>
      <c r="N822" s="434">
        <f t="shared" si="277"/>
        <v>228217.02954310647</v>
      </c>
      <c r="O822" s="434">
        <f t="shared" si="277"/>
        <v>82531.203603901929</v>
      </c>
      <c r="P822" s="434">
        <f t="shared" si="277"/>
        <v>0</v>
      </c>
      <c r="Q822" s="434">
        <f t="shared" si="277"/>
        <v>9620.0593075721226</v>
      </c>
      <c r="R822" s="434">
        <f t="shared" si="277"/>
        <v>9891.8813048516877</v>
      </c>
      <c r="S822" s="434">
        <f t="shared" si="277"/>
        <v>12388.253384289821</v>
      </c>
      <c r="T822" s="17"/>
      <c r="U822" s="118">
        <f t="shared" si="278"/>
        <v>2814413.9500000002</v>
      </c>
      <c r="V822" s="67"/>
      <c r="W822" s="67"/>
      <c r="X822" s="370">
        <f t="shared" si="273"/>
        <v>0</v>
      </c>
    </row>
    <row r="823" spans="1:24" ht="14.25">
      <c r="A823" s="67"/>
      <c r="B823" s="17">
        <f t="shared" si="275"/>
        <v>5</v>
      </c>
      <c r="C823" s="1" t="s">
        <v>195</v>
      </c>
      <c r="D823" s="1" t="s">
        <v>168</v>
      </c>
      <c r="E823" s="17"/>
      <c r="F823" s="118">
        <f>' WP II-I-1.4'!G823</f>
        <v>1767468.3000000001</v>
      </c>
      <c r="G823" s="17">
        <v>46</v>
      </c>
      <c r="H823" s="1" t="str">
        <f t="shared" si="276"/>
        <v>PLT 365</v>
      </c>
      <c r="I823" s="17"/>
      <c r="J823" s="434">
        <f t="shared" si="277"/>
        <v>975920.60535788175</v>
      </c>
      <c r="K823" s="434">
        <f t="shared" si="277"/>
        <v>23832.191675061607</v>
      </c>
      <c r="L823" s="434">
        <f t="shared" si="277"/>
        <v>628368.27972930437</v>
      </c>
      <c r="M823" s="434">
        <f t="shared" si="277"/>
        <v>297.40972596114091</v>
      </c>
      <c r="N823" s="434">
        <f t="shared" si="277"/>
        <v>125878.76925385825</v>
      </c>
      <c r="O823" s="434">
        <f t="shared" si="277"/>
        <v>0</v>
      </c>
      <c r="P823" s="434">
        <f t="shared" si="277"/>
        <v>0</v>
      </c>
      <c r="Q823" s="434">
        <f t="shared" si="277"/>
        <v>6337.9955045541064</v>
      </c>
      <c r="R823" s="434">
        <f t="shared" si="277"/>
        <v>0</v>
      </c>
      <c r="S823" s="434">
        <f t="shared" si="277"/>
        <v>6833.0487533788446</v>
      </c>
      <c r="T823" s="17"/>
      <c r="U823" s="118">
        <f t="shared" si="278"/>
        <v>1767468.3000000001</v>
      </c>
      <c r="V823" s="67"/>
      <c r="W823" s="67"/>
      <c r="X823" s="370">
        <f t="shared" si="273"/>
        <v>0</v>
      </c>
    </row>
    <row r="824" spans="1:24" ht="14.25">
      <c r="A824" s="67"/>
      <c r="B824" s="17">
        <f t="shared" si="275"/>
        <v>6</v>
      </c>
      <c r="C824" s="1" t="s">
        <v>196</v>
      </c>
      <c r="D824" s="1" t="s">
        <v>170</v>
      </c>
      <c r="E824" s="17"/>
      <c r="F824" s="118">
        <f>' WP II-I-1.4'!G824</f>
        <v>2316833.3399999999</v>
      </c>
      <c r="G824" s="17">
        <v>48</v>
      </c>
      <c r="H824" s="1" t="str">
        <f t="shared" si="276"/>
        <v>PLT 367</v>
      </c>
      <c r="I824" s="17"/>
      <c r="J824" s="434">
        <f t="shared" si="277"/>
        <v>1283934.244342353</v>
      </c>
      <c r="K824" s="434">
        <f t="shared" si="277"/>
        <v>31353.951173232294</v>
      </c>
      <c r="L824" s="434">
        <f t="shared" si="277"/>
        <v>826689.74092118011</v>
      </c>
      <c r="M824" s="434">
        <f t="shared" si="277"/>
        <v>372.33349547550711</v>
      </c>
      <c r="N824" s="434">
        <f t="shared" si="277"/>
        <v>157590.28058338497</v>
      </c>
      <c r="O824" s="434">
        <f t="shared" si="277"/>
        <v>0</v>
      </c>
      <c r="P824" s="434">
        <f t="shared" si="277"/>
        <v>0</v>
      </c>
      <c r="Q824" s="434">
        <f t="shared" si="277"/>
        <v>8338.3519357097302</v>
      </c>
      <c r="R824" s="434">
        <f t="shared" si="277"/>
        <v>0</v>
      </c>
      <c r="S824" s="434">
        <f t="shared" si="277"/>
        <v>8554.4375486648332</v>
      </c>
      <c r="T824" s="17"/>
      <c r="U824" s="118">
        <f t="shared" si="278"/>
        <v>2316833.3400000003</v>
      </c>
      <c r="V824" s="67"/>
      <c r="W824" s="67"/>
      <c r="X824" s="370">
        <f t="shared" si="273"/>
        <v>0</v>
      </c>
    </row>
    <row r="825" spans="1:24" ht="14.25">
      <c r="A825" s="67"/>
      <c r="B825" s="17">
        <f t="shared" si="275"/>
        <v>7</v>
      </c>
      <c r="C825" s="1" t="s">
        <v>197</v>
      </c>
      <c r="D825" s="1" t="s">
        <v>198</v>
      </c>
      <c r="E825" s="17"/>
      <c r="F825" s="118">
        <f>' WP II-I-1.4'!G825</f>
        <v>0</v>
      </c>
      <c r="G825" s="17">
        <v>33</v>
      </c>
      <c r="H825" s="1" t="str">
        <f t="shared" si="276"/>
        <v>NCP LGT</v>
      </c>
      <c r="I825" s="17"/>
      <c r="J825" s="434">
        <f t="shared" si="277"/>
        <v>0</v>
      </c>
      <c r="K825" s="434">
        <f t="shared" si="277"/>
        <v>0</v>
      </c>
      <c r="L825" s="434">
        <f t="shared" si="277"/>
        <v>0</v>
      </c>
      <c r="M825" s="434">
        <f t="shared" si="277"/>
        <v>0</v>
      </c>
      <c r="N825" s="434">
        <f t="shared" si="277"/>
        <v>0</v>
      </c>
      <c r="O825" s="434">
        <f t="shared" si="277"/>
        <v>0</v>
      </c>
      <c r="P825" s="434">
        <f t="shared" si="277"/>
        <v>0</v>
      </c>
      <c r="Q825" s="434">
        <f t="shared" si="277"/>
        <v>0</v>
      </c>
      <c r="R825" s="434">
        <f t="shared" si="277"/>
        <v>0</v>
      </c>
      <c r="S825" s="434">
        <f t="shared" si="277"/>
        <v>0</v>
      </c>
      <c r="T825" s="17"/>
      <c r="U825" s="118">
        <f t="shared" si="278"/>
        <v>0</v>
      </c>
      <c r="V825" s="67"/>
      <c r="W825" s="67"/>
      <c r="X825" s="370">
        <f t="shared" si="273"/>
        <v>0</v>
      </c>
    </row>
    <row r="826" spans="1:24" ht="14.25">
      <c r="A826" s="67"/>
      <c r="B826" s="17">
        <f t="shared" si="275"/>
        <v>8</v>
      </c>
      <c r="C826" s="1" t="s">
        <v>199</v>
      </c>
      <c r="D826" s="1" t="s">
        <v>200</v>
      </c>
      <c r="E826" s="17"/>
      <c r="F826" s="118">
        <f>' WP II-I-1.4'!G826</f>
        <v>0</v>
      </c>
      <c r="G826" s="17">
        <v>6</v>
      </c>
      <c r="H826" s="1" t="str">
        <f t="shared" si="276"/>
        <v>CUS W ALL</v>
      </c>
      <c r="I826" s="17"/>
      <c r="J826" s="434">
        <f t="shared" si="277"/>
        <v>0</v>
      </c>
      <c r="K826" s="434">
        <f t="shared" si="277"/>
        <v>0</v>
      </c>
      <c r="L826" s="434">
        <f t="shared" si="277"/>
        <v>0</v>
      </c>
      <c r="M826" s="434">
        <f t="shared" si="277"/>
        <v>0</v>
      </c>
      <c r="N826" s="434">
        <f t="shared" si="277"/>
        <v>0</v>
      </c>
      <c r="O826" s="434">
        <f t="shared" si="277"/>
        <v>0</v>
      </c>
      <c r="P826" s="434">
        <f t="shared" si="277"/>
        <v>0</v>
      </c>
      <c r="Q826" s="434">
        <f t="shared" si="277"/>
        <v>0</v>
      </c>
      <c r="R826" s="434">
        <f t="shared" si="277"/>
        <v>0</v>
      </c>
      <c r="S826" s="434">
        <f t="shared" si="277"/>
        <v>0</v>
      </c>
      <c r="T826" s="17"/>
      <c r="U826" s="118">
        <f t="shared" si="278"/>
        <v>0</v>
      </c>
      <c r="V826" s="67"/>
      <c r="W826" s="67"/>
      <c r="X826" s="370">
        <f t="shared" si="273"/>
        <v>0</v>
      </c>
    </row>
    <row r="827" spans="1:24" ht="14.25">
      <c r="A827" s="67"/>
      <c r="B827" s="17">
        <f t="shared" si="275"/>
        <v>9</v>
      </c>
      <c r="C827" s="1" t="s">
        <v>201</v>
      </c>
      <c r="D827" s="1" t="s">
        <v>202</v>
      </c>
      <c r="E827" s="17"/>
      <c r="F827" s="118">
        <f>' WP II-I-1.4'!G827</f>
        <v>1272046.1499999999</v>
      </c>
      <c r="G827" s="17">
        <v>8</v>
      </c>
      <c r="H827" s="1" t="str">
        <f t="shared" si="276"/>
        <v>CUS W RTL</v>
      </c>
      <c r="I827" s="17"/>
      <c r="J827" s="434">
        <f t="shared" si="277"/>
        <v>709897.08676436986</v>
      </c>
      <c r="K827" s="434">
        <f t="shared" si="277"/>
        <v>109447.84892755581</v>
      </c>
      <c r="L827" s="434">
        <f t="shared" si="277"/>
        <v>337595.6761738077</v>
      </c>
      <c r="M827" s="434">
        <f t="shared" si="277"/>
        <v>4740.3558816262903</v>
      </c>
      <c r="N827" s="434">
        <f t="shared" si="277"/>
        <v>98918.457686746682</v>
      </c>
      <c r="O827" s="434">
        <f t="shared" si="277"/>
        <v>3380.3410419924048</v>
      </c>
      <c r="P827" s="434">
        <f t="shared" si="277"/>
        <v>7358.7424221834654</v>
      </c>
      <c r="Q827" s="434">
        <f t="shared" si="277"/>
        <v>707.64110171768232</v>
      </c>
      <c r="R827" s="434">
        <f t="shared" si="277"/>
        <v>0</v>
      </c>
      <c r="S827" s="434">
        <f t="shared" si="277"/>
        <v>0</v>
      </c>
      <c r="T827" s="17"/>
      <c r="U827" s="118">
        <f t="shared" si="278"/>
        <v>1272046.1499999999</v>
      </c>
      <c r="V827" s="67"/>
      <c r="W827" s="67"/>
      <c r="X827" s="370">
        <f t="shared" si="273"/>
        <v>0</v>
      </c>
    </row>
    <row r="828" spans="1:24" ht="14.25">
      <c r="A828" s="67"/>
      <c r="B828" s="17">
        <f t="shared" si="275"/>
        <v>10</v>
      </c>
      <c r="C828" s="1" t="s">
        <v>203</v>
      </c>
      <c r="D828" s="1" t="s">
        <v>204</v>
      </c>
      <c r="E828" s="17"/>
      <c r="F828" s="118">
        <f>' WP II-I-1.4'!G828</f>
        <v>42023721.539999999</v>
      </c>
      <c r="G828" s="17">
        <v>71</v>
      </c>
      <c r="H828" s="1" t="str">
        <f t="shared" si="276"/>
        <v>DIST OPS</v>
      </c>
      <c r="I828" s="17"/>
      <c r="J828" s="434">
        <f t="shared" si="277"/>
        <v>22859827.320295986</v>
      </c>
      <c r="K828" s="434">
        <f t="shared" si="277"/>
        <v>683943.46951589175</v>
      </c>
      <c r="L828" s="434">
        <f t="shared" si="277"/>
        <v>14555750.734958168</v>
      </c>
      <c r="M828" s="434">
        <f t="shared" si="277"/>
        <v>13523.517493523295</v>
      </c>
      <c r="N828" s="434">
        <f t="shared" si="277"/>
        <v>3120828.3882797989</v>
      </c>
      <c r="O828" s="434">
        <f t="shared" si="277"/>
        <v>423508.82533316402</v>
      </c>
      <c r="P828" s="434">
        <f t="shared" si="277"/>
        <v>10042.179969870736</v>
      </c>
      <c r="Q828" s="434">
        <f t="shared" si="277"/>
        <v>144010.23211952538</v>
      </c>
      <c r="R828" s="434">
        <f t="shared" si="277"/>
        <v>50207.284623176274</v>
      </c>
      <c r="S828" s="434">
        <f t="shared" si="277"/>
        <v>162079.58741090025</v>
      </c>
      <c r="T828" s="17"/>
      <c r="U828" s="118">
        <f t="shared" si="278"/>
        <v>42023721.539999999</v>
      </c>
      <c r="V828" s="67"/>
      <c r="W828" s="67"/>
      <c r="X828" s="370">
        <f t="shared" si="273"/>
        <v>0</v>
      </c>
    </row>
    <row r="829" spans="1:24" ht="14.25">
      <c r="A829" s="67"/>
      <c r="B829" s="17">
        <f t="shared" si="275"/>
        <v>11</v>
      </c>
      <c r="C829" s="1" t="s">
        <v>205</v>
      </c>
      <c r="D829" s="1" t="s">
        <v>206</v>
      </c>
      <c r="E829" s="17"/>
      <c r="F829" s="118">
        <f>' WP II-I-1.4'!G829</f>
        <v>0</v>
      </c>
      <c r="G829" s="17">
        <v>28</v>
      </c>
      <c r="H829" s="1" t="str">
        <f t="shared" si="276"/>
        <v>NCP XHV</v>
      </c>
      <c r="I829" s="17"/>
      <c r="J829" s="435">
        <f t="shared" si="277"/>
        <v>0</v>
      </c>
      <c r="K829" s="435">
        <f t="shared" si="277"/>
        <v>0</v>
      </c>
      <c r="L829" s="435">
        <f t="shared" si="277"/>
        <v>0</v>
      </c>
      <c r="M829" s="435">
        <f t="shared" si="277"/>
        <v>0</v>
      </c>
      <c r="N829" s="435">
        <f t="shared" si="277"/>
        <v>0</v>
      </c>
      <c r="O829" s="435">
        <f t="shared" si="277"/>
        <v>0</v>
      </c>
      <c r="P829" s="435">
        <f t="shared" si="277"/>
        <v>0</v>
      </c>
      <c r="Q829" s="435">
        <f t="shared" si="277"/>
        <v>0</v>
      </c>
      <c r="R829" s="435">
        <f t="shared" si="277"/>
        <v>0</v>
      </c>
      <c r="S829" s="435">
        <f t="shared" si="277"/>
        <v>0</v>
      </c>
      <c r="T829" s="17"/>
      <c r="U829" s="118">
        <f t="shared" si="278"/>
        <v>0</v>
      </c>
      <c r="V829" s="67"/>
      <c r="W829" s="67"/>
      <c r="X829" s="370">
        <f t="shared" si="273"/>
        <v>0</v>
      </c>
    </row>
    <row r="830" spans="1:24" ht="15">
      <c r="A830" s="67"/>
      <c r="B830" s="17">
        <f t="shared" si="275"/>
        <v>12</v>
      </c>
      <c r="C830" s="8"/>
      <c r="D830" s="26" t="s">
        <v>666</v>
      </c>
      <c r="E830" s="20"/>
      <c r="F830" s="22">
        <f>SUM(F821:F829)</f>
        <v>59738914.609999999</v>
      </c>
      <c r="G830" s="20"/>
      <c r="H830" s="1059"/>
      <c r="I830" s="1059"/>
      <c r="J830" s="896">
        <f t="shared" si="279" ref="J830:Q830">SUM(J821:J829)</f>
        <v>32334323.582551792</v>
      </c>
      <c r="K830" s="896">
        <f t="shared" si="279"/>
        <v>1007424.7207085838</v>
      </c>
      <c r="L830" s="896">
        <f t="shared" si="279"/>
        <v>20536629.354625937</v>
      </c>
      <c r="M830" s="896">
        <f t="shared" si="279"/>
        <v>21301.392779101374</v>
      </c>
      <c r="N830" s="896">
        <f t="shared" si="279"/>
        <v>4505377.9830065053</v>
      </c>
      <c r="O830" s="896">
        <f>SUM(O821:O829)</f>
        <v>789305.7810713714</v>
      </c>
      <c r="P830" s="896">
        <f t="shared" si="279"/>
        <v>17400.922392054203</v>
      </c>
      <c r="Q830" s="896">
        <f t="shared" si="279"/>
        <v>201638.4770782674</v>
      </c>
      <c r="R830" s="896">
        <f>SUM(R821:R829)</f>
        <v>93645.184216726295</v>
      </c>
      <c r="S830" s="896">
        <f>SUM(S821:S829)</f>
        <v>231867.21156966334</v>
      </c>
      <c r="T830" s="1010"/>
      <c r="U830" s="299">
        <f t="shared" si="278"/>
        <v>59738914.610000007</v>
      </c>
      <c r="V830" s="67"/>
      <c r="W830" s="67"/>
      <c r="X830" s="370">
        <f t="shared" si="273"/>
        <v>0</v>
      </c>
    </row>
    <row r="831" spans="1:24" ht="15">
      <c r="A831" s="67"/>
      <c r="B831" s="17">
        <f t="shared" si="275"/>
        <v>13</v>
      </c>
      <c r="C831" s="1"/>
      <c r="D831" s="366"/>
      <c r="E831" s="17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"/>
      <c r="V831" s="67"/>
      <c r="W831" s="67"/>
      <c r="X831" s="370">
        <f t="shared" si="273"/>
        <v>0</v>
      </c>
    </row>
    <row r="832" spans="1:24" ht="14.25">
      <c r="A832" s="67"/>
      <c r="B832" s="17">
        <f t="shared" si="275"/>
        <v>14</v>
      </c>
      <c r="C832" s="1" t="s">
        <v>191</v>
      </c>
      <c r="D832" s="31" t="s">
        <v>162</v>
      </c>
      <c r="E832" s="17"/>
      <c r="F832" s="118">
        <f>' WP II-I-1.4'!G832</f>
        <v>5493450.9500000002</v>
      </c>
      <c r="G832" s="17">
        <v>82</v>
      </c>
      <c r="H832" s="1" t="str">
        <f>VLOOKUP(G832,FactorTable,2)</f>
        <v>PAY DISTR OPS</v>
      </c>
      <c r="I832" s="17"/>
      <c r="J832" s="434">
        <f t="shared" si="280" ref="J832:S832">$F832*HLOOKUP(J$1318,FactorTable,$G832+1)</f>
        <v>2973388.816348576</v>
      </c>
      <c r="K832" s="434">
        <f t="shared" si="280"/>
        <v>92640.422497794265</v>
      </c>
      <c r="L832" s="434">
        <f t="shared" si="280"/>
        <v>1888500.431828782</v>
      </c>
      <c r="M832" s="434">
        <f t="shared" si="280"/>
        <v>1958.8262887369119</v>
      </c>
      <c r="N832" s="434">
        <f t="shared" si="280"/>
        <v>414304.02816045022</v>
      </c>
      <c r="O832" s="434">
        <f t="shared" si="280"/>
        <v>72582.714653827832</v>
      </c>
      <c r="P832" s="434">
        <f t="shared" si="280"/>
        <v>1600.1481491514232</v>
      </c>
      <c r="Q832" s="434">
        <f t="shared" si="280"/>
        <v>18542.203029526405</v>
      </c>
      <c r="R832" s="434">
        <f t="shared" si="280"/>
        <v>8611.392248365124</v>
      </c>
      <c r="S832" s="434">
        <f t="shared" si="280"/>
        <v>21321.966794790045</v>
      </c>
      <c r="T832" s="17"/>
      <c r="U832" s="118">
        <f>SUM(I832:T832)</f>
        <v>5493450.9500000002</v>
      </c>
      <c r="V832" s="67"/>
      <c r="W832" s="67"/>
      <c r="X832" s="370">
        <f t="shared" si="273"/>
        <v>0</v>
      </c>
    </row>
    <row r="833" spans="1:24" ht="15">
      <c r="A833" s="67"/>
      <c r="B833" s="17">
        <f t="shared" si="275"/>
        <v>15</v>
      </c>
      <c r="C833" s="1"/>
      <c r="D833" s="366"/>
      <c r="E833" s="17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"/>
      <c r="V833" s="67"/>
      <c r="W833" s="67"/>
      <c r="X833" s="370">
        <f t="shared" si="273"/>
        <v>0</v>
      </c>
    </row>
    <row r="834" spans="1:24" ht="15">
      <c r="A834" s="67"/>
      <c r="B834" s="17">
        <f t="shared" si="275"/>
        <v>16</v>
      </c>
      <c r="C834" s="1"/>
      <c r="D834" s="366" t="s">
        <v>667</v>
      </c>
      <c r="E834" s="20" t="s">
        <v>279</v>
      </c>
      <c r="F834" s="22">
        <f>F830+F832</f>
        <v>65232365.560000002</v>
      </c>
      <c r="G834" s="20"/>
      <c r="H834" s="1059"/>
      <c r="I834" s="1059"/>
      <c r="J834" s="896">
        <f t="shared" si="281" ref="J834:Q834">J830+J832</f>
        <v>35307712.398900367</v>
      </c>
      <c r="K834" s="896">
        <f t="shared" si="281"/>
        <v>1100065.143206378</v>
      </c>
      <c r="L834" s="896">
        <f t="shared" si="281"/>
        <v>22425129.786454719</v>
      </c>
      <c r="M834" s="896">
        <f t="shared" si="281"/>
        <v>23260.219067838287</v>
      </c>
      <c r="N834" s="896">
        <f t="shared" si="281"/>
        <v>4919682.0111669553</v>
      </c>
      <c r="O834" s="896">
        <f>O830+O832</f>
        <v>861888.49572519923</v>
      </c>
      <c r="P834" s="896">
        <f t="shared" si="281"/>
        <v>19001.070541205627</v>
      </c>
      <c r="Q834" s="896">
        <f t="shared" si="281"/>
        <v>220180.6801077938</v>
      </c>
      <c r="R834" s="896">
        <f>R830+R832</f>
        <v>102256.57646509142</v>
      </c>
      <c r="S834" s="896">
        <f>S830+S832</f>
        <v>253189.17836445337</v>
      </c>
      <c r="T834" s="1010"/>
      <c r="U834" s="299">
        <f>SUM(I834:T834)</f>
        <v>65232365.56000001</v>
      </c>
      <c r="V834" s="67"/>
      <c r="W834" s="67"/>
      <c r="X834" s="370">
        <f t="shared" si="273"/>
        <v>0</v>
      </c>
    </row>
    <row r="835" spans="1:24" ht="15">
      <c r="A835" s="67"/>
      <c r="B835" s="17">
        <f t="shared" si="275"/>
        <v>17</v>
      </c>
      <c r="C835" s="1"/>
      <c r="D835" s="366"/>
      <c r="E835" s="17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"/>
      <c r="V835" s="67"/>
      <c r="W835" s="67"/>
      <c r="X835" s="370">
        <f t="shared" si="273"/>
        <v>0</v>
      </c>
    </row>
    <row r="836" spans="1:24" ht="15">
      <c r="A836" s="67"/>
      <c r="B836" s="17">
        <f t="shared" si="275"/>
        <v>18</v>
      </c>
      <c r="C836" s="8"/>
      <c r="D836" s="366" t="s">
        <v>662</v>
      </c>
      <c r="E836" s="20" t="s">
        <v>279</v>
      </c>
      <c r="F836" s="22"/>
      <c r="G836" s="20"/>
      <c r="H836" s="1059"/>
      <c r="I836" s="1059"/>
      <c r="J836" s="1059"/>
      <c r="K836" s="1059"/>
      <c r="L836" s="1059"/>
      <c r="M836" s="1059"/>
      <c r="N836" s="1059"/>
      <c r="O836" s="1059"/>
      <c r="P836" s="1059"/>
      <c r="Q836" s="1059"/>
      <c r="R836" s="1059"/>
      <c r="S836" s="1059"/>
      <c r="T836" s="1010"/>
      <c r="U836" s="8"/>
      <c r="V836" s="67"/>
      <c r="W836" s="67"/>
      <c r="X836" s="370">
        <f t="shared" si="273"/>
        <v>0</v>
      </c>
    </row>
    <row r="837" spans="1:24" ht="14.25">
      <c r="A837" s="67"/>
      <c r="B837" s="17">
        <f t="shared" si="275"/>
        <v>19</v>
      </c>
      <c r="C837" s="1" t="s">
        <v>209</v>
      </c>
      <c r="D837" s="1" t="s">
        <v>181</v>
      </c>
      <c r="E837" s="17"/>
      <c r="F837" s="118">
        <f>' WP II-I-1.4'!G837</f>
        <v>0</v>
      </c>
      <c r="G837" s="17">
        <v>43</v>
      </c>
      <c r="H837" s="1" t="str">
        <f t="shared" si="282" ref="H837:H844">VLOOKUP(G837,FactorTable,2)</f>
        <v>PLT 361</v>
      </c>
      <c r="I837" s="17"/>
      <c r="J837" s="434">
        <f t="shared" si="283" ref="J837:S844">$F837*HLOOKUP(J$1318,FactorTable,$G837+1)</f>
        <v>0</v>
      </c>
      <c r="K837" s="434">
        <f t="shared" si="283"/>
        <v>0</v>
      </c>
      <c r="L837" s="434">
        <f t="shared" si="283"/>
        <v>0</v>
      </c>
      <c r="M837" s="434">
        <f t="shared" si="283"/>
        <v>0</v>
      </c>
      <c r="N837" s="434">
        <f t="shared" si="283"/>
        <v>0</v>
      </c>
      <c r="O837" s="434">
        <f t="shared" si="283"/>
        <v>0</v>
      </c>
      <c r="P837" s="434">
        <f t="shared" si="283"/>
        <v>0</v>
      </c>
      <c r="Q837" s="434">
        <f t="shared" si="283"/>
        <v>0</v>
      </c>
      <c r="R837" s="434">
        <f t="shared" si="283"/>
        <v>0</v>
      </c>
      <c r="S837" s="434">
        <f t="shared" si="283"/>
        <v>0</v>
      </c>
      <c r="T837" s="17"/>
      <c r="U837" s="118">
        <f t="shared" si="284" ref="U837:U845">SUM(I837:T837)</f>
        <v>0</v>
      </c>
      <c r="V837" s="67"/>
      <c r="W837" s="67"/>
      <c r="X837" s="370">
        <f t="shared" si="273"/>
        <v>0</v>
      </c>
    </row>
    <row r="838" spans="1:24" ht="14.25">
      <c r="A838" s="67"/>
      <c r="B838" s="17">
        <f t="shared" si="275"/>
        <v>20</v>
      </c>
      <c r="C838" s="1" t="s">
        <v>210</v>
      </c>
      <c r="D838" s="31" t="s">
        <v>183</v>
      </c>
      <c r="E838" s="17"/>
      <c r="F838" s="118">
        <f>' WP II-I-1.4'!G838</f>
        <v>6147661.1799999997</v>
      </c>
      <c r="G838" s="17">
        <v>44</v>
      </c>
      <c r="H838" s="1" t="str">
        <f t="shared" si="282"/>
        <v>PLT 362</v>
      </c>
      <c r="I838" s="17"/>
      <c r="J838" s="434">
        <f t="shared" si="283"/>
        <v>3235655.3764941921</v>
      </c>
      <c r="K838" s="434">
        <f t="shared" si="283"/>
        <v>79015.402178925215</v>
      </c>
      <c r="L838" s="434">
        <f t="shared" si="283"/>
        <v>2083348.9851143549</v>
      </c>
      <c r="M838" s="434">
        <f t="shared" si="283"/>
        <v>1177.8030544433623</v>
      </c>
      <c r="N838" s="434">
        <f t="shared" si="283"/>
        <v>498505.5496676559</v>
      </c>
      <c r="O838" s="434">
        <f t="shared" si="283"/>
        <v>180276.91929766903</v>
      </c>
      <c r="P838" s="434">
        <f t="shared" si="283"/>
        <v>0</v>
      </c>
      <c r="Q838" s="434">
        <f t="shared" si="283"/>
        <v>21013.563109456165</v>
      </c>
      <c r="R838" s="434">
        <f t="shared" si="283"/>
        <v>21607.317109483647</v>
      </c>
      <c r="S838" s="434">
        <f t="shared" si="283"/>
        <v>27060.263973820249</v>
      </c>
      <c r="T838" s="17"/>
      <c r="U838" s="118">
        <f t="shared" si="284"/>
        <v>6147661.1799999997</v>
      </c>
      <c r="V838" s="67"/>
      <c r="W838" s="67"/>
      <c r="X838" s="370">
        <f t="shared" si="273"/>
        <v>0</v>
      </c>
    </row>
    <row r="839" spans="1:24" ht="14.25">
      <c r="A839" s="67"/>
      <c r="B839" s="17">
        <f t="shared" si="275"/>
        <v>21</v>
      </c>
      <c r="C839" s="1" t="s">
        <v>211</v>
      </c>
      <c r="D839" s="1" t="s">
        <v>185</v>
      </c>
      <c r="E839" s="17"/>
      <c r="F839" s="118">
        <f>' WP II-I-1.4'!G839</f>
        <v>36169907.530000001</v>
      </c>
      <c r="G839" s="17">
        <v>52</v>
      </c>
      <c r="H839" s="1" t="str">
        <f t="shared" si="282"/>
        <v>PLT OH</v>
      </c>
      <c r="I839" s="17"/>
      <c r="J839" s="434">
        <f t="shared" si="283"/>
        <v>19994780.676801343</v>
      </c>
      <c r="K839" s="434">
        <f t="shared" si="283"/>
        <v>488276.85671787022</v>
      </c>
      <c r="L839" s="434">
        <f t="shared" si="283"/>
        <v>12874086.138225349</v>
      </c>
      <c r="M839" s="434">
        <f t="shared" si="283"/>
        <v>5999.0093193032435</v>
      </c>
      <c r="N839" s="434">
        <f t="shared" si="283"/>
        <v>2539082.766765283</v>
      </c>
      <c r="O839" s="434">
        <f t="shared" si="283"/>
        <v>0</v>
      </c>
      <c r="P839" s="434">
        <f t="shared" si="283"/>
        <v>0</v>
      </c>
      <c r="Q839" s="434">
        <f t="shared" si="283"/>
        <v>129853.62676878821</v>
      </c>
      <c r="R839" s="434">
        <f t="shared" si="283"/>
        <v>0</v>
      </c>
      <c r="S839" s="434">
        <f t="shared" si="283"/>
        <v>137828.45540205701</v>
      </c>
      <c r="T839" s="17"/>
      <c r="U839" s="118">
        <f t="shared" si="284"/>
        <v>36169907.529999994</v>
      </c>
      <c r="V839" s="67"/>
      <c r="W839" s="67"/>
      <c r="X839" s="370">
        <f t="shared" si="273"/>
        <v>0</v>
      </c>
    </row>
    <row r="840" spans="1:24" ht="14.25">
      <c r="A840" s="67"/>
      <c r="B840" s="17">
        <f t="shared" si="275"/>
        <v>22</v>
      </c>
      <c r="C840" s="1" t="s">
        <v>212</v>
      </c>
      <c r="D840" s="1" t="s">
        <v>187</v>
      </c>
      <c r="E840" s="17"/>
      <c r="F840" s="118">
        <f>' WP II-I-1.4'!G840</f>
        <v>9233426.6799999997</v>
      </c>
      <c r="G840" s="17">
        <v>53</v>
      </c>
      <c r="H840" s="1" t="str">
        <f t="shared" si="282"/>
        <v>PLT UG</v>
      </c>
      <c r="I840" s="17"/>
      <c r="J840" s="434">
        <f t="shared" si="283"/>
        <v>5146621.9944259329</v>
      </c>
      <c r="K840" s="434">
        <f t="shared" si="283"/>
        <v>125681.61915719313</v>
      </c>
      <c r="L840" s="434">
        <f t="shared" si="283"/>
        <v>3313767.5250421502</v>
      </c>
      <c r="M840" s="434">
        <f t="shared" si="283"/>
        <v>1372.7557486522799</v>
      </c>
      <c r="N840" s="434">
        <f t="shared" si="283"/>
        <v>581019.34483839199</v>
      </c>
      <c r="O840" s="434">
        <f t="shared" si="283"/>
        <v>0</v>
      </c>
      <c r="P840" s="434">
        <f t="shared" si="283"/>
        <v>0</v>
      </c>
      <c r="Q840" s="434">
        <f t="shared" si="283"/>
        <v>33424.099138012331</v>
      </c>
      <c r="R840" s="434">
        <f t="shared" si="283"/>
        <v>0</v>
      </c>
      <c r="S840" s="434">
        <f t="shared" si="283"/>
        <v>31539.341649666483</v>
      </c>
      <c r="T840" s="17"/>
      <c r="U840" s="118">
        <f t="shared" si="284"/>
        <v>9233426.6799999978</v>
      </c>
      <c r="V840" s="67"/>
      <c r="W840" s="67"/>
      <c r="X840" s="370">
        <f t="shared" si="273"/>
        <v>0</v>
      </c>
    </row>
    <row r="841" spans="1:24" ht="14.25">
      <c r="A841" s="67"/>
      <c r="B841" s="17">
        <f t="shared" si="275"/>
        <v>23</v>
      </c>
      <c r="C841" s="1" t="s">
        <v>213</v>
      </c>
      <c r="D841" s="1" t="s">
        <v>214</v>
      </c>
      <c r="E841" s="17"/>
      <c r="F841" s="118">
        <f>' WP II-I-1.4'!G841</f>
        <v>2162694.46</v>
      </c>
      <c r="G841" s="17">
        <v>49</v>
      </c>
      <c r="H841" s="1" t="str">
        <f t="shared" si="282"/>
        <v>PLT 368</v>
      </c>
      <c r="I841" s="17"/>
      <c r="J841" s="434">
        <f t="shared" si="283"/>
        <v>1269340.0938940265</v>
      </c>
      <c r="K841" s="434">
        <f t="shared" si="283"/>
        <v>30997.55887153307</v>
      </c>
      <c r="L841" s="434">
        <f t="shared" si="283"/>
        <v>817292.97118296719</v>
      </c>
      <c r="M841" s="434">
        <f t="shared" si="283"/>
        <v>47.953581119516876</v>
      </c>
      <c r="N841" s="434">
        <f t="shared" si="283"/>
        <v>20296.369774499362</v>
      </c>
      <c r="O841" s="434">
        <f t="shared" si="283"/>
        <v>3484.1881734070116</v>
      </c>
      <c r="P841" s="434">
        <f t="shared" si="283"/>
        <v>11472.407480907012</v>
      </c>
      <c r="Q841" s="434">
        <f t="shared" si="283"/>
        <v>8243.5720330962813</v>
      </c>
      <c r="R841" s="434">
        <f t="shared" si="283"/>
        <v>417.6017596995365</v>
      </c>
      <c r="S841" s="434">
        <f t="shared" si="283"/>
        <v>1101.743248744928</v>
      </c>
      <c r="T841" s="17"/>
      <c r="U841" s="118">
        <f t="shared" si="284"/>
        <v>2162694.4600000004</v>
      </c>
      <c r="V841" s="67"/>
      <c r="W841" s="67"/>
      <c r="X841" s="370">
        <f t="shared" si="273"/>
        <v>0</v>
      </c>
    </row>
    <row r="842" spans="1:24" ht="14.25">
      <c r="A842" s="67"/>
      <c r="B842" s="17">
        <f t="shared" si="275"/>
        <v>24</v>
      </c>
      <c r="C842" s="1" t="s">
        <v>215</v>
      </c>
      <c r="D842" s="1" t="s">
        <v>216</v>
      </c>
      <c r="E842" s="17"/>
      <c r="F842" s="118">
        <f>' WP II-I-1.4'!G842</f>
        <v>260031.48000000001</v>
      </c>
      <c r="G842" s="17">
        <v>33</v>
      </c>
      <c r="H842" s="1" t="str">
        <f t="shared" si="282"/>
        <v>NCP LGT</v>
      </c>
      <c r="I842" s="17"/>
      <c r="J842" s="434">
        <f t="shared" si="283"/>
        <v>0</v>
      </c>
      <c r="K842" s="434">
        <f t="shared" si="283"/>
        <v>0</v>
      </c>
      <c r="L842" s="434">
        <f t="shared" si="283"/>
        <v>0</v>
      </c>
      <c r="M842" s="434">
        <f t="shared" si="283"/>
        <v>0</v>
      </c>
      <c r="N842" s="434">
        <f t="shared" si="283"/>
        <v>0</v>
      </c>
      <c r="O842" s="434">
        <f t="shared" si="283"/>
        <v>0</v>
      </c>
      <c r="P842" s="434">
        <f t="shared" si="283"/>
        <v>0</v>
      </c>
      <c r="Q842" s="434">
        <f t="shared" si="283"/>
        <v>260031.48000000001</v>
      </c>
      <c r="R842" s="434">
        <f t="shared" si="283"/>
        <v>0</v>
      </c>
      <c r="S842" s="434">
        <f t="shared" si="283"/>
        <v>0</v>
      </c>
      <c r="T842" s="17"/>
      <c r="U842" s="118">
        <f t="shared" si="284"/>
        <v>260031.48000000001</v>
      </c>
      <c r="V842" s="67"/>
      <c r="W842" s="67"/>
      <c r="X842" s="370">
        <f t="shared" si="273"/>
        <v>0</v>
      </c>
    </row>
    <row r="843" spans="1:24" ht="14.25">
      <c r="A843" s="67"/>
      <c r="B843" s="17">
        <f t="shared" si="275"/>
        <v>25</v>
      </c>
      <c r="C843" s="1" t="s">
        <v>217</v>
      </c>
      <c r="D843" s="1" t="s">
        <v>218</v>
      </c>
      <c r="E843" s="17"/>
      <c r="F843" s="118">
        <f>' WP II-I-1.4'!G843</f>
        <v>0</v>
      </c>
      <c r="G843" s="17">
        <v>6</v>
      </c>
      <c r="H843" s="1" t="str">
        <f t="shared" si="282"/>
        <v>CUS W ALL</v>
      </c>
      <c r="I843" s="17"/>
      <c r="J843" s="434">
        <f t="shared" si="283"/>
        <v>0</v>
      </c>
      <c r="K843" s="434">
        <f t="shared" si="283"/>
        <v>0</v>
      </c>
      <c r="L843" s="434">
        <f t="shared" si="283"/>
        <v>0</v>
      </c>
      <c r="M843" s="434">
        <f t="shared" si="283"/>
        <v>0</v>
      </c>
      <c r="N843" s="434">
        <f t="shared" si="283"/>
        <v>0</v>
      </c>
      <c r="O843" s="434">
        <f t="shared" si="283"/>
        <v>0</v>
      </c>
      <c r="P843" s="434">
        <f t="shared" si="283"/>
        <v>0</v>
      </c>
      <c r="Q843" s="434">
        <f t="shared" si="283"/>
        <v>0</v>
      </c>
      <c r="R843" s="434">
        <f t="shared" si="283"/>
        <v>0</v>
      </c>
      <c r="S843" s="434">
        <f t="shared" si="283"/>
        <v>0</v>
      </c>
      <c r="T843" s="17"/>
      <c r="U843" s="118">
        <f t="shared" si="284"/>
        <v>0</v>
      </c>
      <c r="V843" s="67"/>
      <c r="W843" s="67"/>
      <c r="X843" s="370">
        <f t="shared" si="273"/>
        <v>0</v>
      </c>
    </row>
    <row r="844" spans="1:24" ht="14.25">
      <c r="A844" s="67"/>
      <c r="B844" s="17">
        <f t="shared" si="275"/>
        <v>26</v>
      </c>
      <c r="C844" s="1" t="s">
        <v>219</v>
      </c>
      <c r="D844" s="1" t="s">
        <v>220</v>
      </c>
      <c r="E844" s="17"/>
      <c r="F844" s="118">
        <f>' WP II-I-1.4'!G844</f>
        <v>87974.259999999995</v>
      </c>
      <c r="G844" s="17">
        <v>72</v>
      </c>
      <c r="H844" s="1" t="str">
        <f t="shared" si="282"/>
        <v>DIST MAINT</v>
      </c>
      <c r="I844" s="17"/>
      <c r="J844" s="435">
        <f t="shared" si="283"/>
        <v>45769.70596963611</v>
      </c>
      <c r="K844" s="435">
        <f t="shared" si="283"/>
        <v>1117.2216430254455</v>
      </c>
      <c r="L844" s="435">
        <f t="shared" si="283"/>
        <v>29470.47591694626</v>
      </c>
      <c r="M844" s="435">
        <f t="shared" si="283"/>
        <v>13.191088689388236</v>
      </c>
      <c r="N844" s="435">
        <f t="shared" si="283"/>
        <v>5593.7571473392827</v>
      </c>
      <c r="O844" s="435">
        <f t="shared" si="283"/>
        <v>151.94815737513122</v>
      </c>
      <c r="P844" s="435">
        <f t="shared" si="283"/>
        <v>14.377718238706271</v>
      </c>
      <c r="Q844" s="435">
        <f t="shared" si="283"/>
        <v>5521.7008481991634</v>
      </c>
      <c r="R844" s="435">
        <f t="shared" si="283"/>
        <v>18.21202188003349</v>
      </c>
      <c r="S844" s="435">
        <f t="shared" si="283"/>
        <v>303.66948867045971</v>
      </c>
      <c r="T844" s="17"/>
      <c r="U844" s="118">
        <f t="shared" si="284"/>
        <v>87974.259999999995</v>
      </c>
      <c r="V844" s="67"/>
      <c r="W844" s="67"/>
      <c r="X844" s="370">
        <f t="shared" si="273"/>
        <v>0</v>
      </c>
    </row>
    <row r="845" spans="1:24" ht="15">
      <c r="A845" s="67"/>
      <c r="B845" s="17">
        <f t="shared" si="275"/>
        <v>27</v>
      </c>
      <c r="C845" s="8"/>
      <c r="D845" s="26" t="s">
        <v>668</v>
      </c>
      <c r="E845" s="20"/>
      <c r="F845" s="22">
        <f>SUM(F837:F844)</f>
        <v>54061695.589999996</v>
      </c>
      <c r="G845" s="20"/>
      <c r="H845" s="1059"/>
      <c r="I845" s="1059"/>
      <c r="J845" s="896">
        <f t="shared" si="285" ref="J845:Q845">SUM(J837:J844)</f>
        <v>29692167.84758513</v>
      </c>
      <c r="K845" s="896">
        <f t="shared" si="285"/>
        <v>725088.65856854699</v>
      </c>
      <c r="L845" s="896">
        <f t="shared" si="285"/>
        <v>19117966.095481765</v>
      </c>
      <c r="M845" s="896">
        <f t="shared" si="285"/>
        <v>8610.7127922077889</v>
      </c>
      <c r="N845" s="896">
        <f t="shared" si="285"/>
        <v>3644497.7881931695</v>
      </c>
      <c r="O845" s="896">
        <f>SUM(O837:O844)</f>
        <v>183913.05562845117</v>
      </c>
      <c r="P845" s="896">
        <f t="shared" si="285"/>
        <v>11486.785199145717</v>
      </c>
      <c r="Q845" s="896">
        <f t="shared" si="285"/>
        <v>458088.04189755215</v>
      </c>
      <c r="R845" s="896">
        <f>SUM(R837:R844)</f>
        <v>22043.130891063218</v>
      </c>
      <c r="S845" s="896">
        <f>SUM(S837:S844)</f>
        <v>197833.47376295913</v>
      </c>
      <c r="T845" s="1010"/>
      <c r="U845" s="299">
        <f t="shared" si="284"/>
        <v>54061695.589999981</v>
      </c>
      <c r="V845" s="67"/>
      <c r="W845" s="67"/>
      <c r="X845" s="370">
        <f t="shared" si="273"/>
        <v>0</v>
      </c>
    </row>
    <row r="846" spans="1:24" ht="15">
      <c r="A846" s="67"/>
      <c r="B846" s="17">
        <f t="shared" si="275"/>
        <v>28</v>
      </c>
      <c r="C846" s="1"/>
      <c r="D846" s="366"/>
      <c r="E846" s="17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"/>
      <c r="V846" s="67"/>
      <c r="W846" s="67"/>
      <c r="X846" s="370">
        <f t="shared" si="273"/>
        <v>0</v>
      </c>
    </row>
    <row r="847" spans="1:24" ht="14.25">
      <c r="A847" s="67"/>
      <c r="B847" s="17">
        <f t="shared" si="275"/>
        <v>29</v>
      </c>
      <c r="C847" s="1" t="s">
        <v>208</v>
      </c>
      <c r="D847" s="31" t="s">
        <v>179</v>
      </c>
      <c r="E847" s="17"/>
      <c r="F847" s="118">
        <f>' WP II-I-1.4'!G847</f>
        <v>1921339.4399999999</v>
      </c>
      <c r="G847" s="17">
        <v>83</v>
      </c>
      <c r="H847" s="1" t="str">
        <f>VLOOKUP(G847,FactorTable,2)</f>
        <v>PAY DISTR MNT</v>
      </c>
      <c r="I847" s="17"/>
      <c r="J847" s="434">
        <f t="shared" si="286" ref="J847:S847">$F847*HLOOKUP(J$1318,FactorTable,$G847+1)</f>
        <v>1055252.3838193812</v>
      </c>
      <c r="K847" s="434">
        <f t="shared" si="286"/>
        <v>25769.473598644185</v>
      </c>
      <c r="L847" s="434">
        <f t="shared" si="286"/>
        <v>679447.83956473635</v>
      </c>
      <c r="M847" s="434">
        <f t="shared" si="286"/>
        <v>306.02262680864902</v>
      </c>
      <c r="N847" s="434">
        <f t="shared" si="286"/>
        <v>129524.56009802902</v>
      </c>
      <c r="O847" s="434">
        <f t="shared" si="286"/>
        <v>6536.2250194612761</v>
      </c>
      <c r="P847" s="434">
        <f t="shared" si="286"/>
        <v>408.23753678212978</v>
      </c>
      <c r="Q847" s="434">
        <f t="shared" si="286"/>
        <v>16280.33697953312</v>
      </c>
      <c r="R847" s="434">
        <f t="shared" si="286"/>
        <v>783.40748102462749</v>
      </c>
      <c r="S847" s="434">
        <f t="shared" si="286"/>
        <v>7030.9532755995961</v>
      </c>
      <c r="T847" s="17"/>
      <c r="U847" s="118">
        <f>SUM(I847:T847)</f>
        <v>1921339.4400000002</v>
      </c>
      <c r="V847" s="67"/>
      <c r="W847" s="67"/>
      <c r="X847" s="370">
        <f t="shared" si="273"/>
        <v>0</v>
      </c>
    </row>
    <row r="848" spans="1:24" ht="15">
      <c r="A848" s="67"/>
      <c r="B848" s="17">
        <f t="shared" si="275"/>
        <v>30</v>
      </c>
      <c r="C848" s="1"/>
      <c r="D848" s="366"/>
      <c r="E848" s="17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"/>
      <c r="V848" s="67"/>
      <c r="W848" s="67"/>
      <c r="X848" s="370">
        <f t="shared" si="273"/>
        <v>0</v>
      </c>
    </row>
    <row r="849" spans="1:24" ht="15">
      <c r="A849" s="67"/>
      <c r="B849" s="17">
        <f t="shared" si="275"/>
        <v>31</v>
      </c>
      <c r="C849" s="1"/>
      <c r="D849" s="366" t="s">
        <v>669</v>
      </c>
      <c r="E849" s="20" t="s">
        <v>279</v>
      </c>
      <c r="F849" s="22">
        <f>F845+F847</f>
        <v>55983035.029999994</v>
      </c>
      <c r="G849" s="20"/>
      <c r="H849" s="20"/>
      <c r="I849" s="1010"/>
      <c r="J849" s="22">
        <f t="shared" si="287" ref="J849:Q849">J845+J847</f>
        <v>30747420.231404513</v>
      </c>
      <c r="K849" s="22">
        <f t="shared" si="287"/>
        <v>750858.13216719113</v>
      </c>
      <c r="L849" s="22">
        <f t="shared" si="287"/>
        <v>19797413.935046501</v>
      </c>
      <c r="M849" s="22">
        <f t="shared" si="287"/>
        <v>8916.7354190164388</v>
      </c>
      <c r="N849" s="22">
        <f t="shared" si="287"/>
        <v>3774022.3482911987</v>
      </c>
      <c r="O849" s="22">
        <f>O845+O847</f>
        <v>190449.28064791244</v>
      </c>
      <c r="P849" s="22">
        <f t="shared" si="287"/>
        <v>11895.022735927847</v>
      </c>
      <c r="Q849" s="22">
        <f t="shared" si="287"/>
        <v>474368.37887708528</v>
      </c>
      <c r="R849" s="22">
        <f>R845+R847</f>
        <v>22826.538372087845</v>
      </c>
      <c r="S849" s="22">
        <f>S845+S847</f>
        <v>204864.42703855873</v>
      </c>
      <c r="T849" s="1010"/>
      <c r="U849" s="299">
        <f>SUM(I849:T849)</f>
        <v>55983035.029999994</v>
      </c>
      <c r="V849" s="67"/>
      <c r="W849" s="67"/>
      <c r="X849" s="370">
        <f t="shared" si="273"/>
        <v>0</v>
      </c>
    </row>
    <row r="850" spans="1:24" ht="15.75" thickBot="1">
      <c r="A850" s="67"/>
      <c r="B850" s="17">
        <f t="shared" si="275"/>
        <v>32</v>
      </c>
      <c r="C850" s="1"/>
      <c r="D850" s="366"/>
      <c r="E850" s="17"/>
      <c r="F850" s="19"/>
      <c r="G850" s="17"/>
      <c r="H850" s="17"/>
      <c r="I850" s="17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7"/>
      <c r="U850" s="1"/>
      <c r="V850" s="67"/>
      <c r="W850" s="67"/>
      <c r="X850" s="370">
        <f t="shared" si="273"/>
        <v>0</v>
      </c>
    </row>
    <row r="851" spans="1:24" ht="15.75" thickBot="1">
      <c r="A851" s="67"/>
      <c r="B851" s="17">
        <f t="shared" si="275"/>
        <v>33</v>
      </c>
      <c r="C851" s="870" t="s">
        <v>670</v>
      </c>
      <c r="D851" s="1017"/>
      <c r="E851" s="1013" t="s">
        <v>279</v>
      </c>
      <c r="F851" s="1014">
        <f>F834+F849</f>
        <v>121215400.59</v>
      </c>
      <c r="G851" s="1013"/>
      <c r="H851" s="1013"/>
      <c r="I851" s="1016"/>
      <c r="J851" s="1014">
        <f t="shared" si="288" ref="J851:Q851">J834+J849</f>
        <v>66055132.63030488</v>
      </c>
      <c r="K851" s="1014">
        <f t="shared" si="288"/>
        <v>1850923.2753735692</v>
      </c>
      <c r="L851" s="1014">
        <f t="shared" si="288"/>
        <v>42222543.721501216</v>
      </c>
      <c r="M851" s="1014">
        <f t="shared" si="288"/>
        <v>32176.954486854724</v>
      </c>
      <c r="N851" s="1014">
        <f t="shared" si="288"/>
        <v>8693704.3594581541</v>
      </c>
      <c r="O851" s="1014">
        <f>O834+O849</f>
        <v>1052337.7763731116</v>
      </c>
      <c r="P851" s="1014">
        <f t="shared" si="288"/>
        <v>30896.093277133474</v>
      </c>
      <c r="Q851" s="1014">
        <f t="shared" si="288"/>
        <v>694549.05898487906</v>
      </c>
      <c r="R851" s="1014">
        <f>R834+R849</f>
        <v>125083.11483717927</v>
      </c>
      <c r="S851" s="1014">
        <f>S834+S849</f>
        <v>458053.60540301213</v>
      </c>
      <c r="T851" s="1016"/>
      <c r="U851" s="1015">
        <f>SUM(I851:T851)</f>
        <v>121215400.58999999</v>
      </c>
      <c r="V851" s="67"/>
      <c r="W851" s="67"/>
      <c r="X851" s="370">
        <f t="shared" si="273"/>
        <v>0</v>
      </c>
    </row>
    <row r="852" spans="1:24" ht="15" thickBot="1">
      <c r="A852" s="67"/>
      <c r="B852" s="17"/>
      <c r="C852" s="1"/>
      <c r="D852" s="1"/>
      <c r="E852" s="17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"/>
      <c r="V852" s="67"/>
      <c r="W852" s="67"/>
      <c r="X852" s="370">
        <f t="shared" si="273"/>
        <v>0</v>
      </c>
    </row>
    <row r="853" spans="1:24" ht="15">
      <c r="A853" s="67"/>
      <c r="B853" s="920" t="str">
        <f>+$B$4</f>
        <v>2022 RATE CASE</v>
      </c>
      <c r="C853" s="935"/>
      <c r="D853" s="620"/>
      <c r="F853" s="12"/>
      <c r="H853" s="134"/>
      <c r="U853" s="134"/>
      <c r="V853" s="134">
        <f>$H$2</f>
        <v>0</v>
      </c>
      <c r="W853" s="134"/>
      <c r="X853" s="370"/>
    </row>
    <row r="854" spans="1:24" ht="15">
      <c r="A854" s="67"/>
      <c r="B854" s="917" t="str">
        <f>+$B$5</f>
        <v>ONCOR ELECTRIC DELIVERY COMPANY LLC</v>
      </c>
      <c r="C854" s="8"/>
      <c r="D854" s="621"/>
      <c r="F854" s="12"/>
      <c r="U854" s="134"/>
      <c r="V854" s="67"/>
      <c r="W854" s="67"/>
      <c r="X854" s="370">
        <f t="shared" si="273"/>
        <v>0</v>
      </c>
    </row>
    <row r="855" spans="1:24" ht="15">
      <c r="A855" s="67"/>
      <c r="B855" s="917" t="str">
        <f>+$B$6</f>
        <v>II-I-1-DIST:  CLASS REVENUE REQUIREMENT</v>
      </c>
      <c r="C855" s="85"/>
      <c r="D855" s="621"/>
      <c r="F855" s="12"/>
      <c r="U855" s="12"/>
      <c r="V855" s="67"/>
      <c r="W855" s="67"/>
      <c r="X855" s="370">
        <f t="shared" si="273"/>
        <v>0</v>
      </c>
    </row>
    <row r="856" spans="1:24" ht="15">
      <c r="A856" s="67"/>
      <c r="B856" s="406" t="str">
        <f>+$B$7</f>
        <v>TEST YEAR ENDING 12/31/2021</v>
      </c>
      <c r="C856" s="85"/>
      <c r="D856" s="621"/>
      <c r="F856" s="12"/>
      <c r="U856" s="12"/>
      <c r="V856" s="67"/>
      <c r="W856" s="67"/>
      <c r="X856" s="370">
        <f t="shared" si="273"/>
        <v>0</v>
      </c>
    </row>
    <row r="857" spans="1:24" ht="15">
      <c r="A857" s="67"/>
      <c r="B857" s="406" t="str">
        <f>+$B$8</f>
        <v>SPONSOR:  MATTHEW A. TROXLE</v>
      </c>
      <c r="C857" s="85"/>
      <c r="D857" s="621"/>
      <c r="F857" s="12"/>
      <c r="U857" s="12"/>
      <c r="V857" s="67"/>
      <c r="W857" s="67"/>
      <c r="X857" s="370">
        <f t="shared" si="273"/>
        <v>0</v>
      </c>
    </row>
    <row r="858" spans="1:24" ht="15.75" thickBot="1">
      <c r="A858" s="67"/>
      <c r="B858" s="410"/>
      <c r="C858" s="934"/>
      <c r="D858" s="622"/>
      <c r="F858" s="12"/>
      <c r="U858" s="12"/>
      <c r="V858" s="67"/>
      <c r="W858" s="67"/>
      <c r="X858" s="370">
        <f t="shared" si="273"/>
        <v>0</v>
      </c>
    </row>
    <row r="859" spans="1:24" ht="15" thickBot="1">
      <c r="A859" s="67"/>
      <c r="B859" s="13"/>
      <c r="C859" s="14"/>
      <c r="D859" s="14"/>
      <c r="E859" s="14"/>
      <c r="F859" s="13"/>
      <c r="G859" s="14"/>
      <c r="H859" s="14"/>
      <c r="I859" s="14"/>
      <c r="J859" s="238"/>
      <c r="K859" s="238"/>
      <c r="L859" s="14"/>
      <c r="M859" s="238"/>
      <c r="N859" s="238"/>
      <c r="O859" s="238"/>
      <c r="P859" s="238"/>
      <c r="Q859" s="14"/>
      <c r="R859" s="393" t="str">
        <f>R$10</f>
        <v xml:space="preserve"> </v>
      </c>
      <c r="S859" s="394"/>
      <c r="T859" s="238"/>
      <c r="U859" s="13"/>
      <c r="V859" s="67"/>
      <c r="W859" s="67"/>
      <c r="X859" s="370">
        <f t="shared" si="273"/>
        <v>0</v>
      </c>
    </row>
    <row r="860" spans="1:24" ht="15">
      <c r="A860" s="67"/>
      <c r="B860" s="15" t="s">
        <v>2</v>
      </c>
      <c r="C860" s="15" t="s">
        <v>370</v>
      </c>
      <c r="D860" s="287" t="s">
        <v>671</v>
      </c>
      <c r="E860" s="15" t="s">
        <v>371</v>
      </c>
      <c r="F860" s="287" t="str">
        <f>F$11</f>
        <v>DIST</v>
      </c>
      <c r="G860" s="242" t="s">
        <v>741</v>
      </c>
      <c r="H860" s="242" t="s">
        <v>376</v>
      </c>
      <c r="I860" s="15"/>
      <c r="J860" s="242" t="s">
        <v>730</v>
      </c>
      <c r="K860" s="242" t="s">
        <v>409</v>
      </c>
      <c r="L860" s="15" t="s">
        <v>409</v>
      </c>
      <c r="M860" s="242" t="s">
        <v>410</v>
      </c>
      <c r="N860" s="242" t="s">
        <v>410</v>
      </c>
      <c r="O860" s="242" t="s">
        <v>410</v>
      </c>
      <c r="P860" s="242" t="s">
        <v>411</v>
      </c>
      <c r="Q860" s="15" t="s">
        <v>412</v>
      </c>
      <c r="R860" s="396" t="str">
        <f>R$11</f>
        <v>Wholesale</v>
      </c>
      <c r="S860" s="13" t="str">
        <f>S$11</f>
        <v>Wholesale</v>
      </c>
      <c r="T860" s="242"/>
      <c r="U860" s="15" t="s">
        <v>10</v>
      </c>
      <c r="V860" s="67"/>
      <c r="W860" s="67"/>
      <c r="X860" s="370"/>
    </row>
    <row r="861" spans="1:24" ht="14.25">
      <c r="A861" s="67"/>
      <c r="B861" s="15"/>
      <c r="C861" s="15"/>
      <c r="D861" s="15"/>
      <c r="E861" s="15"/>
      <c r="F861" s="15"/>
      <c r="G861" s="242" t="s">
        <v>742</v>
      </c>
      <c r="H861" s="242" t="s">
        <v>743</v>
      </c>
      <c r="I861" s="15"/>
      <c r="J861" s="242"/>
      <c r="K861" s="242" t="s">
        <v>731</v>
      </c>
      <c r="L861" s="15" t="s">
        <v>732</v>
      </c>
      <c r="M861" s="242" t="s">
        <v>731</v>
      </c>
      <c r="N861" s="242" t="s">
        <v>732</v>
      </c>
      <c r="O861" s="242" t="s">
        <v>414</v>
      </c>
      <c r="P861" s="242"/>
      <c r="Q861" s="15"/>
      <c r="R861" s="235" t="str">
        <f>R$12</f>
        <v>XFMR</v>
      </c>
      <c r="S861" s="15" t="str">
        <f>S$12</f>
        <v>DLS</v>
      </c>
      <c r="T861" s="242"/>
      <c r="U861" s="15"/>
      <c r="V861" s="67"/>
      <c r="W861" s="67"/>
      <c r="X861" s="370">
        <f t="shared" si="273"/>
        <v>0</v>
      </c>
    </row>
    <row r="862" spans="1:24" ht="15" thickBot="1">
      <c r="A862" s="67"/>
      <c r="B862" s="16"/>
      <c r="C862" s="16"/>
      <c r="D862" s="16"/>
      <c r="E862" s="16"/>
      <c r="F862" s="16" t="s">
        <v>13</v>
      </c>
      <c r="G862" s="16" t="s">
        <v>14</v>
      </c>
      <c r="H862" s="16" t="s">
        <v>15</v>
      </c>
      <c r="I862" s="16"/>
      <c r="J862" s="243" t="str">
        <f t="shared" si="289" ref="J862:Q862">J$13</f>
        <v>(d)</v>
      </c>
      <c r="K862" s="243" t="str">
        <f t="shared" si="289"/>
        <v>(e)</v>
      </c>
      <c r="L862" s="16" t="str">
        <f t="shared" si="289"/>
        <v>(f)</v>
      </c>
      <c r="M862" s="243" t="str">
        <f t="shared" si="289"/>
        <v>(g)</v>
      </c>
      <c r="N862" s="243" t="str">
        <f t="shared" si="289"/>
        <v>(h)</v>
      </c>
      <c r="O862" s="243" t="str">
        <f>O$13</f>
        <v>(i)</v>
      </c>
      <c r="P862" s="243" t="str">
        <f t="shared" si="289"/>
        <v>(j)</v>
      </c>
      <c r="Q862" s="243" t="str">
        <f t="shared" si="289"/>
        <v>(k)</v>
      </c>
      <c r="R862" s="243" t="str">
        <f>R$13</f>
        <v>(l)</v>
      </c>
      <c r="S862" s="16" t="str">
        <f>S$13</f>
        <v>(m)</v>
      </c>
      <c r="T862" s="16"/>
      <c r="U862" s="16" t="s">
        <v>734</v>
      </c>
      <c r="V862" s="67"/>
      <c r="W862" s="67"/>
      <c r="X862" s="370"/>
    </row>
    <row r="863" spans="1:24" ht="14.25">
      <c r="A863" s="67"/>
      <c r="B863" s="67"/>
      <c r="C863" s="100"/>
      <c r="D863" s="100"/>
      <c r="E863" s="315"/>
      <c r="F863" s="373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1"/>
      <c r="V863" s="67"/>
      <c r="W863" s="67"/>
      <c r="X863" s="370">
        <f t="shared" si="273"/>
        <v>0</v>
      </c>
    </row>
    <row r="864" spans="1:24" ht="15">
      <c r="A864" s="67"/>
      <c r="B864" s="17">
        <f t="shared" si="290" ref="B864:B902">B863+1</f>
        <v>1</v>
      </c>
      <c r="C864" s="8"/>
      <c r="D864" s="366" t="s">
        <v>283</v>
      </c>
      <c r="E864" s="20" t="s">
        <v>279</v>
      </c>
      <c r="F864" s="22"/>
      <c r="G864" s="20"/>
      <c r="H864" s="20"/>
      <c r="I864" s="1010"/>
      <c r="J864" s="1059"/>
      <c r="K864" s="1059"/>
      <c r="L864" s="1059"/>
      <c r="M864" s="1059"/>
      <c r="N864" s="1059"/>
      <c r="O864" s="1059"/>
      <c r="P864" s="1059"/>
      <c r="Q864" s="1059"/>
      <c r="R864" s="1059"/>
      <c r="S864" s="1059"/>
      <c r="T864" s="20"/>
      <c r="U864" s="8"/>
      <c r="V864" s="67"/>
      <c r="W864" s="67"/>
      <c r="X864" s="370">
        <f t="shared" si="273"/>
        <v>0</v>
      </c>
    </row>
    <row r="865" spans="1:24" ht="14.25">
      <c r="A865" s="67"/>
      <c r="B865" s="17">
        <f t="shared" si="290"/>
        <v>2</v>
      </c>
      <c r="C865" s="1" t="s">
        <v>224</v>
      </c>
      <c r="D865" s="1" t="s">
        <v>225</v>
      </c>
      <c r="E865" s="17"/>
      <c r="F865" s="118">
        <f>' WP II-I-1.4'!G865</f>
        <v>0</v>
      </c>
      <c r="G865" s="17">
        <v>6</v>
      </c>
      <c r="H865" s="47" t="str">
        <f>VLOOKUP(G865,FactorTable,2)</f>
        <v>CUS W ALL</v>
      </c>
      <c r="I865" s="17"/>
      <c r="J865" s="434">
        <f t="shared" si="291" ref="J865:S866">$F865*HLOOKUP(J$1318,FactorTable,$G865+1)</f>
        <v>0</v>
      </c>
      <c r="K865" s="434">
        <f t="shared" si="291"/>
        <v>0</v>
      </c>
      <c r="L865" s="434">
        <f t="shared" si="291"/>
        <v>0</v>
      </c>
      <c r="M865" s="434">
        <f t="shared" si="291"/>
        <v>0</v>
      </c>
      <c r="N865" s="434">
        <f t="shared" si="291"/>
        <v>0</v>
      </c>
      <c r="O865" s="434">
        <f t="shared" si="291"/>
        <v>0</v>
      </c>
      <c r="P865" s="434">
        <f t="shared" si="291"/>
        <v>0</v>
      </c>
      <c r="Q865" s="434">
        <f t="shared" si="291"/>
        <v>0</v>
      </c>
      <c r="R865" s="434">
        <f t="shared" si="291"/>
        <v>0</v>
      </c>
      <c r="S865" s="434">
        <f t="shared" si="291"/>
        <v>0</v>
      </c>
      <c r="T865" s="17"/>
      <c r="U865" s="121">
        <f>SUM(I865:T865)</f>
        <v>0</v>
      </c>
      <c r="V865" s="67"/>
      <c r="W865" s="67"/>
      <c r="X865" s="370">
        <f t="shared" si="273"/>
        <v>0</v>
      </c>
    </row>
    <row r="866" spans="1:24" ht="14.25">
      <c r="A866" s="67"/>
      <c r="B866" s="17">
        <f t="shared" si="290"/>
        <v>3</v>
      </c>
      <c r="C866" s="1" t="s">
        <v>226</v>
      </c>
      <c r="D866" s="1" t="s">
        <v>227</v>
      </c>
      <c r="E866" s="17"/>
      <c r="F866" s="118">
        <f>' WP II-I-1.4'!G866</f>
        <v>10733.690000000001</v>
      </c>
      <c r="G866" s="17">
        <v>6</v>
      </c>
      <c r="H866" s="47" t="str">
        <f>VLOOKUP(G866,FactorTable,2)</f>
        <v>CUS W ALL</v>
      </c>
      <c r="I866" s="17"/>
      <c r="J866" s="435">
        <f t="shared" si="291"/>
        <v>5984.0838548690999</v>
      </c>
      <c r="K866" s="435">
        <f t="shared" si="291"/>
        <v>922.59162338967224</v>
      </c>
      <c r="L866" s="435">
        <f t="shared" si="291"/>
        <v>2845.7657777877989</v>
      </c>
      <c r="M866" s="435">
        <f t="shared" si="291"/>
        <v>39.958872386511388</v>
      </c>
      <c r="N866" s="435">
        <f t="shared" si="291"/>
        <v>833.83402556248188</v>
      </c>
      <c r="O866" s="435">
        <f t="shared" si="291"/>
        <v>28.49461510757309</v>
      </c>
      <c r="P866" s="435">
        <f t="shared" si="291"/>
        <v>62.030585195716796</v>
      </c>
      <c r="Q866" s="435">
        <f t="shared" si="291"/>
        <v>5.9650670087002542</v>
      </c>
      <c r="R866" s="435">
        <f t="shared" si="291"/>
        <v>3.2878402047199717</v>
      </c>
      <c r="S866" s="435">
        <f t="shared" si="291"/>
        <v>7.6777384877267671</v>
      </c>
      <c r="T866" s="17"/>
      <c r="U866" s="121">
        <f>SUM(I866:T866)</f>
        <v>10733.690000000001</v>
      </c>
      <c r="V866" s="67"/>
      <c r="W866" s="67"/>
      <c r="X866" s="370">
        <f t="shared" si="273"/>
        <v>0</v>
      </c>
    </row>
    <row r="867" spans="1:24" ht="15">
      <c r="A867" s="67"/>
      <c r="B867" s="17">
        <f t="shared" si="290"/>
        <v>4</v>
      </c>
      <c r="C867" s="8"/>
      <c r="D867" s="26" t="s">
        <v>649</v>
      </c>
      <c r="E867" s="20"/>
      <c r="F867" s="22">
        <f>+F865+F866</f>
        <v>10733.690000000001</v>
      </c>
      <c r="G867" s="20"/>
      <c r="H867" s="20"/>
      <c r="I867" s="1010"/>
      <c r="J867" s="896">
        <f t="shared" si="292" ref="J867:Q867">+J865+J866</f>
        <v>5984.0838548690999</v>
      </c>
      <c r="K867" s="896">
        <f t="shared" si="292"/>
        <v>922.59162338967224</v>
      </c>
      <c r="L867" s="896">
        <f t="shared" si="292"/>
        <v>2845.7657777877989</v>
      </c>
      <c r="M867" s="896">
        <f t="shared" si="292"/>
        <v>39.958872386511388</v>
      </c>
      <c r="N867" s="896">
        <f t="shared" si="292"/>
        <v>833.83402556248188</v>
      </c>
      <c r="O867" s="896">
        <f>+O865+O866</f>
        <v>28.49461510757309</v>
      </c>
      <c r="P867" s="896">
        <f t="shared" si="292"/>
        <v>62.030585195716796</v>
      </c>
      <c r="Q867" s="896">
        <f t="shared" si="292"/>
        <v>5.9650670087002542</v>
      </c>
      <c r="R867" s="896">
        <f>+R865+R866</f>
        <v>3.2878402047199717</v>
      </c>
      <c r="S867" s="896">
        <f>+S865+S866</f>
        <v>7.6777384877267671</v>
      </c>
      <c r="T867" s="20"/>
      <c r="U867" s="299">
        <f>SUM(I867:T867)</f>
        <v>10733.690000000001</v>
      </c>
      <c r="V867" s="67"/>
      <c r="W867" s="67"/>
      <c r="X867" s="370">
        <f t="shared" si="273"/>
        <v>0</v>
      </c>
    </row>
    <row r="868" spans="1:24" ht="15">
      <c r="A868" s="67"/>
      <c r="B868" s="17">
        <f t="shared" si="290"/>
        <v>5</v>
      </c>
      <c r="C868" s="1"/>
      <c r="D868" s="26"/>
      <c r="E868" s="17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"/>
      <c r="V868" s="67"/>
      <c r="W868" s="67"/>
      <c r="X868" s="370">
        <f t="shared" si="273"/>
        <v>0</v>
      </c>
    </row>
    <row r="869" spans="1:24" ht="14.25">
      <c r="A869" s="67"/>
      <c r="B869" s="17">
        <f t="shared" si="290"/>
        <v>6</v>
      </c>
      <c r="C869" s="1" t="s">
        <v>222</v>
      </c>
      <c r="D869" s="1" t="s">
        <v>223</v>
      </c>
      <c r="E869" s="17"/>
      <c r="F869" s="118">
        <f>' WP II-I-1.4'!G869</f>
        <v>114.29000000000001</v>
      </c>
      <c r="G869" s="17">
        <v>6</v>
      </c>
      <c r="H869" s="47" t="str">
        <f>VLOOKUP(G869,FactorTable,2)</f>
        <v>CUS W ALL</v>
      </c>
      <c r="I869" s="17"/>
      <c r="J869" s="434">
        <f t="shared" si="293" ref="J869:S871">$F869*HLOOKUP(J$1318,FactorTable,$G869+1)</f>
        <v>63.717225276022454</v>
      </c>
      <c r="K869" s="434">
        <f t="shared" si="293"/>
        <v>9.8235552393636887</v>
      </c>
      <c r="L869" s="434">
        <f t="shared" si="293"/>
        <v>30.301095964516168</v>
      </c>
      <c r="M869" s="434">
        <f t="shared" si="293"/>
        <v>0.42547339498852554</v>
      </c>
      <c r="N869" s="434">
        <f t="shared" si="293"/>
        <v>8.8784836138863756</v>
      </c>
      <c r="O869" s="434">
        <f t="shared" si="293"/>
        <v>0.30340447326544073</v>
      </c>
      <c r="P869" s="434">
        <f t="shared" si="293"/>
        <v>0.66048819949322857</v>
      </c>
      <c r="Q869" s="434">
        <f t="shared" si="293"/>
        <v>0.063514738028054851</v>
      </c>
      <c r="R869" s="434">
        <f t="shared" si="293"/>
        <v>0.035008208453704698</v>
      </c>
      <c r="S869" s="434">
        <f t="shared" si="293"/>
        <v>0.081750891982374396</v>
      </c>
      <c r="T869" s="17"/>
      <c r="U869" s="118">
        <f>SUM(I869:T869)</f>
        <v>114.29000000000004</v>
      </c>
      <c r="V869" s="67"/>
      <c r="W869" s="67"/>
      <c r="X869" s="370">
        <f t="shared" si="273"/>
        <v>0</v>
      </c>
    </row>
    <row r="870" spans="1:24" ht="14.25">
      <c r="A870" s="67"/>
      <c r="B870" s="17">
        <f t="shared" si="290"/>
        <v>7</v>
      </c>
      <c r="C870" s="1" t="s">
        <v>228</v>
      </c>
      <c r="D870" s="1" t="s">
        <v>229</v>
      </c>
      <c r="E870" s="17"/>
      <c r="F870" s="118">
        <f>' WP II-I-1.4'!G870</f>
        <v>0</v>
      </c>
      <c r="G870" s="17">
        <v>14</v>
      </c>
      <c r="H870" s="47" t="str">
        <f>VLOOKUP(G870,FactorTable,2)</f>
        <v>REVENUE</v>
      </c>
      <c r="I870" s="17"/>
      <c r="J870" s="434">
        <f t="shared" si="293"/>
        <v>0</v>
      </c>
      <c r="K870" s="434">
        <f t="shared" si="293"/>
        <v>0</v>
      </c>
      <c r="L870" s="434">
        <f t="shared" si="293"/>
        <v>0</v>
      </c>
      <c r="M870" s="434">
        <f t="shared" si="293"/>
        <v>0</v>
      </c>
      <c r="N870" s="434">
        <f t="shared" si="293"/>
        <v>0</v>
      </c>
      <c r="O870" s="434">
        <f t="shared" si="293"/>
        <v>0</v>
      </c>
      <c r="P870" s="434">
        <f t="shared" si="293"/>
        <v>0</v>
      </c>
      <c r="Q870" s="434">
        <f t="shared" si="293"/>
        <v>0</v>
      </c>
      <c r="R870" s="434">
        <f t="shared" si="293"/>
        <v>0</v>
      </c>
      <c r="S870" s="434">
        <f t="shared" si="293"/>
        <v>0</v>
      </c>
      <c r="T870" s="17"/>
      <c r="U870" s="118">
        <f>SUM(I870:T870)</f>
        <v>0</v>
      </c>
      <c r="V870" s="67"/>
      <c r="W870" s="67"/>
      <c r="X870" s="370">
        <f t="shared" si="273"/>
        <v>0</v>
      </c>
    </row>
    <row r="871" spans="1:24" ht="14.25">
      <c r="A871" s="67"/>
      <c r="B871" s="17">
        <f t="shared" si="290"/>
        <v>8</v>
      </c>
      <c r="C871" s="1" t="s">
        <v>230</v>
      </c>
      <c r="D871" s="31" t="s">
        <v>231</v>
      </c>
      <c r="E871" s="17"/>
      <c r="F871" s="118">
        <f>' WP II-I-1.4'!G871</f>
        <v>0</v>
      </c>
      <c r="G871" s="17">
        <v>84</v>
      </c>
      <c r="H871" s="47" t="str">
        <f>VLOOKUP(G871,FactorTable,2)</f>
        <v>PAY CUS ACCT</v>
      </c>
      <c r="I871" s="17"/>
      <c r="J871" s="435">
        <f t="shared" si="293"/>
        <v>0</v>
      </c>
      <c r="K871" s="435">
        <f t="shared" si="293"/>
        <v>0</v>
      </c>
      <c r="L871" s="435">
        <f t="shared" si="293"/>
        <v>0</v>
      </c>
      <c r="M871" s="435">
        <f t="shared" si="293"/>
        <v>0</v>
      </c>
      <c r="N871" s="435">
        <f t="shared" si="293"/>
        <v>0</v>
      </c>
      <c r="O871" s="435">
        <f t="shared" si="293"/>
        <v>0</v>
      </c>
      <c r="P871" s="435">
        <f t="shared" si="293"/>
        <v>0</v>
      </c>
      <c r="Q871" s="435">
        <f t="shared" si="293"/>
        <v>0</v>
      </c>
      <c r="R871" s="435">
        <f t="shared" si="293"/>
        <v>0</v>
      </c>
      <c r="S871" s="435">
        <f t="shared" si="293"/>
        <v>0</v>
      </c>
      <c r="T871" s="17"/>
      <c r="U871" s="118">
        <f>SUM(I871:T871)</f>
        <v>0</v>
      </c>
      <c r="V871" s="67"/>
      <c r="W871" s="67"/>
      <c r="X871" s="370">
        <f t="shared" si="273"/>
        <v>0</v>
      </c>
    </row>
    <row r="872" spans="1:24" ht="15">
      <c r="A872" s="67"/>
      <c r="B872" s="17">
        <f t="shared" si="290"/>
        <v>9</v>
      </c>
      <c r="C872" s="8"/>
      <c r="D872" s="26" t="s">
        <v>672</v>
      </c>
      <c r="E872" s="20"/>
      <c r="F872" s="22">
        <f>SUM(F869:F871)</f>
        <v>114.29000000000001</v>
      </c>
      <c r="G872" s="20"/>
      <c r="H872" s="20"/>
      <c r="I872" s="1010"/>
      <c r="J872" s="896">
        <f t="shared" si="294" ref="J872:Q872">SUM(J869:J871)</f>
        <v>63.717225276022454</v>
      </c>
      <c r="K872" s="896">
        <f t="shared" si="294"/>
        <v>9.8235552393636887</v>
      </c>
      <c r="L872" s="896">
        <f t="shared" si="294"/>
        <v>30.301095964516168</v>
      </c>
      <c r="M872" s="896">
        <f t="shared" si="294"/>
        <v>0.42547339498852554</v>
      </c>
      <c r="N872" s="896">
        <f t="shared" si="294"/>
        <v>8.8784836138863756</v>
      </c>
      <c r="O872" s="896">
        <f>SUM(O869:O871)</f>
        <v>0.30340447326544073</v>
      </c>
      <c r="P872" s="896">
        <f t="shared" si="294"/>
        <v>0.66048819949322857</v>
      </c>
      <c r="Q872" s="896">
        <f t="shared" si="294"/>
        <v>0.063514738028054851</v>
      </c>
      <c r="R872" s="896">
        <f>SUM(R869:R871)</f>
        <v>0.035008208453704698</v>
      </c>
      <c r="S872" s="896">
        <f>SUM(S869:S871)</f>
        <v>0.081750891982374396</v>
      </c>
      <c r="T872" s="20"/>
      <c r="U872" s="299">
        <f>SUM(I872:T872)</f>
        <v>114.29000000000004</v>
      </c>
      <c r="V872" s="67"/>
      <c r="W872" s="67"/>
      <c r="X872" s="370">
        <f t="shared" si="273"/>
        <v>0</v>
      </c>
    </row>
    <row r="873" spans="1:24" ht="15">
      <c r="A873" s="67"/>
      <c r="B873" s="17">
        <f t="shared" si="290"/>
        <v>10</v>
      </c>
      <c r="C873" s="1"/>
      <c r="D873" s="26"/>
      <c r="E873" s="17"/>
      <c r="F873" s="19"/>
      <c r="G873" s="17"/>
      <c r="H873" s="17"/>
      <c r="I873" s="17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7"/>
      <c r="U873" s="1"/>
      <c r="V873" s="67"/>
      <c r="W873" s="67"/>
      <c r="X873" s="370">
        <f t="shared" si="273"/>
        <v>0</v>
      </c>
    </row>
    <row r="874" spans="1:24" ht="15">
      <c r="A874" s="67"/>
      <c r="B874" s="17">
        <f t="shared" si="290"/>
        <v>11</v>
      </c>
      <c r="C874" s="8"/>
      <c r="D874" s="297" t="s">
        <v>673</v>
      </c>
      <c r="E874" s="20"/>
      <c r="F874" s="22">
        <f>+F867+F872</f>
        <v>10847.980000000001</v>
      </c>
      <c r="G874" s="20"/>
      <c r="H874" s="20"/>
      <c r="I874" s="1010"/>
      <c r="J874" s="896">
        <f t="shared" si="295" ref="J874:Q874">+J867+J872</f>
        <v>6047.8010801451228</v>
      </c>
      <c r="K874" s="896">
        <f t="shared" si="295"/>
        <v>932.41517862903595</v>
      </c>
      <c r="L874" s="896">
        <f t="shared" si="295"/>
        <v>2876.0668737523151</v>
      </c>
      <c r="M874" s="896">
        <f t="shared" si="295"/>
        <v>40.38434578149991</v>
      </c>
      <c r="N874" s="896">
        <f t="shared" si="295"/>
        <v>842.71250917636826</v>
      </c>
      <c r="O874" s="896">
        <f>+O867+O872</f>
        <v>28.798019580838531</v>
      </c>
      <c r="P874" s="896">
        <f t="shared" si="295"/>
        <v>62.691073395210026</v>
      </c>
      <c r="Q874" s="896">
        <f t="shared" si="295"/>
        <v>6.0285817467283094</v>
      </c>
      <c r="R874" s="896">
        <f>+R867+R872</f>
        <v>3.3228484131736766</v>
      </c>
      <c r="S874" s="896">
        <f>+S867+S872</f>
        <v>7.7594893797091418</v>
      </c>
      <c r="T874" s="20"/>
      <c r="U874" s="299">
        <f>SUM(I874:T874)</f>
        <v>10847.980000000001</v>
      </c>
      <c r="V874" s="67"/>
      <c r="W874" s="67"/>
      <c r="X874" s="370">
        <f t="shared" si="273"/>
        <v>0</v>
      </c>
    </row>
    <row r="875" spans="1:24" ht="14.25">
      <c r="A875" s="67"/>
      <c r="B875" s="17">
        <f t="shared" si="290"/>
        <v>12</v>
      </c>
      <c r="C875" s="1"/>
      <c r="D875" s="1"/>
      <c r="E875" s="17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"/>
      <c r="V875" s="67"/>
      <c r="W875" s="67"/>
      <c r="X875" s="370">
        <f t="shared" si="296" ref="X875:X938">U875-F875</f>
        <v>0</v>
      </c>
    </row>
    <row r="876" spans="1:24" ht="15">
      <c r="A876" s="67"/>
      <c r="B876" s="17">
        <f t="shared" si="290"/>
        <v>13</v>
      </c>
      <c r="C876" s="8"/>
      <c r="D876" s="366" t="s">
        <v>674</v>
      </c>
      <c r="E876" s="20" t="s">
        <v>279</v>
      </c>
      <c r="F876" s="22"/>
      <c r="G876" s="20"/>
      <c r="H876" s="20"/>
      <c r="I876" s="1010"/>
      <c r="J876" s="1059"/>
      <c r="K876" s="1059"/>
      <c r="L876" s="1059"/>
      <c r="M876" s="1059"/>
      <c r="N876" s="1059"/>
      <c r="O876" s="1059"/>
      <c r="P876" s="1059"/>
      <c r="Q876" s="1059"/>
      <c r="R876" s="1059"/>
      <c r="S876" s="1059"/>
      <c r="T876" s="1010"/>
      <c r="U876" s="8"/>
      <c r="V876" s="67"/>
      <c r="W876" s="67"/>
      <c r="X876" s="370">
        <f t="shared" si="296"/>
        <v>0</v>
      </c>
    </row>
    <row r="877" spans="1:24" ht="14.25">
      <c r="A877" s="67"/>
      <c r="B877" s="17">
        <f t="shared" si="290"/>
        <v>14</v>
      </c>
      <c r="C877" s="1" t="s">
        <v>233</v>
      </c>
      <c r="D877" s="1" t="s">
        <v>234</v>
      </c>
      <c r="E877" s="17"/>
      <c r="F877" s="118">
        <f>' WP II-I-1.4'!G877</f>
        <v>0</v>
      </c>
      <c r="G877" s="17">
        <v>9</v>
      </c>
      <c r="H877" s="47" t="str">
        <f>VLOOKUP(G877,FactorTable,2)</f>
        <v>CUS U ALL</v>
      </c>
      <c r="I877" s="17"/>
      <c r="J877" s="434">
        <f t="shared" si="297" ref="J877:S879">$F877*HLOOKUP(J$1318,FactorTable,$G877+1)</f>
        <v>0</v>
      </c>
      <c r="K877" s="434">
        <f t="shared" si="297"/>
        <v>0</v>
      </c>
      <c r="L877" s="434">
        <f t="shared" si="297"/>
        <v>0</v>
      </c>
      <c r="M877" s="434">
        <f t="shared" si="297"/>
        <v>0</v>
      </c>
      <c r="N877" s="434">
        <f t="shared" si="297"/>
        <v>0</v>
      </c>
      <c r="O877" s="434">
        <f t="shared" si="297"/>
        <v>0</v>
      </c>
      <c r="P877" s="434">
        <f t="shared" si="297"/>
        <v>0</v>
      </c>
      <c r="Q877" s="434">
        <f t="shared" si="297"/>
        <v>0</v>
      </c>
      <c r="R877" s="434">
        <f t="shared" si="297"/>
        <v>0</v>
      </c>
      <c r="S877" s="434">
        <f t="shared" si="297"/>
        <v>0</v>
      </c>
      <c r="T877" s="17"/>
      <c r="U877" s="118">
        <f>SUM(I877:T877)</f>
        <v>0</v>
      </c>
      <c r="V877" s="67"/>
      <c r="W877" s="67"/>
      <c r="X877" s="370">
        <f t="shared" si="296"/>
        <v>0</v>
      </c>
    </row>
    <row r="878" spans="1:24" ht="14.25">
      <c r="A878" s="67"/>
      <c r="B878" s="17">
        <f t="shared" si="290"/>
        <v>15</v>
      </c>
      <c r="C878" s="1" t="s">
        <v>236</v>
      </c>
      <c r="D878" s="31" t="s">
        <v>237</v>
      </c>
      <c r="E878" s="17"/>
      <c r="F878" s="118">
        <f>' WP II-I-1.4'!G878</f>
        <v>0</v>
      </c>
      <c r="G878" s="17">
        <v>9</v>
      </c>
      <c r="H878" s="47" t="str">
        <f>VLOOKUP(G878,FactorTable,2)</f>
        <v>CUS U ALL</v>
      </c>
      <c r="I878" s="17"/>
      <c r="J878" s="434">
        <f t="shared" si="297"/>
        <v>0</v>
      </c>
      <c r="K878" s="434">
        <f t="shared" si="297"/>
        <v>0</v>
      </c>
      <c r="L878" s="434">
        <f t="shared" si="297"/>
        <v>0</v>
      </c>
      <c r="M878" s="434">
        <f t="shared" si="297"/>
        <v>0</v>
      </c>
      <c r="N878" s="434">
        <f t="shared" si="297"/>
        <v>0</v>
      </c>
      <c r="O878" s="434">
        <f t="shared" si="297"/>
        <v>0</v>
      </c>
      <c r="P878" s="434">
        <f t="shared" si="297"/>
        <v>0</v>
      </c>
      <c r="Q878" s="434">
        <f t="shared" si="297"/>
        <v>0</v>
      </c>
      <c r="R878" s="434">
        <f t="shared" si="297"/>
        <v>0</v>
      </c>
      <c r="S878" s="434">
        <f t="shared" si="297"/>
        <v>0</v>
      </c>
      <c r="T878" s="17"/>
      <c r="U878" s="118">
        <f>SUM(I878:T878)</f>
        <v>0</v>
      </c>
      <c r="V878" s="67"/>
      <c r="W878" s="67"/>
      <c r="X878" s="370">
        <f t="shared" si="296"/>
        <v>0</v>
      </c>
    </row>
    <row r="879" spans="1:24" ht="14.25">
      <c r="A879" s="67"/>
      <c r="B879" s="17">
        <f t="shared" si="290"/>
        <v>16</v>
      </c>
      <c r="C879" s="1" t="s">
        <v>238</v>
      </c>
      <c r="D879" s="1" t="s">
        <v>239</v>
      </c>
      <c r="E879" s="17"/>
      <c r="F879" s="118">
        <f>' WP II-I-1.4'!G879</f>
        <v>0</v>
      </c>
      <c r="G879" s="17">
        <v>9</v>
      </c>
      <c r="H879" s="47" t="str">
        <f>VLOOKUP(G879,FactorTable,2)</f>
        <v>CUS U ALL</v>
      </c>
      <c r="I879" s="17"/>
      <c r="J879" s="435">
        <f t="shared" si="297"/>
        <v>0</v>
      </c>
      <c r="K879" s="435">
        <f t="shared" si="297"/>
        <v>0</v>
      </c>
      <c r="L879" s="435">
        <f t="shared" si="297"/>
        <v>0</v>
      </c>
      <c r="M879" s="435">
        <f t="shared" si="297"/>
        <v>0</v>
      </c>
      <c r="N879" s="435">
        <f t="shared" si="297"/>
        <v>0</v>
      </c>
      <c r="O879" s="435">
        <f t="shared" si="297"/>
        <v>0</v>
      </c>
      <c r="P879" s="435">
        <f t="shared" si="297"/>
        <v>0</v>
      </c>
      <c r="Q879" s="435">
        <f t="shared" si="297"/>
        <v>0</v>
      </c>
      <c r="R879" s="435">
        <f t="shared" si="297"/>
        <v>0</v>
      </c>
      <c r="S879" s="435">
        <f t="shared" si="297"/>
        <v>0</v>
      </c>
      <c r="T879" s="17"/>
      <c r="U879" s="118">
        <f>SUM(I879:T879)</f>
        <v>0</v>
      </c>
      <c r="V879" s="67"/>
      <c r="W879" s="67"/>
      <c r="X879" s="370">
        <f t="shared" si="296"/>
        <v>0</v>
      </c>
    </row>
    <row r="880" spans="1:24" ht="15">
      <c r="A880" s="67"/>
      <c r="B880" s="17">
        <f t="shared" si="290"/>
        <v>17</v>
      </c>
      <c r="C880" s="8"/>
      <c r="D880" s="26" t="s">
        <v>675</v>
      </c>
      <c r="E880" s="20"/>
      <c r="F880" s="22">
        <f>SUM(F877:F879)</f>
        <v>0</v>
      </c>
      <c r="G880" s="20"/>
      <c r="H880" s="20"/>
      <c r="I880" s="1010"/>
      <c r="J880" s="896">
        <f t="shared" si="298" ref="J880:Q880">SUM(J877:J879)</f>
        <v>0</v>
      </c>
      <c r="K880" s="896">
        <f t="shared" si="298"/>
        <v>0</v>
      </c>
      <c r="L880" s="896">
        <f t="shared" si="298"/>
        <v>0</v>
      </c>
      <c r="M880" s="896">
        <f t="shared" si="298"/>
        <v>0</v>
      </c>
      <c r="N880" s="896">
        <f t="shared" si="298"/>
        <v>0</v>
      </c>
      <c r="O880" s="896">
        <f>SUM(O877:O879)</f>
        <v>0</v>
      </c>
      <c r="P880" s="896">
        <f t="shared" si="298"/>
        <v>0</v>
      </c>
      <c r="Q880" s="896">
        <f t="shared" si="298"/>
        <v>0</v>
      </c>
      <c r="R880" s="896">
        <f>SUM(R877:R879)</f>
        <v>0</v>
      </c>
      <c r="S880" s="896">
        <f>SUM(S877:S879)</f>
        <v>0</v>
      </c>
      <c r="T880" s="20"/>
      <c r="U880" s="299">
        <f>SUM(I880:T880)</f>
        <v>0</v>
      </c>
      <c r="V880" s="67"/>
      <c r="W880" s="67"/>
      <c r="X880" s="370">
        <f t="shared" si="296"/>
        <v>0</v>
      </c>
    </row>
    <row r="881" spans="1:24" ht="14.25">
      <c r="A881" s="67"/>
      <c r="B881" s="17">
        <f t="shared" si="290"/>
        <v>18</v>
      </c>
      <c r="C881" s="1"/>
      <c r="D881" s="1"/>
      <c r="E881" s="17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"/>
      <c r="V881" s="67"/>
      <c r="W881" s="67"/>
      <c r="X881" s="370">
        <f t="shared" si="296"/>
        <v>0</v>
      </c>
    </row>
    <row r="882" spans="1:24" ht="14.25">
      <c r="A882" s="67"/>
      <c r="B882" s="17">
        <f t="shared" si="290"/>
        <v>19</v>
      </c>
      <c r="C882" s="1" t="s">
        <v>235</v>
      </c>
      <c r="D882" s="1" t="s">
        <v>223</v>
      </c>
      <c r="E882" s="17"/>
      <c r="F882" s="118">
        <f>' WP II-I-1.4'!G882</f>
        <v>0</v>
      </c>
      <c r="G882" s="17">
        <v>85</v>
      </c>
      <c r="H882" s="47" t="str">
        <f>VLOOKUP(G882,FactorTable,2)</f>
        <v>PAY CUS SV INF</v>
      </c>
      <c r="I882" s="17"/>
      <c r="J882" s="434">
        <f t="shared" si="299" ref="J882:S883">$F882*HLOOKUP(J$1318,FactorTable,$G882+1)</f>
        <v>0</v>
      </c>
      <c r="K882" s="434">
        <f t="shared" si="299"/>
        <v>0</v>
      </c>
      <c r="L882" s="434">
        <f t="shared" si="299"/>
        <v>0</v>
      </c>
      <c r="M882" s="434">
        <f t="shared" si="299"/>
        <v>0</v>
      </c>
      <c r="N882" s="434">
        <f t="shared" si="299"/>
        <v>0</v>
      </c>
      <c r="O882" s="434">
        <f t="shared" si="299"/>
        <v>0</v>
      </c>
      <c r="P882" s="434">
        <f t="shared" si="299"/>
        <v>0</v>
      </c>
      <c r="Q882" s="434">
        <f t="shared" si="299"/>
        <v>0</v>
      </c>
      <c r="R882" s="434">
        <f t="shared" si="299"/>
        <v>0</v>
      </c>
      <c r="S882" s="434">
        <f t="shared" si="299"/>
        <v>0</v>
      </c>
      <c r="T882" s="17"/>
      <c r="U882" s="118">
        <f>SUM(I882:T882)</f>
        <v>0</v>
      </c>
      <c r="V882" s="67"/>
      <c r="W882" s="67"/>
      <c r="X882" s="370">
        <f t="shared" si="296"/>
        <v>0</v>
      </c>
    </row>
    <row r="883" spans="1:24" ht="14.25">
      <c r="A883" s="67"/>
      <c r="B883" s="17">
        <f t="shared" si="290"/>
        <v>20</v>
      </c>
      <c r="C883" s="1" t="s">
        <v>240</v>
      </c>
      <c r="D883" s="1" t="s">
        <v>676</v>
      </c>
      <c r="E883" s="17"/>
      <c r="F883" s="118">
        <f>' WP II-I-1.4'!G883</f>
        <v>0</v>
      </c>
      <c r="G883" s="17">
        <v>85</v>
      </c>
      <c r="H883" s="47" t="str">
        <f>VLOOKUP(G883,FactorTable,2)</f>
        <v>PAY CUS SV INF</v>
      </c>
      <c r="I883" s="17"/>
      <c r="J883" s="435">
        <f t="shared" si="299"/>
        <v>0</v>
      </c>
      <c r="K883" s="435">
        <f t="shared" si="299"/>
        <v>0</v>
      </c>
      <c r="L883" s="435">
        <f t="shared" si="299"/>
        <v>0</v>
      </c>
      <c r="M883" s="435">
        <f t="shared" si="299"/>
        <v>0</v>
      </c>
      <c r="N883" s="435">
        <f t="shared" si="299"/>
        <v>0</v>
      </c>
      <c r="O883" s="435">
        <f t="shared" si="299"/>
        <v>0</v>
      </c>
      <c r="P883" s="435">
        <f t="shared" si="299"/>
        <v>0</v>
      </c>
      <c r="Q883" s="435">
        <f t="shared" si="299"/>
        <v>0</v>
      </c>
      <c r="R883" s="435">
        <f t="shared" si="299"/>
        <v>0</v>
      </c>
      <c r="S883" s="435">
        <f t="shared" si="299"/>
        <v>0</v>
      </c>
      <c r="T883" s="17"/>
      <c r="U883" s="118">
        <f>SUM(I883:T883)</f>
        <v>0</v>
      </c>
      <c r="V883" s="67"/>
      <c r="W883" s="67"/>
      <c r="X883" s="370">
        <f t="shared" si="296"/>
        <v>0</v>
      </c>
    </row>
    <row r="884" spans="1:24" ht="15">
      <c r="A884" s="67"/>
      <c r="B884" s="17">
        <f t="shared" si="290"/>
        <v>21</v>
      </c>
      <c r="C884" s="8"/>
      <c r="D884" s="26" t="s">
        <v>677</v>
      </c>
      <c r="E884" s="20"/>
      <c r="F884" s="22">
        <f>SUM(F882:F883)</f>
        <v>0</v>
      </c>
      <c r="G884" s="20"/>
      <c r="H884" s="20"/>
      <c r="I884" s="1010"/>
      <c r="J884" s="896">
        <f t="shared" si="300" ref="J884:Q884">SUM(J882:J883)</f>
        <v>0</v>
      </c>
      <c r="K884" s="896">
        <f t="shared" si="300"/>
        <v>0</v>
      </c>
      <c r="L884" s="896">
        <f t="shared" si="300"/>
        <v>0</v>
      </c>
      <c r="M884" s="896">
        <f t="shared" si="300"/>
        <v>0</v>
      </c>
      <c r="N884" s="896">
        <f t="shared" si="300"/>
        <v>0</v>
      </c>
      <c r="O884" s="896">
        <f>SUM(O882:O883)</f>
        <v>0</v>
      </c>
      <c r="P884" s="896">
        <f t="shared" si="300"/>
        <v>0</v>
      </c>
      <c r="Q884" s="896">
        <f t="shared" si="300"/>
        <v>0</v>
      </c>
      <c r="R884" s="896">
        <f>SUM(R882:R883)</f>
        <v>0</v>
      </c>
      <c r="S884" s="896">
        <f>SUM(S882:S883)</f>
        <v>0</v>
      </c>
      <c r="T884" s="20"/>
      <c r="U884" s="299">
        <f>SUM(I884:T884)</f>
        <v>0</v>
      </c>
      <c r="V884" s="67"/>
      <c r="W884" s="67"/>
      <c r="X884" s="370">
        <f t="shared" si="296"/>
        <v>0</v>
      </c>
    </row>
    <row r="885" spans="1:24" ht="14.25">
      <c r="A885" s="67"/>
      <c r="B885" s="17">
        <f t="shared" si="290"/>
        <v>22</v>
      </c>
      <c r="C885" s="1"/>
      <c r="D885" s="1"/>
      <c r="E885" s="17"/>
      <c r="F885" s="19"/>
      <c r="G885" s="17"/>
      <c r="H885" s="17"/>
      <c r="I885" s="17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7"/>
      <c r="U885" s="1"/>
      <c r="V885" s="67"/>
      <c r="W885" s="67"/>
      <c r="X885" s="370">
        <f t="shared" si="296"/>
        <v>0</v>
      </c>
    </row>
    <row r="886" spans="1:24" ht="15">
      <c r="A886" s="67"/>
      <c r="B886" s="17">
        <f t="shared" si="290"/>
        <v>23</v>
      </c>
      <c r="C886" s="8"/>
      <c r="D886" s="297" t="s">
        <v>678</v>
      </c>
      <c r="E886" s="20"/>
      <c r="F886" s="22">
        <f>+F884+F880</f>
        <v>0</v>
      </c>
      <c r="G886" s="20"/>
      <c r="H886" s="20"/>
      <c r="I886" s="1010"/>
      <c r="J886" s="896">
        <f t="shared" si="301" ref="J886:Q886">+J884+J880</f>
        <v>0</v>
      </c>
      <c r="K886" s="896">
        <f t="shared" si="301"/>
        <v>0</v>
      </c>
      <c r="L886" s="896">
        <f t="shared" si="301"/>
        <v>0</v>
      </c>
      <c r="M886" s="896">
        <f t="shared" si="301"/>
        <v>0</v>
      </c>
      <c r="N886" s="896">
        <f t="shared" si="301"/>
        <v>0</v>
      </c>
      <c r="O886" s="896">
        <f>+O884+O880</f>
        <v>0</v>
      </c>
      <c r="P886" s="896">
        <f t="shared" si="301"/>
        <v>0</v>
      </c>
      <c r="Q886" s="896">
        <f t="shared" si="301"/>
        <v>0</v>
      </c>
      <c r="R886" s="896">
        <f>+R884+R880</f>
        <v>0</v>
      </c>
      <c r="S886" s="896">
        <f>+S884+S880</f>
        <v>0</v>
      </c>
      <c r="T886" s="20"/>
      <c r="U886" s="299">
        <f>SUM(I886:T886)</f>
        <v>0</v>
      </c>
      <c r="V886" s="67"/>
      <c r="W886" s="67"/>
      <c r="X886" s="370">
        <f t="shared" si="296"/>
        <v>0</v>
      </c>
    </row>
    <row r="887" spans="1:24" ht="14.25">
      <c r="A887" s="67"/>
      <c r="B887" s="17">
        <f t="shared" si="290"/>
        <v>24</v>
      </c>
      <c r="C887" s="1"/>
      <c r="D887" s="1"/>
      <c r="E887" s="17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"/>
      <c r="V887" s="67"/>
      <c r="W887" s="67"/>
      <c r="X887" s="370">
        <f t="shared" si="296"/>
        <v>0</v>
      </c>
    </row>
    <row r="888" spans="1:24" ht="15">
      <c r="A888" s="67"/>
      <c r="B888" s="17">
        <f t="shared" si="290"/>
        <v>25</v>
      </c>
      <c r="C888" s="8"/>
      <c r="D888" s="368" t="s">
        <v>285</v>
      </c>
      <c r="E888" s="20" t="s">
        <v>279</v>
      </c>
      <c r="F888" s="22"/>
      <c r="G888" s="20"/>
      <c r="H888" s="20"/>
      <c r="I888" s="1010"/>
      <c r="J888" s="1059"/>
      <c r="K888" s="1059"/>
      <c r="L888" s="1059"/>
      <c r="M888" s="1059"/>
      <c r="N888" s="1059"/>
      <c r="O888" s="1059"/>
      <c r="P888" s="1059"/>
      <c r="Q888" s="1059"/>
      <c r="R888" s="1059"/>
      <c r="S888" s="1059"/>
      <c r="T888" s="20"/>
      <c r="U888" s="8"/>
      <c r="V888" s="67"/>
      <c r="W888" s="67"/>
      <c r="X888" s="370">
        <f t="shared" si="296"/>
        <v>0</v>
      </c>
    </row>
    <row r="889" spans="1:24" ht="14.25">
      <c r="A889" s="67"/>
      <c r="B889" s="17">
        <f t="shared" si="290"/>
        <v>26</v>
      </c>
      <c r="C889" s="1" t="s">
        <v>244</v>
      </c>
      <c r="D889" s="51" t="s">
        <v>679</v>
      </c>
      <c r="E889" s="17"/>
      <c r="F889" s="118">
        <f>' WP II-I-1.4'!G889</f>
        <v>0</v>
      </c>
      <c r="G889" s="17">
        <v>9</v>
      </c>
      <c r="H889" s="47" t="str">
        <f>VLOOKUP(G889,FactorTable,2)</f>
        <v>CUS U ALL</v>
      </c>
      <c r="I889" s="17"/>
      <c r="J889" s="434">
        <f t="shared" si="302" ref="J889:S891">$F889*HLOOKUP(J$1318,FactorTable,$G889+1)</f>
        <v>0</v>
      </c>
      <c r="K889" s="434">
        <f t="shared" si="302"/>
        <v>0</v>
      </c>
      <c r="L889" s="434">
        <f t="shared" si="302"/>
        <v>0</v>
      </c>
      <c r="M889" s="434">
        <f t="shared" si="302"/>
        <v>0</v>
      </c>
      <c r="N889" s="434">
        <f t="shared" si="302"/>
        <v>0</v>
      </c>
      <c r="O889" s="434">
        <f t="shared" si="302"/>
        <v>0</v>
      </c>
      <c r="P889" s="434">
        <f t="shared" si="302"/>
        <v>0</v>
      </c>
      <c r="Q889" s="434">
        <f t="shared" si="302"/>
        <v>0</v>
      </c>
      <c r="R889" s="434">
        <f t="shared" si="302"/>
        <v>0</v>
      </c>
      <c r="S889" s="434">
        <f t="shared" si="302"/>
        <v>0</v>
      </c>
      <c r="T889" s="17"/>
      <c r="U889" s="121">
        <f>SUM(I889:T889)</f>
        <v>0</v>
      </c>
      <c r="V889" s="67"/>
      <c r="W889" s="67"/>
      <c r="X889" s="370">
        <f t="shared" si="296"/>
        <v>0</v>
      </c>
    </row>
    <row r="890" spans="1:24" ht="14.25">
      <c r="A890" s="67"/>
      <c r="B890" s="17">
        <f t="shared" si="290"/>
        <v>27</v>
      </c>
      <c r="C890" s="1" t="s">
        <v>246</v>
      </c>
      <c r="D890" s="51" t="s">
        <v>680</v>
      </c>
      <c r="E890" s="17"/>
      <c r="F890" s="118">
        <f>' WP II-I-1.4'!G890</f>
        <v>0</v>
      </c>
      <c r="G890" s="17">
        <v>9</v>
      </c>
      <c r="H890" s="47" t="str">
        <f>VLOOKUP(G890,FactorTable,2)</f>
        <v>CUS U ALL</v>
      </c>
      <c r="I890" s="17"/>
      <c r="J890" s="434">
        <f t="shared" si="302"/>
        <v>0</v>
      </c>
      <c r="K890" s="434">
        <f t="shared" si="302"/>
        <v>0</v>
      </c>
      <c r="L890" s="434">
        <f t="shared" si="302"/>
        <v>0</v>
      </c>
      <c r="M890" s="434">
        <f t="shared" si="302"/>
        <v>0</v>
      </c>
      <c r="N890" s="434">
        <f t="shared" si="302"/>
        <v>0</v>
      </c>
      <c r="O890" s="434">
        <f t="shared" si="302"/>
        <v>0</v>
      </c>
      <c r="P890" s="434">
        <f t="shared" si="302"/>
        <v>0</v>
      </c>
      <c r="Q890" s="434">
        <f t="shared" si="302"/>
        <v>0</v>
      </c>
      <c r="R890" s="434">
        <f t="shared" si="302"/>
        <v>0</v>
      </c>
      <c r="S890" s="434">
        <f t="shared" si="302"/>
        <v>0</v>
      </c>
      <c r="T890" s="17"/>
      <c r="U890" s="121">
        <f>SUM(I890:T890)</f>
        <v>0</v>
      </c>
      <c r="V890" s="67"/>
      <c r="W890" s="67"/>
      <c r="X890" s="370">
        <f t="shared" si="296"/>
        <v>0</v>
      </c>
    </row>
    <row r="891" spans="1:24" ht="14.25">
      <c r="A891" s="67"/>
      <c r="B891" s="17">
        <f t="shared" si="290"/>
        <v>28</v>
      </c>
      <c r="C891" s="1" t="s">
        <v>250</v>
      </c>
      <c r="D891" s="51" t="s">
        <v>242</v>
      </c>
      <c r="E891" s="17"/>
      <c r="F891" s="118">
        <f>' WP II-I-1.4'!G891</f>
        <v>0</v>
      </c>
      <c r="G891" s="17">
        <v>9</v>
      </c>
      <c r="H891" s="47" t="str">
        <f>VLOOKUP(G891,FactorTable,2)</f>
        <v>CUS U ALL</v>
      </c>
      <c r="I891" s="17"/>
      <c r="J891" s="435">
        <f t="shared" si="302"/>
        <v>0</v>
      </c>
      <c r="K891" s="435">
        <f t="shared" si="302"/>
        <v>0</v>
      </c>
      <c r="L891" s="435">
        <f t="shared" si="302"/>
        <v>0</v>
      </c>
      <c r="M891" s="435">
        <f t="shared" si="302"/>
        <v>0</v>
      </c>
      <c r="N891" s="435">
        <f t="shared" si="302"/>
        <v>0</v>
      </c>
      <c r="O891" s="435">
        <f t="shared" si="302"/>
        <v>0</v>
      </c>
      <c r="P891" s="435">
        <f t="shared" si="302"/>
        <v>0</v>
      </c>
      <c r="Q891" s="435">
        <f t="shared" si="302"/>
        <v>0</v>
      </c>
      <c r="R891" s="435">
        <f t="shared" si="302"/>
        <v>0</v>
      </c>
      <c r="S891" s="435">
        <f t="shared" si="302"/>
        <v>0</v>
      </c>
      <c r="T891" s="17"/>
      <c r="U891" s="121">
        <f>SUM(I891:T891)</f>
        <v>0</v>
      </c>
      <c r="V891" s="67"/>
      <c r="W891" s="67"/>
      <c r="X891" s="370">
        <f t="shared" si="296"/>
        <v>0</v>
      </c>
    </row>
    <row r="892" spans="1:24" ht="15">
      <c r="A892" s="67"/>
      <c r="B892" s="17">
        <f t="shared" si="290"/>
        <v>29</v>
      </c>
      <c r="C892" s="8"/>
      <c r="D892" s="297" t="s">
        <v>681</v>
      </c>
      <c r="E892" s="20"/>
      <c r="F892" s="22">
        <f>+F889+F890+F891</f>
        <v>0</v>
      </c>
      <c r="G892" s="20"/>
      <c r="H892" s="20"/>
      <c r="I892" s="1010"/>
      <c r="J892" s="896">
        <f t="shared" si="303" ref="J892:Q892">+J889+J890+J891</f>
        <v>0</v>
      </c>
      <c r="K892" s="896">
        <f t="shared" si="303"/>
        <v>0</v>
      </c>
      <c r="L892" s="896">
        <f t="shared" si="303"/>
        <v>0</v>
      </c>
      <c r="M892" s="896">
        <f t="shared" si="303"/>
        <v>0</v>
      </c>
      <c r="N892" s="896">
        <f t="shared" si="303"/>
        <v>0</v>
      </c>
      <c r="O892" s="896">
        <f>+O889+O890+O891</f>
        <v>0</v>
      </c>
      <c r="P892" s="896">
        <f t="shared" si="303"/>
        <v>0</v>
      </c>
      <c r="Q892" s="896">
        <f t="shared" si="303"/>
        <v>0</v>
      </c>
      <c r="R892" s="896">
        <f>+R889+R890+R891</f>
        <v>0</v>
      </c>
      <c r="S892" s="896">
        <f>+S889+S890+S891</f>
        <v>0</v>
      </c>
      <c r="T892" s="20"/>
      <c r="U892" s="299">
        <f>SUM(I892:T892)</f>
        <v>0</v>
      </c>
      <c r="V892" s="67"/>
      <c r="W892" s="67"/>
      <c r="X892" s="370">
        <f t="shared" si="296"/>
        <v>0</v>
      </c>
    </row>
    <row r="893" spans="1:24" ht="15">
      <c r="A893" s="67"/>
      <c r="B893" s="17">
        <f t="shared" si="290"/>
        <v>30</v>
      </c>
      <c r="C893" s="1"/>
      <c r="D893" s="297"/>
      <c r="E893" s="17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"/>
      <c r="V893" s="67"/>
      <c r="W893" s="67"/>
      <c r="X893" s="370">
        <f t="shared" si="296"/>
        <v>0</v>
      </c>
    </row>
    <row r="894" spans="1:24" ht="14.25">
      <c r="A894" s="67"/>
      <c r="B894" s="17">
        <f t="shared" si="290"/>
        <v>31</v>
      </c>
      <c r="C894" s="1" t="s">
        <v>243</v>
      </c>
      <c r="D894" s="51" t="s">
        <v>223</v>
      </c>
      <c r="E894" s="17"/>
      <c r="F894" s="118">
        <f>' WP II-I-1.4'!G894</f>
        <v>0</v>
      </c>
      <c r="G894" s="17">
        <v>9</v>
      </c>
      <c r="H894" s="47" t="str">
        <f>VLOOKUP(G894,FactorTable,2)</f>
        <v>CUS U ALL</v>
      </c>
      <c r="I894" s="17"/>
      <c r="J894" s="434">
        <f t="shared" si="304" ref="J894:S895">$F894*HLOOKUP(J$1318,FactorTable,$G894+1)</f>
        <v>0</v>
      </c>
      <c r="K894" s="434">
        <f t="shared" si="304"/>
        <v>0</v>
      </c>
      <c r="L894" s="434">
        <f t="shared" si="304"/>
        <v>0</v>
      </c>
      <c r="M894" s="434">
        <f t="shared" si="304"/>
        <v>0</v>
      </c>
      <c r="N894" s="434">
        <f t="shared" si="304"/>
        <v>0</v>
      </c>
      <c r="O894" s="434">
        <f t="shared" si="304"/>
        <v>0</v>
      </c>
      <c r="P894" s="434">
        <f t="shared" si="304"/>
        <v>0</v>
      </c>
      <c r="Q894" s="434">
        <f t="shared" si="304"/>
        <v>0</v>
      </c>
      <c r="R894" s="434">
        <f t="shared" si="304"/>
        <v>0</v>
      </c>
      <c r="S894" s="434">
        <f t="shared" si="304"/>
        <v>0</v>
      </c>
      <c r="T894" s="17"/>
      <c r="U894" s="121">
        <f>SUM(I894:T894)</f>
        <v>0</v>
      </c>
      <c r="V894" s="67"/>
      <c r="W894" s="67"/>
      <c r="X894" s="370">
        <f t="shared" si="296"/>
        <v>0</v>
      </c>
    </row>
    <row r="895" spans="1:24" ht="14.25">
      <c r="A895" s="67"/>
      <c r="B895" s="17">
        <f t="shared" si="290"/>
        <v>32</v>
      </c>
      <c r="C895" s="1" t="s">
        <v>248</v>
      </c>
      <c r="D895" s="51" t="s">
        <v>682</v>
      </c>
      <c r="E895" s="17"/>
      <c r="F895" s="118">
        <f>' WP II-I-1.4'!G895</f>
        <v>0</v>
      </c>
      <c r="G895" s="17">
        <v>9</v>
      </c>
      <c r="H895" s="47" t="str">
        <f>VLOOKUP(G895,FactorTable,2)</f>
        <v>CUS U ALL</v>
      </c>
      <c r="I895" s="17"/>
      <c r="J895" s="435">
        <f t="shared" si="304"/>
        <v>0</v>
      </c>
      <c r="K895" s="435">
        <f t="shared" si="304"/>
        <v>0</v>
      </c>
      <c r="L895" s="435">
        <f t="shared" si="304"/>
        <v>0</v>
      </c>
      <c r="M895" s="435">
        <f t="shared" si="304"/>
        <v>0</v>
      </c>
      <c r="N895" s="435">
        <f t="shared" si="304"/>
        <v>0</v>
      </c>
      <c r="O895" s="435">
        <f t="shared" si="304"/>
        <v>0</v>
      </c>
      <c r="P895" s="435">
        <f t="shared" si="304"/>
        <v>0</v>
      </c>
      <c r="Q895" s="435">
        <f t="shared" si="304"/>
        <v>0</v>
      </c>
      <c r="R895" s="435">
        <f t="shared" si="304"/>
        <v>0</v>
      </c>
      <c r="S895" s="435">
        <f t="shared" si="304"/>
        <v>0</v>
      </c>
      <c r="T895" s="17"/>
      <c r="U895" s="121">
        <f>SUM(I895:T895)</f>
        <v>0</v>
      </c>
      <c r="V895" s="67"/>
      <c r="W895" s="67"/>
      <c r="X895" s="370">
        <f t="shared" si="296"/>
        <v>0</v>
      </c>
    </row>
    <row r="896" spans="1:24" ht="15">
      <c r="A896" s="67"/>
      <c r="B896" s="17">
        <f t="shared" si="290"/>
        <v>33</v>
      </c>
      <c r="C896" s="8"/>
      <c r="D896" s="26" t="s">
        <v>683</v>
      </c>
      <c r="E896" s="20"/>
      <c r="F896" s="22">
        <f>SUM(F894:F895)</f>
        <v>0</v>
      </c>
      <c r="G896" s="20"/>
      <c r="H896" s="20"/>
      <c r="I896" s="1010"/>
      <c r="J896" s="896">
        <f t="shared" si="305" ref="J896:Q896">SUM(J894:J895)</f>
        <v>0</v>
      </c>
      <c r="K896" s="896">
        <f t="shared" si="305"/>
        <v>0</v>
      </c>
      <c r="L896" s="896">
        <f t="shared" si="305"/>
        <v>0</v>
      </c>
      <c r="M896" s="896">
        <f t="shared" si="305"/>
        <v>0</v>
      </c>
      <c r="N896" s="896">
        <f t="shared" si="305"/>
        <v>0</v>
      </c>
      <c r="O896" s="896">
        <f>SUM(O894:O895)</f>
        <v>0</v>
      </c>
      <c r="P896" s="896">
        <f t="shared" si="305"/>
        <v>0</v>
      </c>
      <c r="Q896" s="896">
        <f t="shared" si="305"/>
        <v>0</v>
      </c>
      <c r="R896" s="896">
        <f>SUM(R894:R895)</f>
        <v>0</v>
      </c>
      <c r="S896" s="896">
        <f>SUM(S894:S895)</f>
        <v>0</v>
      </c>
      <c r="T896" s="20"/>
      <c r="U896" s="299">
        <f>SUM(I896:T896)</f>
        <v>0</v>
      </c>
      <c r="V896" s="67"/>
      <c r="W896" s="67"/>
      <c r="X896" s="370">
        <f t="shared" si="296"/>
        <v>0</v>
      </c>
    </row>
    <row r="897" spans="1:24" ht="14.25">
      <c r="A897" s="67"/>
      <c r="B897" s="17">
        <f t="shared" si="290"/>
        <v>34</v>
      </c>
      <c r="C897" s="1"/>
      <c r="D897" s="1"/>
      <c r="E897" s="17"/>
      <c r="F897" s="19"/>
      <c r="G897" s="17"/>
      <c r="H897" s="17"/>
      <c r="I897" s="17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7"/>
      <c r="U897" s="1"/>
      <c r="V897" s="67"/>
      <c r="W897" s="67"/>
      <c r="X897" s="370">
        <f t="shared" si="296"/>
        <v>0</v>
      </c>
    </row>
    <row r="898" spans="1:24" ht="15">
      <c r="A898" s="67"/>
      <c r="B898" s="17">
        <f t="shared" si="290"/>
        <v>35</v>
      </c>
      <c r="C898" s="8"/>
      <c r="D898" s="297" t="s">
        <v>684</v>
      </c>
      <c r="E898" s="20"/>
      <c r="F898" s="22">
        <f>+F892+F896</f>
        <v>0</v>
      </c>
      <c r="G898" s="20"/>
      <c r="H898" s="20"/>
      <c r="I898" s="20"/>
      <c r="J898" s="896">
        <f t="shared" si="306" ref="J898:Q898">+J892+J896</f>
        <v>0</v>
      </c>
      <c r="K898" s="896">
        <f t="shared" si="306"/>
        <v>0</v>
      </c>
      <c r="L898" s="896">
        <f t="shared" si="306"/>
        <v>0</v>
      </c>
      <c r="M898" s="896">
        <f t="shared" si="306"/>
        <v>0</v>
      </c>
      <c r="N898" s="896">
        <f t="shared" si="306"/>
        <v>0</v>
      </c>
      <c r="O898" s="896">
        <f>+O892+O896</f>
        <v>0</v>
      </c>
      <c r="P898" s="896">
        <f t="shared" si="306"/>
        <v>0</v>
      </c>
      <c r="Q898" s="896">
        <f t="shared" si="306"/>
        <v>0</v>
      </c>
      <c r="R898" s="896">
        <f>+R892+R896</f>
        <v>0</v>
      </c>
      <c r="S898" s="896">
        <f>+S892+S896</f>
        <v>0</v>
      </c>
      <c r="T898" s="20"/>
      <c r="U898" s="118">
        <f>SUM(I898:T898)</f>
        <v>0</v>
      </c>
      <c r="V898" s="67"/>
      <c r="W898" s="67"/>
      <c r="X898" s="370">
        <f t="shared" si="296"/>
        <v>0</v>
      </c>
    </row>
    <row r="899" spans="1:24" ht="15" thickBot="1">
      <c r="A899" s="67"/>
      <c r="B899" s="17">
        <f t="shared" si="290"/>
        <v>36</v>
      </c>
      <c r="C899" s="1"/>
      <c r="D899" s="51"/>
      <c r="E899" s="17"/>
      <c r="F899" s="19"/>
      <c r="G899" s="17"/>
      <c r="H899" s="17"/>
      <c r="I899" s="17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7"/>
      <c r="U899" s="1"/>
      <c r="V899" s="67"/>
      <c r="W899" s="67"/>
      <c r="X899" s="370">
        <f t="shared" si="296"/>
        <v>0</v>
      </c>
    </row>
    <row r="900" spans="1:24" ht="15.75" thickBot="1">
      <c r="A900" s="67"/>
      <c r="B900" s="17">
        <f t="shared" si="290"/>
        <v>37</v>
      </c>
      <c r="C900" s="870" t="s">
        <v>685</v>
      </c>
      <c r="D900" s="1017"/>
      <c r="E900" s="1013"/>
      <c r="F900" s="1014">
        <f>+F898+F886+F874</f>
        <v>10847.980000000001</v>
      </c>
      <c r="G900" s="1013"/>
      <c r="H900" s="1013"/>
      <c r="I900" s="1016"/>
      <c r="J900" s="1014">
        <f t="shared" si="307" ref="J900:Q900">+J898+J886+J874</f>
        <v>6047.8010801451228</v>
      </c>
      <c r="K900" s="1014">
        <f t="shared" si="307"/>
        <v>932.41517862903595</v>
      </c>
      <c r="L900" s="1014">
        <f t="shared" si="307"/>
        <v>2876.0668737523151</v>
      </c>
      <c r="M900" s="1014">
        <f t="shared" si="307"/>
        <v>40.38434578149991</v>
      </c>
      <c r="N900" s="1014">
        <f t="shared" si="307"/>
        <v>842.71250917636826</v>
      </c>
      <c r="O900" s="1014">
        <f>+O898+O886+O874</f>
        <v>28.798019580838531</v>
      </c>
      <c r="P900" s="1014">
        <f t="shared" si="307"/>
        <v>62.691073395210026</v>
      </c>
      <c r="Q900" s="1014">
        <f t="shared" si="307"/>
        <v>6.0285817467283094</v>
      </c>
      <c r="R900" s="1014">
        <f>+R898+R886+R874</f>
        <v>3.3228484131736766</v>
      </c>
      <c r="S900" s="1014">
        <f>+S898+S886+S874</f>
        <v>7.7594893797091418</v>
      </c>
      <c r="T900" s="1016"/>
      <c r="U900" s="1015">
        <f>SUM(I900:T900)</f>
        <v>10847.980000000001</v>
      </c>
      <c r="V900" s="67"/>
      <c r="W900" s="67"/>
      <c r="X900" s="370">
        <f t="shared" si="296"/>
        <v>0</v>
      </c>
    </row>
    <row r="901" spans="1:24" ht="15.75" thickBot="1">
      <c r="A901" s="67"/>
      <c r="B901" s="17">
        <f t="shared" si="290"/>
        <v>38</v>
      </c>
      <c r="C901" s="1"/>
      <c r="D901" s="8"/>
      <c r="E901" s="17"/>
      <c r="F901" s="19"/>
      <c r="G901" s="17"/>
      <c r="H901" s="17"/>
      <c r="I901" s="17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7"/>
      <c r="U901" s="1"/>
      <c r="V901" s="67"/>
      <c r="W901" s="67"/>
      <c r="X901" s="370">
        <f t="shared" si="296"/>
        <v>0</v>
      </c>
    </row>
    <row r="902" spans="1:24" ht="15.75" thickBot="1">
      <c r="A902" s="47"/>
      <c r="B902" s="17">
        <f t="shared" si="290"/>
        <v>39</v>
      </c>
      <c r="C902" s="284" t="s">
        <v>1201</v>
      </c>
      <c r="D902" s="285"/>
      <c r="E902" s="374" t="s">
        <v>279</v>
      </c>
      <c r="F902" s="255">
        <f>+F900+F851+F804</f>
        <v>122018539.90000001</v>
      </c>
      <c r="G902" s="374"/>
      <c r="H902" s="467"/>
      <c r="I902" s="1066"/>
      <c r="J902" s="446">
        <f t="shared" si="308" ref="J902:Q902">+J900+J851+J804</f>
        <v>66478181.568338417</v>
      </c>
      <c r="K902" s="903">
        <f t="shared" si="308"/>
        <v>1862038.9482578265</v>
      </c>
      <c r="L902" s="903">
        <f t="shared" si="308"/>
        <v>42493915.284457333</v>
      </c>
      <c r="M902" s="903">
        <f t="shared" si="308"/>
        <v>32369.130403635423</v>
      </c>
      <c r="N902" s="903">
        <f t="shared" si="308"/>
        <v>8758792.906829454</v>
      </c>
      <c r="O902" s="903">
        <f>+O900+O851+O804</f>
        <v>1075600.0994645236</v>
      </c>
      <c r="P902" s="903">
        <f t="shared" si="308"/>
        <v>30958.784350528684</v>
      </c>
      <c r="Q902" s="903">
        <f t="shared" si="308"/>
        <v>697263.249805331</v>
      </c>
      <c r="R902" s="903">
        <f>+R900+R851+R804</f>
        <v>127871.12108130367</v>
      </c>
      <c r="S902" s="380">
        <f>+S900+S851+S804</f>
        <v>461548.80701163516</v>
      </c>
      <c r="T902" s="468"/>
      <c r="U902" s="256">
        <f>SUM(I902:T902)</f>
        <v>122018539.89999999</v>
      </c>
      <c r="V902" s="67"/>
      <c r="W902" s="67"/>
      <c r="X902" s="370">
        <f t="shared" si="296"/>
        <v>0</v>
      </c>
    </row>
    <row r="903" spans="1:24" ht="14.25">
      <c r="A903" s="47"/>
      <c r="B903" s="17"/>
      <c r="C903" s="17"/>
      <c r="D903" s="17"/>
      <c r="E903" s="17"/>
      <c r="F903" s="17"/>
      <c r="G903" s="17"/>
      <c r="H903" s="13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34"/>
      <c r="V903" s="134">
        <f>$H$2</f>
        <v>0</v>
      </c>
      <c r="W903" s="134"/>
      <c r="X903" s="370"/>
    </row>
    <row r="904" spans="1:24" ht="15" thickBot="1">
      <c r="A904" s="4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67"/>
      <c r="W904" s="67"/>
      <c r="X904" s="370">
        <f t="shared" si="296"/>
        <v>0</v>
      </c>
    </row>
    <row r="905" spans="1:24" ht="15">
      <c r="A905" s="67"/>
      <c r="B905" s="920" t="str">
        <f>+$B$4</f>
        <v>2022 RATE CASE</v>
      </c>
      <c r="C905" s="935"/>
      <c r="D905" s="620"/>
      <c r="F905" s="12"/>
      <c r="U905" s="134"/>
      <c r="X905" s="370">
        <f t="shared" si="296"/>
        <v>0</v>
      </c>
    </row>
    <row r="906" spans="1:24" ht="15">
      <c r="A906" s="67"/>
      <c r="B906" s="917" t="str">
        <f>+$B$5</f>
        <v>ONCOR ELECTRIC DELIVERY COMPANY LLC</v>
      </c>
      <c r="C906" s="8"/>
      <c r="D906" s="621"/>
      <c r="F906" s="12"/>
      <c r="U906" s="134"/>
      <c r="V906" s="67"/>
      <c r="W906" s="67"/>
      <c r="X906" s="370">
        <f t="shared" si="296"/>
        <v>0</v>
      </c>
    </row>
    <row r="907" spans="1:24" ht="15">
      <c r="A907" s="67"/>
      <c r="B907" s="917" t="str">
        <f>+$B$6</f>
        <v>II-I-1-DIST:  CLASS REVENUE REQUIREMENT</v>
      </c>
      <c r="C907" s="85"/>
      <c r="D907" s="621"/>
      <c r="F907" s="12"/>
      <c r="U907" s="12"/>
      <c r="V907" s="67"/>
      <c r="W907" s="67"/>
      <c r="X907" s="370">
        <f t="shared" si="296"/>
        <v>0</v>
      </c>
    </row>
    <row r="908" spans="1:24" ht="15">
      <c r="A908" s="67"/>
      <c r="B908" s="406" t="str">
        <f>+$B$7</f>
        <v>TEST YEAR ENDING 12/31/2021</v>
      </c>
      <c r="C908" s="85"/>
      <c r="D908" s="621"/>
      <c r="F908" s="12"/>
      <c r="U908" s="12"/>
      <c r="V908" s="67"/>
      <c r="W908" s="67"/>
      <c r="X908" s="370">
        <f t="shared" si="296"/>
        <v>0</v>
      </c>
    </row>
    <row r="909" spans="1:24" ht="15">
      <c r="A909" s="67"/>
      <c r="B909" s="406" t="str">
        <f>+$B$8</f>
        <v>SPONSOR:  MATTHEW A. TROXLE</v>
      </c>
      <c r="C909" s="85"/>
      <c r="D909" s="621"/>
      <c r="F909" s="12"/>
      <c r="U909" s="12"/>
      <c r="V909" s="67"/>
      <c r="W909" s="67"/>
      <c r="X909" s="370">
        <f t="shared" si="296"/>
        <v>0</v>
      </c>
    </row>
    <row r="910" spans="1:24" ht="15.75" thickBot="1">
      <c r="A910" s="67"/>
      <c r="B910" s="410"/>
      <c r="C910" s="934"/>
      <c r="D910" s="622"/>
      <c r="F910" s="12"/>
      <c r="U910" s="12"/>
      <c r="V910" s="67"/>
      <c r="W910" s="67"/>
      <c r="X910" s="370">
        <f t="shared" si="296"/>
        <v>0</v>
      </c>
    </row>
    <row r="911" spans="1:24" ht="15" thickBot="1">
      <c r="A911" s="67"/>
      <c r="B911" s="13"/>
      <c r="C911" s="14"/>
      <c r="D911" s="14"/>
      <c r="E911" s="14"/>
      <c r="F911" s="13"/>
      <c r="G911" s="14"/>
      <c r="H911" s="14"/>
      <c r="I911" s="14"/>
      <c r="J911" s="238"/>
      <c r="K911" s="238"/>
      <c r="L911" s="14"/>
      <c r="M911" s="238"/>
      <c r="N911" s="238"/>
      <c r="O911" s="238"/>
      <c r="P911" s="238"/>
      <c r="Q911" s="14"/>
      <c r="R911" s="393" t="str">
        <f>R$10</f>
        <v xml:space="preserve"> </v>
      </c>
      <c r="S911" s="394"/>
      <c r="T911" s="238"/>
      <c r="U911" s="13"/>
      <c r="V911" s="67"/>
      <c r="W911" s="67"/>
      <c r="X911" s="370">
        <f t="shared" si="296"/>
        <v>0</v>
      </c>
    </row>
    <row r="912" spans="1:24" ht="15">
      <c r="A912" s="67"/>
      <c r="B912" s="15" t="s">
        <v>2</v>
      </c>
      <c r="C912" s="15" t="s">
        <v>370</v>
      </c>
      <c r="D912" s="287" t="s">
        <v>686</v>
      </c>
      <c r="E912" s="15" t="s">
        <v>371</v>
      </c>
      <c r="F912" s="287" t="str">
        <f>F$11</f>
        <v>DIST</v>
      </c>
      <c r="G912" s="242" t="s">
        <v>741</v>
      </c>
      <c r="H912" s="242" t="s">
        <v>376</v>
      </c>
      <c r="I912" s="15"/>
      <c r="J912" s="242" t="s">
        <v>730</v>
      </c>
      <c r="K912" s="242" t="s">
        <v>409</v>
      </c>
      <c r="L912" s="15" t="s">
        <v>409</v>
      </c>
      <c r="M912" s="242" t="s">
        <v>410</v>
      </c>
      <c r="N912" s="242" t="s">
        <v>410</v>
      </c>
      <c r="O912" s="242" t="s">
        <v>410</v>
      </c>
      <c r="P912" s="242" t="s">
        <v>411</v>
      </c>
      <c r="Q912" s="15" t="s">
        <v>412</v>
      </c>
      <c r="R912" s="396" t="str">
        <f>R$11</f>
        <v>Wholesale</v>
      </c>
      <c r="S912" s="13" t="str">
        <f>S$11</f>
        <v>Wholesale</v>
      </c>
      <c r="T912" s="242"/>
      <c r="U912" s="15" t="s">
        <v>10</v>
      </c>
      <c r="V912" s="67"/>
      <c r="W912" s="67"/>
      <c r="X912" s="370"/>
    </row>
    <row r="913" spans="1:24" ht="14.25">
      <c r="A913" s="67"/>
      <c r="B913" s="15"/>
      <c r="C913" s="15"/>
      <c r="D913" s="15"/>
      <c r="E913" s="15"/>
      <c r="F913" s="15"/>
      <c r="G913" s="242" t="s">
        <v>742</v>
      </c>
      <c r="H913" s="242" t="s">
        <v>743</v>
      </c>
      <c r="I913" s="15"/>
      <c r="J913" s="242"/>
      <c r="K913" s="242" t="s">
        <v>731</v>
      </c>
      <c r="L913" s="15" t="s">
        <v>732</v>
      </c>
      <c r="M913" s="242" t="s">
        <v>731</v>
      </c>
      <c r="N913" s="242" t="s">
        <v>732</v>
      </c>
      <c r="O913" s="242" t="s">
        <v>414</v>
      </c>
      <c r="P913" s="242"/>
      <c r="Q913" s="15"/>
      <c r="R913" s="235" t="str">
        <f>R$12</f>
        <v>XFMR</v>
      </c>
      <c r="S913" s="15" t="str">
        <f>S$12</f>
        <v>DLS</v>
      </c>
      <c r="T913" s="242"/>
      <c r="U913" s="15"/>
      <c r="V913" s="67"/>
      <c r="W913" s="67"/>
      <c r="X913" s="370">
        <f t="shared" si="296"/>
        <v>0</v>
      </c>
    </row>
    <row r="914" spans="1:24" ht="15" thickBot="1">
      <c r="A914" s="67"/>
      <c r="B914" s="16"/>
      <c r="C914" s="16"/>
      <c r="D914" s="16"/>
      <c r="E914" s="16"/>
      <c r="F914" s="16" t="s">
        <v>13</v>
      </c>
      <c r="G914" s="16" t="s">
        <v>14</v>
      </c>
      <c r="H914" s="16" t="s">
        <v>15</v>
      </c>
      <c r="I914" s="16"/>
      <c r="J914" s="243" t="str">
        <f t="shared" si="309" ref="J914:Q914">J$13</f>
        <v>(d)</v>
      </c>
      <c r="K914" s="243" t="str">
        <f t="shared" si="309"/>
        <v>(e)</v>
      </c>
      <c r="L914" s="16" t="str">
        <f t="shared" si="309"/>
        <v>(f)</v>
      </c>
      <c r="M914" s="243" t="str">
        <f t="shared" si="309"/>
        <v>(g)</v>
      </c>
      <c r="N914" s="243" t="str">
        <f t="shared" si="309"/>
        <v>(h)</v>
      </c>
      <c r="O914" s="243" t="str">
        <f>O$13</f>
        <v>(i)</v>
      </c>
      <c r="P914" s="243" t="str">
        <f t="shared" si="309"/>
        <v>(j)</v>
      </c>
      <c r="Q914" s="243" t="str">
        <f t="shared" si="309"/>
        <v>(k)</v>
      </c>
      <c r="R914" s="243" t="str">
        <f>R$13</f>
        <v>(l)</v>
      </c>
      <c r="S914" s="16" t="str">
        <f>S$13</f>
        <v>(m)</v>
      </c>
      <c r="T914" s="16"/>
      <c r="U914" s="16" t="s">
        <v>734</v>
      </c>
      <c r="V914" s="67"/>
      <c r="W914" s="67"/>
      <c r="X914" s="370"/>
    </row>
    <row r="915" spans="1:24" ht="15">
      <c r="A915" s="67"/>
      <c r="B915" s="17"/>
      <c r="C915" s="1"/>
      <c r="D915" s="8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"/>
      <c r="V915" s="67"/>
      <c r="W915" s="67"/>
      <c r="X915" s="370">
        <f t="shared" si="296"/>
        <v>0</v>
      </c>
    </row>
    <row r="916" spans="2:24" s="664" customFormat="1" ht="15">
      <c r="B916" s="728">
        <f t="shared" si="310" ref="B916:B934">B915+1</f>
        <v>1</v>
      </c>
      <c r="C916" s="8" t="s">
        <v>686</v>
      </c>
      <c r="D916" s="8"/>
      <c r="E916" s="727" t="s">
        <v>279</v>
      </c>
      <c r="F916" s="22"/>
      <c r="G916" s="727"/>
      <c r="H916" s="727"/>
      <c r="I916" s="727"/>
      <c r="J916" s="1059"/>
      <c r="K916" s="1059"/>
      <c r="L916" s="1059"/>
      <c r="M916" s="1059"/>
      <c r="N916" s="1059"/>
      <c r="O916" s="1059"/>
      <c r="P916" s="1059"/>
      <c r="Q916" s="1059"/>
      <c r="R916" s="1059"/>
      <c r="S916" s="1059"/>
      <c r="T916" s="727"/>
      <c r="U916" s="8"/>
      <c r="X916" s="729">
        <f t="shared" si="296"/>
        <v>0</v>
      </c>
    </row>
    <row r="917" spans="2:24" s="664" customFormat="1" ht="15">
      <c r="B917" s="728">
        <f t="shared" si="310"/>
        <v>2</v>
      </c>
      <c r="C917" s="730" t="s">
        <v>254</v>
      </c>
      <c r="D917" s="730" t="s">
        <v>255</v>
      </c>
      <c r="E917" s="694"/>
      <c r="F917" s="729">
        <f>' WP II-I-1.4'!G917</f>
        <v>48295262.43</v>
      </c>
      <c r="G917" s="728">
        <v>77</v>
      </c>
      <c r="H917" s="703" t="str">
        <f t="shared" si="311" ref="H917:H929">VLOOKUP(G917,FactorTable,2)</f>
        <v>O&amp;M x565</v>
      </c>
      <c r="I917" s="894"/>
      <c r="J917" s="731">
        <f t="shared" si="312" ref="J917:S929">$F917*HLOOKUP(J$1318,FactorTable,$G917+1)</f>
        <v>25675719.91120157</v>
      </c>
      <c r="K917" s="731">
        <f t="shared" si="312"/>
        <v>696775.79790289432</v>
      </c>
      <c r="L917" s="731">
        <f t="shared" si="312"/>
        <v>16425124.819080606</v>
      </c>
      <c r="M917" s="731">
        <f t="shared" si="312"/>
        <v>11161.834873392447</v>
      </c>
      <c r="N917" s="731">
        <f t="shared" si="312"/>
        <v>3312754.2909430675</v>
      </c>
      <c r="O917" s="731">
        <f t="shared" si="312"/>
        <v>276807.73444850475</v>
      </c>
      <c r="P917" s="731">
        <f t="shared" si="312"/>
        <v>9505.372671032148</v>
      </c>
      <c r="Q917" s="731">
        <f t="shared" si="312"/>
        <v>1678636.4350399233</v>
      </c>
      <c r="R917" s="731">
        <f t="shared" si="312"/>
        <v>32882.301933496892</v>
      </c>
      <c r="S917" s="731">
        <f t="shared" si="312"/>
        <v>175893.93190549483</v>
      </c>
      <c r="T917" s="894"/>
      <c r="U917" s="299">
        <f t="shared" si="313" ref="U917:U930">SUM(I917:T917)</f>
        <v>48295262.429999985</v>
      </c>
      <c r="X917" s="729">
        <f t="shared" si="296"/>
        <v>0</v>
      </c>
    </row>
    <row r="918" spans="2:24" s="664" customFormat="1" ht="14.25">
      <c r="B918" s="728">
        <f t="shared" si="310"/>
        <v>3</v>
      </c>
      <c r="C918" s="730" t="s">
        <v>256</v>
      </c>
      <c r="D918" s="730" t="s">
        <v>257</v>
      </c>
      <c r="E918" s="694"/>
      <c r="F918" s="729">
        <f>' WP II-I-1.4'!G918</f>
        <v>0</v>
      </c>
      <c r="G918" s="728">
        <v>77</v>
      </c>
      <c r="H918" s="703" t="str">
        <f t="shared" si="311"/>
        <v>O&amp;M x565</v>
      </c>
      <c r="I918" s="894"/>
      <c r="J918" s="731">
        <f t="shared" si="312"/>
        <v>0</v>
      </c>
      <c r="K918" s="731">
        <f t="shared" si="312"/>
        <v>0</v>
      </c>
      <c r="L918" s="731">
        <f t="shared" si="312"/>
        <v>0</v>
      </c>
      <c r="M918" s="731">
        <f t="shared" si="312"/>
        <v>0</v>
      </c>
      <c r="N918" s="731">
        <f t="shared" si="312"/>
        <v>0</v>
      </c>
      <c r="O918" s="731">
        <f t="shared" si="312"/>
        <v>0</v>
      </c>
      <c r="P918" s="731">
        <f t="shared" si="312"/>
        <v>0</v>
      </c>
      <c r="Q918" s="731">
        <f t="shared" si="312"/>
        <v>0</v>
      </c>
      <c r="R918" s="731">
        <f t="shared" si="312"/>
        <v>0</v>
      </c>
      <c r="S918" s="731">
        <f t="shared" si="312"/>
        <v>0</v>
      </c>
      <c r="T918" s="894"/>
      <c r="U918" s="729">
        <f t="shared" si="313"/>
        <v>0</v>
      </c>
      <c r="X918" s="729">
        <f t="shared" si="296"/>
        <v>0</v>
      </c>
    </row>
    <row r="919" spans="2:24" s="664" customFormat="1" ht="14.25">
      <c r="B919" s="728">
        <f t="shared" si="310"/>
        <v>4</v>
      </c>
      <c r="C919" s="730" t="s">
        <v>258</v>
      </c>
      <c r="D919" s="730" t="s">
        <v>259</v>
      </c>
      <c r="E919" s="694"/>
      <c r="F919" s="729">
        <f>' WP II-I-1.4'!G919</f>
        <v>0</v>
      </c>
      <c r="G919" s="728">
        <v>77</v>
      </c>
      <c r="H919" s="703" t="str">
        <f t="shared" si="311"/>
        <v>O&amp;M x565</v>
      </c>
      <c r="I919" s="894"/>
      <c r="J919" s="731">
        <f t="shared" si="312"/>
        <v>0</v>
      </c>
      <c r="K919" s="731">
        <f t="shared" si="312"/>
        <v>0</v>
      </c>
      <c r="L919" s="731">
        <f t="shared" si="312"/>
        <v>0</v>
      </c>
      <c r="M919" s="731">
        <f t="shared" si="312"/>
        <v>0</v>
      </c>
      <c r="N919" s="731">
        <f t="shared" si="312"/>
        <v>0</v>
      </c>
      <c r="O919" s="731">
        <f t="shared" si="312"/>
        <v>0</v>
      </c>
      <c r="P919" s="731">
        <f t="shared" si="312"/>
        <v>0</v>
      </c>
      <c r="Q919" s="731">
        <f t="shared" si="312"/>
        <v>0</v>
      </c>
      <c r="R919" s="731">
        <f t="shared" si="312"/>
        <v>0</v>
      </c>
      <c r="S919" s="731">
        <f t="shared" si="312"/>
        <v>0</v>
      </c>
      <c r="T919" s="894"/>
      <c r="U919" s="729">
        <f t="shared" si="313"/>
        <v>0</v>
      </c>
      <c r="X919" s="729">
        <f t="shared" si="296"/>
        <v>0</v>
      </c>
    </row>
    <row r="920" spans="2:24" s="664" customFormat="1" ht="14.25">
      <c r="B920" s="728">
        <f t="shared" si="310"/>
        <v>5</v>
      </c>
      <c r="C920" s="730" t="s">
        <v>260</v>
      </c>
      <c r="D920" s="730" t="s">
        <v>261</v>
      </c>
      <c r="E920" s="694"/>
      <c r="F920" s="729">
        <f>' WP II-I-1.4'!G920</f>
        <v>0</v>
      </c>
      <c r="G920" s="728">
        <v>77</v>
      </c>
      <c r="H920" s="703" t="str">
        <f t="shared" si="311"/>
        <v>O&amp;M x565</v>
      </c>
      <c r="I920" s="894"/>
      <c r="J920" s="731">
        <f t="shared" si="312"/>
        <v>0</v>
      </c>
      <c r="K920" s="731">
        <f t="shared" si="312"/>
        <v>0</v>
      </c>
      <c r="L920" s="731">
        <f t="shared" si="312"/>
        <v>0</v>
      </c>
      <c r="M920" s="731">
        <f t="shared" si="312"/>
        <v>0</v>
      </c>
      <c r="N920" s="731">
        <f t="shared" si="312"/>
        <v>0</v>
      </c>
      <c r="O920" s="731">
        <f t="shared" si="312"/>
        <v>0</v>
      </c>
      <c r="P920" s="731">
        <f t="shared" si="312"/>
        <v>0</v>
      </c>
      <c r="Q920" s="731">
        <f t="shared" si="312"/>
        <v>0</v>
      </c>
      <c r="R920" s="731">
        <f t="shared" si="312"/>
        <v>0</v>
      </c>
      <c r="S920" s="731">
        <f t="shared" si="312"/>
        <v>0</v>
      </c>
      <c r="T920" s="894"/>
      <c r="U920" s="729">
        <f t="shared" si="313"/>
        <v>0</v>
      </c>
      <c r="X920" s="729">
        <f t="shared" si="296"/>
        <v>0</v>
      </c>
    </row>
    <row r="921" spans="2:24" s="664" customFormat="1" ht="14.25">
      <c r="B921" s="728">
        <f t="shared" si="310"/>
        <v>6</v>
      </c>
      <c r="C921" s="732" t="s">
        <v>262</v>
      </c>
      <c r="D921" s="730" t="s">
        <v>263</v>
      </c>
      <c r="E921" s="694"/>
      <c r="F921" s="729">
        <f>' WP II-I-1.4'!G921</f>
        <v>0</v>
      </c>
      <c r="G921" s="728">
        <v>64</v>
      </c>
      <c r="H921" s="703" t="str">
        <f t="shared" si="311"/>
        <v>PLANT</v>
      </c>
      <c r="I921" s="894"/>
      <c r="J921" s="731">
        <f t="shared" si="312"/>
        <v>0</v>
      </c>
      <c r="K921" s="731">
        <f t="shared" si="312"/>
        <v>0</v>
      </c>
      <c r="L921" s="731">
        <f t="shared" si="312"/>
        <v>0</v>
      </c>
      <c r="M921" s="731">
        <f t="shared" si="312"/>
        <v>0</v>
      </c>
      <c r="N921" s="731">
        <f t="shared" si="312"/>
        <v>0</v>
      </c>
      <c r="O921" s="731">
        <f t="shared" si="312"/>
        <v>0</v>
      </c>
      <c r="P921" s="731">
        <f t="shared" si="312"/>
        <v>0</v>
      </c>
      <c r="Q921" s="731">
        <f t="shared" si="312"/>
        <v>0</v>
      </c>
      <c r="R921" s="731">
        <f t="shared" si="312"/>
        <v>0</v>
      </c>
      <c r="S921" s="731">
        <f t="shared" si="312"/>
        <v>0</v>
      </c>
      <c r="T921" s="894"/>
      <c r="U921" s="729">
        <f t="shared" si="313"/>
        <v>0</v>
      </c>
      <c r="X921" s="729">
        <f t="shared" si="296"/>
        <v>0</v>
      </c>
    </row>
    <row r="922" spans="2:24" s="664" customFormat="1" ht="14.25">
      <c r="B922" s="728">
        <f t="shared" si="310"/>
        <v>7</v>
      </c>
      <c r="C922" s="732" t="s">
        <v>264</v>
      </c>
      <c r="D922" s="730" t="s">
        <v>265</v>
      </c>
      <c r="E922" s="694"/>
      <c r="F922" s="729">
        <f>' WP II-I-1.4'!G922</f>
        <v>0</v>
      </c>
      <c r="G922" s="728">
        <v>77</v>
      </c>
      <c r="H922" s="703" t="str">
        <f t="shared" si="311"/>
        <v>O&amp;M x565</v>
      </c>
      <c r="I922" s="894"/>
      <c r="J922" s="731">
        <f t="shared" si="312"/>
        <v>0</v>
      </c>
      <c r="K922" s="731">
        <f t="shared" si="312"/>
        <v>0</v>
      </c>
      <c r="L922" s="731">
        <f t="shared" si="312"/>
        <v>0</v>
      </c>
      <c r="M922" s="731">
        <f t="shared" si="312"/>
        <v>0</v>
      </c>
      <c r="N922" s="731">
        <f t="shared" si="312"/>
        <v>0</v>
      </c>
      <c r="O922" s="731">
        <f t="shared" si="312"/>
        <v>0</v>
      </c>
      <c r="P922" s="731">
        <f t="shared" si="312"/>
        <v>0</v>
      </c>
      <c r="Q922" s="731">
        <f t="shared" si="312"/>
        <v>0</v>
      </c>
      <c r="R922" s="731">
        <f t="shared" si="312"/>
        <v>0</v>
      </c>
      <c r="S922" s="731">
        <f t="shared" si="312"/>
        <v>0</v>
      </c>
      <c r="T922" s="894"/>
      <c r="U922" s="729">
        <f t="shared" si="313"/>
        <v>0</v>
      </c>
      <c r="X922" s="729">
        <f t="shared" si="296"/>
        <v>0</v>
      </c>
    </row>
    <row r="923" spans="2:24" s="664" customFormat="1" ht="14.25">
      <c r="B923" s="728">
        <f t="shared" si="310"/>
        <v>8</v>
      </c>
      <c r="C923" s="730" t="s">
        <v>266</v>
      </c>
      <c r="D923" s="730" t="s">
        <v>267</v>
      </c>
      <c r="E923" s="694"/>
      <c r="F923" s="729">
        <f>' WP II-I-1.4'!G923</f>
        <v>0</v>
      </c>
      <c r="G923" s="728">
        <v>87</v>
      </c>
      <c r="H923" s="703" t="str">
        <f t="shared" si="311"/>
        <v>PAYROLL XAG</v>
      </c>
      <c r="I923" s="894"/>
      <c r="J923" s="731">
        <f t="shared" si="312"/>
        <v>0</v>
      </c>
      <c r="K923" s="731">
        <f t="shared" si="312"/>
        <v>0</v>
      </c>
      <c r="L923" s="731">
        <f t="shared" si="312"/>
        <v>0</v>
      </c>
      <c r="M923" s="731">
        <f t="shared" si="312"/>
        <v>0</v>
      </c>
      <c r="N923" s="731">
        <f t="shared" si="312"/>
        <v>0</v>
      </c>
      <c r="O923" s="731">
        <f t="shared" si="312"/>
        <v>0</v>
      </c>
      <c r="P923" s="731">
        <f t="shared" si="312"/>
        <v>0</v>
      </c>
      <c r="Q923" s="731">
        <f t="shared" si="312"/>
        <v>0</v>
      </c>
      <c r="R923" s="731">
        <f t="shared" si="312"/>
        <v>0</v>
      </c>
      <c r="S923" s="731">
        <f t="shared" si="312"/>
        <v>0</v>
      </c>
      <c r="T923" s="894"/>
      <c r="U923" s="729">
        <f t="shared" si="313"/>
        <v>0</v>
      </c>
      <c r="X923" s="729">
        <f t="shared" si="296"/>
        <v>0</v>
      </c>
    </row>
    <row r="924" spans="2:24" s="664" customFormat="1" ht="14.25">
      <c r="B924" s="728">
        <f t="shared" si="310"/>
        <v>9</v>
      </c>
      <c r="C924" s="730" t="s">
        <v>268</v>
      </c>
      <c r="D924" s="730" t="s">
        <v>269</v>
      </c>
      <c r="E924" s="694"/>
      <c r="F924" s="729">
        <f>' WP II-I-1.4'!G924</f>
        <v>0</v>
      </c>
      <c r="G924" s="728">
        <v>14</v>
      </c>
      <c r="H924" s="703" t="str">
        <f t="shared" si="311"/>
        <v>REVENUE</v>
      </c>
      <c r="I924" s="894"/>
      <c r="J924" s="731">
        <f t="shared" si="312"/>
        <v>0</v>
      </c>
      <c r="K924" s="731">
        <f t="shared" si="312"/>
        <v>0</v>
      </c>
      <c r="L924" s="731">
        <f t="shared" si="312"/>
        <v>0</v>
      </c>
      <c r="M924" s="731">
        <f t="shared" si="312"/>
        <v>0</v>
      </c>
      <c r="N924" s="731">
        <f t="shared" si="312"/>
        <v>0</v>
      </c>
      <c r="O924" s="731">
        <f t="shared" si="312"/>
        <v>0</v>
      </c>
      <c r="P924" s="731">
        <f t="shared" si="312"/>
        <v>0</v>
      </c>
      <c r="Q924" s="731">
        <f t="shared" si="312"/>
        <v>0</v>
      </c>
      <c r="R924" s="731">
        <f t="shared" si="312"/>
        <v>0</v>
      </c>
      <c r="S924" s="731">
        <f t="shared" si="312"/>
        <v>0</v>
      </c>
      <c r="T924" s="894"/>
      <c r="U924" s="729">
        <f t="shared" si="313"/>
        <v>0</v>
      </c>
      <c r="X924" s="729">
        <f t="shared" si="296"/>
        <v>0</v>
      </c>
    </row>
    <row r="925" spans="2:24" s="664" customFormat="1" ht="14.25">
      <c r="B925" s="728">
        <f t="shared" si="310"/>
        <v>10</v>
      </c>
      <c r="C925" s="730" t="s">
        <v>270</v>
      </c>
      <c r="D925" s="730" t="s">
        <v>271</v>
      </c>
      <c r="E925" s="694"/>
      <c r="F925" s="729">
        <f>' WP II-I-1.4'!G925</f>
        <v>0</v>
      </c>
      <c r="G925" s="728">
        <v>77</v>
      </c>
      <c r="H925" s="703" t="str">
        <f t="shared" si="311"/>
        <v>O&amp;M x565</v>
      </c>
      <c r="I925" s="894"/>
      <c r="J925" s="731">
        <f t="shared" si="312"/>
        <v>0</v>
      </c>
      <c r="K925" s="731">
        <f t="shared" si="312"/>
        <v>0</v>
      </c>
      <c r="L925" s="731">
        <f t="shared" si="312"/>
        <v>0</v>
      </c>
      <c r="M925" s="731">
        <f t="shared" si="312"/>
        <v>0</v>
      </c>
      <c r="N925" s="731">
        <f t="shared" si="312"/>
        <v>0</v>
      </c>
      <c r="O925" s="731">
        <f t="shared" si="312"/>
        <v>0</v>
      </c>
      <c r="P925" s="731">
        <f t="shared" si="312"/>
        <v>0</v>
      </c>
      <c r="Q925" s="731">
        <f t="shared" si="312"/>
        <v>0</v>
      </c>
      <c r="R925" s="731">
        <f t="shared" si="312"/>
        <v>0</v>
      </c>
      <c r="S925" s="731">
        <f t="shared" si="312"/>
        <v>0</v>
      </c>
      <c r="T925" s="894"/>
      <c r="U925" s="729">
        <f t="shared" si="313"/>
        <v>0</v>
      </c>
      <c r="X925" s="729">
        <f t="shared" si="296"/>
        <v>0</v>
      </c>
    </row>
    <row r="926" spans="2:24" s="664" customFormat="1" ht="14.25">
      <c r="B926" s="728">
        <f t="shared" si="310"/>
        <v>11</v>
      </c>
      <c r="C926" s="730" t="s">
        <v>272</v>
      </c>
      <c r="D926" s="730" t="s">
        <v>273</v>
      </c>
      <c r="E926" s="694"/>
      <c r="F926" s="729">
        <f>' WP II-I-1.4'!G926</f>
        <v>0</v>
      </c>
      <c r="G926" s="728">
        <v>77</v>
      </c>
      <c r="H926" s="703" t="str">
        <f t="shared" si="311"/>
        <v>O&amp;M x565</v>
      </c>
      <c r="I926" s="894"/>
      <c r="J926" s="731">
        <f t="shared" si="312"/>
        <v>0</v>
      </c>
      <c r="K926" s="731">
        <f t="shared" si="312"/>
        <v>0</v>
      </c>
      <c r="L926" s="731">
        <f t="shared" si="312"/>
        <v>0</v>
      </c>
      <c r="M926" s="731">
        <f t="shared" si="312"/>
        <v>0</v>
      </c>
      <c r="N926" s="731">
        <f t="shared" si="312"/>
        <v>0</v>
      </c>
      <c r="O926" s="731">
        <f t="shared" si="312"/>
        <v>0</v>
      </c>
      <c r="P926" s="731">
        <f t="shared" si="312"/>
        <v>0</v>
      </c>
      <c r="Q926" s="731">
        <f t="shared" si="312"/>
        <v>0</v>
      </c>
      <c r="R926" s="731">
        <f t="shared" si="312"/>
        <v>0</v>
      </c>
      <c r="S926" s="731">
        <f t="shared" si="312"/>
        <v>0</v>
      </c>
      <c r="T926" s="894"/>
      <c r="U926" s="729">
        <f t="shared" si="313"/>
        <v>0</v>
      </c>
      <c r="X926" s="729">
        <f t="shared" si="296"/>
        <v>0</v>
      </c>
    </row>
    <row r="927" spans="2:24" s="664" customFormat="1" ht="14.25">
      <c r="B927" s="728">
        <f t="shared" si="310"/>
        <v>12</v>
      </c>
      <c r="C927" s="732" t="s">
        <v>274</v>
      </c>
      <c r="D927" s="730" t="s">
        <v>206</v>
      </c>
      <c r="E927" s="694"/>
      <c r="F927" s="729">
        <f>' WP II-I-1.4'!G927</f>
        <v>0</v>
      </c>
      <c r="G927" s="728">
        <v>77</v>
      </c>
      <c r="H927" s="703" t="str">
        <f t="shared" si="311"/>
        <v>O&amp;M x565</v>
      </c>
      <c r="I927" s="894"/>
      <c r="J927" s="731">
        <f t="shared" si="312"/>
        <v>0</v>
      </c>
      <c r="K927" s="731">
        <f t="shared" si="312"/>
        <v>0</v>
      </c>
      <c r="L927" s="731">
        <f t="shared" si="312"/>
        <v>0</v>
      </c>
      <c r="M927" s="731">
        <f t="shared" si="312"/>
        <v>0</v>
      </c>
      <c r="N927" s="731">
        <f t="shared" si="312"/>
        <v>0</v>
      </c>
      <c r="O927" s="731">
        <f t="shared" si="312"/>
        <v>0</v>
      </c>
      <c r="P927" s="731">
        <f t="shared" si="312"/>
        <v>0</v>
      </c>
      <c r="Q927" s="731">
        <f t="shared" si="312"/>
        <v>0</v>
      </c>
      <c r="R927" s="731">
        <f t="shared" si="312"/>
        <v>0</v>
      </c>
      <c r="S927" s="731">
        <f t="shared" si="312"/>
        <v>0</v>
      </c>
      <c r="T927" s="894"/>
      <c r="U927" s="729">
        <f t="shared" si="313"/>
        <v>0</v>
      </c>
      <c r="X927" s="729">
        <f t="shared" si="296"/>
        <v>0</v>
      </c>
    </row>
    <row r="928" spans="2:24" s="664" customFormat="1" ht="14.25">
      <c r="B928" s="728">
        <f t="shared" si="310"/>
        <v>13</v>
      </c>
      <c r="C928" s="732" t="s">
        <v>275</v>
      </c>
      <c r="D928" s="730" t="s">
        <v>276</v>
      </c>
      <c r="E928" s="694"/>
      <c r="F928" s="729">
        <f>' WP II-I-1.4'!G928</f>
        <v>3118.1799999999998</v>
      </c>
      <c r="G928" s="728">
        <v>62</v>
      </c>
      <c r="H928" s="703" t="str">
        <f t="shared" si="311"/>
        <v>PLTGEN</v>
      </c>
      <c r="I928" s="894"/>
      <c r="J928" s="731">
        <f t="shared" si="312"/>
        <v>1735.5702689187592</v>
      </c>
      <c r="K928" s="731">
        <f t="shared" si="312"/>
        <v>57.694496687328702</v>
      </c>
      <c r="L928" s="731">
        <f t="shared" si="312"/>
        <v>1097.6236562268527</v>
      </c>
      <c r="M928" s="731">
        <f t="shared" si="312"/>
        <v>0.39746302101316905</v>
      </c>
      <c r="N928" s="731">
        <f t="shared" si="312"/>
        <v>168.22636094824705</v>
      </c>
      <c r="O928" s="731">
        <f t="shared" si="312"/>
        <v>16.676581108494702</v>
      </c>
      <c r="P928" s="731">
        <f t="shared" si="312"/>
        <v>3.1577736760617525</v>
      </c>
      <c r="Q928" s="731">
        <f t="shared" si="312"/>
        <v>27.702813297795011</v>
      </c>
      <c r="R928" s="731">
        <f t="shared" si="312"/>
        <v>1.9987926225779955</v>
      </c>
      <c r="S928" s="731">
        <f t="shared" si="312"/>
        <v>9.131793492870095</v>
      </c>
      <c r="T928" s="894"/>
      <c r="U928" s="729">
        <f>SUM(I928:T928)</f>
        <v>3118.1800000000003</v>
      </c>
      <c r="X928" s="729">
        <f t="shared" si="296"/>
        <v>0</v>
      </c>
    </row>
    <row r="929" spans="2:24" s="664" customFormat="1" ht="14.25">
      <c r="B929" s="728">
        <f t="shared" si="310"/>
        <v>14</v>
      </c>
      <c r="C929" s="733" t="s">
        <v>277</v>
      </c>
      <c r="D929" s="730" t="s">
        <v>276</v>
      </c>
      <c r="E929" s="694"/>
      <c r="F929" s="729">
        <f>' WP II-I-1.4'!G929</f>
        <v>1273875.04</v>
      </c>
      <c r="G929" s="728">
        <v>62</v>
      </c>
      <c r="H929" s="703" t="str">
        <f t="shared" si="311"/>
        <v>PLTGEN</v>
      </c>
      <c r="I929" s="894"/>
      <c r="J929" s="734">
        <f t="shared" si="312"/>
        <v>709035.2852438587</v>
      </c>
      <c r="K929" s="734">
        <f t="shared" si="312"/>
        <v>23570.02458977696</v>
      </c>
      <c r="L929" s="734">
        <f t="shared" si="312"/>
        <v>448413.93985623936</v>
      </c>
      <c r="M929" s="734">
        <f t="shared" si="312"/>
        <v>162.37620079394762</v>
      </c>
      <c r="N929" s="734">
        <f t="shared" si="312"/>
        <v>68725.783079232977</v>
      </c>
      <c r="O929" s="734">
        <f t="shared" si="312"/>
        <v>6812.9102318169362</v>
      </c>
      <c r="P929" s="734">
        <f t="shared" si="312"/>
        <v>1290.0503075204485</v>
      </c>
      <c r="Q929" s="734">
        <f t="shared" si="312"/>
        <v>11317.474423490996</v>
      </c>
      <c r="R929" s="734">
        <f t="shared" si="312"/>
        <v>816.56993247286846</v>
      </c>
      <c r="S929" s="734">
        <f t="shared" si="312"/>
        <v>3730.6261347971035</v>
      </c>
      <c r="T929" s="894"/>
      <c r="U929" s="729">
        <f t="shared" si="313"/>
        <v>1273875.0400000005</v>
      </c>
      <c r="X929" s="729">
        <f t="shared" si="296"/>
        <v>0</v>
      </c>
    </row>
    <row r="930" spans="2:24" s="664" customFormat="1" ht="15">
      <c r="B930" s="728">
        <f t="shared" si="310"/>
        <v>15</v>
      </c>
      <c r="C930" s="8" t="s">
        <v>687</v>
      </c>
      <c r="D930" s="34"/>
      <c r="E930" s="22"/>
      <c r="F930" s="22">
        <f>SUM(F917:F929)</f>
        <v>49572255.649999999</v>
      </c>
      <c r="G930" s="22"/>
      <c r="H930" s="22"/>
      <c r="I930" s="896"/>
      <c r="J930" s="896">
        <f t="shared" si="314" ref="J930:Q930">SUM(J917:J929)</f>
        <v>26386490.766714346</v>
      </c>
      <c r="K930" s="896">
        <f t="shared" si="314"/>
        <v>720403.5169893587</v>
      </c>
      <c r="L930" s="896">
        <f t="shared" si="314"/>
        <v>16874636.382593073</v>
      </c>
      <c r="M930" s="896">
        <f t="shared" si="314"/>
        <v>11324.608537207407</v>
      </c>
      <c r="N930" s="896">
        <f t="shared" si="314"/>
        <v>3381648.3003832488</v>
      </c>
      <c r="O930" s="896">
        <f>SUM(O917:O929)</f>
        <v>283637.32126143016</v>
      </c>
      <c r="P930" s="896">
        <f t="shared" si="314"/>
        <v>10798.580752228658</v>
      </c>
      <c r="Q930" s="896">
        <f t="shared" si="314"/>
        <v>1689981.612276712</v>
      </c>
      <c r="R930" s="896">
        <f>SUM(R917:R929)</f>
        <v>33700.870658592343</v>
      </c>
      <c r="S930" s="896">
        <f>SUM(S917:S929)</f>
        <v>179633.68983378483</v>
      </c>
      <c r="T930" s="22"/>
      <c r="U930" s="299">
        <f t="shared" si="313"/>
        <v>49572255.649999976</v>
      </c>
      <c r="X930" s="729">
        <f t="shared" si="296"/>
        <v>0</v>
      </c>
    </row>
    <row r="931" spans="2:24" s="664" customFormat="1" ht="14.25">
      <c r="B931" s="728">
        <f t="shared" si="310"/>
        <v>16</v>
      </c>
      <c r="C931" s="730"/>
      <c r="D931" s="730"/>
      <c r="E931" s="694"/>
      <c r="F931" s="694"/>
      <c r="G931" s="694"/>
      <c r="H931" s="694"/>
      <c r="I931" s="694"/>
      <c r="J931" s="694"/>
      <c r="K931" s="694"/>
      <c r="L931" s="694"/>
      <c r="M931" s="694"/>
      <c r="N931" s="694"/>
      <c r="O931" s="694"/>
      <c r="P931" s="694"/>
      <c r="Q931" s="694"/>
      <c r="R931" s="694"/>
      <c r="S931" s="694"/>
      <c r="T931" s="694"/>
      <c r="U931" s="730"/>
      <c r="X931" s="729">
        <f t="shared" si="296"/>
        <v>0</v>
      </c>
    </row>
    <row r="932" spans="2:24" s="664" customFormat="1" ht="15">
      <c r="B932" s="728">
        <f t="shared" si="310"/>
        <v>17</v>
      </c>
      <c r="C932" s="8"/>
      <c r="D932" s="297" t="s">
        <v>688</v>
      </c>
      <c r="E932" s="727"/>
      <c r="F932" s="22">
        <f>SUM(F918:F929)</f>
        <v>1276993.22</v>
      </c>
      <c r="G932" s="727"/>
      <c r="H932" s="727"/>
      <c r="I932" s="727"/>
      <c r="J932" s="22">
        <f t="shared" si="315" ref="J932:Q932">SUM(J918:J929)</f>
        <v>710770.85551277746</v>
      </c>
      <c r="K932" s="22">
        <f t="shared" si="315"/>
        <v>23627.719086464287</v>
      </c>
      <c r="L932" s="22">
        <f t="shared" si="315"/>
        <v>449511.56351246621</v>
      </c>
      <c r="M932" s="22">
        <f t="shared" si="315"/>
        <v>162.7736638149608</v>
      </c>
      <c r="N932" s="22">
        <f t="shared" si="315"/>
        <v>68894.009440181224</v>
      </c>
      <c r="O932" s="22">
        <f>SUM(O918:O929)</f>
        <v>6829.5868129254304</v>
      </c>
      <c r="P932" s="22">
        <f t="shared" si="315"/>
        <v>1293.2080811965102</v>
      </c>
      <c r="Q932" s="22">
        <f t="shared" si="315"/>
        <v>11345.177236788792</v>
      </c>
      <c r="R932" s="22">
        <f>SUM(R918:R929)</f>
        <v>818.56872509544644</v>
      </c>
      <c r="S932" s="22">
        <f>SUM(S918:S929)</f>
        <v>3739.7579282899737</v>
      </c>
      <c r="T932" s="727"/>
      <c r="U932" s="299">
        <f>SUM(I932:T932)</f>
        <v>1276993.2200000004</v>
      </c>
      <c r="X932" s="729">
        <f t="shared" si="296"/>
        <v>0</v>
      </c>
    </row>
    <row r="933" spans="2:24" s="664" customFormat="1" ht="15" thickBot="1">
      <c r="B933" s="728">
        <f t="shared" si="310"/>
        <v>18</v>
      </c>
      <c r="C933" s="730"/>
      <c r="D933" s="735"/>
      <c r="E933" s="728"/>
      <c r="F933" s="694"/>
      <c r="G933" s="728"/>
      <c r="H933" s="728"/>
      <c r="I933" s="728"/>
      <c r="J933" s="694"/>
      <c r="K933" s="694"/>
      <c r="L933" s="694"/>
      <c r="M933" s="694"/>
      <c r="N933" s="694"/>
      <c r="O933" s="694"/>
      <c r="P933" s="694"/>
      <c r="Q933" s="694"/>
      <c r="R933" s="694"/>
      <c r="S933" s="694"/>
      <c r="T933" s="728"/>
      <c r="U933" s="730"/>
      <c r="X933" s="729">
        <f t="shared" si="296"/>
        <v>0</v>
      </c>
    </row>
    <row r="934" spans="2:24" s="664" customFormat="1" ht="15.75" thickBot="1">
      <c r="B934" s="728">
        <f t="shared" si="310"/>
        <v>19</v>
      </c>
      <c r="C934" s="284" t="s">
        <v>689</v>
      </c>
      <c r="D934" s="285"/>
      <c r="E934" s="374" t="s">
        <v>279</v>
      </c>
      <c r="F934" s="255">
        <f>+F902+F930</f>
        <v>171590795.55000001</v>
      </c>
      <c r="G934" s="374"/>
      <c r="H934" s="467"/>
      <c r="I934" s="1066"/>
      <c r="J934" s="446">
        <f t="shared" si="316" ref="J934:Q934">+J902+J930</f>
        <v>92864672.335052758</v>
      </c>
      <c r="K934" s="903">
        <f t="shared" si="316"/>
        <v>2582442.465247185</v>
      </c>
      <c r="L934" s="903">
        <f t="shared" si="316"/>
        <v>59368551.667050406</v>
      </c>
      <c r="M934" s="903">
        <f t="shared" si="316"/>
        <v>43693.738940842828</v>
      </c>
      <c r="N934" s="903">
        <f t="shared" si="316"/>
        <v>12140441.207212703</v>
      </c>
      <c r="O934" s="903">
        <f>+O902+O930</f>
        <v>1359237.4207259538</v>
      </c>
      <c r="P934" s="903">
        <f t="shared" si="316"/>
        <v>41757.365102757343</v>
      </c>
      <c r="Q934" s="903">
        <f t="shared" si="316"/>
        <v>2387244.8620820427</v>
      </c>
      <c r="R934" s="903">
        <f>+R902+R930</f>
        <v>161571.99173989601</v>
      </c>
      <c r="S934" s="380">
        <f>+S902+S930</f>
        <v>641182.49684541998</v>
      </c>
      <c r="T934" s="468"/>
      <c r="U934" s="256">
        <f>SUM(I934:T934)</f>
        <v>171590795.54999998</v>
      </c>
      <c r="X934" s="729">
        <f t="shared" si="296"/>
        <v>0</v>
      </c>
    </row>
    <row r="935" spans="24:24" s="664" customFormat="1" ht="14.25">
      <c r="X935" s="729">
        <f t="shared" si="296"/>
        <v>0</v>
      </c>
    </row>
    <row r="936" spans="8:24" s="664" customFormat="1" ht="14.25">
      <c r="H936" s="736"/>
      <c r="U936" s="736"/>
      <c r="V936" s="736">
        <f>$H$2</f>
        <v>0</v>
      </c>
      <c r="W936" s="736"/>
      <c r="X936" s="729"/>
    </row>
    <row r="937" spans="24:24" s="664" customFormat="1" ht="15" thickBot="1">
      <c r="X937" s="729">
        <f t="shared" si="296"/>
        <v>0</v>
      </c>
    </row>
    <row r="938" spans="2:24" s="664" customFormat="1" ht="15">
      <c r="B938" s="920" t="str">
        <f>+$B$4</f>
        <v>2022 RATE CASE</v>
      </c>
      <c r="C938" s="935"/>
      <c r="D938" s="971"/>
      <c r="F938" s="737"/>
      <c r="U938" s="736"/>
      <c r="X938" s="729">
        <f t="shared" si="296"/>
        <v>0</v>
      </c>
    </row>
    <row r="939" spans="2:24" s="664" customFormat="1" ht="15">
      <c r="B939" s="917" t="str">
        <f>+$B$5</f>
        <v>ONCOR ELECTRIC DELIVERY COMPANY LLC</v>
      </c>
      <c r="C939" s="8"/>
      <c r="D939" s="972"/>
      <c r="F939" s="737"/>
      <c r="U939" s="736"/>
      <c r="X939" s="729">
        <f t="shared" si="317" ref="X939:X1002">U939-F939</f>
        <v>0</v>
      </c>
    </row>
    <row r="940" spans="2:24" s="664" customFormat="1" ht="15">
      <c r="B940" s="917" t="str">
        <f>+$B$6</f>
        <v>II-I-1-DIST:  CLASS REVENUE REQUIREMENT</v>
      </c>
      <c r="C940" s="85"/>
      <c r="D940" s="972"/>
      <c r="F940" s="737"/>
      <c r="U940" s="737"/>
      <c r="X940" s="729">
        <f t="shared" si="317"/>
        <v>0</v>
      </c>
    </row>
    <row r="941" spans="2:24" s="664" customFormat="1" ht="15">
      <c r="B941" s="406" t="str">
        <f>+$B$7</f>
        <v>TEST YEAR ENDING 12/31/2021</v>
      </c>
      <c r="C941" s="85"/>
      <c r="D941" s="972"/>
      <c r="F941" s="737"/>
      <c r="U941" s="737"/>
      <c r="X941" s="729">
        <f t="shared" si="317"/>
        <v>0</v>
      </c>
    </row>
    <row r="942" spans="2:24" s="664" customFormat="1" ht="15">
      <c r="B942" s="406" t="str">
        <f>+$B$8</f>
        <v>SPONSOR:  MATTHEW A. TROXLE</v>
      </c>
      <c r="C942" s="85"/>
      <c r="D942" s="972"/>
      <c r="F942" s="737"/>
      <c r="U942" s="737"/>
      <c r="X942" s="729">
        <f t="shared" si="317"/>
        <v>0</v>
      </c>
    </row>
    <row r="943" spans="2:24" s="664" customFormat="1" ht="15.75" thickBot="1">
      <c r="B943" s="410"/>
      <c r="C943" s="934"/>
      <c r="D943" s="973"/>
      <c r="F943" s="737"/>
      <c r="U943" s="737"/>
      <c r="X943" s="729">
        <f t="shared" si="317"/>
        <v>0</v>
      </c>
    </row>
    <row r="944" spans="2:24" s="664" customFormat="1" ht="15" thickBot="1">
      <c r="B944" s="738"/>
      <c r="C944" s="739"/>
      <c r="D944" s="739"/>
      <c r="E944" s="739"/>
      <c r="F944" s="738"/>
      <c r="G944" s="739"/>
      <c r="H944" s="739"/>
      <c r="I944" s="739"/>
      <c r="J944" s="740"/>
      <c r="K944" s="740"/>
      <c r="L944" s="739"/>
      <c r="M944" s="740"/>
      <c r="N944" s="740"/>
      <c r="O944" s="740"/>
      <c r="P944" s="740"/>
      <c r="Q944" s="739"/>
      <c r="R944" s="741" t="str">
        <f>R$10</f>
        <v xml:space="preserve"> </v>
      </c>
      <c r="S944" s="742"/>
      <c r="T944" s="740"/>
      <c r="U944" s="738"/>
      <c r="X944" s="729">
        <f t="shared" si="317"/>
        <v>0</v>
      </c>
    </row>
    <row r="945" spans="2:24" s="664" customFormat="1" ht="15">
      <c r="B945" s="743" t="s">
        <v>2</v>
      </c>
      <c r="C945" s="743" t="s">
        <v>370</v>
      </c>
      <c r="D945" s="287" t="s">
        <v>690</v>
      </c>
      <c r="E945" s="743" t="s">
        <v>371</v>
      </c>
      <c r="F945" s="287" t="str">
        <f>F$11</f>
        <v>DIST</v>
      </c>
      <c r="G945" s="744" t="s">
        <v>741</v>
      </c>
      <c r="H945" s="744" t="s">
        <v>376</v>
      </c>
      <c r="I945" s="743"/>
      <c r="J945" s="744" t="s">
        <v>730</v>
      </c>
      <c r="K945" s="744" t="s">
        <v>409</v>
      </c>
      <c r="L945" s="743" t="s">
        <v>409</v>
      </c>
      <c r="M945" s="744" t="s">
        <v>410</v>
      </c>
      <c r="N945" s="744" t="s">
        <v>410</v>
      </c>
      <c r="O945" s="744" t="s">
        <v>410</v>
      </c>
      <c r="P945" s="744" t="s">
        <v>411</v>
      </c>
      <c r="Q945" s="743" t="s">
        <v>412</v>
      </c>
      <c r="R945" s="745" t="str">
        <f>R$11</f>
        <v>Wholesale</v>
      </c>
      <c r="S945" s="738" t="str">
        <f>S$11</f>
        <v>Wholesale</v>
      </c>
      <c r="T945" s="744"/>
      <c r="U945" s="743" t="s">
        <v>10</v>
      </c>
      <c r="X945" s="729"/>
    </row>
    <row r="946" spans="2:24" s="664" customFormat="1" ht="14.25">
      <c r="B946" s="743"/>
      <c r="C946" s="743"/>
      <c r="D946" s="743"/>
      <c r="E946" s="743"/>
      <c r="F946" s="743"/>
      <c r="G946" s="744" t="s">
        <v>742</v>
      </c>
      <c r="H946" s="744" t="s">
        <v>743</v>
      </c>
      <c r="I946" s="743"/>
      <c r="J946" s="744"/>
      <c r="K946" s="744" t="s">
        <v>731</v>
      </c>
      <c r="L946" s="743" t="s">
        <v>732</v>
      </c>
      <c r="M946" s="744" t="s">
        <v>731</v>
      </c>
      <c r="N946" s="744" t="s">
        <v>732</v>
      </c>
      <c r="O946" s="744" t="s">
        <v>414</v>
      </c>
      <c r="P946" s="744"/>
      <c r="Q946" s="743"/>
      <c r="R946" s="746" t="str">
        <f>R$12</f>
        <v>XFMR</v>
      </c>
      <c r="S946" s="743" t="str">
        <f>S$12</f>
        <v>DLS</v>
      </c>
      <c r="T946" s="744"/>
      <c r="U946" s="743"/>
      <c r="X946" s="729">
        <f t="shared" si="317"/>
        <v>0</v>
      </c>
    </row>
    <row r="947" spans="2:24" s="664" customFormat="1" ht="15" thickBot="1">
      <c r="B947" s="747"/>
      <c r="C947" s="747"/>
      <c r="D947" s="747"/>
      <c r="E947" s="747"/>
      <c r="F947" s="747" t="s">
        <v>13</v>
      </c>
      <c r="G947" s="747" t="s">
        <v>14</v>
      </c>
      <c r="H947" s="747" t="s">
        <v>15</v>
      </c>
      <c r="I947" s="747"/>
      <c r="J947" s="748" t="str">
        <f t="shared" si="318" ref="J947:Q947">J$13</f>
        <v>(d)</v>
      </c>
      <c r="K947" s="748" t="str">
        <f t="shared" si="318"/>
        <v>(e)</v>
      </c>
      <c r="L947" s="747" t="str">
        <f t="shared" si="318"/>
        <v>(f)</v>
      </c>
      <c r="M947" s="748" t="str">
        <f t="shared" si="318"/>
        <v>(g)</v>
      </c>
      <c r="N947" s="748" t="str">
        <f t="shared" si="318"/>
        <v>(h)</v>
      </c>
      <c r="O947" s="748" t="str">
        <f>O$13</f>
        <v>(i)</v>
      </c>
      <c r="P947" s="748" t="str">
        <f t="shared" si="318"/>
        <v>(j)</v>
      </c>
      <c r="Q947" s="748" t="str">
        <f t="shared" si="318"/>
        <v>(k)</v>
      </c>
      <c r="R947" s="748" t="str">
        <f>R$13</f>
        <v>(l)</v>
      </c>
      <c r="S947" s="747" t="str">
        <f>S$13</f>
        <v>(m)</v>
      </c>
      <c r="T947" s="747"/>
      <c r="U947" s="747" t="s">
        <v>734</v>
      </c>
      <c r="X947" s="729"/>
    </row>
    <row r="948" spans="3:24" s="664" customFormat="1" ht="15">
      <c r="C948" s="749"/>
      <c r="D948" s="691"/>
      <c r="E948" s="37"/>
      <c r="F948" s="691"/>
      <c r="G948" s="37"/>
      <c r="H948" s="897"/>
      <c r="I948" s="897"/>
      <c r="J948" s="897"/>
      <c r="K948" s="897"/>
      <c r="L948" s="897"/>
      <c r="M948" s="897"/>
      <c r="N948" s="897"/>
      <c r="O948" s="897"/>
      <c r="P948" s="897"/>
      <c r="Q948" s="897"/>
      <c r="R948" s="897"/>
      <c r="S948" s="897"/>
      <c r="T948" s="37"/>
      <c r="U948" s="691"/>
      <c r="X948" s="729">
        <f t="shared" si="317"/>
        <v>0</v>
      </c>
    </row>
    <row r="949" spans="2:24" s="664" customFormat="1" ht="15">
      <c r="B949" s="728">
        <f t="shared" si="319" ref="B949:B955">B948+1</f>
        <v>1</v>
      </c>
      <c r="C949" s="750"/>
      <c r="D949" s="691" t="s">
        <v>289</v>
      </c>
      <c r="E949" s="37" t="s">
        <v>290</v>
      </c>
      <c r="F949" s="377">
        <v>0</v>
      </c>
      <c r="G949" s="728">
        <v>6</v>
      </c>
      <c r="H949" s="730" t="str">
        <f>VLOOKUP(G949,FactorTable,2)</f>
        <v>CUS W ALL</v>
      </c>
      <c r="I949" s="897"/>
      <c r="J949" s="731">
        <f t="shared" si="320" ref="J949:S953">$F949*HLOOKUP(J$1318,FactorTable,$G949+1)</f>
        <v>0</v>
      </c>
      <c r="K949" s="731">
        <f t="shared" si="320"/>
        <v>0</v>
      </c>
      <c r="L949" s="731">
        <f t="shared" si="320"/>
        <v>0</v>
      </c>
      <c r="M949" s="731">
        <f t="shared" si="320"/>
        <v>0</v>
      </c>
      <c r="N949" s="731">
        <f t="shared" si="320"/>
        <v>0</v>
      </c>
      <c r="O949" s="731">
        <f t="shared" si="320"/>
        <v>0</v>
      </c>
      <c r="P949" s="731">
        <f t="shared" si="320"/>
        <v>0</v>
      </c>
      <c r="Q949" s="731">
        <f t="shared" si="320"/>
        <v>0</v>
      </c>
      <c r="R949" s="731">
        <f t="shared" si="320"/>
        <v>0</v>
      </c>
      <c r="S949" s="731">
        <f t="shared" si="320"/>
        <v>0</v>
      </c>
      <c r="T949" s="897"/>
      <c r="U949" s="729">
        <f>SUM(I949:T949)</f>
        <v>0</v>
      </c>
      <c r="X949" s="729">
        <f t="shared" si="317"/>
        <v>0</v>
      </c>
    </row>
    <row r="950" spans="2:24" s="664" customFormat="1" ht="15">
      <c r="B950" s="728">
        <f t="shared" si="319"/>
        <v>2</v>
      </c>
      <c r="C950" s="334"/>
      <c r="D950" s="691" t="s">
        <v>291</v>
      </c>
      <c r="E950" s="37" t="s">
        <v>290</v>
      </c>
      <c r="F950" s="377">
        <v>0</v>
      </c>
      <c r="G950" s="728">
        <v>6</v>
      </c>
      <c r="H950" s="730" t="str">
        <f>VLOOKUP(G950,FactorTable,2)</f>
        <v>CUS W ALL</v>
      </c>
      <c r="I950" s="897"/>
      <c r="J950" s="731">
        <f t="shared" si="320"/>
        <v>0</v>
      </c>
      <c r="K950" s="731">
        <f t="shared" si="320"/>
        <v>0</v>
      </c>
      <c r="L950" s="731">
        <f t="shared" si="320"/>
        <v>0</v>
      </c>
      <c r="M950" s="731">
        <f t="shared" si="320"/>
        <v>0</v>
      </c>
      <c r="N950" s="731">
        <f t="shared" si="320"/>
        <v>0</v>
      </c>
      <c r="O950" s="731">
        <f t="shared" si="320"/>
        <v>0</v>
      </c>
      <c r="P950" s="731">
        <f t="shared" si="320"/>
        <v>0</v>
      </c>
      <c r="Q950" s="731">
        <f t="shared" si="320"/>
        <v>0</v>
      </c>
      <c r="R950" s="731">
        <f t="shared" si="320"/>
        <v>0</v>
      </c>
      <c r="S950" s="731">
        <f t="shared" si="320"/>
        <v>0</v>
      </c>
      <c r="T950" s="897"/>
      <c r="U950" s="729">
        <f>SUM(I950:T950)</f>
        <v>0</v>
      </c>
      <c r="X950" s="729">
        <f t="shared" si="317"/>
        <v>0</v>
      </c>
    </row>
    <row r="951" spans="2:24" s="664" customFormat="1" ht="15">
      <c r="B951" s="728">
        <f t="shared" si="319"/>
        <v>3</v>
      </c>
      <c r="C951" s="691"/>
      <c r="D951" s="691" t="s">
        <v>292</v>
      </c>
      <c r="E951" s="37" t="s">
        <v>293</v>
      </c>
      <c r="F951" s="377">
        <v>0</v>
      </c>
      <c r="G951" s="728">
        <v>6</v>
      </c>
      <c r="H951" s="730" t="str">
        <f>VLOOKUP(G951,FactorTable,2)</f>
        <v>CUS W ALL</v>
      </c>
      <c r="I951" s="897"/>
      <c r="J951" s="731">
        <f t="shared" si="320"/>
        <v>0</v>
      </c>
      <c r="K951" s="731">
        <f t="shared" si="320"/>
        <v>0</v>
      </c>
      <c r="L951" s="731">
        <f t="shared" si="320"/>
        <v>0</v>
      </c>
      <c r="M951" s="731">
        <f t="shared" si="320"/>
        <v>0</v>
      </c>
      <c r="N951" s="731">
        <f t="shared" si="320"/>
        <v>0</v>
      </c>
      <c r="O951" s="731">
        <f t="shared" si="320"/>
        <v>0</v>
      </c>
      <c r="P951" s="731">
        <f t="shared" si="320"/>
        <v>0</v>
      </c>
      <c r="Q951" s="731">
        <f t="shared" si="320"/>
        <v>0</v>
      </c>
      <c r="R951" s="731">
        <f t="shared" si="320"/>
        <v>0</v>
      </c>
      <c r="S951" s="731">
        <f t="shared" si="320"/>
        <v>0</v>
      </c>
      <c r="T951" s="897"/>
      <c r="U951" s="729">
        <f>SUM(I951:T951)</f>
        <v>0</v>
      </c>
      <c r="X951" s="729">
        <f t="shared" si="317"/>
        <v>0</v>
      </c>
    </row>
    <row r="952" spans="2:24" s="664" customFormat="1" ht="15">
      <c r="B952" s="728">
        <f t="shared" si="319"/>
        <v>4</v>
      </c>
      <c r="C952" s="691"/>
      <c r="D952" s="691" t="s">
        <v>294</v>
      </c>
      <c r="E952" s="37" t="s">
        <v>293</v>
      </c>
      <c r="F952" s="377">
        <v>0</v>
      </c>
      <c r="G952" s="728">
        <v>6</v>
      </c>
      <c r="H952" s="730" t="str">
        <f>VLOOKUP(G952,FactorTable,2)</f>
        <v>CUS W ALL</v>
      </c>
      <c r="I952" s="897"/>
      <c r="J952" s="731">
        <f t="shared" si="320"/>
        <v>0</v>
      </c>
      <c r="K952" s="731">
        <f t="shared" si="320"/>
        <v>0</v>
      </c>
      <c r="L952" s="731">
        <f t="shared" si="320"/>
        <v>0</v>
      </c>
      <c r="M952" s="731">
        <f t="shared" si="320"/>
        <v>0</v>
      </c>
      <c r="N952" s="731">
        <f t="shared" si="320"/>
        <v>0</v>
      </c>
      <c r="O952" s="731">
        <f t="shared" si="320"/>
        <v>0</v>
      </c>
      <c r="P952" s="731">
        <f t="shared" si="320"/>
        <v>0</v>
      </c>
      <c r="Q952" s="731">
        <f t="shared" si="320"/>
        <v>0</v>
      </c>
      <c r="R952" s="731">
        <f t="shared" si="320"/>
        <v>0</v>
      </c>
      <c r="S952" s="731">
        <f t="shared" si="320"/>
        <v>0</v>
      </c>
      <c r="T952" s="897"/>
      <c r="U952" s="729">
        <f>SUM(I952:T952)</f>
        <v>0</v>
      </c>
      <c r="X952" s="729">
        <f t="shared" si="317"/>
        <v>0</v>
      </c>
    </row>
    <row r="953" spans="2:24" s="664" customFormat="1" ht="15">
      <c r="B953" s="728">
        <f t="shared" si="319"/>
        <v>5</v>
      </c>
      <c r="C953" s="691"/>
      <c r="D953" s="691" t="s">
        <v>295</v>
      </c>
      <c r="E953" s="37" t="s">
        <v>293</v>
      </c>
      <c r="F953" s="377">
        <v>0</v>
      </c>
      <c r="G953" s="728">
        <v>6</v>
      </c>
      <c r="H953" s="730" t="str">
        <f>VLOOKUP(G953,FactorTable,2)</f>
        <v>CUS W ALL</v>
      </c>
      <c r="I953" s="897"/>
      <c r="J953" s="731">
        <f t="shared" si="320"/>
        <v>0</v>
      </c>
      <c r="K953" s="731">
        <f t="shared" si="320"/>
        <v>0</v>
      </c>
      <c r="L953" s="731">
        <f t="shared" si="320"/>
        <v>0</v>
      </c>
      <c r="M953" s="731">
        <f t="shared" si="320"/>
        <v>0</v>
      </c>
      <c r="N953" s="731">
        <f t="shared" si="320"/>
        <v>0</v>
      </c>
      <c r="O953" s="731">
        <f t="shared" si="320"/>
        <v>0</v>
      </c>
      <c r="P953" s="731">
        <f t="shared" si="320"/>
        <v>0</v>
      </c>
      <c r="Q953" s="731">
        <f t="shared" si="320"/>
        <v>0</v>
      </c>
      <c r="R953" s="731">
        <f t="shared" si="320"/>
        <v>0</v>
      </c>
      <c r="S953" s="731">
        <f t="shared" si="320"/>
        <v>0</v>
      </c>
      <c r="T953" s="897"/>
      <c r="U953" s="729">
        <f>SUM(I953:T953)</f>
        <v>0</v>
      </c>
      <c r="X953" s="729">
        <f t="shared" si="317"/>
        <v>0</v>
      </c>
    </row>
    <row r="954" spans="2:24" s="664" customFormat="1" ht="15.75" thickBot="1">
      <c r="B954" s="728">
        <f t="shared" si="319"/>
        <v>6</v>
      </c>
      <c r="C954" s="691"/>
      <c r="D954" s="691"/>
      <c r="E954" s="37"/>
      <c r="F954" s="37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729"/>
      <c r="X954" s="729">
        <f t="shared" si="317"/>
        <v>0</v>
      </c>
    </row>
    <row r="955" spans="2:24" s="664" customFormat="1" ht="15.75" thickBot="1">
      <c r="B955" s="728">
        <f t="shared" si="319"/>
        <v>7</v>
      </c>
      <c r="C955" s="341" t="s">
        <v>691</v>
      </c>
      <c r="D955" s="336"/>
      <c r="E955" s="337"/>
      <c r="F955" s="278">
        <f>+F949+F950+F951+F952</f>
        <v>0</v>
      </c>
      <c r="G955" s="337"/>
      <c r="H955" s="457"/>
      <c r="I955" s="643"/>
      <c r="J955" s="356">
        <f t="shared" si="321" ref="J955:Q955">+J949+J950+J951+J952</f>
        <v>0</v>
      </c>
      <c r="K955" s="278">
        <f t="shared" si="321"/>
        <v>0</v>
      </c>
      <c r="L955" s="279">
        <f t="shared" si="321"/>
        <v>0</v>
      </c>
      <c r="M955" s="356">
        <f t="shared" si="321"/>
        <v>0</v>
      </c>
      <c r="N955" s="278">
        <f t="shared" si="321"/>
        <v>0</v>
      </c>
      <c r="O955" s="278">
        <f>+O949+O950+O951+O952</f>
        <v>0</v>
      </c>
      <c r="P955" s="278">
        <f t="shared" si="321"/>
        <v>0</v>
      </c>
      <c r="Q955" s="278">
        <f t="shared" si="321"/>
        <v>0</v>
      </c>
      <c r="R955" s="278">
        <f>+R949+R950+R951+R952</f>
        <v>0</v>
      </c>
      <c r="S955" s="279">
        <f>+S949+S950+S951+S952</f>
        <v>0</v>
      </c>
      <c r="T955" s="458"/>
      <c r="U955" s="256">
        <f>SUM(I955:T955)</f>
        <v>0</v>
      </c>
      <c r="X955" s="729">
        <f t="shared" si="317"/>
        <v>0</v>
      </c>
    </row>
    <row r="956" spans="24:24" s="664" customFormat="1" ht="14.25">
      <c r="X956" s="729">
        <f t="shared" si="317"/>
        <v>0</v>
      </c>
    </row>
    <row r="957" spans="8:24" s="664" customFormat="1" ht="15" thickBot="1">
      <c r="H957" s="736"/>
      <c r="U957" s="736"/>
      <c r="V957" s="736">
        <f>$H$2</f>
        <v>0</v>
      </c>
      <c r="W957" s="736"/>
      <c r="X957" s="729"/>
    </row>
    <row r="958" spans="2:24" s="664" customFormat="1" ht="15">
      <c r="B958" s="920" t="str">
        <f>+$B$4</f>
        <v>2022 RATE CASE</v>
      </c>
      <c r="C958" s="935"/>
      <c r="D958" s="971"/>
      <c r="F958" s="737"/>
      <c r="U958" s="736"/>
      <c r="X958" s="729">
        <f t="shared" si="317"/>
        <v>0</v>
      </c>
    </row>
    <row r="959" spans="2:24" s="664" customFormat="1" ht="15">
      <c r="B959" s="917" t="str">
        <f>+$B$5</f>
        <v>ONCOR ELECTRIC DELIVERY COMPANY LLC</v>
      </c>
      <c r="C959" s="8"/>
      <c r="D959" s="972"/>
      <c r="F959" s="737"/>
      <c r="U959" s="736"/>
      <c r="X959" s="729">
        <f t="shared" si="317"/>
        <v>0</v>
      </c>
    </row>
    <row r="960" spans="2:24" s="664" customFormat="1" ht="15">
      <c r="B960" s="917" t="str">
        <f>+$B$6</f>
        <v>II-I-1-DIST:  CLASS REVENUE REQUIREMENT</v>
      </c>
      <c r="C960" s="85"/>
      <c r="D960" s="972"/>
      <c r="F960" s="737"/>
      <c r="U960" s="737"/>
      <c r="X960" s="729">
        <f t="shared" si="317"/>
        <v>0</v>
      </c>
    </row>
    <row r="961" spans="2:24" s="664" customFormat="1" ht="15">
      <c r="B961" s="406" t="str">
        <f>+$B$7</f>
        <v>TEST YEAR ENDING 12/31/2021</v>
      </c>
      <c r="C961" s="85"/>
      <c r="D961" s="972"/>
      <c r="F961" s="737"/>
      <c r="U961" s="737"/>
      <c r="X961" s="729">
        <f t="shared" si="317"/>
        <v>0</v>
      </c>
    </row>
    <row r="962" spans="2:24" s="664" customFormat="1" ht="15">
      <c r="B962" s="406" t="str">
        <f>+$B$8</f>
        <v>SPONSOR:  MATTHEW A. TROXLE</v>
      </c>
      <c r="C962" s="85"/>
      <c r="D962" s="972"/>
      <c r="F962" s="737"/>
      <c r="U962" s="737"/>
      <c r="X962" s="729">
        <f t="shared" si="317"/>
        <v>0</v>
      </c>
    </row>
    <row r="963" spans="2:24" s="664" customFormat="1" ht="15.75" thickBot="1">
      <c r="B963" s="410"/>
      <c r="C963" s="934"/>
      <c r="D963" s="973"/>
      <c r="F963" s="737"/>
      <c r="U963" s="737"/>
      <c r="X963" s="729">
        <f t="shared" si="317"/>
        <v>0</v>
      </c>
    </row>
    <row r="964" spans="2:24" s="664" customFormat="1" ht="15" thickBot="1">
      <c r="B964" s="738"/>
      <c r="C964" s="739"/>
      <c r="D964" s="739"/>
      <c r="E964" s="739"/>
      <c r="F964" s="738"/>
      <c r="G964" s="739"/>
      <c r="H964" s="739"/>
      <c r="I964" s="739"/>
      <c r="J964" s="740"/>
      <c r="K964" s="740"/>
      <c r="L964" s="739"/>
      <c r="M964" s="740"/>
      <c r="N964" s="740"/>
      <c r="O964" s="740"/>
      <c r="P964" s="740"/>
      <c r="Q964" s="739"/>
      <c r="R964" s="741" t="str">
        <f>R$10</f>
        <v xml:space="preserve"> </v>
      </c>
      <c r="S964" s="742"/>
      <c r="T964" s="740"/>
      <c r="U964" s="738"/>
      <c r="X964" s="729">
        <f t="shared" si="317"/>
        <v>0</v>
      </c>
    </row>
    <row r="965" spans="2:24" s="664" customFormat="1" ht="15">
      <c r="B965" s="743" t="s">
        <v>2</v>
      </c>
      <c r="C965" s="743" t="s">
        <v>370</v>
      </c>
      <c r="D965" s="287" t="s">
        <v>692</v>
      </c>
      <c r="E965" s="743" t="s">
        <v>371</v>
      </c>
      <c r="F965" s="287" t="str">
        <f>F$11</f>
        <v>DIST</v>
      </c>
      <c r="G965" s="744" t="s">
        <v>741</v>
      </c>
      <c r="H965" s="744" t="s">
        <v>376</v>
      </c>
      <c r="I965" s="743"/>
      <c r="J965" s="744" t="s">
        <v>730</v>
      </c>
      <c r="K965" s="744" t="s">
        <v>409</v>
      </c>
      <c r="L965" s="743" t="s">
        <v>409</v>
      </c>
      <c r="M965" s="744" t="s">
        <v>410</v>
      </c>
      <c r="N965" s="744" t="s">
        <v>410</v>
      </c>
      <c r="O965" s="744" t="s">
        <v>410</v>
      </c>
      <c r="P965" s="744" t="s">
        <v>411</v>
      </c>
      <c r="Q965" s="743" t="s">
        <v>412</v>
      </c>
      <c r="R965" s="745" t="str">
        <f>R$11</f>
        <v>Wholesale</v>
      </c>
      <c r="S965" s="738" t="str">
        <f>S$11</f>
        <v>Wholesale</v>
      </c>
      <c r="T965" s="744"/>
      <c r="U965" s="743" t="s">
        <v>10</v>
      </c>
      <c r="X965" s="729"/>
    </row>
    <row r="966" spans="2:24" s="664" customFormat="1" ht="14.25">
      <c r="B966" s="743"/>
      <c r="C966" s="743"/>
      <c r="D966" s="743"/>
      <c r="E966" s="743"/>
      <c r="F966" s="743"/>
      <c r="G966" s="744" t="s">
        <v>742</v>
      </c>
      <c r="H966" s="744" t="s">
        <v>743</v>
      </c>
      <c r="I966" s="743"/>
      <c r="J966" s="744"/>
      <c r="K966" s="744" t="s">
        <v>731</v>
      </c>
      <c r="L966" s="743" t="s">
        <v>732</v>
      </c>
      <c r="M966" s="744" t="s">
        <v>731</v>
      </c>
      <c r="N966" s="744" t="s">
        <v>732</v>
      </c>
      <c r="O966" s="744" t="s">
        <v>414</v>
      </c>
      <c r="P966" s="744"/>
      <c r="Q966" s="743"/>
      <c r="R966" s="746" t="str">
        <f>R$12</f>
        <v>XFMR</v>
      </c>
      <c r="S966" s="743" t="str">
        <f>S$12</f>
        <v>DLS</v>
      </c>
      <c r="T966" s="744"/>
      <c r="U966" s="743"/>
      <c r="X966" s="729">
        <f t="shared" si="317"/>
        <v>0</v>
      </c>
    </row>
    <row r="967" spans="2:24" s="664" customFormat="1" ht="15" thickBot="1">
      <c r="B967" s="747"/>
      <c r="C967" s="747"/>
      <c r="D967" s="747"/>
      <c r="E967" s="747"/>
      <c r="F967" s="747" t="s">
        <v>13</v>
      </c>
      <c r="G967" s="747" t="s">
        <v>14</v>
      </c>
      <c r="H967" s="747" t="s">
        <v>15</v>
      </c>
      <c r="I967" s="747"/>
      <c r="J967" s="748" t="str">
        <f t="shared" si="322" ref="J967:Q967">J$13</f>
        <v>(d)</v>
      </c>
      <c r="K967" s="748" t="str">
        <f t="shared" si="322"/>
        <v>(e)</v>
      </c>
      <c r="L967" s="747" t="str">
        <f t="shared" si="322"/>
        <v>(f)</v>
      </c>
      <c r="M967" s="748" t="str">
        <f t="shared" si="322"/>
        <v>(g)</v>
      </c>
      <c r="N967" s="748" t="str">
        <f t="shared" si="322"/>
        <v>(h)</v>
      </c>
      <c r="O967" s="748" t="str">
        <f>O$13</f>
        <v>(i)</v>
      </c>
      <c r="P967" s="748" t="str">
        <f t="shared" si="322"/>
        <v>(j)</v>
      </c>
      <c r="Q967" s="748" t="str">
        <f t="shared" si="322"/>
        <v>(k)</v>
      </c>
      <c r="R967" s="748" t="str">
        <f>R$13</f>
        <v>(l)</v>
      </c>
      <c r="S967" s="747" t="str">
        <f>S$13</f>
        <v>(m)</v>
      </c>
      <c r="T967" s="747"/>
      <c r="U967" s="747" t="s">
        <v>734</v>
      </c>
      <c r="X967" s="729"/>
    </row>
    <row r="968" spans="3:24" s="664" customFormat="1" ht="14.25">
      <c r="C968" s="749"/>
      <c r="D968" s="749"/>
      <c r="E968" s="749"/>
      <c r="F968" s="749"/>
      <c r="G968" s="749"/>
      <c r="H968" s="749"/>
      <c r="I968" s="749"/>
      <c r="J968" s="749"/>
      <c r="K968" s="749"/>
      <c r="L968" s="749"/>
      <c r="M968" s="749"/>
      <c r="N968" s="749"/>
      <c r="O968" s="749"/>
      <c r="P968" s="749"/>
      <c r="Q968" s="749"/>
      <c r="R968" s="749"/>
      <c r="S968" s="749"/>
      <c r="T968" s="749"/>
      <c r="U968" s="691"/>
      <c r="X968" s="729">
        <f t="shared" si="317"/>
        <v>0</v>
      </c>
    </row>
    <row r="969" spans="2:24" s="664" customFormat="1" ht="15">
      <c r="B969" s="728">
        <f t="shared" si="323" ref="B969:B1004">B968+1</f>
        <v>1</v>
      </c>
      <c r="C969" s="366" t="s">
        <v>296</v>
      </c>
      <c r="D969" s="8"/>
      <c r="E969" s="727"/>
      <c r="F969" s="8"/>
      <c r="G969" s="727"/>
      <c r="H969" s="727"/>
      <c r="I969" s="727"/>
      <c r="J969" s="727"/>
      <c r="K969" s="727"/>
      <c r="L969" s="727"/>
      <c r="M969" s="727"/>
      <c r="N969" s="727"/>
      <c r="O969" s="727"/>
      <c r="P969" s="727"/>
      <c r="Q969" s="727"/>
      <c r="R969" s="727"/>
      <c r="S969" s="727"/>
      <c r="T969" s="727"/>
      <c r="U969" s="8"/>
      <c r="X969" s="729">
        <f t="shared" si="317"/>
        <v>0</v>
      </c>
    </row>
    <row r="970" spans="2:24" s="664" customFormat="1" ht="14.25">
      <c r="B970" s="728">
        <f t="shared" si="323"/>
        <v>2</v>
      </c>
      <c r="C970" s="730"/>
      <c r="D970" s="730"/>
      <c r="E970" s="728"/>
      <c r="F970" s="730"/>
      <c r="G970" s="728"/>
      <c r="H970" s="728"/>
      <c r="I970" s="728"/>
      <c r="J970" s="728"/>
      <c r="K970" s="728"/>
      <c r="L970" s="728"/>
      <c r="M970" s="728"/>
      <c r="N970" s="728"/>
      <c r="O970" s="728"/>
      <c r="P970" s="728"/>
      <c r="Q970" s="728"/>
      <c r="R970" s="728"/>
      <c r="S970" s="728"/>
      <c r="T970" s="728"/>
      <c r="U970" s="730"/>
      <c r="X970" s="729">
        <f t="shared" si="317"/>
        <v>0</v>
      </c>
    </row>
    <row r="971" spans="2:24" s="664" customFormat="1" ht="15">
      <c r="B971" s="728">
        <f t="shared" si="323"/>
        <v>3</v>
      </c>
      <c r="C971" s="8" t="s">
        <v>693</v>
      </c>
      <c r="D971" s="8"/>
      <c r="E971" s="727" t="s">
        <v>297</v>
      </c>
      <c r="F971" s="378"/>
      <c r="G971" s="727"/>
      <c r="H971" s="727"/>
      <c r="I971" s="1010"/>
      <c r="J971" s="1059"/>
      <c r="K971" s="1059"/>
      <c r="L971" s="1059"/>
      <c r="M971" s="1059"/>
      <c r="N971" s="1059"/>
      <c r="O971" s="1059"/>
      <c r="P971" s="1059"/>
      <c r="Q971" s="1059"/>
      <c r="R971" s="1059"/>
      <c r="S971" s="1059"/>
      <c r="T971" s="727"/>
      <c r="U971" s="8"/>
      <c r="X971" s="729">
        <f t="shared" si="317"/>
        <v>0</v>
      </c>
    </row>
    <row r="972" spans="2:24" s="664" customFormat="1" ht="14.25">
      <c r="B972" s="728">
        <f t="shared" si="323"/>
        <v>4</v>
      </c>
      <c r="C972" s="730" t="s">
        <v>25</v>
      </c>
      <c r="D972" s="730" t="s">
        <v>26</v>
      </c>
      <c r="E972" s="728"/>
      <c r="F972" s="729">
        <f>' WP II-I-1.4'!G972</f>
        <v>0</v>
      </c>
      <c r="G972" s="728">
        <v>66</v>
      </c>
      <c r="H972" s="703" t="str">
        <f>VLOOKUP(G972,FactorTable,2)</f>
        <v>PLT INT_N</v>
      </c>
      <c r="I972" s="728"/>
      <c r="J972" s="731">
        <f t="shared" si="324" ref="J972:S974">$F972*HLOOKUP(J$1318,FactorTable,$G972+1)</f>
        <v>0</v>
      </c>
      <c r="K972" s="731">
        <f t="shared" si="324"/>
        <v>0</v>
      </c>
      <c r="L972" s="731">
        <f t="shared" si="324"/>
        <v>0</v>
      </c>
      <c r="M972" s="731">
        <f t="shared" si="324"/>
        <v>0</v>
      </c>
      <c r="N972" s="731">
        <f t="shared" si="324"/>
        <v>0</v>
      </c>
      <c r="O972" s="731">
        <f t="shared" si="324"/>
        <v>0</v>
      </c>
      <c r="P972" s="731">
        <f t="shared" si="324"/>
        <v>0</v>
      </c>
      <c r="Q972" s="731">
        <f t="shared" si="324"/>
        <v>0</v>
      </c>
      <c r="R972" s="731">
        <f t="shared" si="324"/>
        <v>0</v>
      </c>
      <c r="S972" s="731">
        <f t="shared" si="324"/>
        <v>0</v>
      </c>
      <c r="T972" s="728"/>
      <c r="U972" s="729">
        <f>SUM(I972:T972)</f>
        <v>0</v>
      </c>
      <c r="X972" s="729">
        <f t="shared" si="317"/>
        <v>0</v>
      </c>
    </row>
    <row r="973" spans="2:24" s="664" customFormat="1" ht="14.25">
      <c r="B973" s="728">
        <f t="shared" si="323"/>
        <v>5</v>
      </c>
      <c r="C973" s="730" t="s">
        <v>27</v>
      </c>
      <c r="D973" s="730" t="s">
        <v>37</v>
      </c>
      <c r="E973" s="728"/>
      <c r="F973" s="729">
        <f>' WP II-I-1.4'!G973</f>
        <v>0</v>
      </c>
      <c r="G973" s="728">
        <v>66</v>
      </c>
      <c r="H973" s="703" t="str">
        <f>VLOOKUP(G973,FactorTable,2)</f>
        <v>PLT INT_N</v>
      </c>
      <c r="I973" s="728"/>
      <c r="J973" s="731">
        <f t="shared" si="324"/>
        <v>0</v>
      </c>
      <c r="K973" s="731">
        <f t="shared" si="324"/>
        <v>0</v>
      </c>
      <c r="L973" s="731">
        <f t="shared" si="324"/>
        <v>0</v>
      </c>
      <c r="M973" s="731">
        <f t="shared" si="324"/>
        <v>0</v>
      </c>
      <c r="N973" s="731">
        <f t="shared" si="324"/>
        <v>0</v>
      </c>
      <c r="O973" s="731">
        <f t="shared" si="324"/>
        <v>0</v>
      </c>
      <c r="P973" s="731">
        <f t="shared" si="324"/>
        <v>0</v>
      </c>
      <c r="Q973" s="731">
        <f t="shared" si="324"/>
        <v>0</v>
      </c>
      <c r="R973" s="731">
        <f t="shared" si="324"/>
        <v>0</v>
      </c>
      <c r="S973" s="731">
        <f t="shared" si="324"/>
        <v>0</v>
      </c>
      <c r="T973" s="728"/>
      <c r="U973" s="729">
        <f>SUM(I973:T973)</f>
        <v>0</v>
      </c>
      <c r="X973" s="729">
        <f t="shared" si="317"/>
        <v>0</v>
      </c>
    </row>
    <row r="974" spans="2:24" s="664" customFormat="1" ht="14.25">
      <c r="B974" s="728">
        <f t="shared" si="323"/>
        <v>6</v>
      </c>
      <c r="C974" s="730" t="s">
        <v>29</v>
      </c>
      <c r="D974" s="730" t="s">
        <v>34</v>
      </c>
      <c r="E974" s="728"/>
      <c r="F974" s="729">
        <f>' WP II-I-1.4'!G974</f>
        <v>29112436.41</v>
      </c>
      <c r="G974" s="728">
        <v>66</v>
      </c>
      <c r="H974" s="703" t="str">
        <f>VLOOKUP(G974,FactorTable,2)</f>
        <v>PLT INT_N</v>
      </c>
      <c r="I974" s="728"/>
      <c r="J974" s="734">
        <f t="shared" si="324"/>
        <v>16203900.701365527</v>
      </c>
      <c r="K974" s="734">
        <f t="shared" si="324"/>
        <v>538656.32067963108</v>
      </c>
      <c r="L974" s="734">
        <f t="shared" si="324"/>
        <v>10247804.454526661</v>
      </c>
      <c r="M974" s="734">
        <f t="shared" si="324"/>
        <v>3710.8559879713098</v>
      </c>
      <c r="N974" s="734">
        <f t="shared" si="324"/>
        <v>1570621.0788317376</v>
      </c>
      <c r="O974" s="734">
        <f t="shared" si="324"/>
        <v>155698.48663555642</v>
      </c>
      <c r="P974" s="734">
        <f t="shared" si="324"/>
        <v>29482.097037861742</v>
      </c>
      <c r="Q974" s="734">
        <f t="shared" si="324"/>
        <v>258643.30811888966</v>
      </c>
      <c r="R974" s="734">
        <f t="shared" si="324"/>
        <v>18661.438121461553</v>
      </c>
      <c r="S974" s="734">
        <f t="shared" si="324"/>
        <v>85257.668694697655</v>
      </c>
      <c r="T974" s="728"/>
      <c r="U974" s="729">
        <f>SUM(I974:T974)</f>
        <v>29112436.409999993</v>
      </c>
      <c r="X974" s="729">
        <f t="shared" si="317"/>
        <v>0</v>
      </c>
    </row>
    <row r="975" spans="2:24" s="664" customFormat="1" ht="15">
      <c r="B975" s="728">
        <f t="shared" si="323"/>
        <v>7</v>
      </c>
      <c r="C975" s="22"/>
      <c r="D975" s="379" t="s">
        <v>491</v>
      </c>
      <c r="E975" s="22"/>
      <c r="F975" s="22">
        <f>+F972+F973+F974</f>
        <v>29112436.41</v>
      </c>
      <c r="G975" s="22"/>
      <c r="H975" s="22"/>
      <c r="I975" s="896"/>
      <c r="J975" s="896">
        <f t="shared" si="325" ref="J975:Q975">+J972+J973+J974</f>
        <v>16203900.701365527</v>
      </c>
      <c r="K975" s="896">
        <f t="shared" si="325"/>
        <v>538656.32067963108</v>
      </c>
      <c r="L975" s="896">
        <f t="shared" si="325"/>
        <v>10247804.454526661</v>
      </c>
      <c r="M975" s="896">
        <f t="shared" si="325"/>
        <v>3710.8559879713098</v>
      </c>
      <c r="N975" s="896">
        <f t="shared" si="325"/>
        <v>1570621.0788317376</v>
      </c>
      <c r="O975" s="896">
        <f>+O972+O973+O974</f>
        <v>155698.48663555642</v>
      </c>
      <c r="P975" s="896">
        <f t="shared" si="325"/>
        <v>29482.097037861742</v>
      </c>
      <c r="Q975" s="896">
        <f t="shared" si="325"/>
        <v>258643.30811888966</v>
      </c>
      <c r="R975" s="896">
        <f>+R972+R973+R974</f>
        <v>18661.438121461553</v>
      </c>
      <c r="S975" s="896">
        <f>+S972+S973+S974</f>
        <v>85257.668694697655</v>
      </c>
      <c r="T975" s="896"/>
      <c r="U975" s="299">
        <f>SUM(I975:T975)</f>
        <v>29112436.409999993</v>
      </c>
      <c r="X975" s="729">
        <f t="shared" si="317"/>
        <v>0</v>
      </c>
    </row>
    <row r="976" spans="2:24" s="664" customFormat="1" ht="14.25">
      <c r="B976" s="728">
        <f t="shared" si="323"/>
        <v>8</v>
      </c>
      <c r="C976" s="730"/>
      <c r="D976" s="730"/>
      <c r="E976" s="728"/>
      <c r="F976" s="694"/>
      <c r="G976" s="728"/>
      <c r="H976" s="728"/>
      <c r="I976" s="728"/>
      <c r="J976" s="728"/>
      <c r="K976" s="728"/>
      <c r="L976" s="728"/>
      <c r="M976" s="728"/>
      <c r="N976" s="728"/>
      <c r="O976" s="728"/>
      <c r="P976" s="728"/>
      <c r="Q976" s="728"/>
      <c r="R976" s="728"/>
      <c r="S976" s="728"/>
      <c r="T976" s="728"/>
      <c r="U976" s="730"/>
      <c r="X976" s="729">
        <f t="shared" si="317"/>
        <v>0</v>
      </c>
    </row>
    <row r="977" spans="2:24" s="664" customFormat="1" ht="15">
      <c r="B977" s="728">
        <f t="shared" si="323"/>
        <v>9</v>
      </c>
      <c r="C977" s="8" t="s">
        <v>694</v>
      </c>
      <c r="D977" s="8"/>
      <c r="E977" s="727" t="s">
        <v>297</v>
      </c>
      <c r="F977" s="22"/>
      <c r="G977" s="727"/>
      <c r="H977" s="727"/>
      <c r="I977" s="1010"/>
      <c r="J977" s="1059"/>
      <c r="K977" s="1059"/>
      <c r="L977" s="1059"/>
      <c r="M977" s="1059"/>
      <c r="N977" s="1059"/>
      <c r="O977" s="1059"/>
      <c r="P977" s="1059"/>
      <c r="Q977" s="1059"/>
      <c r="R977" s="1059"/>
      <c r="S977" s="1059"/>
      <c r="T977" s="1010"/>
      <c r="U977" s="8"/>
      <c r="X977" s="729">
        <f t="shared" si="317"/>
        <v>0</v>
      </c>
    </row>
    <row r="978" spans="2:24" s="664" customFormat="1" ht="14.25">
      <c r="B978" s="728">
        <f t="shared" si="323"/>
        <v>10</v>
      </c>
      <c r="C978" s="730" t="s">
        <v>41</v>
      </c>
      <c r="D978" s="730" t="s">
        <v>42</v>
      </c>
      <c r="E978" s="728"/>
      <c r="F978" s="729">
        <f>' WP II-I-1.4'!G978</f>
        <v>0</v>
      </c>
      <c r="G978" s="728">
        <v>67</v>
      </c>
      <c r="H978" s="703" t="str">
        <f t="shared" si="326" ref="H978:H986">VLOOKUP(G978,FactorTable,2)</f>
        <v>PLTTRAN_N</v>
      </c>
      <c r="I978" s="728"/>
      <c r="J978" s="731">
        <f t="shared" si="327" ref="J978:S986">$F978*HLOOKUP(J$1318,FactorTable,$G978+1)</f>
        <v>0</v>
      </c>
      <c r="K978" s="731">
        <f t="shared" si="327"/>
        <v>0</v>
      </c>
      <c r="L978" s="731">
        <f t="shared" si="327"/>
        <v>0</v>
      </c>
      <c r="M978" s="731">
        <f t="shared" si="327"/>
        <v>0</v>
      </c>
      <c r="N978" s="731">
        <f t="shared" si="327"/>
        <v>0</v>
      </c>
      <c r="O978" s="731">
        <f t="shared" si="327"/>
        <v>0</v>
      </c>
      <c r="P978" s="731">
        <f t="shared" si="327"/>
        <v>0</v>
      </c>
      <c r="Q978" s="731">
        <f t="shared" si="327"/>
        <v>0</v>
      </c>
      <c r="R978" s="731">
        <f t="shared" si="327"/>
        <v>0</v>
      </c>
      <c r="S978" s="731">
        <f t="shared" si="327"/>
        <v>0</v>
      </c>
      <c r="T978" s="728"/>
      <c r="U978" s="729">
        <f t="shared" si="328" ref="U978:U987">SUM(I978:T978)</f>
        <v>0</v>
      </c>
      <c r="X978" s="729">
        <f t="shared" si="317"/>
        <v>0</v>
      </c>
    </row>
    <row r="979" spans="2:24" s="664" customFormat="1" ht="14.25">
      <c r="B979" s="728">
        <f t="shared" si="323"/>
        <v>11</v>
      </c>
      <c r="C979" s="730" t="s">
        <v>43</v>
      </c>
      <c r="D979" s="730" t="s">
        <v>44</v>
      </c>
      <c r="E979" s="728"/>
      <c r="F979" s="729">
        <f>' WP II-I-1.4'!G979</f>
        <v>0</v>
      </c>
      <c r="G979" s="728">
        <v>67</v>
      </c>
      <c r="H979" s="703" t="str">
        <f t="shared" si="326"/>
        <v>PLTTRAN_N</v>
      </c>
      <c r="I979" s="728"/>
      <c r="J979" s="731">
        <f t="shared" si="327"/>
        <v>0</v>
      </c>
      <c r="K979" s="731">
        <f t="shared" si="327"/>
        <v>0</v>
      </c>
      <c r="L979" s="731">
        <f t="shared" si="327"/>
        <v>0</v>
      </c>
      <c r="M979" s="731">
        <f t="shared" si="327"/>
        <v>0</v>
      </c>
      <c r="N979" s="731">
        <f t="shared" si="327"/>
        <v>0</v>
      </c>
      <c r="O979" s="731">
        <f t="shared" si="327"/>
        <v>0</v>
      </c>
      <c r="P979" s="731">
        <f t="shared" si="327"/>
        <v>0</v>
      </c>
      <c r="Q979" s="731">
        <f t="shared" si="327"/>
        <v>0</v>
      </c>
      <c r="R979" s="731">
        <f t="shared" si="327"/>
        <v>0</v>
      </c>
      <c r="S979" s="731">
        <f t="shared" si="327"/>
        <v>0</v>
      </c>
      <c r="T979" s="728"/>
      <c r="U979" s="729">
        <f t="shared" si="328"/>
        <v>0</v>
      </c>
      <c r="X979" s="729">
        <f t="shared" si="317"/>
        <v>0</v>
      </c>
    </row>
    <row r="980" spans="2:24" s="664" customFormat="1" ht="14.25">
      <c r="B980" s="728">
        <f t="shared" si="323"/>
        <v>12</v>
      </c>
      <c r="C980" s="730" t="s">
        <v>45</v>
      </c>
      <c r="D980" s="730" t="s">
        <v>46</v>
      </c>
      <c r="E980" s="728"/>
      <c r="F980" s="729">
        <f>' WP II-I-1.4'!G980</f>
        <v>9346418.3000000007</v>
      </c>
      <c r="G980" s="728">
        <v>28</v>
      </c>
      <c r="H980" s="703" t="str">
        <f t="shared" si="326"/>
        <v>NCP XHV</v>
      </c>
      <c r="I980" s="728"/>
      <c r="J980" s="731">
        <f t="shared" si="327"/>
        <v>4919234.7687838422</v>
      </c>
      <c r="K980" s="731">
        <f t="shared" si="327"/>
        <v>120128.7740628163</v>
      </c>
      <c r="L980" s="731">
        <f t="shared" si="327"/>
        <v>3167359.1809363887</v>
      </c>
      <c r="M980" s="731">
        <f t="shared" si="327"/>
        <v>1790.638699747818</v>
      </c>
      <c r="N980" s="731">
        <f t="shared" si="327"/>
        <v>757888.44824810885</v>
      </c>
      <c r="O980" s="731">
        <f t="shared" si="327"/>
        <v>274078.78350110323</v>
      </c>
      <c r="P980" s="731">
        <f t="shared" si="327"/>
        <v>0</v>
      </c>
      <c r="Q980" s="731">
        <f t="shared" si="327"/>
        <v>31947.36096279561</v>
      </c>
      <c r="R980" s="731">
        <f t="shared" si="327"/>
        <v>32850.057628904833</v>
      </c>
      <c r="S980" s="731">
        <f t="shared" si="327"/>
        <v>41140.287176292346</v>
      </c>
      <c r="T980" s="728"/>
      <c r="U980" s="729">
        <f t="shared" si="328"/>
        <v>9346418.3000000007</v>
      </c>
      <c r="X980" s="729">
        <f t="shared" si="317"/>
        <v>0</v>
      </c>
    </row>
    <row r="981" spans="2:24" s="664" customFormat="1" ht="14.25">
      <c r="B981" s="728">
        <f t="shared" si="323"/>
        <v>13</v>
      </c>
      <c r="C981" s="730" t="s">
        <v>47</v>
      </c>
      <c r="D981" s="730" t="s">
        <v>48</v>
      </c>
      <c r="E981" s="728"/>
      <c r="F981" s="729">
        <f>' WP II-I-1.4'!G981</f>
        <v>0</v>
      </c>
      <c r="G981" s="728">
        <v>67</v>
      </c>
      <c r="H981" s="703" t="str">
        <f t="shared" si="326"/>
        <v>PLTTRAN_N</v>
      </c>
      <c r="I981" s="728"/>
      <c r="J981" s="731">
        <f t="shared" si="327"/>
        <v>0</v>
      </c>
      <c r="K981" s="731">
        <f t="shared" si="327"/>
        <v>0</v>
      </c>
      <c r="L981" s="731">
        <f t="shared" si="327"/>
        <v>0</v>
      </c>
      <c r="M981" s="731">
        <f t="shared" si="327"/>
        <v>0</v>
      </c>
      <c r="N981" s="731">
        <f t="shared" si="327"/>
        <v>0</v>
      </c>
      <c r="O981" s="731">
        <f t="shared" si="327"/>
        <v>0</v>
      </c>
      <c r="P981" s="731">
        <f t="shared" si="327"/>
        <v>0</v>
      </c>
      <c r="Q981" s="731">
        <f t="shared" si="327"/>
        <v>0</v>
      </c>
      <c r="R981" s="731">
        <f t="shared" si="327"/>
        <v>0</v>
      </c>
      <c r="S981" s="731">
        <f t="shared" si="327"/>
        <v>0</v>
      </c>
      <c r="T981" s="728"/>
      <c r="U981" s="729">
        <f t="shared" si="328"/>
        <v>0</v>
      </c>
      <c r="X981" s="729">
        <f t="shared" si="317"/>
        <v>0</v>
      </c>
    </row>
    <row r="982" spans="2:24" s="664" customFormat="1" ht="14.25">
      <c r="B982" s="728">
        <f t="shared" si="323"/>
        <v>14</v>
      </c>
      <c r="C982" s="730" t="s">
        <v>49</v>
      </c>
      <c r="D982" s="730" t="s">
        <v>50</v>
      </c>
      <c r="E982" s="728"/>
      <c r="F982" s="729">
        <f>' WP II-I-1.4'!G982</f>
        <v>0</v>
      </c>
      <c r="G982" s="728">
        <v>67</v>
      </c>
      <c r="H982" s="703" t="str">
        <f t="shared" si="326"/>
        <v>PLTTRAN_N</v>
      </c>
      <c r="I982" s="728"/>
      <c r="J982" s="731">
        <f t="shared" si="327"/>
        <v>0</v>
      </c>
      <c r="K982" s="731">
        <f t="shared" si="327"/>
        <v>0</v>
      </c>
      <c r="L982" s="731">
        <f t="shared" si="327"/>
        <v>0</v>
      </c>
      <c r="M982" s="731">
        <f t="shared" si="327"/>
        <v>0</v>
      </c>
      <c r="N982" s="731">
        <f t="shared" si="327"/>
        <v>0</v>
      </c>
      <c r="O982" s="731">
        <f t="shared" si="327"/>
        <v>0</v>
      </c>
      <c r="P982" s="731">
        <f t="shared" si="327"/>
        <v>0</v>
      </c>
      <c r="Q982" s="731">
        <f t="shared" si="327"/>
        <v>0</v>
      </c>
      <c r="R982" s="731">
        <f t="shared" si="327"/>
        <v>0</v>
      </c>
      <c r="S982" s="731">
        <f t="shared" si="327"/>
        <v>0</v>
      </c>
      <c r="T982" s="728"/>
      <c r="U982" s="729">
        <f t="shared" si="328"/>
        <v>0</v>
      </c>
      <c r="X982" s="729">
        <f t="shared" si="317"/>
        <v>0</v>
      </c>
    </row>
    <row r="983" spans="2:24" s="664" customFormat="1" ht="14.25">
      <c r="B983" s="728">
        <f t="shared" si="323"/>
        <v>15</v>
      </c>
      <c r="C983" s="730" t="s">
        <v>51</v>
      </c>
      <c r="D983" s="730" t="s">
        <v>534</v>
      </c>
      <c r="E983" s="728"/>
      <c r="F983" s="729">
        <f>' WP II-I-1.4'!G983</f>
        <v>0</v>
      </c>
      <c r="G983" s="728">
        <v>67</v>
      </c>
      <c r="H983" s="703" t="str">
        <f t="shared" si="326"/>
        <v>PLTTRAN_N</v>
      </c>
      <c r="I983" s="728"/>
      <c r="J983" s="731">
        <f t="shared" si="327"/>
        <v>0</v>
      </c>
      <c r="K983" s="731">
        <f t="shared" si="327"/>
        <v>0</v>
      </c>
      <c r="L983" s="731">
        <f t="shared" si="327"/>
        <v>0</v>
      </c>
      <c r="M983" s="731">
        <f t="shared" si="327"/>
        <v>0</v>
      </c>
      <c r="N983" s="731">
        <f t="shared" si="327"/>
        <v>0</v>
      </c>
      <c r="O983" s="731">
        <f t="shared" si="327"/>
        <v>0</v>
      </c>
      <c r="P983" s="731">
        <f t="shared" si="327"/>
        <v>0</v>
      </c>
      <c r="Q983" s="731">
        <f t="shared" si="327"/>
        <v>0</v>
      </c>
      <c r="R983" s="731">
        <f t="shared" si="327"/>
        <v>0</v>
      </c>
      <c r="S983" s="731">
        <f t="shared" si="327"/>
        <v>0</v>
      </c>
      <c r="T983" s="728"/>
      <c r="U983" s="729">
        <f t="shared" si="328"/>
        <v>0</v>
      </c>
      <c r="X983" s="729">
        <f t="shared" si="317"/>
        <v>0</v>
      </c>
    </row>
    <row r="984" spans="2:24" s="664" customFormat="1" ht="14.25">
      <c r="B984" s="728">
        <f t="shared" si="323"/>
        <v>16</v>
      </c>
      <c r="C984" s="730" t="s">
        <v>53</v>
      </c>
      <c r="D984" s="730" t="s">
        <v>695</v>
      </c>
      <c r="E984" s="728"/>
      <c r="F984" s="729">
        <f>' WP II-I-1.4'!G984</f>
        <v>0</v>
      </c>
      <c r="G984" s="728">
        <v>67</v>
      </c>
      <c r="H984" s="703" t="str">
        <f t="shared" si="326"/>
        <v>PLTTRAN_N</v>
      </c>
      <c r="I984" s="728"/>
      <c r="J984" s="731">
        <f t="shared" si="327"/>
        <v>0</v>
      </c>
      <c r="K984" s="731">
        <f t="shared" si="327"/>
        <v>0</v>
      </c>
      <c r="L984" s="731">
        <f t="shared" si="327"/>
        <v>0</v>
      </c>
      <c r="M984" s="731">
        <f t="shared" si="327"/>
        <v>0</v>
      </c>
      <c r="N984" s="731">
        <f t="shared" si="327"/>
        <v>0</v>
      </c>
      <c r="O984" s="731">
        <f t="shared" si="327"/>
        <v>0</v>
      </c>
      <c r="P984" s="731">
        <f t="shared" si="327"/>
        <v>0</v>
      </c>
      <c r="Q984" s="731">
        <f t="shared" si="327"/>
        <v>0</v>
      </c>
      <c r="R984" s="731">
        <f t="shared" si="327"/>
        <v>0</v>
      </c>
      <c r="S984" s="731">
        <f t="shared" si="327"/>
        <v>0</v>
      </c>
      <c r="T984" s="728"/>
      <c r="U984" s="729">
        <f t="shared" si="328"/>
        <v>0</v>
      </c>
      <c r="X984" s="729">
        <f t="shared" si="317"/>
        <v>0</v>
      </c>
    </row>
    <row r="985" spans="2:24" s="664" customFormat="1" ht="14.25">
      <c r="B985" s="728">
        <f t="shared" si="323"/>
        <v>17</v>
      </c>
      <c r="C985" s="730" t="s">
        <v>55</v>
      </c>
      <c r="D985" s="732" t="s">
        <v>535</v>
      </c>
      <c r="E985" s="728"/>
      <c r="F985" s="729">
        <f>' WP II-I-1.4'!G985</f>
        <v>0</v>
      </c>
      <c r="G985" s="728">
        <v>67</v>
      </c>
      <c r="H985" s="703" t="str">
        <f t="shared" si="326"/>
        <v>PLTTRAN_N</v>
      </c>
      <c r="I985" s="728"/>
      <c r="J985" s="731">
        <f t="shared" si="327"/>
        <v>0</v>
      </c>
      <c r="K985" s="731">
        <f t="shared" si="327"/>
        <v>0</v>
      </c>
      <c r="L985" s="731">
        <f t="shared" si="327"/>
        <v>0</v>
      </c>
      <c r="M985" s="731">
        <f t="shared" si="327"/>
        <v>0</v>
      </c>
      <c r="N985" s="731">
        <f t="shared" si="327"/>
        <v>0</v>
      </c>
      <c r="O985" s="731">
        <f t="shared" si="327"/>
        <v>0</v>
      </c>
      <c r="P985" s="731">
        <f t="shared" si="327"/>
        <v>0</v>
      </c>
      <c r="Q985" s="731">
        <f t="shared" si="327"/>
        <v>0</v>
      </c>
      <c r="R985" s="731">
        <f t="shared" si="327"/>
        <v>0</v>
      </c>
      <c r="S985" s="731">
        <f t="shared" si="327"/>
        <v>0</v>
      </c>
      <c r="T985" s="728"/>
      <c r="U985" s="729">
        <f t="shared" si="328"/>
        <v>0</v>
      </c>
      <c r="X985" s="729">
        <f t="shared" si="317"/>
        <v>0</v>
      </c>
    </row>
    <row r="986" spans="2:24" s="664" customFormat="1" ht="14.25">
      <c r="B986" s="728">
        <f t="shared" si="323"/>
        <v>18</v>
      </c>
      <c r="C986" s="730" t="s">
        <v>57</v>
      </c>
      <c r="D986" s="730" t="s">
        <v>58</v>
      </c>
      <c r="E986" s="728"/>
      <c r="F986" s="729">
        <f>' WP II-I-1.4'!G986</f>
        <v>0</v>
      </c>
      <c r="G986" s="728">
        <v>67</v>
      </c>
      <c r="H986" s="703" t="str">
        <f t="shared" si="326"/>
        <v>PLTTRAN_N</v>
      </c>
      <c r="I986" s="728"/>
      <c r="J986" s="734">
        <f t="shared" si="327"/>
        <v>0</v>
      </c>
      <c r="K986" s="734">
        <f t="shared" si="327"/>
        <v>0</v>
      </c>
      <c r="L986" s="734">
        <f t="shared" si="327"/>
        <v>0</v>
      </c>
      <c r="M986" s="734">
        <f t="shared" si="327"/>
        <v>0</v>
      </c>
      <c r="N986" s="734">
        <f t="shared" si="327"/>
        <v>0</v>
      </c>
      <c r="O986" s="734">
        <f t="shared" si="327"/>
        <v>0</v>
      </c>
      <c r="P986" s="734">
        <f t="shared" si="327"/>
        <v>0</v>
      </c>
      <c r="Q986" s="734">
        <f t="shared" si="327"/>
        <v>0</v>
      </c>
      <c r="R986" s="734">
        <f t="shared" si="327"/>
        <v>0</v>
      </c>
      <c r="S986" s="734">
        <f t="shared" si="327"/>
        <v>0</v>
      </c>
      <c r="T986" s="728"/>
      <c r="U986" s="729">
        <f t="shared" si="328"/>
        <v>0</v>
      </c>
      <c r="X986" s="729">
        <f t="shared" si="317"/>
        <v>0</v>
      </c>
    </row>
    <row r="987" spans="2:24" s="664" customFormat="1" ht="15">
      <c r="B987" s="728">
        <f t="shared" si="323"/>
        <v>19</v>
      </c>
      <c r="C987" s="8"/>
      <c r="D987" s="297" t="s">
        <v>491</v>
      </c>
      <c r="E987" s="727"/>
      <c r="F987" s="22">
        <f>SUM(F978:F986)</f>
        <v>9346418.3000000007</v>
      </c>
      <c r="G987" s="727"/>
      <c r="H987" s="727"/>
      <c r="I987" s="1010"/>
      <c r="J987" s="896">
        <f t="shared" si="329" ref="J987:Q987">SUM(J978:J986)</f>
        <v>4919234.7687838422</v>
      </c>
      <c r="K987" s="896">
        <f t="shared" si="329"/>
        <v>120128.7740628163</v>
      </c>
      <c r="L987" s="896">
        <f t="shared" si="329"/>
        <v>3167359.1809363887</v>
      </c>
      <c r="M987" s="896">
        <f t="shared" si="329"/>
        <v>1790.638699747818</v>
      </c>
      <c r="N987" s="896">
        <f t="shared" si="329"/>
        <v>757888.44824810885</v>
      </c>
      <c r="O987" s="896">
        <f>SUM(O978:O986)</f>
        <v>274078.78350110323</v>
      </c>
      <c r="P987" s="896">
        <f t="shared" si="329"/>
        <v>0</v>
      </c>
      <c r="Q987" s="896">
        <f t="shared" si="329"/>
        <v>31947.36096279561</v>
      </c>
      <c r="R987" s="896">
        <f>SUM(R978:R986)</f>
        <v>32850.057628904833</v>
      </c>
      <c r="S987" s="896">
        <f>SUM(S978:S986)</f>
        <v>41140.287176292346</v>
      </c>
      <c r="T987" s="1010"/>
      <c r="U987" s="299">
        <f t="shared" si="328"/>
        <v>9346418.3000000007</v>
      </c>
      <c r="X987" s="729">
        <f t="shared" si="317"/>
        <v>0</v>
      </c>
    </row>
    <row r="988" spans="2:24" s="664" customFormat="1" ht="14.25">
      <c r="B988" s="728">
        <f t="shared" si="323"/>
        <v>20</v>
      </c>
      <c r="C988" s="730"/>
      <c r="D988" s="730"/>
      <c r="E988" s="728"/>
      <c r="F988" s="694"/>
      <c r="G988" s="728"/>
      <c r="H988" s="728"/>
      <c r="I988" s="728"/>
      <c r="J988" s="728"/>
      <c r="K988" s="728"/>
      <c r="L988" s="728"/>
      <c r="M988" s="728"/>
      <c r="N988" s="728"/>
      <c r="O988" s="728"/>
      <c r="P988" s="728"/>
      <c r="Q988" s="728"/>
      <c r="R988" s="728"/>
      <c r="S988" s="728"/>
      <c r="T988" s="728"/>
      <c r="U988" s="730"/>
      <c r="X988" s="729">
        <f t="shared" si="317"/>
        <v>0</v>
      </c>
    </row>
    <row r="989" spans="2:24" s="664" customFormat="1" ht="15">
      <c r="B989" s="728">
        <f t="shared" si="323"/>
        <v>21</v>
      </c>
      <c r="C989" s="8" t="s">
        <v>696</v>
      </c>
      <c r="D989" s="8"/>
      <c r="E989" s="727" t="s">
        <v>297</v>
      </c>
      <c r="F989" s="22"/>
      <c r="G989" s="727"/>
      <c r="H989" s="727"/>
      <c r="I989" s="1010"/>
      <c r="J989" s="1059"/>
      <c r="K989" s="1059"/>
      <c r="L989" s="1059"/>
      <c r="M989" s="1059"/>
      <c r="N989" s="1059"/>
      <c r="O989" s="1059"/>
      <c r="P989" s="1059"/>
      <c r="Q989" s="1059"/>
      <c r="R989" s="1059"/>
      <c r="S989" s="1059"/>
      <c r="T989" s="1010"/>
      <c r="U989" s="8"/>
      <c r="X989" s="729">
        <f t="shared" si="317"/>
        <v>0</v>
      </c>
    </row>
    <row r="990" spans="2:24" s="664" customFormat="1" ht="14.25">
      <c r="B990" s="728">
        <f t="shared" si="323"/>
        <v>22</v>
      </c>
      <c r="C990" s="730" t="s">
        <v>61</v>
      </c>
      <c r="D990" s="730" t="s">
        <v>42</v>
      </c>
      <c r="E990" s="728"/>
      <c r="F990" s="729">
        <f>' WP II-I-1.4'!G990</f>
        <v>292756.59000000003</v>
      </c>
      <c r="G990" s="728">
        <v>54</v>
      </c>
      <c r="H990" s="703" t="str">
        <f t="shared" si="330" ref="H990:H1003">VLOOKUP(G990,FactorTable,2)</f>
        <v>PLT 362-373</v>
      </c>
      <c r="I990" s="728"/>
      <c r="J990" s="731">
        <f t="shared" si="331" ref="J990:S1003">$F990*HLOOKUP(J$1318,FactorTable,$G990+1)</f>
        <v>159455.23669081964</v>
      </c>
      <c r="K990" s="731">
        <f t="shared" si="331"/>
        <v>6569.0179796780985</v>
      </c>
      <c r="L990" s="731">
        <f t="shared" si="331"/>
        <v>99198.701322607943</v>
      </c>
      <c r="M990" s="731">
        <f t="shared" si="331"/>
        <v>33.680049333802806</v>
      </c>
      <c r="N990" s="731">
        <f t="shared" si="331"/>
        <v>14255.092515374785</v>
      </c>
      <c r="O990" s="731">
        <f t="shared" si="331"/>
        <v>1132.0376077322662</v>
      </c>
      <c r="P990" s="731">
        <f t="shared" si="331"/>
        <v>269.1042671007761</v>
      </c>
      <c r="Q990" s="731">
        <f t="shared" si="331"/>
        <v>10934.23181274932</v>
      </c>
      <c r="R990" s="731">
        <f t="shared" si="331"/>
        <v>135.68179257458945</v>
      </c>
      <c r="S990" s="731">
        <f t="shared" si="331"/>
        <v>773.80596202878951</v>
      </c>
      <c r="T990" s="728"/>
      <c r="U990" s="729">
        <f t="shared" si="332" ref="U990:U1004">SUM(I990:T990)</f>
        <v>292756.58999999997</v>
      </c>
      <c r="X990" s="729">
        <f t="shared" si="317"/>
        <v>0</v>
      </c>
    </row>
    <row r="991" spans="2:24" s="664" customFormat="1" ht="14.25">
      <c r="B991" s="728">
        <f t="shared" si="323"/>
        <v>23</v>
      </c>
      <c r="C991" s="730" t="s">
        <v>62</v>
      </c>
      <c r="D991" s="732" t="s">
        <v>44</v>
      </c>
      <c r="E991" s="728"/>
      <c r="F991" s="729">
        <f>' WP II-I-1.4'!G991</f>
        <v>2856983.6299999999</v>
      </c>
      <c r="G991" s="728">
        <v>43</v>
      </c>
      <c r="H991" s="703" t="str">
        <f t="shared" si="330"/>
        <v>PLT 361</v>
      </c>
      <c r="I991" s="728"/>
      <c r="J991" s="731">
        <f t="shared" si="331"/>
        <v>1556108.4412940014</v>
      </c>
      <c r="K991" s="731">
        <f t="shared" si="331"/>
        <v>64106.419715832861</v>
      </c>
      <c r="L991" s="731">
        <f t="shared" si="331"/>
        <v>968070.66169185203</v>
      </c>
      <c r="M991" s="731">
        <f t="shared" si="331"/>
        <v>328.68038804614787</v>
      </c>
      <c r="N991" s="731">
        <f t="shared" si="331"/>
        <v>139114.08778385236</v>
      </c>
      <c r="O991" s="731">
        <f t="shared" si="331"/>
        <v>11047.44700652322</v>
      </c>
      <c r="P991" s="731">
        <f t="shared" si="331"/>
        <v>2626.1628674868248</v>
      </c>
      <c r="Q991" s="731">
        <f t="shared" si="331"/>
        <v>106706.12502915828</v>
      </c>
      <c r="R991" s="731">
        <f t="shared" si="331"/>
        <v>1324.105668380198</v>
      </c>
      <c r="S991" s="731">
        <f t="shared" si="331"/>
        <v>7551.498554866529</v>
      </c>
      <c r="T991" s="728"/>
      <c r="U991" s="729">
        <f t="shared" si="332"/>
        <v>2856983.6299999999</v>
      </c>
      <c r="X991" s="729">
        <f t="shared" si="317"/>
        <v>0</v>
      </c>
    </row>
    <row r="992" spans="2:24" s="664" customFormat="1" ht="14.25">
      <c r="B992" s="728">
        <f t="shared" si="323"/>
        <v>24</v>
      </c>
      <c r="C992" s="730" t="s">
        <v>63</v>
      </c>
      <c r="D992" s="730" t="s">
        <v>46</v>
      </c>
      <c r="E992" s="728"/>
      <c r="F992" s="729">
        <f>' WP II-I-1.4'!G992</f>
        <v>36683880.890000001</v>
      </c>
      <c r="G992" s="728">
        <v>44</v>
      </c>
      <c r="H992" s="703" t="str">
        <f t="shared" si="330"/>
        <v>PLT 362</v>
      </c>
      <c r="I992" s="728"/>
      <c r="J992" s="731">
        <f t="shared" si="331"/>
        <v>19307569.652431797</v>
      </c>
      <c r="K992" s="731">
        <f t="shared" si="331"/>
        <v>471495.01528110227</v>
      </c>
      <c r="L992" s="731">
        <f t="shared" si="331"/>
        <v>12431609.970775485</v>
      </c>
      <c r="M992" s="731">
        <f t="shared" si="331"/>
        <v>7028.1015326024344</v>
      </c>
      <c r="N992" s="731">
        <f t="shared" si="331"/>
        <v>2974646.4015462007</v>
      </c>
      <c r="O992" s="731">
        <f t="shared" si="331"/>
        <v>1075735.4449276649</v>
      </c>
      <c r="P992" s="731">
        <f t="shared" si="331"/>
        <v>0</v>
      </c>
      <c r="Q992" s="731">
        <f t="shared" si="331"/>
        <v>125390.6198815251</v>
      </c>
      <c r="R992" s="731">
        <f t="shared" si="331"/>
        <v>128933.6259739606</v>
      </c>
      <c r="S992" s="731">
        <f t="shared" si="331"/>
        <v>161472.05764966706</v>
      </c>
      <c r="T992" s="728"/>
      <c r="U992" s="729">
        <f t="shared" si="332"/>
        <v>36683880.890000001</v>
      </c>
      <c r="X992" s="729">
        <f t="shared" si="317"/>
        <v>0</v>
      </c>
    </row>
    <row r="993" spans="2:24" s="664" customFormat="1" ht="14.25">
      <c r="B993" s="728">
        <f t="shared" si="323"/>
        <v>25</v>
      </c>
      <c r="C993" s="730" t="s">
        <v>64</v>
      </c>
      <c r="D993" s="730" t="s">
        <v>65</v>
      </c>
      <c r="E993" s="728"/>
      <c r="F993" s="751">
        <f>' WP II-I-1.4'!G993</f>
        <v>0</v>
      </c>
      <c r="G993" s="728">
        <v>28</v>
      </c>
      <c r="H993" s="703" t="str">
        <f t="shared" si="330"/>
        <v>NCP XHV</v>
      </c>
      <c r="I993" s="728"/>
      <c r="J993" s="731">
        <f t="shared" si="331"/>
        <v>0</v>
      </c>
      <c r="K993" s="731">
        <f t="shared" si="331"/>
        <v>0</v>
      </c>
      <c r="L993" s="731">
        <f t="shared" si="331"/>
        <v>0</v>
      </c>
      <c r="M993" s="731">
        <f t="shared" si="331"/>
        <v>0</v>
      </c>
      <c r="N993" s="731">
        <f t="shared" si="331"/>
        <v>0</v>
      </c>
      <c r="O993" s="731">
        <f t="shared" si="331"/>
        <v>0</v>
      </c>
      <c r="P993" s="731">
        <f t="shared" si="331"/>
        <v>0</v>
      </c>
      <c r="Q993" s="731">
        <f t="shared" si="331"/>
        <v>0</v>
      </c>
      <c r="R993" s="731">
        <f t="shared" si="331"/>
        <v>0</v>
      </c>
      <c r="S993" s="731">
        <f t="shared" si="331"/>
        <v>0</v>
      </c>
      <c r="T993" s="728"/>
      <c r="U993" s="729">
        <f t="shared" si="332"/>
        <v>0</v>
      </c>
      <c r="X993" s="729">
        <f t="shared" si="317"/>
        <v>0</v>
      </c>
    </row>
    <row r="994" spans="2:24" s="664" customFormat="1" ht="14.25">
      <c r="B994" s="728">
        <f t="shared" si="323"/>
        <v>26</v>
      </c>
      <c r="C994" s="730" t="s">
        <v>66</v>
      </c>
      <c r="D994" s="732" t="s">
        <v>697</v>
      </c>
      <c r="E994" s="728"/>
      <c r="F994" s="729">
        <f>' WP II-I-1.4'!G994</f>
        <v>95063645.810000002</v>
      </c>
      <c r="G994" s="728">
        <v>45</v>
      </c>
      <c r="H994" s="703" t="str">
        <f t="shared" si="330"/>
        <v>PLT 364</v>
      </c>
      <c r="I994" s="728"/>
      <c r="J994" s="731">
        <f t="shared" si="331"/>
        <v>52589637.706627004</v>
      </c>
      <c r="K994" s="731">
        <f t="shared" si="331"/>
        <v>1284250.295634215</v>
      </c>
      <c r="L994" s="731">
        <f t="shared" si="331"/>
        <v>33861012.869158894</v>
      </c>
      <c r="M994" s="731">
        <f t="shared" si="331"/>
        <v>15623.454603135544</v>
      </c>
      <c r="N994" s="731">
        <f t="shared" si="331"/>
        <v>6612632.557931846</v>
      </c>
      <c r="O994" s="731">
        <f t="shared" si="331"/>
        <v>0</v>
      </c>
      <c r="P994" s="731">
        <f t="shared" si="331"/>
        <v>0</v>
      </c>
      <c r="Q994" s="731">
        <f t="shared" si="331"/>
        <v>341536.88890347927</v>
      </c>
      <c r="R994" s="731">
        <f t="shared" si="331"/>
        <v>0</v>
      </c>
      <c r="S994" s="731">
        <f t="shared" si="331"/>
        <v>358952.03714143112</v>
      </c>
      <c r="T994" s="728"/>
      <c r="U994" s="729">
        <f t="shared" si="332"/>
        <v>95063645.810000002</v>
      </c>
      <c r="X994" s="729">
        <f t="shared" si="317"/>
        <v>0</v>
      </c>
    </row>
    <row r="995" spans="2:24" s="664" customFormat="1" ht="14.25">
      <c r="B995" s="728">
        <f t="shared" si="323"/>
        <v>27</v>
      </c>
      <c r="C995" s="730" t="s">
        <v>68</v>
      </c>
      <c r="D995" s="730" t="s">
        <v>534</v>
      </c>
      <c r="E995" s="728"/>
      <c r="F995" s="729">
        <f>' WP II-I-1.4'!G995</f>
        <v>53354376.829999998</v>
      </c>
      <c r="G995" s="728">
        <v>46</v>
      </c>
      <c r="H995" s="703" t="str">
        <f t="shared" si="330"/>
        <v>PLT 365</v>
      </c>
      <c r="I995" s="728"/>
      <c r="J995" s="731">
        <f t="shared" si="331"/>
        <v>29460011.098601393</v>
      </c>
      <c r="K995" s="731">
        <f t="shared" si="331"/>
        <v>719419.82513407781</v>
      </c>
      <c r="L995" s="731">
        <f t="shared" si="331"/>
        <v>18968486.158816062</v>
      </c>
      <c r="M995" s="731">
        <f t="shared" si="331"/>
        <v>8977.8756381869734</v>
      </c>
      <c r="N995" s="731">
        <f t="shared" si="331"/>
        <v>3799888.9652883564</v>
      </c>
      <c r="O995" s="731">
        <f t="shared" si="331"/>
        <v>0</v>
      </c>
      <c r="P995" s="731">
        <f t="shared" si="331"/>
        <v>0</v>
      </c>
      <c r="Q995" s="731">
        <f t="shared" si="331"/>
        <v>191324.39348237574</v>
      </c>
      <c r="R995" s="731">
        <f t="shared" si="331"/>
        <v>0</v>
      </c>
      <c r="S995" s="731">
        <f t="shared" si="331"/>
        <v>206268.51303954737</v>
      </c>
      <c r="T995" s="728"/>
      <c r="U995" s="729">
        <f t="shared" si="332"/>
        <v>53354376.829999991</v>
      </c>
      <c r="X995" s="729">
        <f t="shared" si="317"/>
        <v>0</v>
      </c>
    </row>
    <row r="996" spans="2:24" s="664" customFormat="1" ht="14.25">
      <c r="B996" s="728">
        <f t="shared" si="323"/>
        <v>28</v>
      </c>
      <c r="C996" s="730" t="s">
        <v>70</v>
      </c>
      <c r="D996" s="730" t="s">
        <v>698</v>
      </c>
      <c r="E996" s="728"/>
      <c r="F996" s="729">
        <f>' WP II-I-1.4'!G996</f>
        <v>23578853.789999999</v>
      </c>
      <c r="G996" s="728">
        <v>47</v>
      </c>
      <c r="H996" s="703" t="str">
        <f t="shared" si="330"/>
        <v>PLT 366</v>
      </c>
      <c r="I996" s="728"/>
      <c r="J996" s="731">
        <f t="shared" si="331"/>
        <v>13321473.04602932</v>
      </c>
      <c r="K996" s="731">
        <f t="shared" si="331"/>
        <v>325313.24503668398</v>
      </c>
      <c r="L996" s="731">
        <f t="shared" si="331"/>
        <v>8577327.9664733298</v>
      </c>
      <c r="M996" s="731">
        <f t="shared" si="331"/>
        <v>2835.7612410979982</v>
      </c>
      <c r="N996" s="731">
        <f t="shared" si="331"/>
        <v>1200236.9249143174</v>
      </c>
      <c r="O996" s="731">
        <f t="shared" si="331"/>
        <v>0</v>
      </c>
      <c r="P996" s="731">
        <f t="shared" si="331"/>
        <v>0</v>
      </c>
      <c r="Q996" s="731">
        <f t="shared" si="331"/>
        <v>86514.656844252706</v>
      </c>
      <c r="R996" s="731">
        <f t="shared" si="331"/>
        <v>0</v>
      </c>
      <c r="S996" s="731">
        <f t="shared" si="331"/>
        <v>65152.189461001275</v>
      </c>
      <c r="T996" s="728"/>
      <c r="U996" s="729">
        <f t="shared" si="332"/>
        <v>23578853.789999999</v>
      </c>
      <c r="X996" s="729">
        <f t="shared" si="317"/>
        <v>0</v>
      </c>
    </row>
    <row r="997" spans="2:24" s="664" customFormat="1" ht="14.25">
      <c r="B997" s="728">
        <f t="shared" si="323"/>
        <v>29</v>
      </c>
      <c r="C997" s="730" t="s">
        <v>72</v>
      </c>
      <c r="D997" s="732" t="s">
        <v>699</v>
      </c>
      <c r="E997" s="728"/>
      <c r="F997" s="729">
        <f>' WP II-I-1.4'!G997</f>
        <v>56736034.090000004</v>
      </c>
      <c r="G997" s="728">
        <v>48</v>
      </c>
      <c r="H997" s="703" t="str">
        <f t="shared" si="330"/>
        <v>PLT 367</v>
      </c>
      <c r="I997" s="728"/>
      <c r="J997" s="731">
        <f t="shared" si="331"/>
        <v>31441768.295826636</v>
      </c>
      <c r="K997" s="731">
        <f t="shared" si="331"/>
        <v>767814.76332721591</v>
      </c>
      <c r="L997" s="731">
        <f t="shared" si="331"/>
        <v>20244484.794386353</v>
      </c>
      <c r="M997" s="731">
        <f t="shared" si="331"/>
        <v>9117.9307235570232</v>
      </c>
      <c r="N997" s="731">
        <f t="shared" si="331"/>
        <v>3859167.328553549</v>
      </c>
      <c r="O997" s="731">
        <f t="shared" si="331"/>
        <v>0</v>
      </c>
      <c r="P997" s="731">
        <f t="shared" si="331"/>
        <v>0</v>
      </c>
      <c r="Q997" s="731">
        <f t="shared" si="331"/>
        <v>204194.6701608001</v>
      </c>
      <c r="R997" s="731">
        <f t="shared" si="331"/>
        <v>0</v>
      </c>
      <c r="S997" s="731">
        <f t="shared" si="331"/>
        <v>209486.30702190433</v>
      </c>
      <c r="T997" s="728"/>
      <c r="U997" s="729">
        <f t="shared" si="332"/>
        <v>56736034.090000011</v>
      </c>
      <c r="X997" s="729">
        <f t="shared" si="317"/>
        <v>0</v>
      </c>
    </row>
    <row r="998" spans="2:24" s="664" customFormat="1" ht="14.25">
      <c r="B998" s="728">
        <f t="shared" si="323"/>
        <v>30</v>
      </c>
      <c r="C998" s="730" t="s">
        <v>74</v>
      </c>
      <c r="D998" s="730" t="s">
        <v>700</v>
      </c>
      <c r="E998" s="728"/>
      <c r="F998" s="729">
        <f>' WP II-I-1.4'!G998</f>
        <v>56703640.140000001</v>
      </c>
      <c r="G998" s="728">
        <v>49</v>
      </c>
      <c r="H998" s="703" t="str">
        <f t="shared" si="330"/>
        <v>PLT 368</v>
      </c>
      <c r="I998" s="728"/>
      <c r="J998" s="731">
        <f t="shared" si="331"/>
        <v>33280800.977980357</v>
      </c>
      <c r="K998" s="731">
        <f t="shared" si="331"/>
        <v>812724.33807865565</v>
      </c>
      <c r="L998" s="731">
        <f t="shared" si="331"/>
        <v>21428587.063061308</v>
      </c>
      <c r="M998" s="731">
        <f t="shared" si="331"/>
        <v>1257.2939254791374</v>
      </c>
      <c r="N998" s="731">
        <f t="shared" si="331"/>
        <v>532150.08829383366</v>
      </c>
      <c r="O998" s="731">
        <f t="shared" si="331"/>
        <v>91351.855760945124</v>
      </c>
      <c r="P998" s="731">
        <f t="shared" si="331"/>
        <v>300794.8082212201</v>
      </c>
      <c r="Q998" s="731">
        <f t="shared" si="331"/>
        <v>216138.04015240309</v>
      </c>
      <c r="R998" s="731">
        <f t="shared" si="331"/>
        <v>10949.091673279299</v>
      </c>
      <c r="S998" s="731">
        <f t="shared" si="331"/>
        <v>28886.582852534291</v>
      </c>
      <c r="T998" s="728"/>
      <c r="U998" s="729">
        <f t="shared" si="332"/>
        <v>56703640.140000015</v>
      </c>
      <c r="X998" s="729">
        <f t="shared" si="317"/>
        <v>0</v>
      </c>
    </row>
    <row r="999" spans="2:24" s="664" customFormat="1" ht="14.25">
      <c r="B999" s="728">
        <f t="shared" si="323"/>
        <v>31</v>
      </c>
      <c r="C999" s="730" t="s">
        <v>76</v>
      </c>
      <c r="D999" s="732" t="s">
        <v>77</v>
      </c>
      <c r="E999" s="728"/>
      <c r="F999" s="729">
        <f>' WP II-I-1.4'!G999</f>
        <v>50246720.280000001</v>
      </c>
      <c r="G999" s="728">
        <v>50</v>
      </c>
      <c r="H999" s="703" t="str">
        <f t="shared" si="330"/>
        <v>PLT 369</v>
      </c>
      <c r="I999" s="728"/>
      <c r="J999" s="731">
        <f t="shared" si="331"/>
        <v>30812468.515200272</v>
      </c>
      <c r="K999" s="731">
        <f t="shared" si="331"/>
        <v>4750489.1371051185</v>
      </c>
      <c r="L999" s="731">
        <f t="shared" si="331"/>
        <v>14653048.078257429</v>
      </c>
      <c r="M999" s="731">
        <f t="shared" si="331"/>
        <v>0</v>
      </c>
      <c r="N999" s="731">
        <f t="shared" si="331"/>
        <v>0</v>
      </c>
      <c r="O999" s="731">
        <f t="shared" si="331"/>
        <v>0</v>
      </c>
      <c r="P999" s="731">
        <f t="shared" si="331"/>
        <v>0</v>
      </c>
      <c r="Q999" s="731">
        <f t="shared" si="331"/>
        <v>30714.549437184814</v>
      </c>
      <c r="R999" s="731">
        <f t="shared" si="331"/>
        <v>0</v>
      </c>
      <c r="S999" s="731">
        <f t="shared" si="331"/>
        <v>0</v>
      </c>
      <c r="T999" s="728"/>
      <c r="U999" s="729">
        <f t="shared" si="332"/>
        <v>50246720.280000009</v>
      </c>
      <c r="X999" s="729">
        <f t="shared" si="317"/>
        <v>0</v>
      </c>
    </row>
    <row r="1000" spans="2:24" s="664" customFormat="1" ht="14.25">
      <c r="B1000" s="728">
        <f t="shared" si="323"/>
        <v>32</v>
      </c>
      <c r="C1000" s="730" t="s">
        <v>78</v>
      </c>
      <c r="D1000" s="730" t="s">
        <v>79</v>
      </c>
      <c r="E1000" s="728"/>
      <c r="F1000" s="729">
        <f>' WP II-I-1.4'!G1000</f>
        <v>0</v>
      </c>
      <c r="G1000" s="728">
        <v>6</v>
      </c>
      <c r="H1000" s="703" t="str">
        <f t="shared" si="330"/>
        <v>CUS W ALL</v>
      </c>
      <c r="I1000" s="728"/>
      <c r="J1000" s="731">
        <f t="shared" si="331"/>
        <v>0</v>
      </c>
      <c r="K1000" s="731">
        <f t="shared" si="331"/>
        <v>0</v>
      </c>
      <c r="L1000" s="731">
        <f t="shared" si="331"/>
        <v>0</v>
      </c>
      <c r="M1000" s="731">
        <f t="shared" si="331"/>
        <v>0</v>
      </c>
      <c r="N1000" s="731">
        <f t="shared" si="331"/>
        <v>0</v>
      </c>
      <c r="O1000" s="731">
        <f t="shared" si="331"/>
        <v>0</v>
      </c>
      <c r="P1000" s="731">
        <f t="shared" si="331"/>
        <v>0</v>
      </c>
      <c r="Q1000" s="731">
        <f t="shared" si="331"/>
        <v>0</v>
      </c>
      <c r="R1000" s="731">
        <f t="shared" si="331"/>
        <v>0</v>
      </c>
      <c r="S1000" s="731">
        <f t="shared" si="331"/>
        <v>0</v>
      </c>
      <c r="T1000" s="728"/>
      <c r="U1000" s="729">
        <f t="shared" si="332"/>
        <v>0</v>
      </c>
      <c r="X1000" s="729">
        <f t="shared" si="317"/>
        <v>0</v>
      </c>
    </row>
    <row r="1001" spans="2:24" s="664" customFormat="1" ht="14.25">
      <c r="B1001" s="728">
        <f t="shared" si="323"/>
        <v>33</v>
      </c>
      <c r="C1001" s="730" t="s">
        <v>80</v>
      </c>
      <c r="D1001" s="730" t="s">
        <v>543</v>
      </c>
      <c r="E1001" s="728"/>
      <c r="F1001" s="729">
        <f>' WP II-I-1.4'!G1001</f>
        <v>2390143.4199999999</v>
      </c>
      <c r="G1001" s="728">
        <v>33</v>
      </c>
      <c r="H1001" s="703" t="str">
        <f t="shared" si="330"/>
        <v>NCP LGT</v>
      </c>
      <c r="I1001" s="728"/>
      <c r="J1001" s="731">
        <f t="shared" si="331"/>
        <v>0</v>
      </c>
      <c r="K1001" s="731">
        <f t="shared" si="331"/>
        <v>0</v>
      </c>
      <c r="L1001" s="731">
        <f t="shared" si="331"/>
        <v>0</v>
      </c>
      <c r="M1001" s="731">
        <f t="shared" si="331"/>
        <v>0</v>
      </c>
      <c r="N1001" s="731">
        <f t="shared" si="331"/>
        <v>0</v>
      </c>
      <c r="O1001" s="731">
        <f t="shared" si="331"/>
        <v>0</v>
      </c>
      <c r="P1001" s="731">
        <f t="shared" si="331"/>
        <v>0</v>
      </c>
      <c r="Q1001" s="731">
        <f t="shared" si="331"/>
        <v>2390143.4199999999</v>
      </c>
      <c r="R1001" s="731">
        <f t="shared" si="331"/>
        <v>0</v>
      </c>
      <c r="S1001" s="731">
        <f t="shared" si="331"/>
        <v>0</v>
      </c>
      <c r="T1001" s="728"/>
      <c r="U1001" s="729">
        <f t="shared" si="332"/>
        <v>2390143.4199999999</v>
      </c>
      <c r="X1001" s="729">
        <f t="shared" si="317"/>
        <v>0</v>
      </c>
    </row>
    <row r="1002" spans="2:24" s="664" customFormat="1" ht="14.25">
      <c r="B1002" s="728">
        <f t="shared" si="323"/>
        <v>34</v>
      </c>
      <c r="C1002" s="730" t="s">
        <v>82</v>
      </c>
      <c r="D1002" s="730" t="s">
        <v>544</v>
      </c>
      <c r="E1002" s="728"/>
      <c r="F1002" s="729">
        <f>' WP II-I-1.4'!G1002</f>
        <v>0</v>
      </c>
      <c r="G1002" s="728">
        <v>6</v>
      </c>
      <c r="H1002" s="703" t="str">
        <f t="shared" si="330"/>
        <v>CUS W ALL</v>
      </c>
      <c r="I1002" s="728"/>
      <c r="J1002" s="731">
        <f t="shared" si="331"/>
        <v>0</v>
      </c>
      <c r="K1002" s="731">
        <f t="shared" si="331"/>
        <v>0</v>
      </c>
      <c r="L1002" s="731">
        <f t="shared" si="331"/>
        <v>0</v>
      </c>
      <c r="M1002" s="731">
        <f t="shared" si="331"/>
        <v>0</v>
      </c>
      <c r="N1002" s="731">
        <f t="shared" si="331"/>
        <v>0</v>
      </c>
      <c r="O1002" s="731">
        <f t="shared" si="331"/>
        <v>0</v>
      </c>
      <c r="P1002" s="731">
        <f t="shared" si="331"/>
        <v>0</v>
      </c>
      <c r="Q1002" s="731">
        <f t="shared" si="331"/>
        <v>0</v>
      </c>
      <c r="R1002" s="731">
        <f t="shared" si="331"/>
        <v>0</v>
      </c>
      <c r="S1002" s="731">
        <f t="shared" si="331"/>
        <v>0</v>
      </c>
      <c r="T1002" s="728"/>
      <c r="U1002" s="729">
        <f t="shared" si="332"/>
        <v>0</v>
      </c>
      <c r="X1002" s="729">
        <f t="shared" si="317"/>
        <v>0</v>
      </c>
    </row>
    <row r="1003" spans="2:24" s="664" customFormat="1" ht="14.25">
      <c r="B1003" s="728">
        <f t="shared" si="323"/>
        <v>35</v>
      </c>
      <c r="C1003" s="730" t="s">
        <v>84</v>
      </c>
      <c r="D1003" s="730" t="s">
        <v>88</v>
      </c>
      <c r="E1003" s="728"/>
      <c r="F1003" s="729">
        <f>' WP II-I-1.4'!G1003</f>
        <v>21013686.960000001</v>
      </c>
      <c r="G1003" s="728">
        <v>33</v>
      </c>
      <c r="H1003" s="703" t="str">
        <f t="shared" si="330"/>
        <v>NCP LGT</v>
      </c>
      <c r="I1003" s="728"/>
      <c r="J1003" s="734">
        <f t="shared" si="331"/>
        <v>0</v>
      </c>
      <c r="K1003" s="734">
        <f t="shared" si="331"/>
        <v>0</v>
      </c>
      <c r="L1003" s="734">
        <f t="shared" si="331"/>
        <v>0</v>
      </c>
      <c r="M1003" s="734">
        <f t="shared" si="331"/>
        <v>0</v>
      </c>
      <c r="N1003" s="734">
        <f t="shared" si="331"/>
        <v>0</v>
      </c>
      <c r="O1003" s="734">
        <f t="shared" si="331"/>
        <v>0</v>
      </c>
      <c r="P1003" s="734">
        <f t="shared" si="331"/>
        <v>0</v>
      </c>
      <c r="Q1003" s="734">
        <f t="shared" si="331"/>
        <v>21013686.960000001</v>
      </c>
      <c r="R1003" s="734">
        <f t="shared" si="331"/>
        <v>0</v>
      </c>
      <c r="S1003" s="734">
        <f t="shared" si="331"/>
        <v>0</v>
      </c>
      <c r="T1003" s="728"/>
      <c r="U1003" s="729">
        <f t="shared" si="332"/>
        <v>21013686.960000001</v>
      </c>
      <c r="X1003" s="729">
        <f t="shared" si="333" ref="X1003:X1066">U1003-F1003</f>
        <v>0</v>
      </c>
    </row>
    <row r="1004" spans="2:24" s="664" customFormat="1" ht="15">
      <c r="B1004" s="728">
        <f t="shared" si="323"/>
        <v>36</v>
      </c>
      <c r="C1004" s="8"/>
      <c r="D1004" s="297" t="s">
        <v>491</v>
      </c>
      <c r="E1004" s="727"/>
      <c r="F1004" s="22">
        <f>SUM(F990:F1003)</f>
        <v>398920722.42999995</v>
      </c>
      <c r="G1004" s="727"/>
      <c r="H1004" s="727"/>
      <c r="I1004" s="1010"/>
      <c r="J1004" s="22">
        <f t="shared" si="334" ref="J1004:Q1004">SUM(J990:J1003)</f>
        <v>211929292.97068161</v>
      </c>
      <c r="K1004" s="22">
        <f t="shared" si="334"/>
        <v>9202182.0572925806</v>
      </c>
      <c r="L1004" s="22">
        <f t="shared" si="334"/>
        <v>131231826.26394333</v>
      </c>
      <c r="M1004" s="22">
        <f t="shared" si="334"/>
        <v>45202.778101439064</v>
      </c>
      <c r="N1004" s="22">
        <f t="shared" si="334"/>
        <v>19132091.44682733</v>
      </c>
      <c r="O1004" s="22">
        <f>SUM(O990:O1003)</f>
        <v>1179266.7853028653</v>
      </c>
      <c r="P1004" s="22">
        <f t="shared" si="334"/>
        <v>303690.07535580773</v>
      </c>
      <c r="Q1004" s="22">
        <f t="shared" si="334"/>
        <v>24717284.555703931</v>
      </c>
      <c r="R1004" s="22">
        <f>SUM(R990:R1003)</f>
        <v>141342.50510819469</v>
      </c>
      <c r="S1004" s="22">
        <f>SUM(S990:S1003)</f>
        <v>1038542.9916829807</v>
      </c>
      <c r="T1004" s="1010"/>
      <c r="U1004" s="299">
        <f t="shared" si="332"/>
        <v>398920722.43000013</v>
      </c>
      <c r="X1004" s="729">
        <f t="shared" si="333"/>
        <v>0</v>
      </c>
    </row>
    <row r="1005" spans="2:24" s="664" customFormat="1" ht="14.25">
      <c r="B1005" s="728"/>
      <c r="C1005" s="730"/>
      <c r="D1005" s="730"/>
      <c r="E1005" s="728"/>
      <c r="F1005" s="694"/>
      <c r="G1005" s="728"/>
      <c r="H1005" s="728"/>
      <c r="I1005" s="728"/>
      <c r="J1005" s="728"/>
      <c r="K1005" s="728"/>
      <c r="L1005" s="728"/>
      <c r="M1005" s="728"/>
      <c r="N1005" s="728"/>
      <c r="O1005" s="728"/>
      <c r="P1005" s="728"/>
      <c r="Q1005" s="728"/>
      <c r="R1005" s="728"/>
      <c r="S1005" s="728"/>
      <c r="T1005" s="728"/>
      <c r="U1005" s="730"/>
      <c r="X1005" s="729">
        <f t="shared" si="333"/>
        <v>0</v>
      </c>
    </row>
    <row r="1006" spans="2:24" s="664" customFormat="1" ht="14.25">
      <c r="B1006" s="728"/>
      <c r="C1006" s="730"/>
      <c r="D1006" s="730"/>
      <c r="E1006" s="728"/>
      <c r="F1006" s="694"/>
      <c r="G1006" s="728"/>
      <c r="H1006" s="736"/>
      <c r="I1006" s="728"/>
      <c r="J1006" s="728"/>
      <c r="K1006" s="728"/>
      <c r="L1006" s="728"/>
      <c r="M1006" s="728"/>
      <c r="N1006" s="728"/>
      <c r="O1006" s="728"/>
      <c r="P1006" s="728"/>
      <c r="Q1006" s="728"/>
      <c r="R1006" s="728"/>
      <c r="S1006" s="728"/>
      <c r="T1006" s="728"/>
      <c r="U1006" s="736"/>
      <c r="V1006" s="736">
        <f>$H$2</f>
        <v>0</v>
      </c>
      <c r="W1006" s="736"/>
      <c r="X1006" s="729"/>
    </row>
    <row r="1007" spans="2:24" s="664" customFormat="1" ht="15" thickBot="1">
      <c r="B1007" s="728"/>
      <c r="C1007" s="730"/>
      <c r="D1007" s="730"/>
      <c r="E1007" s="728"/>
      <c r="F1007" s="694"/>
      <c r="G1007" s="728"/>
      <c r="H1007" s="728"/>
      <c r="I1007" s="728"/>
      <c r="J1007" s="728"/>
      <c r="K1007" s="728"/>
      <c r="L1007" s="728"/>
      <c r="M1007" s="728"/>
      <c r="N1007" s="728"/>
      <c r="O1007" s="728"/>
      <c r="P1007" s="728"/>
      <c r="Q1007" s="728"/>
      <c r="R1007" s="728"/>
      <c r="S1007" s="728"/>
      <c r="T1007" s="728"/>
      <c r="U1007" s="730"/>
      <c r="X1007" s="729">
        <f t="shared" si="333"/>
        <v>0</v>
      </c>
    </row>
    <row r="1008" spans="2:24" s="664" customFormat="1" ht="15">
      <c r="B1008" s="920" t="str">
        <f>+$B$4</f>
        <v>2022 RATE CASE</v>
      </c>
      <c r="C1008" s="935"/>
      <c r="D1008" s="971"/>
      <c r="F1008" s="737"/>
      <c r="U1008" s="736"/>
      <c r="X1008" s="729">
        <f t="shared" si="333"/>
        <v>0</v>
      </c>
    </row>
    <row r="1009" spans="2:24" s="664" customFormat="1" ht="15">
      <c r="B1009" s="917" t="str">
        <f>+$B$5</f>
        <v>ONCOR ELECTRIC DELIVERY COMPANY LLC</v>
      </c>
      <c r="C1009" s="8"/>
      <c r="D1009" s="972"/>
      <c r="F1009" s="737"/>
      <c r="U1009" s="736"/>
      <c r="X1009" s="729">
        <f t="shared" si="333"/>
        <v>0</v>
      </c>
    </row>
    <row r="1010" spans="2:24" s="664" customFormat="1" ht="15">
      <c r="B1010" s="917" t="str">
        <f>+$B$6</f>
        <v>II-I-1-DIST:  CLASS REVENUE REQUIREMENT</v>
      </c>
      <c r="C1010" s="85"/>
      <c r="D1010" s="972"/>
      <c r="F1010" s="737"/>
      <c r="U1010" s="737"/>
      <c r="X1010" s="729">
        <f t="shared" si="333"/>
        <v>0</v>
      </c>
    </row>
    <row r="1011" spans="2:24" s="664" customFormat="1" ht="15">
      <c r="B1011" s="406" t="str">
        <f>+$B$7</f>
        <v>TEST YEAR ENDING 12/31/2021</v>
      </c>
      <c r="C1011" s="85"/>
      <c r="D1011" s="972"/>
      <c r="F1011" s="737"/>
      <c r="U1011" s="737"/>
      <c r="X1011" s="729">
        <f t="shared" si="333"/>
        <v>0</v>
      </c>
    </row>
    <row r="1012" spans="2:24" s="664" customFormat="1" ht="15">
      <c r="B1012" s="406" t="str">
        <f>+$B$8</f>
        <v>SPONSOR:  MATTHEW A. TROXLE</v>
      </c>
      <c r="C1012" s="85"/>
      <c r="D1012" s="972"/>
      <c r="F1012" s="737"/>
      <c r="U1012" s="737"/>
      <c r="X1012" s="729">
        <f t="shared" si="333"/>
        <v>0</v>
      </c>
    </row>
    <row r="1013" spans="2:24" s="664" customFormat="1" ht="15.75" thickBot="1">
      <c r="B1013" s="410"/>
      <c r="C1013" s="934"/>
      <c r="D1013" s="973"/>
      <c r="F1013" s="737"/>
      <c r="U1013" s="737"/>
      <c r="X1013" s="729">
        <f t="shared" si="333"/>
        <v>0</v>
      </c>
    </row>
    <row r="1014" spans="2:24" s="664" customFormat="1" ht="15" thickBot="1">
      <c r="B1014" s="738"/>
      <c r="C1014" s="739"/>
      <c r="D1014" s="739"/>
      <c r="E1014" s="739"/>
      <c r="F1014" s="738"/>
      <c r="G1014" s="739"/>
      <c r="H1014" s="739"/>
      <c r="I1014" s="739"/>
      <c r="J1014" s="740"/>
      <c r="K1014" s="740"/>
      <c r="L1014" s="739"/>
      <c r="M1014" s="740"/>
      <c r="N1014" s="740"/>
      <c r="O1014" s="740"/>
      <c r="P1014" s="740"/>
      <c r="Q1014" s="739"/>
      <c r="R1014" s="741" t="str">
        <f>R$10</f>
        <v xml:space="preserve"> </v>
      </c>
      <c r="S1014" s="742"/>
      <c r="T1014" s="740"/>
      <c r="U1014" s="738"/>
      <c r="X1014" s="729">
        <f t="shared" si="333"/>
        <v>0</v>
      </c>
    </row>
    <row r="1015" spans="2:24" s="664" customFormat="1" ht="15">
      <c r="B1015" s="743" t="s">
        <v>2</v>
      </c>
      <c r="C1015" s="743" t="s">
        <v>370</v>
      </c>
      <c r="D1015" s="287" t="s">
        <v>701</v>
      </c>
      <c r="E1015" s="743" t="s">
        <v>371</v>
      </c>
      <c r="F1015" s="287" t="str">
        <f>F$11</f>
        <v>DIST</v>
      </c>
      <c r="G1015" s="744" t="s">
        <v>741</v>
      </c>
      <c r="H1015" s="744" t="s">
        <v>376</v>
      </c>
      <c r="I1015" s="743"/>
      <c r="J1015" s="744" t="s">
        <v>730</v>
      </c>
      <c r="K1015" s="744" t="s">
        <v>409</v>
      </c>
      <c r="L1015" s="743" t="s">
        <v>409</v>
      </c>
      <c r="M1015" s="744" t="s">
        <v>410</v>
      </c>
      <c r="N1015" s="744" t="s">
        <v>410</v>
      </c>
      <c r="O1015" s="744" t="s">
        <v>410</v>
      </c>
      <c r="P1015" s="744" t="s">
        <v>411</v>
      </c>
      <c r="Q1015" s="743" t="s">
        <v>412</v>
      </c>
      <c r="R1015" s="745" t="str">
        <f>R$11</f>
        <v>Wholesale</v>
      </c>
      <c r="S1015" s="738" t="str">
        <f>S$11</f>
        <v>Wholesale</v>
      </c>
      <c r="T1015" s="744"/>
      <c r="U1015" s="743" t="s">
        <v>10</v>
      </c>
      <c r="X1015" s="729"/>
    </row>
    <row r="1016" spans="2:24" s="664" customFormat="1" ht="14.25">
      <c r="B1016" s="743"/>
      <c r="C1016" s="743"/>
      <c r="D1016" s="743"/>
      <c r="E1016" s="743"/>
      <c r="F1016" s="743"/>
      <c r="G1016" s="744" t="s">
        <v>742</v>
      </c>
      <c r="H1016" s="744" t="s">
        <v>743</v>
      </c>
      <c r="I1016" s="743"/>
      <c r="J1016" s="744"/>
      <c r="K1016" s="744" t="s">
        <v>731</v>
      </c>
      <c r="L1016" s="743" t="s">
        <v>732</v>
      </c>
      <c r="M1016" s="744" t="s">
        <v>731</v>
      </c>
      <c r="N1016" s="744" t="s">
        <v>732</v>
      </c>
      <c r="O1016" s="744" t="s">
        <v>414</v>
      </c>
      <c r="P1016" s="744"/>
      <c r="Q1016" s="743"/>
      <c r="R1016" s="746" t="str">
        <f>R$12</f>
        <v>XFMR</v>
      </c>
      <c r="S1016" s="743" t="str">
        <f>S$12</f>
        <v>DLS</v>
      </c>
      <c r="T1016" s="744"/>
      <c r="U1016" s="743"/>
      <c r="X1016" s="729">
        <f t="shared" si="333"/>
        <v>0</v>
      </c>
    </row>
    <row r="1017" spans="2:24" s="664" customFormat="1" ht="15" thickBot="1">
      <c r="B1017" s="747"/>
      <c r="C1017" s="747"/>
      <c r="D1017" s="747"/>
      <c r="E1017" s="747"/>
      <c r="F1017" s="747" t="s">
        <v>13</v>
      </c>
      <c r="G1017" s="747" t="s">
        <v>14</v>
      </c>
      <c r="H1017" s="747" t="s">
        <v>15</v>
      </c>
      <c r="I1017" s="747"/>
      <c r="J1017" s="748" t="str">
        <f t="shared" si="335" ref="J1017:Q1017">J$13</f>
        <v>(d)</v>
      </c>
      <c r="K1017" s="748" t="str">
        <f t="shared" si="335"/>
        <v>(e)</v>
      </c>
      <c r="L1017" s="747" t="str">
        <f t="shared" si="335"/>
        <v>(f)</v>
      </c>
      <c r="M1017" s="748" t="str">
        <f t="shared" si="335"/>
        <v>(g)</v>
      </c>
      <c r="N1017" s="748" t="str">
        <f t="shared" si="335"/>
        <v>(h)</v>
      </c>
      <c r="O1017" s="748" t="str">
        <f>O$13</f>
        <v>(i)</v>
      </c>
      <c r="P1017" s="748" t="str">
        <f t="shared" si="335"/>
        <v>(j)</v>
      </c>
      <c r="Q1017" s="748" t="str">
        <f t="shared" si="335"/>
        <v>(k)</v>
      </c>
      <c r="R1017" s="748" t="str">
        <f>R$13</f>
        <v>(l)</v>
      </c>
      <c r="S1017" s="747" t="str">
        <f>S$13</f>
        <v>(m)</v>
      </c>
      <c r="T1017" s="747"/>
      <c r="U1017" s="747" t="s">
        <v>734</v>
      </c>
      <c r="X1017" s="729"/>
    </row>
    <row r="1018" spans="3:24" s="664" customFormat="1" ht="14.25">
      <c r="C1018" s="749"/>
      <c r="D1018" s="749"/>
      <c r="E1018" s="749"/>
      <c r="F1018" s="749"/>
      <c r="G1018" s="749"/>
      <c r="H1018" s="749"/>
      <c r="I1018" s="749"/>
      <c r="J1018" s="749"/>
      <c r="K1018" s="749"/>
      <c r="L1018" s="749"/>
      <c r="M1018" s="749"/>
      <c r="N1018" s="749"/>
      <c r="O1018" s="749"/>
      <c r="P1018" s="749"/>
      <c r="Q1018" s="749"/>
      <c r="R1018" s="749"/>
      <c r="S1018" s="749"/>
      <c r="T1018" s="749"/>
      <c r="U1018" s="691"/>
      <c r="X1018" s="729">
        <f t="shared" si="333"/>
        <v>0</v>
      </c>
    </row>
    <row r="1019" spans="2:24" s="664" customFormat="1" ht="15">
      <c r="B1019" s="728">
        <f>B1005+1</f>
        <v>1</v>
      </c>
      <c r="C1019" s="34" t="s">
        <v>702</v>
      </c>
      <c r="D1019" s="8"/>
      <c r="E1019" s="727" t="s">
        <v>297</v>
      </c>
      <c r="F1019" s="22"/>
      <c r="G1019" s="727"/>
      <c r="H1019" s="727"/>
      <c r="I1019" s="727"/>
      <c r="J1019" s="727"/>
      <c r="K1019" s="727"/>
      <c r="L1019" s="727"/>
      <c r="M1019" s="727"/>
      <c r="N1019" s="727"/>
      <c r="O1019" s="727"/>
      <c r="P1019" s="727"/>
      <c r="Q1019" s="727"/>
      <c r="R1019" s="727"/>
      <c r="S1019" s="727"/>
      <c r="T1019" s="727"/>
      <c r="U1019" s="8"/>
      <c r="X1019" s="729">
        <f t="shared" si="333"/>
        <v>0</v>
      </c>
    </row>
    <row r="1020" spans="2:24" s="664" customFormat="1" ht="14.25">
      <c r="B1020" s="728">
        <f t="shared" si="336" ref="B1020:B1040">B1019+1</f>
        <v>2</v>
      </c>
      <c r="C1020" s="730"/>
      <c r="D1020" s="730"/>
      <c r="E1020" s="728"/>
      <c r="F1020" s="694"/>
      <c r="G1020" s="728"/>
      <c r="H1020" s="728"/>
      <c r="I1020" s="728"/>
      <c r="J1020" s="728"/>
      <c r="K1020" s="728"/>
      <c r="L1020" s="728"/>
      <c r="M1020" s="728"/>
      <c r="N1020" s="728"/>
      <c r="O1020" s="728"/>
      <c r="P1020" s="728"/>
      <c r="Q1020" s="728"/>
      <c r="R1020" s="728"/>
      <c r="S1020" s="728"/>
      <c r="T1020" s="728"/>
      <c r="U1020" s="730"/>
      <c r="X1020" s="729">
        <f t="shared" si="333"/>
        <v>0</v>
      </c>
    </row>
    <row r="1021" spans="2:24" s="664" customFormat="1" ht="14.25">
      <c r="B1021" s="728">
        <f t="shared" si="336"/>
        <v>3</v>
      </c>
      <c r="C1021" s="730" t="s">
        <v>703</v>
      </c>
      <c r="D1021" s="730" t="s">
        <v>42</v>
      </c>
      <c r="E1021" s="728"/>
      <c r="F1021" s="729">
        <f>' WP II-I-1.4'!G1021</f>
        <v>1610.53</v>
      </c>
      <c r="G1021" s="728">
        <v>63</v>
      </c>
      <c r="H1021" s="703" t="str">
        <f t="shared" si="337" ref="H1021:H1032">VLOOKUP(G1021,FactorTable,2)</f>
        <v>PLTGEN_N</v>
      </c>
      <c r="I1021" s="728"/>
      <c r="J1021" s="731">
        <f t="shared" si="338" ref="J1021:S1032">$F1021*HLOOKUP(J$1318,FactorTable,$G1021+1)</f>
        <v>896.41649462241708</v>
      </c>
      <c r="K1021" s="731">
        <f t="shared" si="338"/>
        <v>29.799023067893295</v>
      </c>
      <c r="L1021" s="731">
        <f t="shared" si="338"/>
        <v>566.91910892348528</v>
      </c>
      <c r="M1021" s="731">
        <f t="shared" si="338"/>
        <v>0.2052883795137995</v>
      </c>
      <c r="N1021" s="731">
        <f t="shared" si="338"/>
        <v>86.888377546511208</v>
      </c>
      <c r="O1021" s="731">
        <f t="shared" si="338"/>
        <v>8.6134008212046673</v>
      </c>
      <c r="P1021" s="731">
        <f t="shared" si="338"/>
        <v>1.6309800070899481</v>
      </c>
      <c r="Q1021" s="731">
        <f t="shared" si="338"/>
        <v>14.308414491946524</v>
      </c>
      <c r="R1021" s="731">
        <f t="shared" si="338"/>
        <v>1.0323699986660613</v>
      </c>
      <c r="S1021" s="731">
        <f t="shared" si="338"/>
        <v>4.7165421412721766</v>
      </c>
      <c r="T1021" s="728"/>
      <c r="U1021" s="729">
        <f t="shared" si="339" ref="U1021:U1033">SUM(I1021:T1021)</f>
        <v>1610.5300000000002</v>
      </c>
      <c r="X1021" s="729">
        <f t="shared" si="333"/>
        <v>0</v>
      </c>
    </row>
    <row r="1022" spans="2:24" s="664" customFormat="1" ht="14.25">
      <c r="B1022" s="728">
        <f t="shared" si="336"/>
        <v>4</v>
      </c>
      <c r="C1022" s="730" t="s">
        <v>93</v>
      </c>
      <c r="D1022" s="730" t="s">
        <v>44</v>
      </c>
      <c r="E1022" s="728"/>
      <c r="F1022" s="729">
        <f>' WP II-I-1.4'!G1022</f>
        <v>2871490.2400000002</v>
      </c>
      <c r="G1022" s="728">
        <v>63</v>
      </c>
      <c r="H1022" s="703" t="str">
        <f t="shared" si="337"/>
        <v>PLTGEN_N</v>
      </c>
      <c r="I1022" s="728"/>
      <c r="J1022" s="731">
        <f t="shared" si="338"/>
        <v>1598263.4382987486</v>
      </c>
      <c r="K1022" s="731">
        <f t="shared" si="338"/>
        <v>53130.090033088774</v>
      </c>
      <c r="L1022" s="731">
        <f t="shared" si="338"/>
        <v>1010786.9385502195</v>
      </c>
      <c r="M1022" s="731">
        <f t="shared" si="338"/>
        <v>366.01837790000263</v>
      </c>
      <c r="N1022" s="731">
        <f t="shared" si="338"/>
        <v>154917.4048879823</v>
      </c>
      <c r="O1022" s="731">
        <f t="shared" si="338"/>
        <v>15357.240406137849</v>
      </c>
      <c r="P1022" s="731">
        <f t="shared" si="338"/>
        <v>2907.9515265123391</v>
      </c>
      <c r="Q1022" s="731">
        <f t="shared" si="338"/>
        <v>25511.150095620076</v>
      </c>
      <c r="R1022" s="731">
        <f t="shared" si="338"/>
        <v>1840.6613818050012</v>
      </c>
      <c r="S1022" s="731">
        <f t="shared" si="338"/>
        <v>8409.3464419860284</v>
      </c>
      <c r="T1022" s="728"/>
      <c r="U1022" s="729">
        <f t="shared" si="339"/>
        <v>2871490.2400000007</v>
      </c>
      <c r="X1022" s="729">
        <f t="shared" si="333"/>
        <v>0</v>
      </c>
    </row>
    <row r="1023" spans="2:24" s="664" customFormat="1" ht="14.25">
      <c r="B1023" s="728">
        <f t="shared" si="336"/>
        <v>5</v>
      </c>
      <c r="C1023" s="730" t="s">
        <v>94</v>
      </c>
      <c r="D1023" s="730" t="s">
        <v>95</v>
      </c>
      <c r="E1023" s="728"/>
      <c r="F1023" s="729">
        <f>' WP II-I-1.4'!G1023</f>
        <v>11253947.6</v>
      </c>
      <c r="G1023" s="728">
        <v>63</v>
      </c>
      <c r="H1023" s="703" t="str">
        <f t="shared" si="337"/>
        <v>PLTGEN_N</v>
      </c>
      <c r="I1023" s="728"/>
      <c r="J1023" s="731">
        <f t="shared" si="338"/>
        <v>6263915.7657767097</v>
      </c>
      <c r="K1023" s="731">
        <f t="shared" si="338"/>
        <v>208227.50531642526</v>
      </c>
      <c r="L1023" s="731">
        <f t="shared" si="338"/>
        <v>3961477.2436797796</v>
      </c>
      <c r="M1023" s="731">
        <f t="shared" si="338"/>
        <v>1434.4996156154887</v>
      </c>
      <c r="N1023" s="731">
        <f t="shared" si="338"/>
        <v>607152.45786011673</v>
      </c>
      <c r="O1023" s="731">
        <f t="shared" si="338"/>
        <v>60188.112919122461</v>
      </c>
      <c r="P1023" s="731">
        <f t="shared" si="338"/>
        <v>11396.846712844781</v>
      </c>
      <c r="Q1023" s="731">
        <f t="shared" si="338"/>
        <v>99983.326564203584</v>
      </c>
      <c r="R1023" s="731">
        <f t="shared" si="338"/>
        <v>7213.9220435508332</v>
      </c>
      <c r="S1023" s="731">
        <f t="shared" si="338"/>
        <v>32957.919511632121</v>
      </c>
      <c r="T1023" s="728"/>
      <c r="U1023" s="729">
        <f t="shared" si="339"/>
        <v>11253947.6</v>
      </c>
      <c r="X1023" s="729">
        <f t="shared" si="333"/>
        <v>0</v>
      </c>
    </row>
    <row r="1024" spans="2:24" s="664" customFormat="1" ht="14.25">
      <c r="B1024" s="728">
        <f t="shared" si="336"/>
        <v>6</v>
      </c>
      <c r="C1024" s="730" t="s">
        <v>96</v>
      </c>
      <c r="D1024" s="730" t="s">
        <v>704</v>
      </c>
      <c r="E1024" s="728"/>
      <c r="F1024" s="729">
        <f>' WP II-I-1.4'!G1024</f>
        <v>1013262.58</v>
      </c>
      <c r="G1024" s="728">
        <v>63</v>
      </c>
      <c r="H1024" s="703" t="str">
        <f t="shared" si="337"/>
        <v>PLTGEN_N</v>
      </c>
      <c r="I1024" s="728"/>
      <c r="J1024" s="731">
        <f t="shared" si="338"/>
        <v>563979.11873461935</v>
      </c>
      <c r="K1024" s="731">
        <f t="shared" si="338"/>
        <v>18748.011521209213</v>
      </c>
      <c r="L1024" s="731">
        <f t="shared" si="338"/>
        <v>356676.3232967481</v>
      </c>
      <c r="M1024" s="731">
        <f t="shared" si="338"/>
        <v>129.15688193959232</v>
      </c>
      <c r="N1024" s="731">
        <f t="shared" si="338"/>
        <v>54665.694898444621</v>
      </c>
      <c r="O1024" s="731">
        <f t="shared" si="338"/>
        <v>5419.1084541535765</v>
      </c>
      <c r="P1024" s="731">
        <f t="shared" si="338"/>
        <v>1026.1286718734696</v>
      </c>
      <c r="Q1024" s="731">
        <f t="shared" si="338"/>
        <v>9002.1179262845908</v>
      </c>
      <c r="R1024" s="731">
        <f t="shared" si="338"/>
        <v>649.51406578143212</v>
      </c>
      <c r="S1024" s="731">
        <f t="shared" si="338"/>
        <v>2967.4055489461048</v>
      </c>
      <c r="T1024" s="728"/>
      <c r="U1024" s="729">
        <f t="shared" si="339"/>
        <v>1013262.58</v>
      </c>
      <c r="X1024" s="729">
        <f t="shared" si="333"/>
        <v>0</v>
      </c>
    </row>
    <row r="1025" spans="2:24" s="664" customFormat="1" ht="14.25">
      <c r="B1025" s="728">
        <f t="shared" si="336"/>
        <v>7</v>
      </c>
      <c r="C1025" s="730" t="s">
        <v>99</v>
      </c>
      <c r="D1025" s="730" t="s">
        <v>705</v>
      </c>
      <c r="E1025" s="728"/>
      <c r="F1025" s="729">
        <f>' WP II-I-1.4'!G1025</f>
        <v>179893.10999999999</v>
      </c>
      <c r="G1025" s="728">
        <v>63</v>
      </c>
      <c r="H1025" s="703" t="str">
        <f t="shared" si="337"/>
        <v>PLTGEN_N</v>
      </c>
      <c r="I1025" s="728"/>
      <c r="J1025" s="731">
        <f t="shared" si="338"/>
        <v>100128.00200736706</v>
      </c>
      <c r="K1025" s="731">
        <f t="shared" si="338"/>
        <v>3328.4936850881795</v>
      </c>
      <c r="L1025" s="731">
        <f t="shared" si="338"/>
        <v>63323.776410668856</v>
      </c>
      <c r="M1025" s="731">
        <f t="shared" si="338"/>
        <v>22.930317993205762</v>
      </c>
      <c r="N1025" s="731">
        <f t="shared" si="338"/>
        <v>9705.2650119501468</v>
      </c>
      <c r="O1025" s="731">
        <f t="shared" si="338"/>
        <v>962.10034051092589</v>
      </c>
      <c r="P1025" s="731">
        <f t="shared" si="338"/>
        <v>182.17733654339429</v>
      </c>
      <c r="Q1025" s="731">
        <f t="shared" si="338"/>
        <v>1598.2224374121126</v>
      </c>
      <c r="R1025" s="731">
        <f t="shared" si="338"/>
        <v>115.31374748109853</v>
      </c>
      <c r="S1025" s="731">
        <f t="shared" si="338"/>
        <v>526.82870498501188</v>
      </c>
      <c r="T1025" s="728"/>
      <c r="U1025" s="729">
        <f t="shared" si="339"/>
        <v>179893.10999999996</v>
      </c>
      <c r="X1025" s="729">
        <f t="shared" si="333"/>
        <v>0</v>
      </c>
    </row>
    <row r="1026" spans="2:24" s="664" customFormat="1" ht="14.25">
      <c r="B1026" s="728">
        <f t="shared" si="336"/>
        <v>8</v>
      </c>
      <c r="C1026" s="730" t="s">
        <v>101</v>
      </c>
      <c r="D1026" s="730" t="s">
        <v>706</v>
      </c>
      <c r="E1026" s="728"/>
      <c r="F1026" s="729">
        <f>' WP II-I-1.4'!G1026</f>
        <v>1613751</v>
      </c>
      <c r="G1026" s="728">
        <v>63</v>
      </c>
      <c r="H1026" s="703" t="str">
        <f t="shared" si="337"/>
        <v>PLTGEN_N</v>
      </c>
      <c r="I1026" s="728"/>
      <c r="J1026" s="731">
        <f t="shared" si="338"/>
        <v>898209.29421582969</v>
      </c>
      <c r="K1026" s="731">
        <f t="shared" si="338"/>
        <v>29858.620003871936</v>
      </c>
      <c r="L1026" s="731">
        <f t="shared" si="338"/>
        <v>568052.92602086475</v>
      </c>
      <c r="M1026" s="731">
        <f t="shared" si="338"/>
        <v>205.69894862484614</v>
      </c>
      <c r="N1026" s="731">
        <f t="shared" si="338"/>
        <v>87062.151064593651</v>
      </c>
      <c r="O1026" s="731">
        <f t="shared" si="338"/>
        <v>8630.6273019564087</v>
      </c>
      <c r="P1026" s="731">
        <f t="shared" si="338"/>
        <v>1634.2419063422667</v>
      </c>
      <c r="Q1026" s="731">
        <f t="shared" si="338"/>
        <v>14337.030787873056</v>
      </c>
      <c r="R1026" s="731">
        <f t="shared" si="338"/>
        <v>1034.4347002026384</v>
      </c>
      <c r="S1026" s="731">
        <f t="shared" si="338"/>
        <v>4725.9750498408084</v>
      </c>
      <c r="T1026" s="728"/>
      <c r="U1026" s="729">
        <f t="shared" si="339"/>
        <v>1613751</v>
      </c>
      <c r="X1026" s="729">
        <f t="shared" si="333"/>
        <v>0</v>
      </c>
    </row>
    <row r="1027" spans="2:24" s="664" customFormat="1" ht="14.25">
      <c r="B1027" s="728">
        <f t="shared" si="336"/>
        <v>9</v>
      </c>
      <c r="C1027" s="730" t="s">
        <v>103</v>
      </c>
      <c r="D1027" s="730" t="s">
        <v>707</v>
      </c>
      <c r="E1027" s="728"/>
      <c r="F1027" s="729">
        <f>' WP II-I-1.4'!G1027</f>
        <v>1151258.3999999999</v>
      </c>
      <c r="G1027" s="728">
        <v>63</v>
      </c>
      <c r="H1027" s="703" t="str">
        <f t="shared" si="337"/>
        <v>PLTGEN_N</v>
      </c>
      <c r="I1027" s="728"/>
      <c r="J1027" s="731">
        <f t="shared" si="338"/>
        <v>640787.20628154243</v>
      </c>
      <c r="K1027" s="731">
        <f t="shared" si="338"/>
        <v>21301.295609958164</v>
      </c>
      <c r="L1027" s="731">
        <f t="shared" si="338"/>
        <v>405251.92717222119</v>
      </c>
      <c r="M1027" s="731">
        <f t="shared" si="338"/>
        <v>146.7467053315676</v>
      </c>
      <c r="N1027" s="731">
        <f t="shared" si="338"/>
        <v>62110.59372553906</v>
      </c>
      <c r="O1027" s="731">
        <f t="shared" si="338"/>
        <v>6157.1346376526808</v>
      </c>
      <c r="P1027" s="731">
        <f t="shared" si="338"/>
        <v>1165.8767197098857</v>
      </c>
      <c r="Q1027" s="731">
        <f t="shared" si="338"/>
        <v>10228.112717263984</v>
      </c>
      <c r="R1027" s="731">
        <f t="shared" si="338"/>
        <v>737.97112309133752</v>
      </c>
      <c r="S1027" s="731">
        <f t="shared" si="338"/>
        <v>3371.5353076897541</v>
      </c>
      <c r="T1027" s="728"/>
      <c r="U1027" s="729">
        <f t="shared" si="339"/>
        <v>1151258.4000000004</v>
      </c>
      <c r="X1027" s="729">
        <f t="shared" si="333"/>
        <v>0</v>
      </c>
    </row>
    <row r="1028" spans="2:24" s="664" customFormat="1" ht="14.25">
      <c r="B1028" s="728">
        <f t="shared" si="336"/>
        <v>10</v>
      </c>
      <c r="C1028" s="730" t="s">
        <v>105</v>
      </c>
      <c r="D1028" s="730" t="s">
        <v>106</v>
      </c>
      <c r="E1028" s="728"/>
      <c r="F1028" s="729">
        <f>' WP II-I-1.4'!G1028</f>
        <v>479878.02000000002</v>
      </c>
      <c r="G1028" s="728">
        <v>63</v>
      </c>
      <c r="H1028" s="703" t="str">
        <f t="shared" si="337"/>
        <v>PLTGEN_N</v>
      </c>
      <c r="I1028" s="728"/>
      <c r="J1028" s="731">
        <f t="shared" si="338"/>
        <v>267098.76409302914</v>
      </c>
      <c r="K1028" s="731">
        <f t="shared" si="338"/>
        <v>8879.000197298381</v>
      </c>
      <c r="L1028" s="731">
        <f t="shared" si="338"/>
        <v>168920.80215231414</v>
      </c>
      <c r="M1028" s="731">
        <f t="shared" si="338"/>
        <v>61.168299311463102</v>
      </c>
      <c r="N1028" s="731">
        <f t="shared" si="338"/>
        <v>25889.503814292351</v>
      </c>
      <c r="O1028" s="731">
        <f t="shared" si="338"/>
        <v>2566.4729819041372</v>
      </c>
      <c r="P1028" s="731">
        <f t="shared" si="338"/>
        <v>485.97136126735319</v>
      </c>
      <c r="Q1028" s="731">
        <f t="shared" si="338"/>
        <v>4263.3751719835109</v>
      </c>
      <c r="R1028" s="731">
        <f t="shared" si="338"/>
        <v>307.60785012838767</v>
      </c>
      <c r="S1028" s="731">
        <f t="shared" si="338"/>
        <v>1405.3540784712193</v>
      </c>
      <c r="T1028" s="728"/>
      <c r="U1028" s="729">
        <f t="shared" si="339"/>
        <v>479878.02000000008</v>
      </c>
      <c r="X1028" s="729">
        <f t="shared" si="333"/>
        <v>0</v>
      </c>
    </row>
    <row r="1029" spans="2:24" s="664" customFormat="1" ht="14.25">
      <c r="B1029" s="728">
        <f t="shared" si="336"/>
        <v>11</v>
      </c>
      <c r="C1029" s="730" t="s">
        <v>107</v>
      </c>
      <c r="D1029" s="730" t="s">
        <v>108</v>
      </c>
      <c r="E1029" s="728"/>
      <c r="F1029" s="729">
        <f>' WP II-I-1.4'!G1029</f>
        <v>3522760.3300000001</v>
      </c>
      <c r="G1029" s="728">
        <v>63</v>
      </c>
      <c r="H1029" s="703" t="str">
        <f t="shared" si="337"/>
        <v>PLTGEN_N</v>
      </c>
      <c r="I1029" s="728"/>
      <c r="J1029" s="731">
        <f t="shared" si="338"/>
        <v>1960758.5493058246</v>
      </c>
      <c r="K1029" s="731">
        <f t="shared" si="338"/>
        <v>65180.292410777445</v>
      </c>
      <c r="L1029" s="731">
        <f t="shared" si="338"/>
        <v>1240039.084794821</v>
      </c>
      <c r="M1029" s="731">
        <f t="shared" si="338"/>
        <v>449.03339867074664</v>
      </c>
      <c r="N1029" s="731">
        <f t="shared" si="338"/>
        <v>190053.54110691042</v>
      </c>
      <c r="O1029" s="731">
        <f t="shared" si="338"/>
        <v>18840.348654995079</v>
      </c>
      <c r="P1029" s="731">
        <f t="shared" si="338"/>
        <v>3567.4912407714155</v>
      </c>
      <c r="Q1029" s="731">
        <f t="shared" si="338"/>
        <v>31297.222006064039</v>
      </c>
      <c r="R1029" s="731">
        <f t="shared" si="338"/>
        <v>2258.1337057881283</v>
      </c>
      <c r="S1029" s="731">
        <f t="shared" si="338"/>
        <v>10316.633375377596</v>
      </c>
      <c r="T1029" s="728"/>
      <c r="U1029" s="729">
        <f t="shared" si="339"/>
        <v>3522760.3300000001</v>
      </c>
      <c r="X1029" s="729">
        <f t="shared" si="333"/>
        <v>0</v>
      </c>
    </row>
    <row r="1030" spans="2:24" s="664" customFormat="1" ht="14.25">
      <c r="B1030" s="728">
        <f t="shared" si="336"/>
        <v>12</v>
      </c>
      <c r="C1030" s="730" t="s">
        <v>110</v>
      </c>
      <c r="D1030" s="730" t="s">
        <v>708</v>
      </c>
      <c r="E1030" s="728"/>
      <c r="F1030" s="729">
        <f>' WP II-I-1.4'!G1030</f>
        <v>349716.01000000001</v>
      </c>
      <c r="G1030" s="728">
        <v>63</v>
      </c>
      <c r="H1030" s="703" t="str">
        <f t="shared" si="337"/>
        <v>PLTGEN_N</v>
      </c>
      <c r="I1030" s="728"/>
      <c r="J1030" s="731">
        <f t="shared" si="338"/>
        <v>194650.95328714038</v>
      </c>
      <c r="K1030" s="731">
        <f t="shared" si="338"/>
        <v>6470.6621107347282</v>
      </c>
      <c r="L1030" s="731">
        <f t="shared" si="338"/>
        <v>123102.76043630151</v>
      </c>
      <c r="M1030" s="731">
        <f t="shared" si="338"/>
        <v>44.577023081179298</v>
      </c>
      <c r="N1030" s="731">
        <f t="shared" si="338"/>
        <v>18867.240418334022</v>
      </c>
      <c r="O1030" s="731">
        <f t="shared" si="338"/>
        <v>1870.3434072773682</v>
      </c>
      <c r="P1030" s="731">
        <f t="shared" si="338"/>
        <v>354.15659470439442</v>
      </c>
      <c r="Q1030" s="731">
        <f t="shared" si="338"/>
        <v>3106.9782155872385</v>
      </c>
      <c r="R1030" s="731">
        <f t="shared" si="338"/>
        <v>224.17236361769125</v>
      </c>
      <c r="S1030" s="731">
        <f t="shared" si="338"/>
        <v>1024.1661432215246</v>
      </c>
      <c r="T1030" s="728"/>
      <c r="U1030" s="729">
        <f t="shared" si="339"/>
        <v>349716.01000000007</v>
      </c>
      <c r="X1030" s="729">
        <f t="shared" si="333"/>
        <v>0</v>
      </c>
    </row>
    <row r="1031" spans="2:24" s="664" customFormat="1" ht="14.25">
      <c r="B1031" s="728">
        <f t="shared" si="336"/>
        <v>13</v>
      </c>
      <c r="C1031" s="730" t="s">
        <v>112</v>
      </c>
      <c r="D1031" s="730" t="s">
        <v>302</v>
      </c>
      <c r="E1031" s="728"/>
      <c r="F1031" s="729">
        <f>' WP II-I-1.4'!G1031</f>
        <v>0</v>
      </c>
      <c r="G1031" s="728">
        <v>63</v>
      </c>
      <c r="H1031" s="703" t="str">
        <f t="shared" si="337"/>
        <v>PLTGEN_N</v>
      </c>
      <c r="I1031" s="728"/>
      <c r="J1031" s="731">
        <f t="shared" si="338"/>
        <v>0</v>
      </c>
      <c r="K1031" s="731">
        <f t="shared" si="338"/>
        <v>0</v>
      </c>
      <c r="L1031" s="731">
        <f t="shared" si="338"/>
        <v>0</v>
      </c>
      <c r="M1031" s="731">
        <f t="shared" si="338"/>
        <v>0</v>
      </c>
      <c r="N1031" s="731">
        <f t="shared" si="338"/>
        <v>0</v>
      </c>
      <c r="O1031" s="731">
        <f t="shared" si="338"/>
        <v>0</v>
      </c>
      <c r="P1031" s="731">
        <f t="shared" si="338"/>
        <v>0</v>
      </c>
      <c r="Q1031" s="731">
        <f t="shared" si="338"/>
        <v>0</v>
      </c>
      <c r="R1031" s="731">
        <f t="shared" si="338"/>
        <v>0</v>
      </c>
      <c r="S1031" s="731">
        <f t="shared" si="338"/>
        <v>0</v>
      </c>
      <c r="T1031" s="728"/>
      <c r="U1031" s="729">
        <f>SUM(I1031:T1031)</f>
        <v>0</v>
      </c>
      <c r="X1031" s="729">
        <f t="shared" si="333"/>
        <v>0</v>
      </c>
    </row>
    <row r="1032" spans="2:24" s="664" customFormat="1" ht="14.25">
      <c r="B1032" s="728">
        <f t="shared" si="336"/>
        <v>14</v>
      </c>
      <c r="C1032" s="730" t="s">
        <v>112</v>
      </c>
      <c r="D1032" s="730" t="s">
        <v>303</v>
      </c>
      <c r="E1032" s="728"/>
      <c r="F1032" s="729">
        <f>' WP II-I-1.4'!G1032</f>
        <v>0</v>
      </c>
      <c r="G1032" s="728">
        <v>63</v>
      </c>
      <c r="H1032" s="703" t="str">
        <f t="shared" si="337"/>
        <v>PLTGEN_N</v>
      </c>
      <c r="I1032" s="728"/>
      <c r="J1032" s="734">
        <f t="shared" si="338"/>
        <v>0</v>
      </c>
      <c r="K1032" s="734">
        <f t="shared" si="338"/>
        <v>0</v>
      </c>
      <c r="L1032" s="734">
        <f t="shared" si="338"/>
        <v>0</v>
      </c>
      <c r="M1032" s="734">
        <f t="shared" si="338"/>
        <v>0</v>
      </c>
      <c r="N1032" s="734">
        <f t="shared" si="338"/>
        <v>0</v>
      </c>
      <c r="O1032" s="734">
        <f t="shared" si="338"/>
        <v>0</v>
      </c>
      <c r="P1032" s="734">
        <f t="shared" si="338"/>
        <v>0</v>
      </c>
      <c r="Q1032" s="734">
        <f t="shared" si="338"/>
        <v>0</v>
      </c>
      <c r="R1032" s="734">
        <f t="shared" si="338"/>
        <v>0</v>
      </c>
      <c r="S1032" s="734">
        <f t="shared" si="338"/>
        <v>0</v>
      </c>
      <c r="T1032" s="728"/>
      <c r="U1032" s="729">
        <f t="shared" si="339"/>
        <v>0</v>
      </c>
      <c r="X1032" s="729">
        <f t="shared" si="333"/>
        <v>0</v>
      </c>
    </row>
    <row r="1033" spans="2:24" s="664" customFormat="1" ht="15">
      <c r="B1033" s="728">
        <f t="shared" si="336"/>
        <v>15</v>
      </c>
      <c r="C1033" s="8"/>
      <c r="D1033" s="297" t="s">
        <v>491</v>
      </c>
      <c r="E1033" s="727"/>
      <c r="F1033" s="22">
        <f>SUM(F1021:F1032)</f>
        <v>22437567.819999997</v>
      </c>
      <c r="G1033" s="727"/>
      <c r="H1033" s="727"/>
      <c r="I1033" s="727"/>
      <c r="J1033" s="22">
        <f t="shared" si="340" ref="J1033:Q1033">SUM(J1021:J1032)</f>
        <v>12488687.508495431</v>
      </c>
      <c r="K1033" s="22">
        <f t="shared" si="340"/>
        <v>415153.76991151995</v>
      </c>
      <c r="L1033" s="22">
        <f t="shared" si="340"/>
        <v>7898198.7016228624</v>
      </c>
      <c r="M1033" s="22">
        <f t="shared" si="340"/>
        <v>2860.0348568476061</v>
      </c>
      <c r="N1033" s="22">
        <f t="shared" si="340"/>
        <v>1210510.7411657099</v>
      </c>
      <c r="O1033" s="22">
        <f>SUM(O1021:O1032)</f>
        <v>120000.10250453169</v>
      </c>
      <c r="P1033" s="22">
        <f t="shared" si="340"/>
        <v>22722.473050576391</v>
      </c>
      <c r="Q1033" s="22">
        <f t="shared" si="340"/>
        <v>199341.84433678413</v>
      </c>
      <c r="R1033" s="22">
        <f>SUM(R1021:R1032)</f>
        <v>14382.763351445217</v>
      </c>
      <c r="S1033" s="22">
        <f>SUM(S1021:S1032)</f>
        <v>65709.880704291441</v>
      </c>
      <c r="T1033" s="1010"/>
      <c r="U1033" s="299">
        <f t="shared" si="339"/>
        <v>22437567.82</v>
      </c>
      <c r="X1033" s="729">
        <f t="shared" si="333"/>
        <v>0</v>
      </c>
    </row>
    <row r="1034" spans="2:24" s="664" customFormat="1" ht="15.75" thickBot="1">
      <c r="B1034" s="728">
        <f t="shared" si="336"/>
        <v>16</v>
      </c>
      <c r="C1034" s="8"/>
      <c r="D1034" s="297"/>
      <c r="E1034" s="727"/>
      <c r="F1034" s="22"/>
      <c r="G1034" s="727"/>
      <c r="H1034" s="727"/>
      <c r="I1034" s="727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727"/>
      <c r="U1034" s="299"/>
      <c r="X1034" s="729">
        <f t="shared" si="333"/>
        <v>0</v>
      </c>
    </row>
    <row r="1035" spans="1:24" s="664" customFormat="1" ht="15.75" thickBot="1">
      <c r="A1035" s="703"/>
      <c r="B1035" s="728">
        <f t="shared" si="336"/>
        <v>17</v>
      </c>
      <c r="C1035" s="284" t="s">
        <v>709</v>
      </c>
      <c r="D1035" s="285"/>
      <c r="E1035" s="374" t="s">
        <v>297</v>
      </c>
      <c r="F1035" s="255">
        <f>F975+F987+F1004+F1033</f>
        <v>459817144.95999992</v>
      </c>
      <c r="G1035" s="374"/>
      <c r="H1035" s="467"/>
      <c r="I1035" s="1066"/>
      <c r="J1035" s="446">
        <f t="shared" si="341" ref="J1035:Q1035">J975+J987+J1004+J1033</f>
        <v>245541115.9493264</v>
      </c>
      <c r="K1035" s="903">
        <f t="shared" si="341"/>
        <v>10276120.921946548</v>
      </c>
      <c r="L1035" s="903">
        <f t="shared" si="341"/>
        <v>152545188.60102925</v>
      </c>
      <c r="M1035" s="903">
        <f t="shared" si="341"/>
        <v>53564.307646005793</v>
      </c>
      <c r="N1035" s="903">
        <f t="shared" si="341"/>
        <v>22671111.715072885</v>
      </c>
      <c r="O1035" s="903">
        <f>O975+O987+O1004+O1033</f>
        <v>1729044.1579440564</v>
      </c>
      <c r="P1035" s="903">
        <f t="shared" si="341"/>
        <v>355894.64544424589</v>
      </c>
      <c r="Q1035" s="903">
        <f t="shared" si="341"/>
        <v>25207217.0691224</v>
      </c>
      <c r="R1035" s="903">
        <f>R975+R987+R1004+R1033</f>
        <v>207236.76421000628</v>
      </c>
      <c r="S1035" s="380">
        <f>S975+S987+S1004+S1033</f>
        <v>1230650.828258262</v>
      </c>
      <c r="T1035" s="467"/>
      <c r="U1035" s="380">
        <f>SUM(I1035:T1035)</f>
        <v>459817144.96000004</v>
      </c>
      <c r="X1035" s="729">
        <f t="shared" si="333"/>
        <v>0</v>
      </c>
    </row>
    <row r="1036" spans="2:24" s="664" customFormat="1" ht="15">
      <c r="B1036" s="728">
        <f t="shared" si="336"/>
        <v>18</v>
      </c>
      <c r="C1036" s="8"/>
      <c r="D1036" s="297"/>
      <c r="E1036" s="727"/>
      <c r="F1036" s="22"/>
      <c r="G1036" s="727"/>
      <c r="H1036" s="727"/>
      <c r="I1036" s="727"/>
      <c r="J1036" s="727"/>
      <c r="K1036" s="727"/>
      <c r="L1036" s="727"/>
      <c r="M1036" s="727"/>
      <c r="N1036" s="727"/>
      <c r="O1036" s="727"/>
      <c r="P1036" s="727"/>
      <c r="Q1036" s="727"/>
      <c r="R1036" s="727"/>
      <c r="S1036" s="727"/>
      <c r="T1036" s="727"/>
      <c r="U1036" s="299"/>
      <c r="X1036" s="729">
        <f t="shared" si="333"/>
        <v>0</v>
      </c>
    </row>
    <row r="1037" spans="2:24" s="664" customFormat="1" ht="15">
      <c r="B1037" s="728">
        <f t="shared" si="336"/>
        <v>19</v>
      </c>
      <c r="C1037" s="8" t="s">
        <v>710</v>
      </c>
      <c r="D1037" s="297"/>
      <c r="E1037" s="727" t="s">
        <v>330</v>
      </c>
      <c r="F1037" s="729">
        <f>' WP II-I-1.4'!G1037</f>
        <v>97.260000000002037</v>
      </c>
      <c r="G1037" s="728">
        <v>65</v>
      </c>
      <c r="H1037" s="703" t="str">
        <f>VLOOKUP(G1037,FactorTable,2)</f>
        <v>PLT_N XINT</v>
      </c>
      <c r="I1037" s="1010"/>
      <c r="J1037" s="731">
        <f t="shared" si="342" ref="J1037:S1038">$F1037*HLOOKUP(J$1318,FactorTable,$G1037+1)</f>
        <v>54.134644040768016</v>
      </c>
      <c r="K1037" s="731">
        <f t="shared" si="342"/>
        <v>1.799564729364471</v>
      </c>
      <c r="L1037" s="731">
        <f t="shared" si="342"/>
        <v>34.236277830216963</v>
      </c>
      <c r="M1037" s="731">
        <f t="shared" si="342"/>
        <v>0.012397377131448997</v>
      </c>
      <c r="N1037" s="731">
        <f t="shared" si="342"/>
        <v>5.247194153585375</v>
      </c>
      <c r="O1037" s="731">
        <f t="shared" si="342"/>
        <v>0.52016377457755125</v>
      </c>
      <c r="P1037" s="731">
        <f t="shared" si="342"/>
        <v>0.098494977112858317</v>
      </c>
      <c r="Q1037" s="731">
        <f t="shared" si="342"/>
        <v>0.86408598007286253</v>
      </c>
      <c r="R1037" s="731">
        <f t="shared" si="342"/>
        <v>0.062344884025918909</v>
      </c>
      <c r="S1037" s="731">
        <f t="shared" si="342"/>
        <v>0.28483225314656752</v>
      </c>
      <c r="T1037" s="1010"/>
      <c r="U1037" s="729">
        <f>SUM(I1037:T1037)</f>
        <v>97.260000000002023</v>
      </c>
      <c r="X1037" s="729">
        <f t="shared" si="333"/>
        <v>0</v>
      </c>
    </row>
    <row r="1038" spans="2:24" s="664" customFormat="1" ht="15">
      <c r="B1038" s="728">
        <f t="shared" si="336"/>
        <v>20</v>
      </c>
      <c r="C1038" s="8" t="s">
        <v>711</v>
      </c>
      <c r="D1038" s="297"/>
      <c r="E1038" s="727" t="s">
        <v>333</v>
      </c>
      <c r="F1038" s="729">
        <f>' WP II-I-1.4'!G1038</f>
        <v>-2773001.1500000004</v>
      </c>
      <c r="G1038" s="728">
        <v>65</v>
      </c>
      <c r="H1038" s="703" t="str">
        <f>VLOOKUP(G1038,FactorTable,2)</f>
        <v>PLT_N XINT</v>
      </c>
      <c r="I1038" s="1010"/>
      <c r="J1038" s="731">
        <f t="shared" si="342"/>
        <v>-1543444.6862007736</v>
      </c>
      <c r="K1038" s="731">
        <f t="shared" si="342"/>
        <v>-51307.783919669062</v>
      </c>
      <c r="L1038" s="731">
        <f t="shared" si="342"/>
        <v>-976118.01146318286</v>
      </c>
      <c r="M1038" s="731">
        <f t="shared" si="342"/>
        <v>-353.46433315331126</v>
      </c>
      <c r="N1038" s="731">
        <f t="shared" si="342"/>
        <v>-149603.90111212441</v>
      </c>
      <c r="O1038" s="731">
        <f t="shared" si="342"/>
        <v>-14830.503239685999</v>
      </c>
      <c r="P1038" s="731">
        <f t="shared" si="342"/>
        <v>-2808.211852798418</v>
      </c>
      <c r="Q1038" s="731">
        <f t="shared" si="342"/>
        <v>-24636.144524376668</v>
      </c>
      <c r="R1038" s="731">
        <f t="shared" si="342"/>
        <v>-1777.5286356208735</v>
      </c>
      <c r="S1038" s="731">
        <f t="shared" si="342"/>
        <v>-8120.9147186151185</v>
      </c>
      <c r="T1038" s="1010"/>
      <c r="U1038" s="729">
        <f>SUM(I1038:T1038)</f>
        <v>-2773001.1500000004</v>
      </c>
      <c r="X1038" s="729">
        <f t="shared" si="333"/>
        <v>0</v>
      </c>
    </row>
    <row r="1039" spans="2:24" s="664" customFormat="1" ht="15.75" thickBot="1">
      <c r="B1039" s="728">
        <f t="shared" si="336"/>
        <v>21</v>
      </c>
      <c r="C1039" s="8"/>
      <c r="D1039" s="297"/>
      <c r="E1039" s="727"/>
      <c r="F1039" s="22"/>
      <c r="G1039" s="727"/>
      <c r="H1039" s="727"/>
      <c r="I1039" s="727"/>
      <c r="J1039" s="727"/>
      <c r="K1039" s="727"/>
      <c r="L1039" s="727"/>
      <c r="M1039" s="727"/>
      <c r="N1039" s="727"/>
      <c r="O1039" s="727"/>
      <c r="P1039" s="727"/>
      <c r="Q1039" s="727"/>
      <c r="R1039" s="727"/>
      <c r="S1039" s="727"/>
      <c r="T1039" s="727"/>
      <c r="U1039" s="299"/>
      <c r="X1039" s="729">
        <f t="shared" si="333"/>
        <v>0</v>
      </c>
    </row>
    <row r="1040" spans="1:24" s="664" customFormat="1" ht="15.75" thickBot="1">
      <c r="A1040" s="703"/>
      <c r="B1040" s="728">
        <f t="shared" si="336"/>
        <v>22</v>
      </c>
      <c r="C1040" s="284" t="s">
        <v>712</v>
      </c>
      <c r="D1040" s="285"/>
      <c r="E1040" s="374"/>
      <c r="F1040" s="255">
        <f>SUM(F1035:F1038)</f>
        <v>457044241.06999993</v>
      </c>
      <c r="G1040" s="374"/>
      <c r="H1040" s="467"/>
      <c r="I1040" s="1066"/>
      <c r="J1040" s="446">
        <f t="shared" si="343" ref="J1040:Q1040">SUM(J1035:J1038)</f>
        <v>243997725.39776966</v>
      </c>
      <c r="K1040" s="903">
        <f t="shared" si="343"/>
        <v>10224814.937591607</v>
      </c>
      <c r="L1040" s="903">
        <f t="shared" si="343"/>
        <v>151569104.82584387</v>
      </c>
      <c r="M1040" s="903">
        <f t="shared" si="343"/>
        <v>53210.855710229618</v>
      </c>
      <c r="N1040" s="903">
        <f t="shared" si="343"/>
        <v>22521513.061154913</v>
      </c>
      <c r="O1040" s="903">
        <f>SUM(O1035:O1038)</f>
        <v>1714214.174868145</v>
      </c>
      <c r="P1040" s="903">
        <f t="shared" si="343"/>
        <v>353086.53208642459</v>
      </c>
      <c r="Q1040" s="903">
        <f t="shared" si="343"/>
        <v>25182581.788684003</v>
      </c>
      <c r="R1040" s="903">
        <f>SUM(R1035:R1038)</f>
        <v>205459.29791926945</v>
      </c>
      <c r="S1040" s="380">
        <f>SUM(S1035:S1038)</f>
        <v>1222530.1983719</v>
      </c>
      <c r="T1040" s="467"/>
      <c r="U1040" s="380">
        <f>SUM(I1040:T1040)</f>
        <v>457044241.07000005</v>
      </c>
      <c r="X1040" s="729">
        <f t="shared" si="333"/>
        <v>0</v>
      </c>
    </row>
    <row r="1041" spans="24:24" s="664" customFormat="1" ht="14.25">
      <c r="X1041" s="729">
        <f t="shared" si="333"/>
        <v>0</v>
      </c>
    </row>
    <row r="1042" spans="8:24" s="664" customFormat="1" ht="14.25">
      <c r="H1042" s="736"/>
      <c r="U1042" s="736"/>
      <c r="V1042" s="736">
        <f>$H$2</f>
        <v>0</v>
      </c>
      <c r="W1042" s="736"/>
      <c r="X1042" s="729"/>
    </row>
    <row r="1043" spans="24:24" s="664" customFormat="1" ht="15" thickBot="1">
      <c r="X1043" s="729">
        <f t="shared" si="333"/>
        <v>0</v>
      </c>
    </row>
    <row r="1044" spans="2:24" s="664" customFormat="1" ht="15">
      <c r="B1044" s="920" t="str">
        <f>+$B$4</f>
        <v>2022 RATE CASE</v>
      </c>
      <c r="C1044" s="935"/>
      <c r="D1044" s="971"/>
      <c r="F1044" s="737"/>
      <c r="U1044" s="736"/>
      <c r="X1044" s="729">
        <f t="shared" si="333"/>
        <v>0</v>
      </c>
    </row>
    <row r="1045" spans="2:24" s="664" customFormat="1" ht="15">
      <c r="B1045" s="917" t="str">
        <f>+$B$5</f>
        <v>ONCOR ELECTRIC DELIVERY COMPANY LLC</v>
      </c>
      <c r="C1045" s="8"/>
      <c r="D1045" s="972"/>
      <c r="F1045" s="737"/>
      <c r="U1045" s="736"/>
      <c r="X1045" s="729">
        <f t="shared" si="333"/>
        <v>0</v>
      </c>
    </row>
    <row r="1046" spans="2:24" s="664" customFormat="1" ht="15">
      <c r="B1046" s="917" t="str">
        <f>+$B$6</f>
        <v>II-I-1-DIST:  CLASS REVENUE REQUIREMENT</v>
      </c>
      <c r="C1046" s="85"/>
      <c r="D1046" s="972"/>
      <c r="F1046" s="737"/>
      <c r="U1046" s="737"/>
      <c r="X1046" s="729">
        <f t="shared" si="333"/>
        <v>0</v>
      </c>
    </row>
    <row r="1047" spans="2:24" s="664" customFormat="1" ht="15">
      <c r="B1047" s="406" t="str">
        <f>+$B$7</f>
        <v>TEST YEAR ENDING 12/31/2021</v>
      </c>
      <c r="C1047" s="85"/>
      <c r="D1047" s="972"/>
      <c r="F1047" s="737"/>
      <c r="U1047" s="737"/>
      <c r="X1047" s="729">
        <f t="shared" si="333"/>
        <v>0</v>
      </c>
    </row>
    <row r="1048" spans="2:24" s="664" customFormat="1" ht="15">
      <c r="B1048" s="406" t="str">
        <f>+$B$8</f>
        <v>SPONSOR:  MATTHEW A. TROXLE</v>
      </c>
      <c r="C1048" s="85"/>
      <c r="D1048" s="972"/>
      <c r="F1048" s="737"/>
      <c r="U1048" s="737"/>
      <c r="X1048" s="729">
        <f t="shared" si="333"/>
        <v>0</v>
      </c>
    </row>
    <row r="1049" spans="2:24" s="664" customFormat="1" ht="15.75" thickBot="1">
      <c r="B1049" s="410"/>
      <c r="C1049" s="934"/>
      <c r="D1049" s="973"/>
      <c r="F1049" s="737"/>
      <c r="U1049" s="737"/>
      <c r="X1049" s="729">
        <f t="shared" si="333"/>
        <v>0</v>
      </c>
    </row>
    <row r="1050" spans="2:24" s="664" customFormat="1" ht="15" thickBot="1">
      <c r="B1050" s="738"/>
      <c r="C1050" s="739"/>
      <c r="D1050" s="739"/>
      <c r="E1050" s="739"/>
      <c r="F1050" s="738"/>
      <c r="G1050" s="739"/>
      <c r="H1050" s="739"/>
      <c r="I1050" s="739"/>
      <c r="J1050" s="740"/>
      <c r="K1050" s="740"/>
      <c r="L1050" s="739"/>
      <c r="M1050" s="740"/>
      <c r="N1050" s="740"/>
      <c r="O1050" s="740"/>
      <c r="P1050" s="740"/>
      <c r="Q1050" s="739"/>
      <c r="R1050" s="741" t="str">
        <f>R$10</f>
        <v xml:space="preserve"> </v>
      </c>
      <c r="S1050" s="742"/>
      <c r="T1050" s="740"/>
      <c r="U1050" s="738"/>
      <c r="X1050" s="729">
        <f t="shared" si="333"/>
        <v>0</v>
      </c>
    </row>
    <row r="1051" spans="2:24" s="664" customFormat="1" ht="15">
      <c r="B1051" s="743" t="s">
        <v>2</v>
      </c>
      <c r="C1051" s="743" t="s">
        <v>370</v>
      </c>
      <c r="D1051" s="287" t="s">
        <v>304</v>
      </c>
      <c r="E1051" s="743" t="s">
        <v>371</v>
      </c>
      <c r="F1051" s="287" t="str">
        <f>F$11</f>
        <v>DIST</v>
      </c>
      <c r="G1051" s="744" t="s">
        <v>741</v>
      </c>
      <c r="H1051" s="744" t="s">
        <v>376</v>
      </c>
      <c r="I1051" s="743"/>
      <c r="J1051" s="744" t="s">
        <v>730</v>
      </c>
      <c r="K1051" s="744" t="s">
        <v>409</v>
      </c>
      <c r="L1051" s="743" t="s">
        <v>409</v>
      </c>
      <c r="M1051" s="744" t="s">
        <v>410</v>
      </c>
      <c r="N1051" s="744" t="s">
        <v>410</v>
      </c>
      <c r="O1051" s="744" t="s">
        <v>410</v>
      </c>
      <c r="P1051" s="744" t="s">
        <v>411</v>
      </c>
      <c r="Q1051" s="743" t="s">
        <v>412</v>
      </c>
      <c r="R1051" s="745" t="str">
        <f>R$11</f>
        <v>Wholesale</v>
      </c>
      <c r="S1051" s="738" t="str">
        <f>S$11</f>
        <v>Wholesale</v>
      </c>
      <c r="T1051" s="744"/>
      <c r="U1051" s="743" t="s">
        <v>10</v>
      </c>
      <c r="X1051" s="729"/>
    </row>
    <row r="1052" spans="2:24" s="664" customFormat="1" ht="14.25">
      <c r="B1052" s="743"/>
      <c r="C1052" s="743"/>
      <c r="D1052" s="743"/>
      <c r="E1052" s="743"/>
      <c r="F1052" s="743"/>
      <c r="G1052" s="744" t="s">
        <v>742</v>
      </c>
      <c r="H1052" s="744" t="s">
        <v>743</v>
      </c>
      <c r="I1052" s="743"/>
      <c r="J1052" s="744"/>
      <c r="K1052" s="744" t="s">
        <v>731</v>
      </c>
      <c r="L1052" s="743" t="s">
        <v>732</v>
      </c>
      <c r="M1052" s="744" t="s">
        <v>731</v>
      </c>
      <c r="N1052" s="744" t="s">
        <v>732</v>
      </c>
      <c r="O1052" s="744" t="s">
        <v>414</v>
      </c>
      <c r="P1052" s="744"/>
      <c r="Q1052" s="743"/>
      <c r="R1052" s="746" t="str">
        <f>R$12</f>
        <v>XFMR</v>
      </c>
      <c r="S1052" s="743" t="str">
        <f>S$12</f>
        <v>DLS</v>
      </c>
      <c r="T1052" s="744"/>
      <c r="U1052" s="743"/>
      <c r="X1052" s="729">
        <f t="shared" si="333"/>
        <v>0</v>
      </c>
    </row>
    <row r="1053" spans="2:24" s="664" customFormat="1" ht="15" thickBot="1">
      <c r="B1053" s="747"/>
      <c r="C1053" s="747"/>
      <c r="D1053" s="747"/>
      <c r="E1053" s="747"/>
      <c r="F1053" s="747" t="s">
        <v>13</v>
      </c>
      <c r="G1053" s="747" t="s">
        <v>14</v>
      </c>
      <c r="H1053" s="747" t="s">
        <v>15</v>
      </c>
      <c r="I1053" s="747"/>
      <c r="J1053" s="748" t="str">
        <f t="shared" si="344" ref="J1053:Q1053">J$13</f>
        <v>(d)</v>
      </c>
      <c r="K1053" s="748" t="str">
        <f t="shared" si="344"/>
        <v>(e)</v>
      </c>
      <c r="L1053" s="747" t="str">
        <f t="shared" si="344"/>
        <v>(f)</v>
      </c>
      <c r="M1053" s="748" t="str">
        <f t="shared" si="344"/>
        <v>(g)</v>
      </c>
      <c r="N1053" s="748" t="str">
        <f t="shared" si="344"/>
        <v>(h)</v>
      </c>
      <c r="O1053" s="748" t="str">
        <f>O$13</f>
        <v>(i)</v>
      </c>
      <c r="P1053" s="748" t="str">
        <f t="shared" si="344"/>
        <v>(j)</v>
      </c>
      <c r="Q1053" s="748" t="str">
        <f t="shared" si="344"/>
        <v>(k)</v>
      </c>
      <c r="R1053" s="748" t="str">
        <f>R$13</f>
        <v>(l)</v>
      </c>
      <c r="S1053" s="747" t="str">
        <f>S$13</f>
        <v>(m)</v>
      </c>
      <c r="T1053" s="747"/>
      <c r="U1053" s="747" t="s">
        <v>734</v>
      </c>
      <c r="X1053" s="729"/>
    </row>
    <row r="1054" spans="3:24" s="664" customFormat="1" ht="14.25">
      <c r="C1054" s="749"/>
      <c r="D1054" s="749"/>
      <c r="E1054" s="749"/>
      <c r="F1054" s="749"/>
      <c r="G1054" s="749"/>
      <c r="H1054" s="749"/>
      <c r="I1054" s="749"/>
      <c r="J1054" s="749"/>
      <c r="K1054" s="749"/>
      <c r="L1054" s="749"/>
      <c r="M1054" s="749"/>
      <c r="N1054" s="749"/>
      <c r="O1054" s="749"/>
      <c r="P1054" s="749"/>
      <c r="Q1054" s="749"/>
      <c r="R1054" s="749"/>
      <c r="S1054" s="749"/>
      <c r="T1054" s="749"/>
      <c r="U1054" s="691"/>
      <c r="X1054" s="729">
        <f t="shared" si="333"/>
        <v>0</v>
      </c>
    </row>
    <row r="1055" spans="2:24" s="664" customFormat="1" ht="15">
      <c r="B1055" s="728">
        <f t="shared" si="345" ref="B1055:B1072">B1054+1</f>
        <v>1</v>
      </c>
      <c r="C1055" s="366" t="s">
        <v>304</v>
      </c>
      <c r="D1055" s="366"/>
      <c r="E1055" s="727"/>
      <c r="F1055" s="22"/>
      <c r="G1055" s="727"/>
      <c r="H1055" s="727"/>
      <c r="I1055" s="727"/>
      <c r="J1055" s="727"/>
      <c r="K1055" s="727"/>
      <c r="L1055" s="727"/>
      <c r="M1055" s="727"/>
      <c r="N1055" s="727"/>
      <c r="O1055" s="727"/>
      <c r="P1055" s="727"/>
      <c r="Q1055" s="727"/>
      <c r="R1055" s="727"/>
      <c r="S1055" s="727"/>
      <c r="T1055" s="727"/>
      <c r="U1055" s="8"/>
      <c r="X1055" s="729">
        <f t="shared" si="333"/>
        <v>0</v>
      </c>
    </row>
    <row r="1056" spans="2:24" s="664" customFormat="1" ht="14.25">
      <c r="B1056" s="728">
        <f t="shared" si="345"/>
        <v>2</v>
      </c>
      <c r="C1056" s="730"/>
      <c r="D1056" s="730"/>
      <c r="E1056" s="728"/>
      <c r="F1056" s="694"/>
      <c r="G1056" s="728"/>
      <c r="H1056" s="728"/>
      <c r="I1056" s="728"/>
      <c r="J1056" s="728"/>
      <c r="K1056" s="728"/>
      <c r="L1056" s="728"/>
      <c r="M1056" s="728"/>
      <c r="N1056" s="728"/>
      <c r="O1056" s="728"/>
      <c r="P1056" s="728"/>
      <c r="Q1056" s="728"/>
      <c r="R1056" s="728"/>
      <c r="S1056" s="728"/>
      <c r="T1056" s="728"/>
      <c r="U1056" s="730"/>
      <c r="X1056" s="729">
        <f t="shared" si="333"/>
        <v>0</v>
      </c>
    </row>
    <row r="1057" spans="2:24" s="664" customFormat="1" ht="15">
      <c r="B1057" s="728">
        <f t="shared" si="345"/>
        <v>3</v>
      </c>
      <c r="C1057" s="8" t="s">
        <v>306</v>
      </c>
      <c r="D1057" s="8"/>
      <c r="E1057" s="727" t="s">
        <v>305</v>
      </c>
      <c r="F1057" s="22"/>
      <c r="G1057" s="727"/>
      <c r="H1057" s="727"/>
      <c r="I1057" s="1010"/>
      <c r="J1057" s="1059"/>
      <c r="K1057" s="1059"/>
      <c r="L1057" s="1059"/>
      <c r="M1057" s="1059"/>
      <c r="N1057" s="1059"/>
      <c r="O1057" s="1059"/>
      <c r="P1057" s="1059"/>
      <c r="Q1057" s="1059"/>
      <c r="R1057" s="1059"/>
      <c r="S1057" s="1059"/>
      <c r="T1057" s="727"/>
      <c r="U1057" s="8"/>
      <c r="X1057" s="729">
        <f t="shared" si="333"/>
        <v>0</v>
      </c>
    </row>
    <row r="1058" spans="2:24" s="664" customFormat="1" ht="14.25">
      <c r="B1058" s="728">
        <f t="shared" si="345"/>
        <v>4</v>
      </c>
      <c r="C1058" s="730"/>
      <c r="D1058" s="730" t="s">
        <v>307</v>
      </c>
      <c r="E1058" s="728"/>
      <c r="F1058" s="729">
        <f>' WP II-I-1.4'!G1058</f>
        <v>10525362.25</v>
      </c>
      <c r="G1058" s="728">
        <v>88</v>
      </c>
      <c r="H1058" s="703" t="str">
        <f>VLOOKUP(G1058,FactorTable,2)</f>
        <v>PAYROLL</v>
      </c>
      <c r="I1058" s="728"/>
      <c r="J1058" s="731">
        <f t="shared" si="346" ref="J1058:S1060">$F1058*HLOOKUP(J$1318,FactorTable,$G1058+1)</f>
        <v>5696309.7199999178</v>
      </c>
      <c r="K1058" s="731">
        <f t="shared" si="346"/>
        <v>158406.76272515632</v>
      </c>
      <c r="L1058" s="731">
        <f t="shared" si="346"/>
        <v>3641661.0258763204</v>
      </c>
      <c r="M1058" s="731">
        <f t="shared" si="346"/>
        <v>2680.1695798146334</v>
      </c>
      <c r="N1058" s="731">
        <f t="shared" si="346"/>
        <v>744693.45031684032</v>
      </c>
      <c r="O1058" s="731">
        <f t="shared" si="346"/>
        <v>83375.487543138937</v>
      </c>
      <c r="P1058" s="731">
        <f t="shared" si="346"/>
        <v>2561.3926021105249</v>
      </c>
      <c r="Q1058" s="731">
        <f t="shared" si="346"/>
        <v>146433.36125534264</v>
      </c>
      <c r="R1058" s="731">
        <f t="shared" si="346"/>
        <v>9910.8098255822406</v>
      </c>
      <c r="S1058" s="731">
        <f t="shared" si="346"/>
        <v>39330.070275774349</v>
      </c>
      <c r="T1058" s="728"/>
      <c r="U1058" s="777">
        <f>SUM(I1058:T1058)</f>
        <v>10525362.25</v>
      </c>
      <c r="X1058" s="729">
        <f t="shared" si="333"/>
        <v>0</v>
      </c>
    </row>
    <row r="1059" spans="2:24" s="664" customFormat="1" ht="14.25">
      <c r="B1059" s="728">
        <f t="shared" si="345"/>
        <v>5</v>
      </c>
      <c r="C1059" s="730"/>
      <c r="D1059" s="730" t="s">
        <v>308</v>
      </c>
      <c r="E1059" s="728"/>
      <c r="F1059" s="729">
        <f>' WP II-I-1.4'!G1059</f>
        <v>131750.22</v>
      </c>
      <c r="G1059" s="728">
        <v>88</v>
      </c>
      <c r="H1059" s="703" t="str">
        <f>VLOOKUP(G1059,FactorTable,2)</f>
        <v>PAYROLL</v>
      </c>
      <c r="I1059" s="728"/>
      <c r="J1059" s="731">
        <f t="shared" si="346"/>
        <v>71303.014658533735</v>
      </c>
      <c r="K1059" s="731">
        <f t="shared" si="346"/>
        <v>1982.8415728425068</v>
      </c>
      <c r="L1059" s="731">
        <f t="shared" si="346"/>
        <v>45584.145222615109</v>
      </c>
      <c r="M1059" s="731">
        <f t="shared" si="346"/>
        <v>33.548767575945945</v>
      </c>
      <c r="N1059" s="731">
        <f t="shared" si="346"/>
        <v>9321.62937307006</v>
      </c>
      <c r="O1059" s="731">
        <f t="shared" si="346"/>
        <v>1043.6447283717778</v>
      </c>
      <c r="P1059" s="731">
        <f t="shared" si="346"/>
        <v>32.061988064537552</v>
      </c>
      <c r="Q1059" s="731">
        <f t="shared" si="346"/>
        <v>1832.9656597549285</v>
      </c>
      <c r="R1059" s="731">
        <f t="shared" si="346"/>
        <v>124.05761852981563</v>
      </c>
      <c r="S1059" s="731">
        <f t="shared" si="346"/>
        <v>492.31041064156545</v>
      </c>
      <c r="T1059" s="728"/>
      <c r="U1059" s="777">
        <f>SUM(I1059:T1059)</f>
        <v>131750.21999999997</v>
      </c>
      <c r="X1059" s="729">
        <f t="shared" si="333"/>
        <v>0</v>
      </c>
    </row>
    <row r="1060" spans="2:24" s="664" customFormat="1" ht="14.25">
      <c r="B1060" s="728">
        <f t="shared" si="345"/>
        <v>6</v>
      </c>
      <c r="C1060" s="730"/>
      <c r="D1060" s="730" t="s">
        <v>309</v>
      </c>
      <c r="E1060" s="728"/>
      <c r="F1060" s="729">
        <f>' WP II-I-1.4'!G1060</f>
        <v>181083.20999999999</v>
      </c>
      <c r="G1060" s="728">
        <v>88</v>
      </c>
      <c r="H1060" s="703" t="str">
        <f>VLOOKUP(G1060,FactorTable,2)</f>
        <v>PAYROLL</v>
      </c>
      <c r="I1060" s="728"/>
      <c r="J1060" s="734">
        <f t="shared" si="346"/>
        <v>98001.952308271982</v>
      </c>
      <c r="K1060" s="734">
        <f t="shared" si="346"/>
        <v>2725.3033576093453</v>
      </c>
      <c r="L1060" s="734">
        <f t="shared" si="346"/>
        <v>62652.823972645419</v>
      </c>
      <c r="M1060" s="734">
        <f t="shared" si="346"/>
        <v>46.110879543094583</v>
      </c>
      <c r="N1060" s="734">
        <f t="shared" si="346"/>
        <v>12812.051238364642</v>
      </c>
      <c r="O1060" s="734">
        <f t="shared" si="346"/>
        <v>1434.4305270468587</v>
      </c>
      <c r="P1060" s="734">
        <f t="shared" si="346"/>
        <v>44.067385372928761</v>
      </c>
      <c r="Q1060" s="734">
        <f t="shared" si="346"/>
        <v>2519.3074097955227</v>
      </c>
      <c r="R1060" s="734">
        <f t="shared" si="346"/>
        <v>170.51016528347728</v>
      </c>
      <c r="S1060" s="734">
        <f t="shared" si="346"/>
        <v>676.65275606669059</v>
      </c>
      <c r="T1060" s="728"/>
      <c r="U1060" s="777">
        <f>SUM(I1060:T1060)</f>
        <v>181083.20999999999</v>
      </c>
      <c r="X1060" s="729">
        <f t="shared" si="333"/>
        <v>0</v>
      </c>
    </row>
    <row r="1061" spans="2:24" s="664" customFormat="1" ht="15">
      <c r="B1061" s="728">
        <f t="shared" si="345"/>
        <v>7</v>
      </c>
      <c r="C1061" s="8"/>
      <c r="D1061" s="297" t="s">
        <v>713</v>
      </c>
      <c r="E1061" s="727"/>
      <c r="F1061" s="252">
        <f>SUM(F1058:F1060)</f>
        <v>10838195.680000002</v>
      </c>
      <c r="G1061" s="727"/>
      <c r="H1061" s="727"/>
      <c r="I1061" s="1010"/>
      <c r="J1061" s="252">
        <f t="shared" si="347" ref="J1061:Q1061">SUM(J1058:J1060)</f>
        <v>5865614.6869667238</v>
      </c>
      <c r="K1061" s="252">
        <f t="shared" si="347"/>
        <v>163114.90765560817</v>
      </c>
      <c r="L1061" s="252">
        <f t="shared" si="347"/>
        <v>3749897.9950715806</v>
      </c>
      <c r="M1061" s="252">
        <f t="shared" si="347"/>
        <v>2759.8292269336739</v>
      </c>
      <c r="N1061" s="252">
        <f t="shared" si="347"/>
        <v>766827.13092827506</v>
      </c>
      <c r="O1061" s="252">
        <f>SUM(O1058:O1060)</f>
        <v>85853.56279855757</v>
      </c>
      <c r="P1061" s="252">
        <f t="shared" si="347"/>
        <v>2637.5219755479911</v>
      </c>
      <c r="Q1061" s="252">
        <f t="shared" si="347"/>
        <v>150785.63432489309</v>
      </c>
      <c r="R1061" s="252">
        <f>SUM(R1058:R1060)</f>
        <v>10205.377609395533</v>
      </c>
      <c r="S1061" s="252">
        <f>SUM(S1058:S1060)</f>
        <v>40499.0334424826</v>
      </c>
      <c r="T1061" s="727"/>
      <c r="U1061" s="299">
        <f>SUM(I1061:T1061)</f>
        <v>10838195.679999996</v>
      </c>
      <c r="X1061" s="729">
        <f t="shared" si="333"/>
        <v>0</v>
      </c>
    </row>
    <row r="1062" spans="2:24" s="664" customFormat="1" ht="14.25">
      <c r="B1062" s="728">
        <f t="shared" si="345"/>
        <v>8</v>
      </c>
      <c r="C1062" s="730"/>
      <c r="D1062" s="730"/>
      <c r="E1062" s="728"/>
      <c r="F1062" s="694"/>
      <c r="G1062" s="728"/>
      <c r="H1062" s="728"/>
      <c r="I1062" s="728"/>
      <c r="J1062" s="728"/>
      <c r="K1062" s="728"/>
      <c r="L1062" s="728"/>
      <c r="M1062" s="728"/>
      <c r="N1062" s="728"/>
      <c r="O1062" s="728"/>
      <c r="P1062" s="728"/>
      <c r="Q1062" s="728"/>
      <c r="R1062" s="728"/>
      <c r="S1062" s="728"/>
      <c r="T1062" s="728"/>
      <c r="U1062" s="730"/>
      <c r="X1062" s="729">
        <f t="shared" si="333"/>
        <v>0</v>
      </c>
    </row>
    <row r="1063" spans="2:24" s="664" customFormat="1" ht="15">
      <c r="B1063" s="728">
        <f t="shared" si="345"/>
        <v>9</v>
      </c>
      <c r="C1063" s="8" t="s">
        <v>310</v>
      </c>
      <c r="D1063" s="8"/>
      <c r="E1063" s="727" t="s">
        <v>305</v>
      </c>
      <c r="F1063" s="22"/>
      <c r="G1063" s="727"/>
      <c r="H1063" s="727"/>
      <c r="I1063" s="1010"/>
      <c r="J1063" s="1059"/>
      <c r="K1063" s="1059"/>
      <c r="L1063" s="1059"/>
      <c r="M1063" s="1059"/>
      <c r="N1063" s="1059"/>
      <c r="O1063" s="1059"/>
      <c r="P1063" s="1059"/>
      <c r="Q1063" s="1059"/>
      <c r="R1063" s="1059"/>
      <c r="S1063" s="1059"/>
      <c r="T1063" s="727"/>
      <c r="U1063" s="381"/>
      <c r="X1063" s="729">
        <f t="shared" si="333"/>
        <v>0</v>
      </c>
    </row>
    <row r="1064" spans="1:24" s="664" customFormat="1" ht="14.25">
      <c r="A1064" s="382"/>
      <c r="B1064" s="728">
        <f t="shared" si="345"/>
        <v>10</v>
      </c>
      <c r="C1064" s="383"/>
      <c r="D1064" s="730" t="s">
        <v>311</v>
      </c>
      <c r="E1064" s="694"/>
      <c r="F1064" s="729">
        <f>' WP II-I-1.4'!G1064</f>
        <v>132463225.04000001</v>
      </c>
      <c r="G1064" s="728">
        <v>64</v>
      </c>
      <c r="H1064" s="703" t="str">
        <f>VLOOKUP(G1064,FactorTable,2)</f>
        <v>PLANT</v>
      </c>
      <c r="I1064" s="894"/>
      <c r="J1064" s="734">
        <f t="shared" si="348" ref="J1064:S1064">$F1064*HLOOKUP(J$1318,FactorTable,$G1064+1)</f>
        <v>72161344.832043633</v>
      </c>
      <c r="K1064" s="734">
        <f t="shared" si="348"/>
        <v>2917709.6956192949</v>
      </c>
      <c r="L1064" s="734">
        <f t="shared" si="348"/>
        <v>44963764.270141169</v>
      </c>
      <c r="M1064" s="734">
        <f t="shared" si="348"/>
        <v>15560.370578590084</v>
      </c>
      <c r="N1064" s="734">
        <f t="shared" si="348"/>
        <v>6585932.2227504738</v>
      </c>
      <c r="O1064" s="734">
        <f t="shared" si="348"/>
        <v>603075.84079931932</v>
      </c>
      <c r="P1064" s="734">
        <f t="shared" si="348"/>
        <v>119365.95601052152</v>
      </c>
      <c r="Q1064" s="734">
        <f t="shared" si="348"/>
        <v>4666686.7690703664</v>
      </c>
      <c r="R1064" s="734">
        <f t="shared" si="348"/>
        <v>72282.414099295405</v>
      </c>
      <c r="S1064" s="734">
        <f t="shared" si="348"/>
        <v>357502.66888729803</v>
      </c>
      <c r="T1064" s="894"/>
      <c r="U1064" s="729">
        <f>SUM(I1064:T1064)</f>
        <v>132463225.03999996</v>
      </c>
      <c r="V1064" s="382"/>
      <c r="W1064" s="382"/>
      <c r="X1064" s="729">
        <f t="shared" si="333"/>
        <v>0</v>
      </c>
    </row>
    <row r="1065" spans="2:24" s="664" customFormat="1" ht="15">
      <c r="B1065" s="728">
        <f t="shared" si="345"/>
        <v>11</v>
      </c>
      <c r="C1065" s="8"/>
      <c r="D1065" s="297" t="s">
        <v>714</v>
      </c>
      <c r="E1065" s="727"/>
      <c r="F1065" s="22">
        <f>+F1064</f>
        <v>132463225.04000001</v>
      </c>
      <c r="G1065" s="727"/>
      <c r="H1065" s="727"/>
      <c r="I1065" s="1010"/>
      <c r="J1065" s="896">
        <f t="shared" si="349" ref="J1065:Q1065">+J1064</f>
        <v>72161344.832043633</v>
      </c>
      <c r="K1065" s="896">
        <f t="shared" si="349"/>
        <v>2917709.6956192949</v>
      </c>
      <c r="L1065" s="896">
        <f t="shared" si="349"/>
        <v>44963764.270141169</v>
      </c>
      <c r="M1065" s="896">
        <f t="shared" si="349"/>
        <v>15560.370578590084</v>
      </c>
      <c r="N1065" s="896">
        <f t="shared" si="349"/>
        <v>6585932.2227504738</v>
      </c>
      <c r="O1065" s="896">
        <f>+O1064</f>
        <v>603075.84079931932</v>
      </c>
      <c r="P1065" s="896">
        <f t="shared" si="349"/>
        <v>119365.95601052152</v>
      </c>
      <c r="Q1065" s="896">
        <f t="shared" si="349"/>
        <v>4666686.7690703664</v>
      </c>
      <c r="R1065" s="896">
        <f>+R1064</f>
        <v>72282.414099295405</v>
      </c>
      <c r="S1065" s="896">
        <f>+S1064</f>
        <v>357502.66888729803</v>
      </c>
      <c r="T1065" s="1010"/>
      <c r="U1065" s="299">
        <f>SUM(I1065:T1065)</f>
        <v>132463225.03999996</v>
      </c>
      <c r="X1065" s="729">
        <f t="shared" si="333"/>
        <v>0</v>
      </c>
    </row>
    <row r="1066" spans="2:24" s="664" customFormat="1" ht="14.25">
      <c r="B1066" s="728">
        <f t="shared" si="345"/>
        <v>12</v>
      </c>
      <c r="C1066" s="730"/>
      <c r="D1066" s="730"/>
      <c r="E1066" s="728"/>
      <c r="F1066" s="694"/>
      <c r="G1066" s="728"/>
      <c r="H1066" s="728"/>
      <c r="I1066" s="728"/>
      <c r="J1066" s="728"/>
      <c r="K1066" s="728"/>
      <c r="L1066" s="728"/>
      <c r="M1066" s="728"/>
      <c r="N1066" s="728"/>
      <c r="O1066" s="728"/>
      <c r="P1066" s="728"/>
      <c r="Q1066" s="728"/>
      <c r="R1066" s="728"/>
      <c r="S1066" s="728"/>
      <c r="T1066" s="728"/>
      <c r="U1066" s="730"/>
      <c r="X1066" s="729">
        <f t="shared" si="333"/>
        <v>0</v>
      </c>
    </row>
    <row r="1067" spans="2:24" s="664" customFormat="1" ht="15">
      <c r="B1067" s="728">
        <f t="shared" si="345"/>
        <v>13</v>
      </c>
      <c r="C1067" s="8" t="s">
        <v>312</v>
      </c>
      <c r="D1067" s="8"/>
      <c r="E1067" s="727" t="s">
        <v>305</v>
      </c>
      <c r="F1067" s="22"/>
      <c r="G1067" s="727"/>
      <c r="H1067" s="727"/>
      <c r="I1067" s="1010"/>
      <c r="J1067" s="1059"/>
      <c r="K1067" s="1059"/>
      <c r="L1067" s="1059"/>
      <c r="M1067" s="1059"/>
      <c r="N1067" s="1059"/>
      <c r="O1067" s="1059"/>
      <c r="P1067" s="1059"/>
      <c r="Q1067" s="1059"/>
      <c r="R1067" s="1059"/>
      <c r="S1067" s="1059"/>
      <c r="T1067" s="727"/>
      <c r="U1067" s="8"/>
      <c r="X1067" s="729">
        <f t="shared" si="350" ref="X1067:X1133">U1067-F1067</f>
        <v>0</v>
      </c>
    </row>
    <row r="1068" spans="2:24" s="664" customFormat="1" ht="14.25">
      <c r="B1068" s="728">
        <f t="shared" si="345"/>
        <v>14</v>
      </c>
      <c r="C1068" s="730"/>
      <c r="D1068" s="730" t="s">
        <v>313</v>
      </c>
      <c r="E1068" s="728"/>
      <c r="F1068" s="729">
        <f>' WP II-I-1.4'!G1068</f>
        <v>21065900.859999999</v>
      </c>
      <c r="G1068" s="728">
        <v>91</v>
      </c>
      <c r="H1068" s="703" t="str">
        <f>VLOOKUP(G1068,FactorTable,2)</f>
        <v>TAX INC</v>
      </c>
      <c r="I1068" s="728"/>
      <c r="J1068" s="731">
        <f t="shared" si="351" ref="J1068:S1069">$F1068*HLOOKUP(J$1318,FactorTable,$G1068+1)</f>
        <v>11719786.833360924</v>
      </c>
      <c r="K1068" s="731">
        <f t="shared" si="351"/>
        <v>380544.59445331554</v>
      </c>
      <c r="L1068" s="731">
        <f t="shared" si="351"/>
        <v>7455022.8950791089</v>
      </c>
      <c r="M1068" s="731">
        <f t="shared" si="351"/>
        <v>2710.7237846678404</v>
      </c>
      <c r="N1068" s="731">
        <f t="shared" si="351"/>
        <v>1152780.4693980604</v>
      </c>
      <c r="O1068" s="731">
        <f t="shared" si="351"/>
        <v>115869.90955420237</v>
      </c>
      <c r="P1068" s="731">
        <f t="shared" si="351"/>
        <v>36677.597707883004</v>
      </c>
      <c r="Q1068" s="731">
        <f t="shared" si="351"/>
        <v>126788.73202140433</v>
      </c>
      <c r="R1068" s="731">
        <f t="shared" si="351"/>
        <v>13822.972977764646</v>
      </c>
      <c r="S1068" s="731">
        <f t="shared" si="351"/>
        <v>61896.131662674168</v>
      </c>
      <c r="T1068" s="728"/>
      <c r="U1068" s="729">
        <f>SUM(I1068:T1068)</f>
        <v>21065900.859999999</v>
      </c>
      <c r="X1068" s="729">
        <f t="shared" si="350"/>
        <v>0</v>
      </c>
    </row>
    <row r="1069" spans="2:24" s="664" customFormat="1" ht="14.25">
      <c r="B1069" s="728">
        <f t="shared" si="345"/>
        <v>15</v>
      </c>
      <c r="C1069" s="730"/>
      <c r="D1069" s="730" t="s">
        <v>314</v>
      </c>
      <c r="E1069" s="728"/>
      <c r="F1069" s="729">
        <f>' WP II-I-1.4'!G1069</f>
        <v>283082877</v>
      </c>
      <c r="G1069" s="728">
        <v>19</v>
      </c>
      <c r="H1069" s="703" t="str">
        <f>VLOOKUP(G1069,FactorTable,2)</f>
        <v>ENERGY ICL</v>
      </c>
      <c r="I1069" s="728"/>
      <c r="J1069" s="734">
        <f t="shared" si="351"/>
        <v>113681969.55499767</v>
      </c>
      <c r="K1069" s="734">
        <f t="shared" si="351"/>
        <v>4060939.8948315037</v>
      </c>
      <c r="L1069" s="734">
        <f t="shared" si="351"/>
        <v>119023865.05776367</v>
      </c>
      <c r="M1069" s="734">
        <f t="shared" si="351"/>
        <v>2054.3860356639507</v>
      </c>
      <c r="N1069" s="734">
        <f t="shared" si="351"/>
        <v>19138153.738462549</v>
      </c>
      <c r="O1069" s="734">
        <f t="shared" si="351"/>
        <v>3011259.8627406415</v>
      </c>
      <c r="P1069" s="734">
        <f t="shared" si="351"/>
        <v>22556430.123839185</v>
      </c>
      <c r="Q1069" s="734">
        <f t="shared" si="351"/>
        <v>1036247.6440593592</v>
      </c>
      <c r="R1069" s="734">
        <f t="shared" si="351"/>
        <v>229766.04786532294</v>
      </c>
      <c r="S1069" s="734">
        <f t="shared" si="351"/>
        <v>342190.68940435769</v>
      </c>
      <c r="T1069" s="728"/>
      <c r="U1069" s="729">
        <f>SUM(I1069:T1069)</f>
        <v>283082876.99999994</v>
      </c>
      <c r="X1069" s="729">
        <f t="shared" si="350"/>
        <v>0</v>
      </c>
    </row>
    <row r="1070" spans="2:24" s="664" customFormat="1" ht="15">
      <c r="B1070" s="728">
        <f t="shared" si="345"/>
        <v>16</v>
      </c>
      <c r="C1070" s="8"/>
      <c r="D1070" s="297" t="s">
        <v>715</v>
      </c>
      <c r="E1070" s="727"/>
      <c r="F1070" s="22">
        <f>SUM(F1068:F1069)</f>
        <v>304148777.86000001</v>
      </c>
      <c r="G1070" s="727"/>
      <c r="H1070" s="727"/>
      <c r="I1070" s="727"/>
      <c r="J1070" s="22">
        <f t="shared" si="352" ref="J1070:Q1070">SUM(J1068:J1069)</f>
        <v>125401756.38835859</v>
      </c>
      <c r="K1070" s="22">
        <f t="shared" si="352"/>
        <v>4441484.489284819</v>
      </c>
      <c r="L1070" s="22">
        <f t="shared" si="352"/>
        <v>126478887.95284277</v>
      </c>
      <c r="M1070" s="22">
        <f t="shared" si="352"/>
        <v>4765.1098203317906</v>
      </c>
      <c r="N1070" s="22">
        <f t="shared" si="352"/>
        <v>20290934.207860608</v>
      </c>
      <c r="O1070" s="22">
        <f>SUM(O1068:O1069)</f>
        <v>3127129.772294844</v>
      </c>
      <c r="P1070" s="22">
        <f t="shared" si="352"/>
        <v>22593107.721547067</v>
      </c>
      <c r="Q1070" s="22">
        <f t="shared" si="352"/>
        <v>1163036.3760807635</v>
      </c>
      <c r="R1070" s="22">
        <f>SUM(R1068:R1069)</f>
        <v>243589.02084308758</v>
      </c>
      <c r="S1070" s="22">
        <f>SUM(S1068:S1069)</f>
        <v>404086.82106703188</v>
      </c>
      <c r="T1070" s="727"/>
      <c r="U1070" s="299">
        <f>SUM(I1070:T1070)</f>
        <v>304148777.8599999</v>
      </c>
      <c r="X1070" s="729">
        <f t="shared" si="350"/>
        <v>0</v>
      </c>
    </row>
    <row r="1071" spans="2:24" s="664" customFormat="1" ht="15" thickBot="1">
      <c r="B1071" s="728">
        <f t="shared" si="345"/>
        <v>17</v>
      </c>
      <c r="C1071" s="730"/>
      <c r="D1071" s="730"/>
      <c r="E1071" s="728"/>
      <c r="F1071" s="385"/>
      <c r="G1071" s="728"/>
      <c r="H1071" s="728"/>
      <c r="I1071" s="728"/>
      <c r="J1071" s="385"/>
      <c r="K1071" s="385"/>
      <c r="L1071" s="385"/>
      <c r="M1071" s="385"/>
      <c r="N1071" s="385"/>
      <c r="O1071" s="385"/>
      <c r="P1071" s="385"/>
      <c r="Q1071" s="385"/>
      <c r="R1071" s="385"/>
      <c r="S1071" s="385"/>
      <c r="T1071" s="728"/>
      <c r="U1071" s="385"/>
      <c r="X1071" s="729">
        <f t="shared" si="350"/>
        <v>0</v>
      </c>
    </row>
    <row r="1072" spans="1:24" s="664" customFormat="1" ht="15.75" thickBot="1">
      <c r="A1072" s="703"/>
      <c r="B1072" s="728">
        <f t="shared" si="345"/>
        <v>18</v>
      </c>
      <c r="C1072" s="284" t="s">
        <v>716</v>
      </c>
      <c r="D1072" s="285"/>
      <c r="E1072" s="374" t="s">
        <v>305</v>
      </c>
      <c r="F1072" s="255">
        <f>+F1070+F1065+F1061</f>
        <v>447450198.58000004</v>
      </c>
      <c r="G1072" s="374"/>
      <c r="H1072" s="467"/>
      <c r="I1072" s="468"/>
      <c r="J1072" s="446">
        <f t="shared" si="353" ref="J1072:Q1072">+J1070+J1065+J1061</f>
        <v>203428715.90736896</v>
      </c>
      <c r="K1072" s="255">
        <f t="shared" si="353"/>
        <v>7522309.0925597213</v>
      </c>
      <c r="L1072" s="380">
        <f t="shared" si="353"/>
        <v>175192550.21805555</v>
      </c>
      <c r="M1072" s="446">
        <f t="shared" si="353"/>
        <v>23085.309625855549</v>
      </c>
      <c r="N1072" s="255">
        <f t="shared" si="353"/>
        <v>27643693.561539356</v>
      </c>
      <c r="O1072" s="255">
        <f>+O1070+O1065+O1061</f>
        <v>3816059.1758927209</v>
      </c>
      <c r="P1072" s="255">
        <f t="shared" si="353"/>
        <v>22715111.199533135</v>
      </c>
      <c r="Q1072" s="255">
        <f t="shared" si="353"/>
        <v>5980508.7794760233</v>
      </c>
      <c r="R1072" s="255">
        <f>+R1070+R1065+R1061</f>
        <v>326076.81255177851</v>
      </c>
      <c r="S1072" s="380">
        <f>+S1070+S1065+S1061</f>
        <v>802088.5233968125</v>
      </c>
      <c r="T1072" s="468"/>
      <c r="U1072" s="256">
        <f>SUM(I1072:T1072)</f>
        <v>447450198.57999992</v>
      </c>
      <c r="X1072" s="729">
        <f t="shared" si="350"/>
        <v>0</v>
      </c>
    </row>
    <row r="1073" spans="24:24" s="664" customFormat="1" ht="15" thickBot="1">
      <c r="X1073" s="729">
        <f t="shared" si="350"/>
        <v>0</v>
      </c>
    </row>
    <row r="1074" spans="2:24" s="664" customFormat="1" ht="15">
      <c r="B1074" s="920" t="str">
        <f>+$B$4</f>
        <v>2022 RATE CASE</v>
      </c>
      <c r="C1074" s="935"/>
      <c r="D1074" s="971"/>
      <c r="F1074" s="737"/>
      <c r="H1074" s="736"/>
      <c r="U1074" s="736"/>
      <c r="V1074" s="736">
        <f>$H$2</f>
        <v>0</v>
      </c>
      <c r="W1074" s="736"/>
      <c r="X1074" s="729"/>
    </row>
    <row r="1075" spans="2:24" s="664" customFormat="1" ht="15">
      <c r="B1075" s="917" t="str">
        <f>+$B$5</f>
        <v>ONCOR ELECTRIC DELIVERY COMPANY LLC</v>
      </c>
      <c r="C1075" s="8"/>
      <c r="D1075" s="972"/>
      <c r="F1075" s="737"/>
      <c r="U1075" s="736"/>
      <c r="X1075" s="729">
        <f t="shared" si="350"/>
        <v>0</v>
      </c>
    </row>
    <row r="1076" spans="2:24" s="664" customFormat="1" ht="15">
      <c r="B1076" s="917" t="str">
        <f>+$B$6</f>
        <v>II-I-1-DIST:  CLASS REVENUE REQUIREMENT</v>
      </c>
      <c r="C1076" s="85"/>
      <c r="D1076" s="972"/>
      <c r="F1076" s="737"/>
      <c r="U1076" s="737"/>
      <c r="X1076" s="729">
        <f t="shared" si="350"/>
        <v>0</v>
      </c>
    </row>
    <row r="1077" spans="2:24" s="664" customFormat="1" ht="15">
      <c r="B1077" s="406" t="str">
        <f>+$B$7</f>
        <v>TEST YEAR ENDING 12/31/2021</v>
      </c>
      <c r="C1077" s="85"/>
      <c r="D1077" s="972"/>
      <c r="F1077" s="694"/>
      <c r="U1077" s="737"/>
      <c r="X1077" s="729">
        <f t="shared" si="350"/>
        <v>0</v>
      </c>
    </row>
    <row r="1078" spans="2:24" s="664" customFormat="1" ht="15">
      <c r="B1078" s="406" t="str">
        <f>+$B$8</f>
        <v>SPONSOR:  MATTHEW A. TROXLE</v>
      </c>
      <c r="C1078" s="85"/>
      <c r="D1078" s="972"/>
      <c r="F1078" s="737"/>
      <c r="U1078" s="737"/>
      <c r="X1078" s="729">
        <f t="shared" si="350"/>
        <v>0</v>
      </c>
    </row>
    <row r="1079" spans="2:24" s="664" customFormat="1" ht="15.75" thickBot="1">
      <c r="B1079" s="410"/>
      <c r="C1079" s="934"/>
      <c r="D1079" s="973"/>
      <c r="F1079" s="737"/>
      <c r="U1079" s="737"/>
      <c r="X1079" s="729">
        <f t="shared" si="350"/>
        <v>0</v>
      </c>
    </row>
    <row r="1080" spans="2:24" s="664" customFormat="1" ht="15" thickBot="1">
      <c r="B1080" s="738"/>
      <c r="C1080" s="739"/>
      <c r="D1080" s="739"/>
      <c r="E1080" s="739"/>
      <c r="F1080" s="738"/>
      <c r="G1080" s="739"/>
      <c r="H1080" s="739"/>
      <c r="I1080" s="739"/>
      <c r="J1080" s="740"/>
      <c r="K1080" s="740"/>
      <c r="L1080" s="739"/>
      <c r="M1080" s="740"/>
      <c r="N1080" s="740"/>
      <c r="O1080" s="740"/>
      <c r="P1080" s="740"/>
      <c r="Q1080" s="739"/>
      <c r="R1080" s="741" t="str">
        <f>R$10</f>
        <v xml:space="preserve"> </v>
      </c>
      <c r="S1080" s="742"/>
      <c r="T1080" s="740"/>
      <c r="U1080" s="738"/>
      <c r="X1080" s="729">
        <f t="shared" si="350"/>
        <v>0</v>
      </c>
    </row>
    <row r="1081" spans="2:24" s="664" customFormat="1" ht="15">
      <c r="B1081" s="743" t="s">
        <v>2</v>
      </c>
      <c r="C1081" s="743" t="s">
        <v>370</v>
      </c>
      <c r="D1081" s="287" t="s">
        <v>315</v>
      </c>
      <c r="E1081" s="743" t="s">
        <v>371</v>
      </c>
      <c r="F1081" s="287" t="str">
        <f>F$11</f>
        <v>DIST</v>
      </c>
      <c r="G1081" s="744" t="s">
        <v>741</v>
      </c>
      <c r="H1081" s="744" t="s">
        <v>376</v>
      </c>
      <c r="I1081" s="743"/>
      <c r="J1081" s="744" t="s">
        <v>730</v>
      </c>
      <c r="K1081" s="744" t="s">
        <v>409</v>
      </c>
      <c r="L1081" s="743" t="s">
        <v>409</v>
      </c>
      <c r="M1081" s="744" t="s">
        <v>410</v>
      </c>
      <c r="N1081" s="744" t="s">
        <v>410</v>
      </c>
      <c r="O1081" s="744" t="s">
        <v>410</v>
      </c>
      <c r="P1081" s="744" t="s">
        <v>411</v>
      </c>
      <c r="Q1081" s="743" t="s">
        <v>412</v>
      </c>
      <c r="R1081" s="745" t="str">
        <f>R$11</f>
        <v>Wholesale</v>
      </c>
      <c r="S1081" s="738" t="str">
        <f>S$11</f>
        <v>Wholesale</v>
      </c>
      <c r="T1081" s="744"/>
      <c r="U1081" s="743" t="s">
        <v>10</v>
      </c>
      <c r="X1081" s="729"/>
    </row>
    <row r="1082" spans="2:24" s="664" customFormat="1" ht="14.25">
      <c r="B1082" s="743"/>
      <c r="C1082" s="743"/>
      <c r="D1082" s="743"/>
      <c r="E1082" s="743"/>
      <c r="F1082" s="743"/>
      <c r="G1082" s="744" t="s">
        <v>742</v>
      </c>
      <c r="H1082" s="744" t="s">
        <v>743</v>
      </c>
      <c r="I1082" s="743"/>
      <c r="J1082" s="744"/>
      <c r="K1082" s="744" t="s">
        <v>731</v>
      </c>
      <c r="L1082" s="743" t="s">
        <v>732</v>
      </c>
      <c r="M1082" s="744" t="s">
        <v>731</v>
      </c>
      <c r="N1082" s="744" t="s">
        <v>732</v>
      </c>
      <c r="O1082" s="744" t="s">
        <v>414</v>
      </c>
      <c r="P1082" s="744"/>
      <c r="Q1082" s="743"/>
      <c r="R1082" s="746" t="str">
        <f>R$12</f>
        <v>XFMR</v>
      </c>
      <c r="S1082" s="743" t="str">
        <f>S$12</f>
        <v>DLS</v>
      </c>
      <c r="T1082" s="744"/>
      <c r="U1082" s="743"/>
      <c r="X1082" s="729">
        <f t="shared" si="350"/>
        <v>0</v>
      </c>
    </row>
    <row r="1083" spans="2:24" s="664" customFormat="1" ht="15" thickBot="1">
      <c r="B1083" s="747"/>
      <c r="C1083" s="747"/>
      <c r="D1083" s="747"/>
      <c r="E1083" s="747"/>
      <c r="F1083" s="747" t="s">
        <v>13</v>
      </c>
      <c r="G1083" s="747" t="s">
        <v>14</v>
      </c>
      <c r="H1083" s="747" t="s">
        <v>15</v>
      </c>
      <c r="I1083" s="747"/>
      <c r="J1083" s="748" t="str">
        <f t="shared" si="354" ref="J1083:Q1083">J$13</f>
        <v>(d)</v>
      </c>
      <c r="K1083" s="748" t="str">
        <f t="shared" si="354"/>
        <v>(e)</v>
      </c>
      <c r="L1083" s="747" t="str">
        <f t="shared" si="354"/>
        <v>(f)</v>
      </c>
      <c r="M1083" s="748" t="str">
        <f t="shared" si="354"/>
        <v>(g)</v>
      </c>
      <c r="N1083" s="748" t="str">
        <f t="shared" si="354"/>
        <v>(h)</v>
      </c>
      <c r="O1083" s="748" t="str">
        <f>O$13</f>
        <v>(i)</v>
      </c>
      <c r="P1083" s="748" t="str">
        <f t="shared" si="354"/>
        <v>(j)</v>
      </c>
      <c r="Q1083" s="748" t="str">
        <f t="shared" si="354"/>
        <v>(k)</v>
      </c>
      <c r="R1083" s="748" t="str">
        <f>R$13</f>
        <v>(l)</v>
      </c>
      <c r="S1083" s="747" t="str">
        <f>S$13</f>
        <v>(m)</v>
      </c>
      <c r="T1083" s="747"/>
      <c r="U1083" s="747" t="s">
        <v>734</v>
      </c>
      <c r="X1083" s="729"/>
    </row>
    <row r="1084" spans="3:24" s="664" customFormat="1" ht="14.25">
      <c r="C1084" s="749"/>
      <c r="D1084" s="749"/>
      <c r="E1084" s="749"/>
      <c r="F1084" s="749"/>
      <c r="G1084" s="749"/>
      <c r="H1084" s="749"/>
      <c r="I1084" s="749"/>
      <c r="J1084" s="749"/>
      <c r="K1084" s="749"/>
      <c r="L1084" s="749"/>
      <c r="M1084" s="749"/>
      <c r="N1084" s="749"/>
      <c r="O1084" s="749"/>
      <c r="P1084" s="749"/>
      <c r="Q1084" s="749"/>
      <c r="R1084" s="749"/>
      <c r="S1084" s="749"/>
      <c r="T1084" s="749"/>
      <c r="U1084" s="691"/>
      <c r="X1084" s="729">
        <f t="shared" si="350"/>
        <v>0</v>
      </c>
    </row>
    <row r="1085" spans="2:24" s="664" customFormat="1" ht="15">
      <c r="B1085" s="728">
        <f t="shared" si="355" ref="B1085:B1130">B1084+1</f>
        <v>1</v>
      </c>
      <c r="C1085" s="366" t="s">
        <v>315</v>
      </c>
      <c r="D1085" s="8"/>
      <c r="E1085" s="727"/>
      <c r="F1085" s="22"/>
      <c r="G1085" s="727"/>
      <c r="H1085" s="727"/>
      <c r="I1085" s="727"/>
      <c r="J1085" s="727"/>
      <c r="K1085" s="727"/>
      <c r="L1085" s="727"/>
      <c r="M1085" s="727"/>
      <c r="N1085" s="727"/>
      <c r="O1085" s="727"/>
      <c r="P1085" s="727"/>
      <c r="Q1085" s="727"/>
      <c r="R1085" s="727"/>
      <c r="S1085" s="727"/>
      <c r="T1085" s="727"/>
      <c r="U1085" s="8"/>
      <c r="X1085" s="729">
        <f t="shared" si="350"/>
        <v>0</v>
      </c>
    </row>
    <row r="1086" spans="2:24" s="664" customFormat="1" ht="14.25">
      <c r="B1086" s="728">
        <f t="shared" si="355"/>
        <v>2</v>
      </c>
      <c r="C1086" s="730"/>
      <c r="D1086" s="730"/>
      <c r="E1086" s="728"/>
      <c r="F1086" s="694"/>
      <c r="G1086" s="728"/>
      <c r="H1086" s="728"/>
      <c r="I1086" s="728"/>
      <c r="J1086" s="728"/>
      <c r="K1086" s="728"/>
      <c r="L1086" s="728"/>
      <c r="M1086" s="728"/>
      <c r="N1086" s="728"/>
      <c r="O1086" s="728"/>
      <c r="P1086" s="728"/>
      <c r="Q1086" s="728"/>
      <c r="R1086" s="728"/>
      <c r="S1086" s="728"/>
      <c r="T1086" s="728"/>
      <c r="U1086" s="730"/>
      <c r="X1086" s="729">
        <f t="shared" si="350"/>
        <v>0</v>
      </c>
    </row>
    <row r="1087" spans="2:24" s="703" customFormat="1" ht="15">
      <c r="B1087" s="728">
        <f t="shared" si="355"/>
        <v>3</v>
      </c>
      <c r="C1087" s="8"/>
      <c r="D1087" s="34" t="s">
        <v>361</v>
      </c>
      <c r="E1087" s="836" t="s">
        <v>510</v>
      </c>
      <c r="F1087" s="896">
        <f>+F599</f>
        <v>638839835.45845962</v>
      </c>
      <c r="G1087" s="836"/>
      <c r="H1087" s="836"/>
      <c r="I1087" s="836"/>
      <c r="J1087" s="22">
        <f t="shared" si="356" ref="J1087:Q1087">+J599</f>
        <v>355272832.23113191</v>
      </c>
      <c r="K1087" s="22">
        <f t="shared" si="356"/>
        <v>11529736.593214385</v>
      </c>
      <c r="L1087" s="22">
        <f t="shared" si="356"/>
        <v>226242269.2593976</v>
      </c>
      <c r="M1087" s="22">
        <f t="shared" si="356"/>
        <v>82109.80870428143</v>
      </c>
      <c r="N1087" s="22">
        <f t="shared" si="356"/>
        <v>34931887.255133525</v>
      </c>
      <c r="O1087" s="22">
        <f>+O599</f>
        <v>3501360.2412508894</v>
      </c>
      <c r="P1087" s="22">
        <f t="shared" si="356"/>
        <v>1107731.7001616284</v>
      </c>
      <c r="Q1087" s="22">
        <f t="shared" si="356"/>
        <v>3875733.6648428817</v>
      </c>
      <c r="R1087" s="22">
        <f>+R599</f>
        <v>418676.58700630709</v>
      </c>
      <c r="S1087" s="22">
        <f>+S599</f>
        <v>1877498.1176160574</v>
      </c>
      <c r="T1087" s="836"/>
      <c r="U1087" s="21">
        <f>SUM(I1087:T1087)</f>
        <v>638839835.45845938</v>
      </c>
      <c r="W1087" s="751" t="b">
        <f>' WP II-I-1.4'!$G$27=F1087</f>
        <v>1</v>
      </c>
      <c r="X1087" s="751">
        <f t="shared" si="350"/>
        <v>0</v>
      </c>
    </row>
    <row r="1088" spans="2:24" s="664" customFormat="1" ht="14.25">
      <c r="B1088" s="728">
        <f t="shared" si="355"/>
        <v>4</v>
      </c>
      <c r="C1088" s="730"/>
      <c r="D1088" s="730"/>
      <c r="E1088" s="728"/>
      <c r="F1088" s="694"/>
      <c r="G1088" s="728"/>
      <c r="H1088" s="728"/>
      <c r="I1088" s="728"/>
      <c r="J1088" s="728"/>
      <c r="K1088" s="728"/>
      <c r="L1088" s="728"/>
      <c r="M1088" s="728"/>
      <c r="N1088" s="728"/>
      <c r="O1088" s="728"/>
      <c r="P1088" s="728"/>
      <c r="Q1088" s="728"/>
      <c r="R1088" s="728"/>
      <c r="S1088" s="728"/>
      <c r="T1088" s="728"/>
      <c r="U1088" s="752"/>
      <c r="X1088" s="729">
        <f t="shared" si="350"/>
        <v>0</v>
      </c>
    </row>
    <row r="1089" spans="2:24" s="664" customFormat="1" ht="15">
      <c r="B1089" s="728">
        <f t="shared" si="355"/>
        <v>5</v>
      </c>
      <c r="C1089" s="730"/>
      <c r="D1089" s="8" t="s">
        <v>317</v>
      </c>
      <c r="E1089" s="727" t="s">
        <v>316</v>
      </c>
      <c r="F1089" s="694"/>
      <c r="G1089" s="727"/>
      <c r="H1089" s="727"/>
      <c r="I1089" s="727"/>
      <c r="J1089" s="1059"/>
      <c r="K1089" s="1059"/>
      <c r="L1089" s="1059"/>
      <c r="M1089" s="1059"/>
      <c r="N1089" s="1059"/>
      <c r="O1089" s="1059"/>
      <c r="P1089" s="1059"/>
      <c r="Q1089" s="1059"/>
      <c r="R1089" s="1059"/>
      <c r="S1089" s="1059"/>
      <c r="T1089" s="1010"/>
      <c r="U1089" s="752"/>
      <c r="X1089" s="729">
        <f t="shared" si="350"/>
        <v>0</v>
      </c>
    </row>
    <row r="1090" spans="2:24" s="664" customFormat="1" ht="14.25">
      <c r="B1090" s="728">
        <f t="shared" si="355"/>
        <v>6</v>
      </c>
      <c r="C1090" s="730"/>
      <c r="D1090" s="19" t="s">
        <v>318</v>
      </c>
      <c r="E1090" s="728"/>
      <c r="F1090" s="729">
        <f>' WP II-I-1.4'!G1090</f>
        <v>218383546.59</v>
      </c>
      <c r="G1090" s="728">
        <v>68</v>
      </c>
      <c r="H1090" s="703" t="str">
        <f t="shared" si="357" ref="H1090:H1096">VLOOKUP(G1090,FactorTable,2)</f>
        <v>RATEBASE</v>
      </c>
      <c r="I1090" s="728"/>
      <c r="J1090" s="731">
        <f t="shared" si="358" ref="J1090:S1098">$F1090*HLOOKUP(J$1318,FactorTable,$G1090+1)</f>
        <v>121447875.98292102</v>
      </c>
      <c r="K1090" s="731">
        <f t="shared" si="358"/>
        <v>3941370.94889786</v>
      </c>
      <c r="L1090" s="731">
        <f t="shared" si="358"/>
        <v>77339555.874720812</v>
      </c>
      <c r="M1090" s="731">
        <f t="shared" si="358"/>
        <v>28068.743117434195</v>
      </c>
      <c r="N1090" s="731">
        <f t="shared" si="358"/>
        <v>11941255.075904114</v>
      </c>
      <c r="O1090" s="731">
        <f t="shared" si="358"/>
        <v>1196918.8909843862</v>
      </c>
      <c r="P1090" s="731">
        <f t="shared" si="358"/>
        <v>378671.40388617339</v>
      </c>
      <c r="Q1090" s="731">
        <f t="shared" si="358"/>
        <v>1324896.188978628</v>
      </c>
      <c r="R1090" s="731">
        <f t="shared" si="358"/>
        <v>143122.06733166284</v>
      </c>
      <c r="S1090" s="731">
        <f t="shared" si="358"/>
        <v>641811.41325790843</v>
      </c>
      <c r="T1090" s="728"/>
      <c r="U1090" s="752">
        <f t="shared" si="359" ref="U1090:U1099">SUM(I1090:T1090)</f>
        <v>218383546.58999997</v>
      </c>
      <c r="X1090" s="729">
        <f t="shared" si="350"/>
        <v>0</v>
      </c>
    </row>
    <row r="1091" spans="2:24" s="664" customFormat="1" ht="14.25">
      <c r="B1091" s="728">
        <f t="shared" si="355"/>
        <v>7</v>
      </c>
      <c r="C1091" s="730"/>
      <c r="D1091" s="19" t="s">
        <v>319</v>
      </c>
      <c r="E1091" s="728"/>
      <c r="F1091" s="729">
        <f>' WP II-I-1.4'!G1091</f>
        <v>191147.98999999999</v>
      </c>
      <c r="G1091" s="728">
        <v>59</v>
      </c>
      <c r="H1091" s="703" t="str">
        <f t="shared" si="357"/>
        <v>PLANT_N</v>
      </c>
      <c r="I1091" s="728"/>
      <c r="J1091" s="731">
        <f t="shared" si="358"/>
        <v>106392.4367443766</v>
      </c>
      <c r="K1091" s="731">
        <f t="shared" si="358"/>
        <v>3536.7384422466112</v>
      </c>
      <c r="L1091" s="731">
        <f t="shared" si="358"/>
        <v>67285.581866413704</v>
      </c>
      <c r="M1091" s="731">
        <f t="shared" si="358"/>
        <v>24.364936458445314</v>
      </c>
      <c r="N1091" s="731">
        <f t="shared" si="358"/>
        <v>10312.467772954708</v>
      </c>
      <c r="O1091" s="731">
        <f t="shared" si="358"/>
        <v>1022.2934400710459</v>
      </c>
      <c r="P1091" s="731">
        <f t="shared" si="358"/>
        <v>193.57512749556318</v>
      </c>
      <c r="Q1091" s="731">
        <f t="shared" si="358"/>
        <v>1698.214047687685</v>
      </c>
      <c r="R1091" s="731">
        <f t="shared" si="358"/>
        <v>122.52826720478365</v>
      </c>
      <c r="S1091" s="731">
        <f t="shared" si="358"/>
        <v>559.78935509085352</v>
      </c>
      <c r="T1091" s="728"/>
      <c r="U1091" s="752">
        <f t="shared" si="359"/>
        <v>191147.98999999999</v>
      </c>
      <c r="X1091" s="729">
        <f t="shared" si="350"/>
        <v>0</v>
      </c>
    </row>
    <row r="1092" spans="2:24" s="664" customFormat="1" ht="14.25">
      <c r="B1092" s="728">
        <f t="shared" si="355"/>
        <v>8</v>
      </c>
      <c r="C1092" s="730"/>
      <c r="D1092" s="19" t="s">
        <v>1247</v>
      </c>
      <c r="E1092" s="728"/>
      <c r="F1092" s="729">
        <f>' WP II-I-1.4'!G1092</f>
        <v>7133574.9500000002</v>
      </c>
      <c r="G1092" s="728">
        <v>68</v>
      </c>
      <c r="H1092" s="703" t="str">
        <f t="shared" si="357"/>
        <v>RATEBASE</v>
      </c>
      <c r="I1092" s="728"/>
      <c r="J1092" s="731">
        <f t="shared" si="358"/>
        <v>3967137.357050979</v>
      </c>
      <c r="K1092" s="731">
        <f t="shared" si="358"/>
        <v>128746.26091910427</v>
      </c>
      <c r="L1092" s="731">
        <f t="shared" si="358"/>
        <v>2526323.6495917267</v>
      </c>
      <c r="M1092" s="731">
        <f t="shared" si="358"/>
        <v>916.87531367201552</v>
      </c>
      <c r="N1092" s="731">
        <f t="shared" si="358"/>
        <v>390065.27465622994</v>
      </c>
      <c r="O1092" s="731">
        <f t="shared" si="358"/>
        <v>39097.774311441543</v>
      </c>
      <c r="P1092" s="731">
        <f t="shared" si="358"/>
        <v>12369.433884665346</v>
      </c>
      <c r="Q1092" s="731">
        <f t="shared" si="358"/>
        <v>43278.197522785304</v>
      </c>
      <c r="R1092" s="731">
        <f t="shared" si="358"/>
        <v>4675.1324000894974</v>
      </c>
      <c r="S1092" s="731">
        <f t="shared" si="358"/>
        <v>20964.994349305816</v>
      </c>
      <c r="T1092" s="728"/>
      <c r="U1092" s="752">
        <f t="shared" si="359"/>
        <v>7133574.9500000002</v>
      </c>
      <c r="X1092" s="729">
        <f t="shared" si="350"/>
        <v>0</v>
      </c>
    </row>
    <row r="1093" spans="2:24" s="664" customFormat="1" ht="14.25">
      <c r="B1093" s="728">
        <f t="shared" si="355"/>
        <v>9</v>
      </c>
      <c r="C1093" s="730"/>
      <c r="D1093" s="19" t="s">
        <v>1248</v>
      </c>
      <c r="E1093" s="728"/>
      <c r="F1093" s="729">
        <f>' WP II-I-1.4'!G1093</f>
        <v>20604260.02</v>
      </c>
      <c r="G1093" s="728">
        <v>68</v>
      </c>
      <c r="H1093" s="703" t="str">
        <f t="shared" si="357"/>
        <v>RATEBASE</v>
      </c>
      <c r="I1093" s="728"/>
      <c r="J1093" s="731">
        <f t="shared" si="358"/>
        <v>11458480.525214633</v>
      </c>
      <c r="K1093" s="731">
        <f t="shared" si="358"/>
        <v>371864.24130582501</v>
      </c>
      <c r="L1093" s="731">
        <f t="shared" si="358"/>
        <v>7296906.4929868439</v>
      </c>
      <c r="M1093" s="731">
        <f t="shared" si="358"/>
        <v>2648.2566597014961</v>
      </c>
      <c r="N1093" s="731">
        <f t="shared" si="358"/>
        <v>1126644.9711570882</v>
      </c>
      <c r="O1093" s="731">
        <f t="shared" si="358"/>
        <v>112928.04992764784</v>
      </c>
      <c r="P1093" s="731">
        <f t="shared" si="358"/>
        <v>35727.252302836387</v>
      </c>
      <c r="Q1093" s="731">
        <f t="shared" si="358"/>
        <v>125002.57461462409</v>
      </c>
      <c r="R1093" s="731">
        <f t="shared" si="358"/>
        <v>13503.417889983855</v>
      </c>
      <c r="S1093" s="731">
        <f t="shared" si="358"/>
        <v>60554.237940813633</v>
      </c>
      <c r="T1093" s="728"/>
      <c r="U1093" s="752">
        <f t="shared" si="359"/>
        <v>20604260.02</v>
      </c>
      <c r="X1093" s="729">
        <f t="shared" si="350"/>
        <v>0</v>
      </c>
    </row>
    <row r="1094" spans="2:24" s="664" customFormat="1" ht="14.25">
      <c r="B1094" s="728">
        <f t="shared" si="355"/>
        <v>10</v>
      </c>
      <c r="C1094" s="730"/>
      <c r="D1094" s="19" t="s">
        <v>1249</v>
      </c>
      <c r="E1094" s="728"/>
      <c r="F1094" s="729">
        <f>' WP II-I-1.4'!G1094</f>
        <v>-1676942.8500000001</v>
      </c>
      <c r="G1094" s="728">
        <v>68</v>
      </c>
      <c r="H1094" s="703" t="str">
        <f t="shared" si="357"/>
        <v>RATEBASE</v>
      </c>
      <c r="I1094" s="728"/>
      <c r="J1094" s="731">
        <f t="shared" si="358"/>
        <v>-932584.66792649834</v>
      </c>
      <c r="K1094" s="731">
        <f t="shared" si="358"/>
        <v>-30265.347070128752</v>
      </c>
      <c r="L1094" s="731">
        <f t="shared" si="358"/>
        <v>-593881.80690086551</v>
      </c>
      <c r="M1094" s="731">
        <f t="shared" si="358"/>
        <v>-215.53674172916539</v>
      </c>
      <c r="N1094" s="731">
        <f t="shared" si="358"/>
        <v>-91695.56329790171</v>
      </c>
      <c r="O1094" s="731">
        <f t="shared" si="358"/>
        <v>-9191.0064087131468</v>
      </c>
      <c r="P1094" s="731">
        <f t="shared" si="358"/>
        <v>-2907.775394080254</v>
      </c>
      <c r="Q1094" s="731">
        <f t="shared" si="358"/>
        <v>-10173.72977860456</v>
      </c>
      <c r="R1094" s="731">
        <f t="shared" si="358"/>
        <v>-1099.018361212203</v>
      </c>
      <c r="S1094" s="731">
        <f t="shared" si="358"/>
        <v>-4928.3981202663035</v>
      </c>
      <c r="T1094" s="728"/>
      <c r="U1094" s="752">
        <f>SUM(I1094:T1094)</f>
        <v>-1676942.8500000001</v>
      </c>
      <c r="X1094" s="729">
        <f t="shared" si="350"/>
        <v>0</v>
      </c>
    </row>
    <row r="1095" spans="2:24" s="664" customFormat="1" ht="14.25">
      <c r="B1095" s="728">
        <f t="shared" si="355"/>
        <v>11</v>
      </c>
      <c r="C1095" s="730"/>
      <c r="D1095" s="386" t="s">
        <v>1250</v>
      </c>
      <c r="E1095" s="728"/>
      <c r="F1095" s="729">
        <f>' WP II-I-1.4'!G1095</f>
        <v>253322.39000000001</v>
      </c>
      <c r="G1095" s="728">
        <v>68</v>
      </c>
      <c r="H1095" s="703" t="str">
        <f t="shared" si="357"/>
        <v>RATEBASE</v>
      </c>
      <c r="I1095" s="728"/>
      <c r="J1095" s="731">
        <f t="shared" si="358"/>
        <v>140878.13246378486</v>
      </c>
      <c r="K1095" s="731">
        <f t="shared" si="358"/>
        <v>4571.9447469450215</v>
      </c>
      <c r="L1095" s="731">
        <f t="shared" si="358"/>
        <v>89712.990935645634</v>
      </c>
      <c r="M1095" s="731">
        <f t="shared" si="358"/>
        <v>32.559417601884824</v>
      </c>
      <c r="N1095" s="731">
        <f t="shared" si="358"/>
        <v>13851.717872806901</v>
      </c>
      <c r="O1095" s="731">
        <f t="shared" si="358"/>
        <v>1388.4120797321932</v>
      </c>
      <c r="P1095" s="731">
        <f t="shared" si="358"/>
        <v>439.25445188045722</v>
      </c>
      <c r="Q1095" s="731">
        <f t="shared" si="358"/>
        <v>1536.8642662630261</v>
      </c>
      <c r="R1095" s="731">
        <f t="shared" si="358"/>
        <v>166.01994392126039</v>
      </c>
      <c r="S1095" s="731">
        <f t="shared" si="358"/>
        <v>744.4938214187606</v>
      </c>
      <c r="T1095" s="728"/>
      <c r="U1095" s="752">
        <f>SUM(I1095:T1095)</f>
        <v>253322.39000000004</v>
      </c>
      <c r="X1095" s="729">
        <f t="shared" si="350"/>
        <v>0</v>
      </c>
    </row>
    <row r="1096" spans="2:24" s="664" customFormat="1" ht="14.25">
      <c r="B1096" s="728">
        <f t="shared" si="355"/>
        <v>12</v>
      </c>
      <c r="C1096" s="730"/>
      <c r="D1096" s="386" t="s">
        <v>998</v>
      </c>
      <c r="E1096" s="728"/>
      <c r="F1096" s="729">
        <f>' WP II-I-1.4'!G1096</f>
        <v>85706.160000000003</v>
      </c>
      <c r="G1096" s="728">
        <v>68</v>
      </c>
      <c r="H1096" s="703" t="str">
        <f t="shared" si="357"/>
        <v>RATEBASE</v>
      </c>
      <c r="I1096" s="728"/>
      <c r="J1096" s="731">
        <f t="shared" si="358"/>
        <v>47663.073767156304</v>
      </c>
      <c r="K1096" s="731">
        <f t="shared" si="358"/>
        <v>1546.8187711036103</v>
      </c>
      <c r="L1096" s="731">
        <f t="shared" si="358"/>
        <v>30352.453074554502</v>
      </c>
      <c r="M1096" s="731">
        <f t="shared" si="358"/>
        <v>11.0157758044757</v>
      </c>
      <c r="N1096" s="731">
        <f t="shared" si="358"/>
        <v>4686.4296056959192</v>
      </c>
      <c r="O1096" s="731">
        <f t="shared" si="358"/>
        <v>469.73924354440248</v>
      </c>
      <c r="P1096" s="731">
        <f t="shared" si="358"/>
        <v>148.61225781731636</v>
      </c>
      <c r="Q1096" s="731">
        <f t="shared" si="358"/>
        <v>519.96483493867845</v>
      </c>
      <c r="R1096" s="731">
        <f t="shared" si="358"/>
        <v>56.169262720545824</v>
      </c>
      <c r="S1096" s="731">
        <f t="shared" si="358"/>
        <v>251.88340666424205</v>
      </c>
      <c r="T1096" s="728"/>
      <c r="U1096" s="752">
        <f t="shared" si="359"/>
        <v>85706.160000000018</v>
      </c>
      <c r="V1096" s="729"/>
      <c r="W1096" s="729"/>
      <c r="X1096" s="729">
        <f t="shared" si="350"/>
        <v>0</v>
      </c>
    </row>
    <row r="1097" spans="2:24" s="664" customFormat="1" ht="14.25">
      <c r="B1097" s="728">
        <f t="shared" si="355"/>
        <v>13</v>
      </c>
      <c r="C1097" s="730"/>
      <c r="D1097" s="730"/>
      <c r="E1097" s="728"/>
      <c r="F1097" s="729"/>
      <c r="G1097" s="728"/>
      <c r="H1097" s="703"/>
      <c r="I1097" s="728"/>
      <c r="J1097" s="731">
        <f t="shared" si="358"/>
        <v>0</v>
      </c>
      <c r="K1097" s="731">
        <f t="shared" si="358"/>
        <v>0</v>
      </c>
      <c r="L1097" s="731">
        <f t="shared" si="358"/>
        <v>0</v>
      </c>
      <c r="M1097" s="731">
        <f t="shared" si="358"/>
        <v>0</v>
      </c>
      <c r="N1097" s="731">
        <f t="shared" si="358"/>
        <v>0</v>
      </c>
      <c r="O1097" s="731">
        <f t="shared" si="358"/>
        <v>0</v>
      </c>
      <c r="P1097" s="731">
        <f t="shared" si="358"/>
        <v>0</v>
      </c>
      <c r="Q1097" s="731">
        <f t="shared" si="358"/>
        <v>0</v>
      </c>
      <c r="R1097" s="731">
        <f t="shared" si="358"/>
        <v>0</v>
      </c>
      <c r="S1097" s="731">
        <f t="shared" si="358"/>
        <v>0</v>
      </c>
      <c r="T1097" s="728"/>
      <c r="U1097" s="752">
        <f t="shared" si="359"/>
        <v>0</v>
      </c>
      <c r="X1097" s="729">
        <f t="shared" si="350"/>
        <v>0</v>
      </c>
    </row>
    <row r="1098" spans="2:24" s="664" customFormat="1" ht="14.25">
      <c r="B1098" s="728">
        <f t="shared" si="355"/>
        <v>14</v>
      </c>
      <c r="C1098" s="730"/>
      <c r="D1098" s="730"/>
      <c r="E1098" s="728"/>
      <c r="F1098" s="729"/>
      <c r="G1098" s="728"/>
      <c r="H1098" s="703"/>
      <c r="I1098" s="728"/>
      <c r="J1098" s="734">
        <f t="shared" si="358"/>
        <v>0</v>
      </c>
      <c r="K1098" s="734">
        <f t="shared" si="358"/>
        <v>0</v>
      </c>
      <c r="L1098" s="734">
        <f t="shared" si="358"/>
        <v>0</v>
      </c>
      <c r="M1098" s="734">
        <f t="shared" si="358"/>
        <v>0</v>
      </c>
      <c r="N1098" s="734">
        <f t="shared" si="358"/>
        <v>0</v>
      </c>
      <c r="O1098" s="734">
        <f t="shared" si="358"/>
        <v>0</v>
      </c>
      <c r="P1098" s="734">
        <f t="shared" si="358"/>
        <v>0</v>
      </c>
      <c r="Q1098" s="734">
        <f t="shared" si="358"/>
        <v>0</v>
      </c>
      <c r="R1098" s="734">
        <f t="shared" si="358"/>
        <v>0</v>
      </c>
      <c r="S1098" s="734">
        <f t="shared" si="358"/>
        <v>0</v>
      </c>
      <c r="T1098" s="728"/>
      <c r="U1098" s="752">
        <f t="shared" si="359"/>
        <v>0</v>
      </c>
      <c r="V1098" s="729"/>
      <c r="W1098" s="729"/>
      <c r="X1098" s="729">
        <f t="shared" si="350"/>
        <v>0</v>
      </c>
    </row>
    <row r="1099" spans="2:24" s="664" customFormat="1" ht="15">
      <c r="B1099" s="728">
        <f t="shared" si="355"/>
        <v>15</v>
      </c>
      <c r="C1099" s="8"/>
      <c r="D1099" s="297" t="s">
        <v>491</v>
      </c>
      <c r="E1099" s="1135"/>
      <c r="F1099" s="896">
        <f>SUM(F1090:F1098)</f>
        <v>244974615.25</v>
      </c>
      <c r="G1099" s="727"/>
      <c r="H1099" s="727"/>
      <c r="I1099" s="1010"/>
      <c r="J1099" s="896">
        <f t="shared" si="360" ref="J1099:Q1099">SUM(J1090:J1098)</f>
        <v>136235842.84023547</v>
      </c>
      <c r="K1099" s="896">
        <f t="shared" si="360"/>
        <v>4421371.6060129562</v>
      </c>
      <c r="L1099" s="896">
        <f t="shared" si="360"/>
        <v>86756255.236275136</v>
      </c>
      <c r="M1099" s="896">
        <f t="shared" si="360"/>
        <v>31486.27847894335</v>
      </c>
      <c r="N1099" s="896">
        <f t="shared" si="360"/>
        <v>13395120.373670992</v>
      </c>
      <c r="O1099" s="896">
        <f>SUM(O1090:O1098)</f>
        <v>1342634.15357811</v>
      </c>
      <c r="P1099" s="896">
        <f t="shared" si="360"/>
        <v>424641.75651678821</v>
      </c>
      <c r="Q1099" s="896">
        <f t="shared" si="360"/>
        <v>1486758.2744863222</v>
      </c>
      <c r="R1099" s="896">
        <f>SUM(R1090:R1098)</f>
        <v>160546.3167343706</v>
      </c>
      <c r="S1099" s="896">
        <f>SUM(S1090:S1098)</f>
        <v>719958.41401093546</v>
      </c>
      <c r="T1099" s="1010"/>
      <c r="U1099" s="299">
        <f t="shared" si="359"/>
        <v>244974615.25000006</v>
      </c>
      <c r="W1099" s="729" t="b">
        <f>' WP II-I-1.4'!$G$1099=F1099</f>
        <v>1</v>
      </c>
      <c r="X1099" s="729">
        <f t="shared" si="350"/>
        <v>0</v>
      </c>
    </row>
    <row r="1100" spans="2:24" s="664" customFormat="1" ht="14.25">
      <c r="B1100" s="728">
        <f t="shared" si="355"/>
        <v>16</v>
      </c>
      <c r="C1100" s="730"/>
      <c r="D1100" s="730"/>
      <c r="E1100" s="728"/>
      <c r="F1100" s="753"/>
      <c r="G1100" s="728"/>
      <c r="H1100" s="728"/>
      <c r="I1100" s="728"/>
      <c r="J1100" s="728"/>
      <c r="K1100" s="728"/>
      <c r="L1100" s="728"/>
      <c r="M1100" s="728"/>
      <c r="N1100" s="728"/>
      <c r="O1100" s="728"/>
      <c r="P1100" s="728"/>
      <c r="Q1100" s="728"/>
      <c r="R1100" s="728"/>
      <c r="S1100" s="728"/>
      <c r="T1100" s="728"/>
      <c r="U1100" s="753"/>
      <c r="X1100" s="729">
        <f t="shared" si="350"/>
        <v>0</v>
      </c>
    </row>
    <row r="1101" spans="2:24" s="664" customFormat="1" ht="15">
      <c r="B1101" s="728">
        <f t="shared" si="355"/>
        <v>17</v>
      </c>
      <c r="C1101" s="8"/>
      <c r="D1101" s="8" t="s">
        <v>321</v>
      </c>
      <c r="E1101" s="1135" t="s">
        <v>316</v>
      </c>
      <c r="F1101" s="896"/>
      <c r="G1101" s="1135"/>
      <c r="H1101" s="1135"/>
      <c r="I1101" s="727"/>
      <c r="J1101" s="1059"/>
      <c r="K1101" s="1059"/>
      <c r="L1101" s="1059"/>
      <c r="M1101" s="1059"/>
      <c r="N1101" s="1059"/>
      <c r="O1101" s="1059"/>
      <c r="P1101" s="1059"/>
      <c r="Q1101" s="1059"/>
      <c r="R1101" s="1059"/>
      <c r="S1101" s="1059"/>
      <c r="T1101" s="1010"/>
      <c r="U1101" s="8"/>
      <c r="X1101" s="729">
        <f t="shared" si="350"/>
        <v>0</v>
      </c>
    </row>
    <row r="1102" spans="2:24" s="664" customFormat="1" ht="14.25">
      <c r="B1102" s="728">
        <f t="shared" si="355"/>
        <v>18</v>
      </c>
      <c r="C1102" s="730"/>
      <c r="D1102" s="1" t="s">
        <v>323</v>
      </c>
      <c r="E1102" s="728"/>
      <c r="F1102" s="751">
        <f>' WP II-I-1.4'!G1102</f>
        <v>141352.53</v>
      </c>
      <c r="G1102" s="17">
        <v>59</v>
      </c>
      <c r="H1102" s="703" t="str">
        <f t="shared" si="361" ref="H1102:H1108">VLOOKUP(G1102,FactorTable,2)</f>
        <v>PLANT_N</v>
      </c>
      <c r="I1102" s="728"/>
      <c r="J1102" s="731">
        <f t="shared" si="362" ref="J1102:S1108">$F1102*HLOOKUP(J$1318,FactorTable,$G1102+1)</f>
        <v>78676.422946862251</v>
      </c>
      <c r="K1102" s="731">
        <f t="shared" si="362"/>
        <v>2615.392015159654</v>
      </c>
      <c r="L1102" s="731">
        <f t="shared" si="362"/>
        <v>49757.191950277367</v>
      </c>
      <c r="M1102" s="731">
        <f t="shared" si="362"/>
        <v>18.017690961283375</v>
      </c>
      <c r="N1102" s="731">
        <f t="shared" si="362"/>
        <v>7625.9939236118234</v>
      </c>
      <c r="O1102" s="731">
        <f t="shared" si="362"/>
        <v>755.97846546252322</v>
      </c>
      <c r="P1102" s="731">
        <f t="shared" si="362"/>
        <v>143.14738029194251</v>
      </c>
      <c r="Q1102" s="731">
        <f t="shared" si="362"/>
        <v>1255.8167738106738</v>
      </c>
      <c r="R1102" s="731">
        <f t="shared" si="362"/>
        <v>90.608750664405079</v>
      </c>
      <c r="S1102" s="731">
        <f t="shared" si="362"/>
        <v>413.96010289807668</v>
      </c>
      <c r="T1102" s="728"/>
      <c r="U1102" s="752">
        <f t="shared" si="363" ref="U1102:U1107">SUM(I1102:T1102)</f>
        <v>141352.53</v>
      </c>
      <c r="X1102" s="729">
        <f t="shared" si="350"/>
        <v>0</v>
      </c>
    </row>
    <row r="1103" spans="2:24" s="664" customFormat="1" ht="14.25">
      <c r="B1103" s="728">
        <f t="shared" si="355"/>
        <v>19</v>
      </c>
      <c r="C1103" s="730"/>
      <c r="D1103" s="1" t="s">
        <v>1251</v>
      </c>
      <c r="E1103" s="728"/>
      <c r="F1103" s="751">
        <f>' WP II-I-1.4'!G1103</f>
        <v>1031343.5</v>
      </c>
      <c r="G1103" s="17">
        <v>68</v>
      </c>
      <c r="H1103" s="703" t="str">
        <f t="shared" si="361"/>
        <v>RATEBASE</v>
      </c>
      <c r="I1103" s="728"/>
      <c r="J1103" s="731">
        <f t="shared" si="362"/>
        <v>573552.72152873455</v>
      </c>
      <c r="K1103" s="731">
        <f t="shared" si="362"/>
        <v>18613.615232040454</v>
      </c>
      <c r="L1103" s="731">
        <f t="shared" si="362"/>
        <v>365245.68581181095</v>
      </c>
      <c r="M1103" s="731">
        <f t="shared" si="362"/>
        <v>132.55813553428698</v>
      </c>
      <c r="N1103" s="731">
        <f t="shared" si="362"/>
        <v>56394.064464468473</v>
      </c>
      <c r="O1103" s="731">
        <f t="shared" si="362"/>
        <v>5652.5985474607241</v>
      </c>
      <c r="P1103" s="731">
        <f t="shared" si="362"/>
        <v>1788.3228710773346</v>
      </c>
      <c r="Q1103" s="731">
        <f t="shared" si="362"/>
        <v>6256.9872777240153</v>
      </c>
      <c r="R1103" s="731">
        <f t="shared" si="362"/>
        <v>675.91178984832879</v>
      </c>
      <c r="S1103" s="731">
        <f t="shared" si="362"/>
        <v>3031.0343413008204</v>
      </c>
      <c r="T1103" s="728"/>
      <c r="U1103" s="752">
        <f t="shared" si="363"/>
        <v>1031343.4999999999</v>
      </c>
      <c r="X1103" s="729">
        <f t="shared" si="350"/>
        <v>0</v>
      </c>
    </row>
    <row r="1104" spans="2:24" s="664" customFormat="1" ht="14.25">
      <c r="B1104" s="728">
        <f t="shared" si="355"/>
        <v>20</v>
      </c>
      <c r="C1104" s="730"/>
      <c r="D1104" s="1" t="s">
        <v>1252</v>
      </c>
      <c r="E1104" s="728"/>
      <c r="F1104" s="751">
        <f>' WP II-I-1.4'!G1104</f>
        <v>0</v>
      </c>
      <c r="G1104" s="17">
        <v>68</v>
      </c>
      <c r="H1104" s="703" t="str">
        <f t="shared" si="361"/>
        <v>RATEBASE</v>
      </c>
      <c r="I1104" s="728"/>
      <c r="J1104" s="731">
        <f t="shared" si="362"/>
        <v>0</v>
      </c>
      <c r="K1104" s="731">
        <f t="shared" si="362"/>
        <v>0</v>
      </c>
      <c r="L1104" s="731">
        <f t="shared" si="362"/>
        <v>0</v>
      </c>
      <c r="M1104" s="731">
        <f t="shared" si="362"/>
        <v>0</v>
      </c>
      <c r="N1104" s="731">
        <f t="shared" si="362"/>
        <v>0</v>
      </c>
      <c r="O1104" s="731">
        <f t="shared" si="362"/>
        <v>0</v>
      </c>
      <c r="P1104" s="731">
        <f t="shared" si="362"/>
        <v>0</v>
      </c>
      <c r="Q1104" s="731">
        <f t="shared" si="362"/>
        <v>0</v>
      </c>
      <c r="R1104" s="731">
        <f t="shared" si="362"/>
        <v>0</v>
      </c>
      <c r="S1104" s="731">
        <f t="shared" si="362"/>
        <v>0</v>
      </c>
      <c r="T1104" s="728"/>
      <c r="U1104" s="752">
        <f t="shared" si="363"/>
        <v>0</v>
      </c>
      <c r="X1104" s="729">
        <f t="shared" si="350"/>
        <v>0</v>
      </c>
    </row>
    <row r="1105" spans="2:24" s="664" customFormat="1" ht="14.25">
      <c r="B1105" s="728">
        <f t="shared" si="355"/>
        <v>21</v>
      </c>
      <c r="C1105" s="730"/>
      <c r="D1105" s="1" t="s">
        <v>1253</v>
      </c>
      <c r="E1105" s="728"/>
      <c r="F1105" s="751">
        <f>' WP II-I-1.4'!G1105</f>
        <v>862857.16000000003</v>
      </c>
      <c r="G1105" s="17">
        <v>88</v>
      </c>
      <c r="H1105" s="703" t="str">
        <f t="shared" si="361"/>
        <v>PAYROLL</v>
      </c>
      <c r="I1105" s="728"/>
      <c r="J1105" s="731">
        <f t="shared" si="362"/>
        <v>466976.95630186261</v>
      </c>
      <c r="K1105" s="731">
        <f t="shared" si="362"/>
        <v>12986.005247450961</v>
      </c>
      <c r="L1105" s="731">
        <f t="shared" si="362"/>
        <v>298539.20614184358</v>
      </c>
      <c r="M1105" s="731">
        <f t="shared" si="362"/>
        <v>219.71723699649843</v>
      </c>
      <c r="N1105" s="731">
        <f t="shared" si="362"/>
        <v>61049.117393654546</v>
      </c>
      <c r="O1105" s="731">
        <f t="shared" si="362"/>
        <v>6835.0271170085607</v>
      </c>
      <c r="P1105" s="731">
        <f t="shared" si="362"/>
        <v>209.98003620275375</v>
      </c>
      <c r="Q1105" s="731">
        <f t="shared" si="362"/>
        <v>12004.439488250297</v>
      </c>
      <c r="R1105" s="731">
        <f t="shared" si="362"/>
        <v>812.47685507470192</v>
      </c>
      <c r="S1105" s="731">
        <f t="shared" si="362"/>
        <v>3224.2341816553699</v>
      </c>
      <c r="T1105" s="728"/>
      <c r="U1105" s="752">
        <f t="shared" si="363"/>
        <v>862857.15999999992</v>
      </c>
      <c r="X1105" s="729">
        <f t="shared" si="350"/>
        <v>0</v>
      </c>
    </row>
    <row r="1106" spans="2:24" s="664" customFormat="1" ht="14.25">
      <c r="B1106" s="728">
        <f t="shared" si="355"/>
        <v>22</v>
      </c>
      <c r="C1106" s="730"/>
      <c r="D1106" s="28" t="s">
        <v>1254</v>
      </c>
      <c r="E1106" s="728"/>
      <c r="F1106" s="751">
        <f>' WP II-I-1.4'!G1106</f>
        <v>-2460478.1699999999</v>
      </c>
      <c r="G1106" s="17">
        <v>36</v>
      </c>
      <c r="H1106" s="703" t="str">
        <f t="shared" si="361"/>
        <v>OPEB MED</v>
      </c>
      <c r="I1106" s="728"/>
      <c r="J1106" s="731">
        <f t="shared" si="362"/>
        <v>-1269928.8954238843</v>
      </c>
      <c r="K1106" s="731">
        <f t="shared" si="362"/>
        <v>-35284.727382394587</v>
      </c>
      <c r="L1106" s="731">
        <f t="shared" si="362"/>
        <v>-964760.10814081237</v>
      </c>
      <c r="M1106" s="731">
        <f t="shared" si="362"/>
        <v>-366.60477060334495</v>
      </c>
      <c r="N1106" s="731">
        <f t="shared" si="362"/>
        <v>-131767.57226541603</v>
      </c>
      <c r="O1106" s="731">
        <f t="shared" si="362"/>
        <v>-7908.8369610983555</v>
      </c>
      <c r="P1106" s="731">
        <f t="shared" si="362"/>
        <v>-217.02087701036939</v>
      </c>
      <c r="Q1106" s="731">
        <f t="shared" si="362"/>
        <v>-40504.837425563142</v>
      </c>
      <c r="R1106" s="731">
        <f t="shared" si="362"/>
        <v>-1542.5457480541516</v>
      </c>
      <c r="S1106" s="731">
        <f t="shared" si="362"/>
        <v>-8197.0210051623726</v>
      </c>
      <c r="T1106" s="728"/>
      <c r="U1106" s="752">
        <f t="shared" si="363"/>
        <v>-2460478.1699999985</v>
      </c>
      <c r="X1106" s="729">
        <f t="shared" si="350"/>
        <v>0</v>
      </c>
    </row>
    <row r="1107" spans="2:24" s="664" customFormat="1" ht="14.25">
      <c r="B1107" s="728">
        <f t="shared" si="355"/>
        <v>23</v>
      </c>
      <c r="C1107" s="730"/>
      <c r="D1107" s="28" t="s">
        <v>1374</v>
      </c>
      <c r="E1107" s="728"/>
      <c r="F1107" s="751">
        <f>' WP II-I-1.4'!G1108</f>
        <v>0</v>
      </c>
      <c r="G1107" s="17">
        <v>68</v>
      </c>
      <c r="H1107" s="703" t="str">
        <f t="shared" si="361"/>
        <v>RATEBASE</v>
      </c>
      <c r="I1107" s="728"/>
      <c r="J1107" s="731">
        <f t="shared" si="362"/>
        <v>0</v>
      </c>
      <c r="K1107" s="731">
        <f t="shared" si="362"/>
        <v>0</v>
      </c>
      <c r="L1107" s="731">
        <f t="shared" si="362"/>
        <v>0</v>
      </c>
      <c r="M1107" s="731">
        <f t="shared" si="362"/>
        <v>0</v>
      </c>
      <c r="N1107" s="731">
        <f t="shared" si="362"/>
        <v>0</v>
      </c>
      <c r="O1107" s="731">
        <f t="shared" si="362"/>
        <v>0</v>
      </c>
      <c r="P1107" s="731">
        <f t="shared" si="362"/>
        <v>0</v>
      </c>
      <c r="Q1107" s="731">
        <f t="shared" si="362"/>
        <v>0</v>
      </c>
      <c r="R1107" s="731">
        <f t="shared" si="362"/>
        <v>0</v>
      </c>
      <c r="S1107" s="731">
        <f t="shared" si="362"/>
        <v>0</v>
      </c>
      <c r="T1107" s="728"/>
      <c r="U1107" s="893">
        <f t="shared" si="363"/>
        <v>0</v>
      </c>
      <c r="X1107" s="729">
        <f t="shared" si="350"/>
        <v>0</v>
      </c>
    </row>
    <row r="1108" spans="2:21" s="664" customFormat="1" ht="14.25">
      <c r="B1108" s="728">
        <f t="shared" si="355"/>
        <v>24</v>
      </c>
      <c r="C1108" s="730"/>
      <c r="D1108" s="664" t="s">
        <v>322</v>
      </c>
      <c r="G1108" s="728">
        <v>68</v>
      </c>
      <c r="H1108" s="703" t="str">
        <f t="shared" si="361"/>
        <v>RATEBASE</v>
      </c>
      <c r="J1108" s="731">
        <f t="shared" si="362"/>
        <v>0</v>
      </c>
      <c r="K1108" s="731">
        <f t="shared" si="362"/>
        <v>0</v>
      </c>
      <c r="L1108" s="731">
        <f t="shared" si="362"/>
        <v>0</v>
      </c>
      <c r="M1108" s="731">
        <f t="shared" si="362"/>
        <v>0</v>
      </c>
      <c r="N1108" s="731">
        <f t="shared" si="362"/>
        <v>0</v>
      </c>
      <c r="O1108" s="731">
        <f t="shared" si="362"/>
        <v>0</v>
      </c>
      <c r="P1108" s="731">
        <f t="shared" si="362"/>
        <v>0</v>
      </c>
      <c r="Q1108" s="731">
        <f t="shared" si="362"/>
        <v>0</v>
      </c>
      <c r="R1108" s="731">
        <f t="shared" si="362"/>
        <v>0</v>
      </c>
      <c r="S1108" s="731">
        <f t="shared" si="362"/>
        <v>0</v>
      </c>
      <c r="T1108" s="728"/>
      <c r="U1108" s="893">
        <f t="shared" si="364" ref="U1108">SUM(I1108:T1108)</f>
        <v>0</v>
      </c>
    </row>
    <row r="1109" spans="2:24" s="664" customFormat="1" ht="15">
      <c r="B1109" s="728">
        <f t="shared" si="355"/>
        <v>25</v>
      </c>
      <c r="C1109" s="730"/>
      <c r="D1109" s="297" t="s">
        <v>491</v>
      </c>
      <c r="E1109" s="728"/>
      <c r="F1109" s="896">
        <f>SUM(F1102:F1108)</f>
        <v>-424924.97999999998</v>
      </c>
      <c r="G1109" s="728"/>
      <c r="H1109" s="728"/>
      <c r="I1109" s="728"/>
      <c r="J1109" s="896">
        <f>SUM(J1102:J1108)</f>
        <v>-150722.79464642494</v>
      </c>
      <c r="K1109" s="896">
        <f t="shared" si="365" ref="K1109:S1109">SUM(K1102:K1107)</f>
        <v>-1069.7148877435175</v>
      </c>
      <c r="L1109" s="896">
        <f t="shared" si="365"/>
        <v>-251218.02423688048</v>
      </c>
      <c r="M1109" s="896">
        <f t="shared" si="365"/>
        <v>3.6882928887238222</v>
      </c>
      <c r="N1109" s="896">
        <f t="shared" si="365"/>
        <v>-6698.3964836811938</v>
      </c>
      <c r="O1109" s="896">
        <f t="shared" si="365"/>
        <v>5334.767168833454</v>
      </c>
      <c r="P1109" s="896">
        <f t="shared" si="365"/>
        <v>1924.4294105616616</v>
      </c>
      <c r="Q1109" s="896">
        <f t="shared" si="365"/>
        <v>-20987.593885778158</v>
      </c>
      <c r="R1109" s="896">
        <f t="shared" si="365"/>
        <v>36.451647533284131</v>
      </c>
      <c r="S1109" s="896">
        <f t="shared" si="365"/>
        <v>-1527.7923793081054</v>
      </c>
      <c r="T1109" s="728"/>
      <c r="U1109" s="299">
        <f>SUM(I1109:T1109)</f>
        <v>-424924.97999999917</v>
      </c>
      <c r="W1109" s="729" t="b">
        <f>' WP II-I-1.4'!$G$1109=F1109</f>
        <v>1</v>
      </c>
      <c r="X1109" s="729">
        <f>U1109-F1109</f>
        <v>8.149072527885437E-10</v>
      </c>
    </row>
    <row r="1110" spans="2:24" s="664" customFormat="1" ht="15">
      <c r="B1110" s="728">
        <f t="shared" si="355"/>
        <v>26</v>
      </c>
      <c r="C1110" s="8"/>
      <c r="D1110" s="8" t="s">
        <v>435</v>
      </c>
      <c r="E1110" s="1135"/>
      <c r="F1110" s="896">
        <f>+F1087-F1099+F1109</f>
        <v>393440295.2284596</v>
      </c>
      <c r="G1110" s="727"/>
      <c r="H1110" s="727"/>
      <c r="I1110" s="727"/>
      <c r="J1110" s="896">
        <f t="shared" si="366" ref="J1110:S1110">+J1087-J1099+J1109</f>
        <v>218886266.59625003</v>
      </c>
      <c r="K1110" s="896">
        <f t="shared" si="366"/>
        <v>7107295.2723136852</v>
      </c>
      <c r="L1110" s="896">
        <f t="shared" si="366"/>
        <v>139234795.99888557</v>
      </c>
      <c r="M1110" s="896">
        <f t="shared" si="366"/>
        <v>50627.2185182268</v>
      </c>
      <c r="N1110" s="896">
        <f t="shared" si="366"/>
        <v>21530068.484978851</v>
      </c>
      <c r="O1110" s="896">
        <f t="shared" si="366"/>
        <v>2164060.8548416127</v>
      </c>
      <c r="P1110" s="896">
        <f t="shared" si="366"/>
        <v>685014.37305540196</v>
      </c>
      <c r="Q1110" s="896">
        <f t="shared" si="366"/>
        <v>2367987.7964707813</v>
      </c>
      <c r="R1110" s="896">
        <f t="shared" si="366"/>
        <v>258166.72191946977</v>
      </c>
      <c r="S1110" s="896">
        <f t="shared" si="366"/>
        <v>1156011.9112258139</v>
      </c>
      <c r="T1110" s="1010"/>
      <c r="U1110" s="299">
        <f>SUM(I1110:T1110)</f>
        <v>393440295.22845936</v>
      </c>
      <c r="X1110" s="729">
        <f t="shared" si="350"/>
        <v>0</v>
      </c>
    </row>
    <row r="1111" spans="2:24" s="664" customFormat="1" ht="15">
      <c r="B1111" s="728">
        <f t="shared" si="355"/>
        <v>27</v>
      </c>
      <c r="C1111" s="8"/>
      <c r="D1111" s="8" t="s">
        <v>436</v>
      </c>
      <c r="E1111" s="1135" t="s">
        <v>316</v>
      </c>
      <c r="F1111" s="902">
        <f>0.21/(1-0.21)</f>
        <v>0.26582278481012656</v>
      </c>
      <c r="G1111" s="727"/>
      <c r="H1111" s="727"/>
      <c r="I1111" s="727"/>
      <c r="J1111" s="902">
        <f t="shared" si="367" ref="J1111:S1111">0.21/(1-0.21)</f>
        <v>0.26582278481012656</v>
      </c>
      <c r="K1111" s="902">
        <f t="shared" si="367"/>
        <v>0.26582278481012656</v>
      </c>
      <c r="L1111" s="902">
        <f t="shared" si="367"/>
        <v>0.26582278481012656</v>
      </c>
      <c r="M1111" s="902">
        <f t="shared" si="367"/>
        <v>0.26582278481012656</v>
      </c>
      <c r="N1111" s="902">
        <f t="shared" si="367"/>
        <v>0.26582278481012656</v>
      </c>
      <c r="O1111" s="902">
        <f t="shared" si="367"/>
        <v>0.26582278481012656</v>
      </c>
      <c r="P1111" s="902">
        <f t="shared" si="367"/>
        <v>0.26582278481012656</v>
      </c>
      <c r="Q1111" s="902">
        <f t="shared" si="367"/>
        <v>0.26582278481012656</v>
      </c>
      <c r="R1111" s="902">
        <f t="shared" si="367"/>
        <v>0.26582278481012656</v>
      </c>
      <c r="S1111" s="902">
        <f t="shared" si="367"/>
        <v>0.26582278481012656</v>
      </c>
      <c r="T1111" s="1010"/>
      <c r="U1111" s="754">
        <f>U1113/U1110</f>
        <v>0.26582278481012667</v>
      </c>
      <c r="X1111" s="729">
        <f t="shared" si="350"/>
        <v>0</v>
      </c>
    </row>
    <row r="1112" spans="2:24" s="664" customFormat="1" ht="15">
      <c r="B1112" s="728">
        <f t="shared" si="355"/>
        <v>28</v>
      </c>
      <c r="C1112" s="730"/>
      <c r="D1112" s="730"/>
      <c r="E1112" s="728"/>
      <c r="F1112" s="694"/>
      <c r="G1112" s="728"/>
      <c r="H1112" s="728"/>
      <c r="I1112" s="728"/>
      <c r="J1112" s="894"/>
      <c r="K1112" s="894"/>
      <c r="L1112" s="894"/>
      <c r="M1112" s="894"/>
      <c r="N1112" s="894"/>
      <c r="O1112" s="894"/>
      <c r="P1112" s="894"/>
      <c r="Q1112" s="894"/>
      <c r="R1112" s="894"/>
      <c r="S1112" s="894"/>
      <c r="T1112" s="728"/>
      <c r="U1112" s="8"/>
      <c r="X1112" s="729">
        <f t="shared" si="350"/>
        <v>0</v>
      </c>
    </row>
    <row r="1113" spans="2:24" s="664" customFormat="1" ht="15">
      <c r="B1113" s="728">
        <f t="shared" si="355"/>
        <v>29</v>
      </c>
      <c r="C1113" s="8"/>
      <c r="D1113" s="8" t="s">
        <v>717</v>
      </c>
      <c r="E1113" s="1135"/>
      <c r="F1113" s="22">
        <f>+F1110*F1111</f>
        <v>104585394.93414748</v>
      </c>
      <c r="G1113" s="727"/>
      <c r="H1113" s="727"/>
      <c r="I1113" s="727"/>
      <c r="J1113" s="896">
        <f t="shared" si="368" ref="J1113:Q1113">+J1110*J1111</f>
        <v>58184956.94330696</v>
      </c>
      <c r="K1113" s="896">
        <f t="shared" si="368"/>
        <v>1889281.0217542707</v>
      </c>
      <c r="L1113" s="896">
        <f t="shared" si="368"/>
        <v>37011781.214893632</v>
      </c>
      <c r="M1113" s="896">
        <f t="shared" si="368"/>
        <v>13457.868213705857</v>
      </c>
      <c r="N1113" s="896">
        <f t="shared" si="368"/>
        <v>5723182.7618298205</v>
      </c>
      <c r="O1113" s="896">
        <f>+O1110*O1111</f>
        <v>575256.68293258059</v>
      </c>
      <c r="P1113" s="896">
        <f t="shared" si="368"/>
        <v>182092.42828054988</v>
      </c>
      <c r="Q1113" s="896">
        <f t="shared" si="368"/>
        <v>629465.11045425828</v>
      </c>
      <c r="R1113" s="896">
        <f>+R1110*R1111</f>
        <v>68626.596965934994</v>
      </c>
      <c r="S1113" s="896">
        <f>+S1110*S1111</f>
        <v>307294.30551572266</v>
      </c>
      <c r="T1113" s="1010"/>
      <c r="U1113" s="299">
        <f>SUM(I1113:T1113)</f>
        <v>104585394.93414745</v>
      </c>
      <c r="W1113" s="664" t="b">
        <f>' WP II-I-1.4'!$G$1114=F1113</f>
        <v>1</v>
      </c>
      <c r="X1113" s="729">
        <f t="shared" si="350"/>
        <v>0</v>
      </c>
    </row>
    <row r="1114" spans="2:24" s="664" customFormat="1" ht="14.25">
      <c r="B1114" s="728">
        <f t="shared" si="355"/>
        <v>30</v>
      </c>
      <c r="C1114" s="730"/>
      <c r="D1114" s="730"/>
      <c r="E1114" s="728"/>
      <c r="F1114" s="694"/>
      <c r="G1114" s="728"/>
      <c r="H1114" s="728"/>
      <c r="I1114" s="728"/>
      <c r="J1114" s="728"/>
      <c r="K1114" s="728"/>
      <c r="L1114" s="728"/>
      <c r="M1114" s="728"/>
      <c r="N1114" s="728"/>
      <c r="O1114" s="728"/>
      <c r="P1114" s="728"/>
      <c r="Q1114" s="728"/>
      <c r="R1114" s="728"/>
      <c r="S1114" s="728"/>
      <c r="T1114" s="728"/>
      <c r="U1114" s="730"/>
      <c r="X1114" s="729">
        <f t="shared" si="350"/>
        <v>0</v>
      </c>
    </row>
    <row r="1115" spans="2:24" s="664" customFormat="1" ht="15">
      <c r="B1115" s="728">
        <f t="shared" si="355"/>
        <v>31</v>
      </c>
      <c r="C1115" s="8"/>
      <c r="D1115" s="8" t="s">
        <v>324</v>
      </c>
      <c r="E1115" s="1135" t="s">
        <v>316</v>
      </c>
      <c r="F1115" s="22"/>
      <c r="G1115" s="727"/>
      <c r="H1115" s="727"/>
      <c r="I1115" s="1010"/>
      <c r="J1115" s="1059"/>
      <c r="K1115" s="1059"/>
      <c r="L1115" s="1059"/>
      <c r="M1115" s="1059"/>
      <c r="N1115" s="1059"/>
      <c r="O1115" s="1059"/>
      <c r="P1115" s="1059"/>
      <c r="Q1115" s="1059"/>
      <c r="R1115" s="1059"/>
      <c r="S1115" s="1059"/>
      <c r="T1115" s="1010"/>
      <c r="U1115" s="8"/>
      <c r="X1115" s="729">
        <f t="shared" si="350"/>
        <v>0</v>
      </c>
    </row>
    <row r="1116" spans="2:24" s="664" customFormat="1" ht="14.25">
      <c r="B1116" s="728">
        <f t="shared" si="355"/>
        <v>32</v>
      </c>
      <c r="C1116" s="730"/>
      <c r="D1116" s="778" t="s">
        <v>319</v>
      </c>
      <c r="E1116" s="728"/>
      <c r="F1116" s="775">
        <f>' WP II-I-1.4'!G1117</f>
        <v>191147.98999999999</v>
      </c>
      <c r="G1116" s="728">
        <v>59</v>
      </c>
      <c r="H1116" s="730" t="str">
        <f t="shared" si="369" ref="H1116:H1120">VLOOKUP(G1116,FactorTable,2)</f>
        <v>PLANT_N</v>
      </c>
      <c r="I1116" s="728"/>
      <c r="J1116" s="731">
        <f t="shared" si="370" ref="J1116:S1120">$F1116*HLOOKUP(J$1318,FactorTable,$G1116+1)</f>
        <v>106392.4367443766</v>
      </c>
      <c r="K1116" s="731">
        <f t="shared" si="370"/>
        <v>3536.7384422466112</v>
      </c>
      <c r="L1116" s="731">
        <f t="shared" si="370"/>
        <v>67285.581866413704</v>
      </c>
      <c r="M1116" s="731">
        <f t="shared" si="370"/>
        <v>24.364936458445314</v>
      </c>
      <c r="N1116" s="731">
        <f t="shared" si="370"/>
        <v>10312.467772954708</v>
      </c>
      <c r="O1116" s="731">
        <f t="shared" si="370"/>
        <v>1022.2934400710459</v>
      </c>
      <c r="P1116" s="731">
        <f t="shared" si="370"/>
        <v>193.57512749556318</v>
      </c>
      <c r="Q1116" s="731">
        <f t="shared" si="370"/>
        <v>1698.214047687685</v>
      </c>
      <c r="R1116" s="731">
        <f t="shared" si="370"/>
        <v>122.52826720478365</v>
      </c>
      <c r="S1116" s="731">
        <f t="shared" si="370"/>
        <v>559.78935509085352</v>
      </c>
      <c r="T1116" s="728"/>
      <c r="U1116" s="752">
        <f>SUM(I1116:T1116)</f>
        <v>191147.98999999999</v>
      </c>
      <c r="X1116" s="729">
        <f t="shared" si="350"/>
        <v>0</v>
      </c>
    </row>
    <row r="1117" spans="2:24" s="664" customFormat="1" ht="14.25">
      <c r="B1117" s="728">
        <f t="shared" si="355"/>
        <v>33</v>
      </c>
      <c r="C1117" s="730"/>
      <c r="D1117" s="778" t="s">
        <v>1247</v>
      </c>
      <c r="E1117" s="728"/>
      <c r="F1117" s="775">
        <f>' WP II-I-1.4'!G1118</f>
        <v>7133574.9500000002</v>
      </c>
      <c r="G1117" s="728">
        <v>68</v>
      </c>
      <c r="H1117" s="730" t="str">
        <f t="shared" si="369"/>
        <v>RATEBASE</v>
      </c>
      <c r="I1117" s="728"/>
      <c r="J1117" s="731">
        <f t="shared" si="370"/>
        <v>3967137.357050979</v>
      </c>
      <c r="K1117" s="731">
        <f t="shared" si="370"/>
        <v>128746.26091910427</v>
      </c>
      <c r="L1117" s="731">
        <f t="shared" si="370"/>
        <v>2526323.6495917267</v>
      </c>
      <c r="M1117" s="731">
        <f t="shared" si="370"/>
        <v>916.87531367201552</v>
      </c>
      <c r="N1117" s="731">
        <f t="shared" si="370"/>
        <v>390065.27465622994</v>
      </c>
      <c r="O1117" s="731">
        <f t="shared" si="370"/>
        <v>39097.774311441543</v>
      </c>
      <c r="P1117" s="731">
        <f t="shared" si="370"/>
        <v>12369.433884665346</v>
      </c>
      <c r="Q1117" s="731">
        <f t="shared" si="370"/>
        <v>43278.197522785304</v>
      </c>
      <c r="R1117" s="731">
        <f t="shared" si="370"/>
        <v>4675.1324000894974</v>
      </c>
      <c r="S1117" s="731">
        <f t="shared" si="370"/>
        <v>20964.994349305816</v>
      </c>
      <c r="T1117" s="728"/>
      <c r="U1117" s="752">
        <f>SUM(I1117:T1117)</f>
        <v>7133574.9500000002</v>
      </c>
      <c r="X1117" s="729">
        <f t="shared" si="350"/>
        <v>0</v>
      </c>
    </row>
    <row r="1118" spans="2:24" s="664" customFormat="1" ht="14.25">
      <c r="B1118" s="728">
        <f t="shared" si="355"/>
        <v>34</v>
      </c>
      <c r="C1118" s="730"/>
      <c r="D1118" s="778" t="s">
        <v>1248</v>
      </c>
      <c r="E1118" s="728"/>
      <c r="F1118" s="775">
        <f>' WP II-I-1.4'!G1119</f>
        <v>20604260.02</v>
      </c>
      <c r="G1118" s="728">
        <v>68</v>
      </c>
      <c r="H1118" s="730" t="str">
        <f t="shared" si="369"/>
        <v>RATEBASE</v>
      </c>
      <c r="I1118" s="728"/>
      <c r="J1118" s="731">
        <f t="shared" si="370"/>
        <v>11458480.525214633</v>
      </c>
      <c r="K1118" s="731">
        <f t="shared" si="370"/>
        <v>371864.24130582501</v>
      </c>
      <c r="L1118" s="731">
        <f t="shared" si="370"/>
        <v>7296906.4929868439</v>
      </c>
      <c r="M1118" s="731">
        <f t="shared" si="370"/>
        <v>2648.2566597014961</v>
      </c>
      <c r="N1118" s="731">
        <f t="shared" si="370"/>
        <v>1126644.9711570882</v>
      </c>
      <c r="O1118" s="731">
        <f t="shared" si="370"/>
        <v>112928.04992764784</v>
      </c>
      <c r="P1118" s="731">
        <f t="shared" si="370"/>
        <v>35727.252302836387</v>
      </c>
      <c r="Q1118" s="731">
        <f t="shared" si="370"/>
        <v>125002.57461462409</v>
      </c>
      <c r="R1118" s="731">
        <f t="shared" si="370"/>
        <v>13503.417889983855</v>
      </c>
      <c r="S1118" s="731">
        <f t="shared" si="370"/>
        <v>60554.237940813633</v>
      </c>
      <c r="T1118" s="728"/>
      <c r="U1118" s="752">
        <f>SUM(I1118:T1118)</f>
        <v>20604260.02</v>
      </c>
      <c r="X1118" s="729">
        <f t="shared" si="350"/>
        <v>0</v>
      </c>
    </row>
    <row r="1119" spans="2:24" s="664" customFormat="1" ht="14.25">
      <c r="B1119" s="728">
        <f t="shared" si="355"/>
        <v>35</v>
      </c>
      <c r="C1119" s="730"/>
      <c r="D1119" s="778" t="s">
        <v>1249</v>
      </c>
      <c r="E1119" s="728"/>
      <c r="F1119" s="775">
        <f>' WP II-I-1.4'!G1120</f>
        <v>-1676942.8500000001</v>
      </c>
      <c r="G1119" s="728">
        <v>68</v>
      </c>
      <c r="H1119" s="730" t="str">
        <f t="shared" si="369"/>
        <v>RATEBASE</v>
      </c>
      <c r="I1119" s="728"/>
      <c r="J1119" s="731">
        <f t="shared" si="370"/>
        <v>-932584.66792649834</v>
      </c>
      <c r="K1119" s="731">
        <f t="shared" si="370"/>
        <v>-30265.347070128752</v>
      </c>
      <c r="L1119" s="731">
        <f t="shared" si="370"/>
        <v>-593881.80690086551</v>
      </c>
      <c r="M1119" s="731">
        <f t="shared" si="370"/>
        <v>-215.53674172916539</v>
      </c>
      <c r="N1119" s="731">
        <f t="shared" si="370"/>
        <v>-91695.56329790171</v>
      </c>
      <c r="O1119" s="731">
        <f t="shared" si="370"/>
        <v>-9191.0064087131468</v>
      </c>
      <c r="P1119" s="731">
        <f t="shared" si="370"/>
        <v>-2907.775394080254</v>
      </c>
      <c r="Q1119" s="731">
        <f t="shared" si="370"/>
        <v>-10173.72977860456</v>
      </c>
      <c r="R1119" s="731">
        <f t="shared" si="370"/>
        <v>-1099.018361212203</v>
      </c>
      <c r="S1119" s="731">
        <f t="shared" si="370"/>
        <v>-4928.3981202663035</v>
      </c>
      <c r="T1119" s="728"/>
      <c r="U1119" s="893">
        <f t="shared" si="371" ref="U1119:U1120">SUM(I1119:T1119)</f>
        <v>-1676942.8500000001</v>
      </c>
      <c r="X1119" s="729">
        <f t="shared" si="372" ref="X1119:X1120">U1119-F1119</f>
        <v>0</v>
      </c>
    </row>
    <row r="1120" spans="2:24" s="664" customFormat="1" ht="14.25">
      <c r="B1120" s="728">
        <f t="shared" si="355"/>
        <v>36</v>
      </c>
      <c r="C1120" s="730"/>
      <c r="D1120" s="778" t="s">
        <v>1250</v>
      </c>
      <c r="E1120" s="728"/>
      <c r="F1120" s="775">
        <f>' WP II-I-1.4'!G1121</f>
        <v>253322.39000000001</v>
      </c>
      <c r="G1120" s="728">
        <v>68</v>
      </c>
      <c r="H1120" s="730" t="str">
        <f t="shared" si="369"/>
        <v>RATEBASE</v>
      </c>
      <c r="I1120" s="728"/>
      <c r="J1120" s="734">
        <f t="shared" si="370"/>
        <v>140878.13246378486</v>
      </c>
      <c r="K1120" s="734">
        <f t="shared" si="370"/>
        <v>4571.9447469450215</v>
      </c>
      <c r="L1120" s="734">
        <f t="shared" si="370"/>
        <v>89712.990935645634</v>
      </c>
      <c r="M1120" s="734">
        <f t="shared" si="370"/>
        <v>32.559417601884824</v>
      </c>
      <c r="N1120" s="734">
        <f t="shared" si="370"/>
        <v>13851.717872806901</v>
      </c>
      <c r="O1120" s="734">
        <f t="shared" si="370"/>
        <v>1388.4120797321932</v>
      </c>
      <c r="P1120" s="734">
        <f t="shared" si="370"/>
        <v>439.25445188045722</v>
      </c>
      <c r="Q1120" s="734">
        <f t="shared" si="370"/>
        <v>1536.8642662630261</v>
      </c>
      <c r="R1120" s="734">
        <f t="shared" si="370"/>
        <v>166.01994392126039</v>
      </c>
      <c r="S1120" s="734">
        <f t="shared" si="370"/>
        <v>744.4938214187606</v>
      </c>
      <c r="T1120" s="728"/>
      <c r="U1120" s="893">
        <f t="shared" si="371"/>
        <v>253322.39000000004</v>
      </c>
      <c r="X1120" s="729">
        <f t="shared" si="372"/>
        <v>0</v>
      </c>
    </row>
    <row r="1121" spans="2:24" s="664" customFormat="1" ht="15">
      <c r="B1121" s="728">
        <f t="shared" si="355"/>
        <v>37</v>
      </c>
      <c r="C1121" s="730"/>
      <c r="D1121" s="297" t="s">
        <v>491</v>
      </c>
      <c r="E1121" s="728"/>
      <c r="F1121" s="22">
        <f>SUM(F1116:F1120)</f>
        <v>26505362.5</v>
      </c>
      <c r="G1121" s="728"/>
      <c r="H1121" s="703"/>
      <c r="I1121" s="728"/>
      <c r="J1121" s="896">
        <f t="shared" si="373" ref="J1121:S1121">SUM(J1116:J1120)</f>
        <v>14740303.783547277</v>
      </c>
      <c r="K1121" s="896">
        <f t="shared" si="373"/>
        <v>478453.83834399207</v>
      </c>
      <c r="L1121" s="896">
        <f t="shared" si="373"/>
        <v>9386346.9084797651</v>
      </c>
      <c r="M1121" s="896">
        <f t="shared" si="373"/>
        <v>3406.5195857046765</v>
      </c>
      <c r="N1121" s="896">
        <f t="shared" si="373"/>
        <v>1449178.868161178</v>
      </c>
      <c r="O1121" s="896">
        <f t="shared" si="373"/>
        <v>145245.52335017949</v>
      </c>
      <c r="P1121" s="896">
        <f t="shared" si="373"/>
        <v>45821.740372797496</v>
      </c>
      <c r="Q1121" s="896">
        <f t="shared" si="373"/>
        <v>161342.12067275556</v>
      </c>
      <c r="R1121" s="896">
        <f t="shared" si="373"/>
        <v>17368.080139987193</v>
      </c>
      <c r="S1121" s="896">
        <f t="shared" si="373"/>
        <v>77895.117346362764</v>
      </c>
      <c r="T1121" s="728"/>
      <c r="U1121" s="299">
        <f>SUM(I1121:T1121)</f>
        <v>26505362.5</v>
      </c>
      <c r="W1121" s="729" t="b">
        <f>' WP II-I-1.4'!$G$1122=F1121</f>
        <v>1</v>
      </c>
      <c r="X1121" s="729">
        <f t="shared" si="350"/>
        <v>0</v>
      </c>
    </row>
    <row r="1122" spans="2:24" s="664" customFormat="1" ht="14.25">
      <c r="B1122" s="728">
        <f t="shared" si="355"/>
        <v>38</v>
      </c>
      <c r="C1122" s="730"/>
      <c r="D1122" s="730"/>
      <c r="E1122" s="728"/>
      <c r="F1122" s="291"/>
      <c r="G1122" s="728"/>
      <c r="H1122" s="728"/>
      <c r="I1122" s="728"/>
      <c r="J1122" s="728"/>
      <c r="K1122" s="728"/>
      <c r="L1122" s="728"/>
      <c r="M1122" s="728"/>
      <c r="N1122" s="728"/>
      <c r="O1122" s="728"/>
      <c r="P1122" s="728"/>
      <c r="Q1122" s="728"/>
      <c r="R1122" s="728"/>
      <c r="S1122" s="728"/>
      <c r="T1122" s="728"/>
      <c r="U1122" s="752"/>
      <c r="X1122" s="729">
        <f t="shared" si="350"/>
        <v>0</v>
      </c>
    </row>
    <row r="1123" spans="2:24" s="664" customFormat="1" ht="15">
      <c r="B1123" s="728">
        <f t="shared" si="355"/>
        <v>39</v>
      </c>
      <c r="C1123" s="8"/>
      <c r="D1123" s="8" t="s">
        <v>325</v>
      </c>
      <c r="E1123" s="1135" t="s">
        <v>316</v>
      </c>
      <c r="F1123" s="22"/>
      <c r="G1123" s="727"/>
      <c r="H1123" s="727"/>
      <c r="I1123" s="1010"/>
      <c r="J1123" s="1059"/>
      <c r="K1123" s="1059"/>
      <c r="L1123" s="1059"/>
      <c r="M1123" s="1059"/>
      <c r="N1123" s="1059"/>
      <c r="O1123" s="1059"/>
      <c r="P1123" s="1059"/>
      <c r="Q1123" s="1059"/>
      <c r="R1123" s="1059"/>
      <c r="S1123" s="1059"/>
      <c r="T1123" s="1010"/>
      <c r="U1123" s="752"/>
      <c r="X1123" s="729">
        <f t="shared" si="350"/>
        <v>0</v>
      </c>
    </row>
    <row r="1124" spans="2:24" s="664" customFormat="1" ht="14.25">
      <c r="B1124" s="728">
        <f t="shared" si="355"/>
        <v>40</v>
      </c>
      <c r="C1124" s="730"/>
      <c r="D1124" s="778" t="s">
        <v>323</v>
      </c>
      <c r="E1124" s="728"/>
      <c r="F1124" s="729">
        <f>' WP II-I-1.4'!G1125</f>
        <v>141352.53</v>
      </c>
      <c r="G1124" s="728">
        <v>68</v>
      </c>
      <c r="H1124" s="703" t="str">
        <f>VLOOKUP(G1124,FactorTable,2)</f>
        <v>RATEBASE</v>
      </c>
      <c r="I1124" s="728"/>
      <c r="J1124" s="731">
        <f t="shared" si="374" ref="J1124:Q1126">$F1124*HLOOKUP(J$1318,FactorTable,$G1124+1)</f>
        <v>78609.23957582716</v>
      </c>
      <c r="K1124" s="731">
        <f t="shared" si="374"/>
        <v>2551.1205582770967</v>
      </c>
      <c r="L1124" s="731">
        <f t="shared" si="374"/>
        <v>50059.366022168731</v>
      </c>
      <c r="M1124" s="731">
        <f t="shared" si="374"/>
        <v>18.167979756360868</v>
      </c>
      <c r="N1124" s="731">
        <f t="shared" si="374"/>
        <v>7729.1840100177233</v>
      </c>
      <c r="O1124" s="731">
        <f>$F1124*HLOOKUP(O$1318,FactorTable,$G1124+1)</f>
        <v>774.72646674740122</v>
      </c>
      <c r="P1124" s="731">
        <f t="shared" si="374"/>
        <v>245.10161966759387</v>
      </c>
      <c r="Q1124" s="731">
        <f t="shared" si="374"/>
        <v>857.56198772193954</v>
      </c>
      <c r="R1124" s="731">
        <f t="shared" si="375" ref="R1124:S1126">$F1124*HLOOKUP(R$1318,FactorTable,$G1124+1)</f>
        <v>92.638235032159116</v>
      </c>
      <c r="S1124" s="731">
        <f t="shared" si="375"/>
        <v>415.42354478382271</v>
      </c>
      <c r="T1124" s="728"/>
      <c r="U1124" s="752">
        <f>SUM(I1124:T1124)</f>
        <v>141352.53</v>
      </c>
      <c r="X1124" s="729">
        <f t="shared" si="350"/>
        <v>0</v>
      </c>
    </row>
    <row r="1125" spans="2:24" s="664" customFormat="1" ht="14.25">
      <c r="B1125" s="728">
        <f t="shared" si="355"/>
        <v>41</v>
      </c>
      <c r="C1125" s="730"/>
      <c r="D1125" s="1311" t="s">
        <v>1380</v>
      </c>
      <c r="E1125" s="728"/>
      <c r="F1125" s="729">
        <f>' WP II-I-1.4'!G1126</f>
        <v>0</v>
      </c>
      <c r="G1125" s="728">
        <v>68</v>
      </c>
      <c r="H1125" s="703" t="str">
        <f>VLOOKUP(G1125,FactorTable,2)</f>
        <v>RATEBASE</v>
      </c>
      <c r="I1125" s="728"/>
      <c r="J1125" s="731">
        <f t="shared" si="374"/>
        <v>0</v>
      </c>
      <c r="K1125" s="731">
        <f t="shared" si="374"/>
        <v>0</v>
      </c>
      <c r="L1125" s="731">
        <f t="shared" si="374"/>
        <v>0</v>
      </c>
      <c r="M1125" s="731">
        <f t="shared" si="374"/>
        <v>0</v>
      </c>
      <c r="N1125" s="731">
        <f t="shared" si="374"/>
        <v>0</v>
      </c>
      <c r="O1125" s="731">
        <f t="shared" si="374"/>
        <v>0</v>
      </c>
      <c r="P1125" s="731">
        <f t="shared" si="374"/>
        <v>0</v>
      </c>
      <c r="Q1125" s="731">
        <f t="shared" si="374"/>
        <v>0</v>
      </c>
      <c r="R1125" s="731">
        <f t="shared" si="375"/>
        <v>0</v>
      </c>
      <c r="S1125" s="731">
        <f t="shared" si="375"/>
        <v>0</v>
      </c>
      <c r="T1125" s="728"/>
      <c r="U1125" s="893">
        <f t="shared" si="376" ref="U1125:U1126">SUM(I1125:T1125)</f>
        <v>0</v>
      </c>
      <c r="X1125" s="729">
        <f>U1125-F1125</f>
        <v>0</v>
      </c>
    </row>
    <row r="1126" spans="2:24" s="664" customFormat="1" ht="14.25">
      <c r="B1126" s="728">
        <f t="shared" si="355"/>
        <v>42</v>
      </c>
      <c r="C1126" s="730"/>
      <c r="D1126" s="778" t="s">
        <v>326</v>
      </c>
      <c r="E1126" s="703"/>
      <c r="F1126" s="729">
        <f>' WP II-I-1.4'!G1127</f>
        <v>0</v>
      </c>
      <c r="G1126" s="728">
        <v>59</v>
      </c>
      <c r="H1126" s="703" t="str">
        <f>VLOOKUP(G1126,FactorTable,2)</f>
        <v>PLANT_N</v>
      </c>
      <c r="J1126" s="731">
        <f t="shared" si="374"/>
        <v>0</v>
      </c>
      <c r="K1126" s="731">
        <f t="shared" si="374"/>
        <v>0</v>
      </c>
      <c r="L1126" s="731">
        <f t="shared" si="374"/>
        <v>0</v>
      </c>
      <c r="M1126" s="731">
        <f t="shared" si="374"/>
        <v>0</v>
      </c>
      <c r="N1126" s="731">
        <f t="shared" si="374"/>
        <v>0</v>
      </c>
      <c r="O1126" s="731">
        <f t="shared" si="374"/>
        <v>0</v>
      </c>
      <c r="P1126" s="731">
        <f t="shared" si="374"/>
        <v>0</v>
      </c>
      <c r="Q1126" s="731">
        <f t="shared" si="374"/>
        <v>0</v>
      </c>
      <c r="R1126" s="731">
        <f t="shared" si="375"/>
        <v>0</v>
      </c>
      <c r="S1126" s="731">
        <f t="shared" si="375"/>
        <v>0</v>
      </c>
      <c r="T1126" s="728"/>
      <c r="U1126" s="893">
        <f t="shared" si="376"/>
        <v>0</v>
      </c>
      <c r="X1126" s="729">
        <f>U1126-F1126</f>
        <v>0</v>
      </c>
    </row>
    <row r="1127" spans="2:24" s="664" customFormat="1" ht="14.25">
      <c r="B1127" s="728">
        <f t="shared" si="355"/>
        <v>43</v>
      </c>
      <c r="C1127" s="730"/>
      <c r="D1127" s="894"/>
      <c r="E1127" s="728"/>
      <c r="F1127" s="729"/>
      <c r="G1127" s="728"/>
      <c r="H1127" s="703"/>
      <c r="I1127" s="728"/>
      <c r="J1127" s="734"/>
      <c r="K1127" s="734"/>
      <c r="L1127" s="734"/>
      <c r="M1127" s="734"/>
      <c r="N1127" s="734"/>
      <c r="O1127" s="734"/>
      <c r="P1127" s="734"/>
      <c r="Q1127" s="734"/>
      <c r="R1127" s="734"/>
      <c r="S1127" s="734"/>
      <c r="T1127" s="728"/>
      <c r="U1127" s="752"/>
      <c r="X1127" s="729">
        <f t="shared" si="350"/>
        <v>0</v>
      </c>
    </row>
    <row r="1128" spans="2:24" s="664" customFormat="1" ht="15">
      <c r="B1128" s="728">
        <f t="shared" si="355"/>
        <v>44</v>
      </c>
      <c r="C1128" s="730"/>
      <c r="D1128" s="297" t="s">
        <v>491</v>
      </c>
      <c r="E1128" s="728"/>
      <c r="F1128" s="22">
        <f>SUM(F1124:F1125)</f>
        <v>141352.53</v>
      </c>
      <c r="G1128" s="728"/>
      <c r="H1128" s="728"/>
      <c r="I1128" s="728"/>
      <c r="J1128" s="22">
        <f t="shared" si="377" ref="J1128:Q1128">SUM(J1124:J1127)</f>
        <v>78609.23957582716</v>
      </c>
      <c r="K1128" s="22">
        <f t="shared" si="377"/>
        <v>2551.1205582770967</v>
      </c>
      <c r="L1128" s="22">
        <f t="shared" si="377"/>
        <v>50059.366022168731</v>
      </c>
      <c r="M1128" s="22">
        <f t="shared" si="377"/>
        <v>18.167979756360868</v>
      </c>
      <c r="N1128" s="22">
        <f t="shared" si="377"/>
        <v>7729.1840100177233</v>
      </c>
      <c r="O1128" s="22">
        <f>SUM(O1124:O1127)</f>
        <v>774.72646674740122</v>
      </c>
      <c r="P1128" s="22">
        <f t="shared" si="377"/>
        <v>245.10161966759387</v>
      </c>
      <c r="Q1128" s="22">
        <f t="shared" si="377"/>
        <v>857.56198772193954</v>
      </c>
      <c r="R1128" s="22">
        <f>SUM(R1124:R1127)</f>
        <v>92.638235032159116</v>
      </c>
      <c r="S1128" s="22">
        <f>SUM(S1124:S1127)</f>
        <v>415.42354478382271</v>
      </c>
      <c r="T1128" s="728"/>
      <c r="U1128" s="299">
        <f>SUM(I1128:T1128)</f>
        <v>141352.53</v>
      </c>
      <c r="X1128" s="729">
        <f t="shared" si="350"/>
        <v>0</v>
      </c>
    </row>
    <row r="1129" spans="2:24" s="664" customFormat="1" ht="15" thickBot="1">
      <c r="B1129" s="728">
        <f t="shared" si="355"/>
        <v>45</v>
      </c>
      <c r="C1129" s="730"/>
      <c r="D1129" s="730"/>
      <c r="E1129" s="728"/>
      <c r="F1129" s="694"/>
      <c r="G1129" s="728"/>
      <c r="H1129" s="728"/>
      <c r="I1129" s="728"/>
      <c r="J1129" s="728"/>
      <c r="K1129" s="728"/>
      <c r="L1129" s="728"/>
      <c r="M1129" s="728"/>
      <c r="N1129" s="728"/>
      <c r="O1129" s="728"/>
      <c r="P1129" s="728"/>
      <c r="Q1129" s="728"/>
      <c r="R1129" s="728"/>
      <c r="S1129" s="728"/>
      <c r="T1129" s="728"/>
      <c r="U1129" s="730"/>
      <c r="X1129" s="729">
        <f t="shared" si="350"/>
        <v>0</v>
      </c>
    </row>
    <row r="1130" spans="2:24" s="664" customFormat="1" ht="15.75" thickBot="1">
      <c r="B1130" s="728">
        <f t="shared" si="355"/>
        <v>46</v>
      </c>
      <c r="C1130" s="284" t="s">
        <v>718</v>
      </c>
      <c r="D1130" s="285"/>
      <c r="E1130" s="374" t="s">
        <v>316</v>
      </c>
      <c r="F1130" s="255">
        <f>+F1113-SUM(F1116:F1120)+SUM(F1124:F1125)</f>
        <v>78221384.964147478</v>
      </c>
      <c r="G1130" s="374"/>
      <c r="H1130" s="467"/>
      <c r="I1130" s="468"/>
      <c r="J1130" s="903">
        <f t="shared" si="378" ref="J1130:S1130">+J1113-SUM(J1116:J1120)+SUM(J1124:J1125)</f>
        <v>43523262.399335511</v>
      </c>
      <c r="K1130" s="903">
        <f t="shared" si="378"/>
        <v>1413378.3039685555</v>
      </c>
      <c r="L1130" s="903">
        <f t="shared" si="378"/>
        <v>27675493.672436036</v>
      </c>
      <c r="M1130" s="903">
        <f t="shared" si="378"/>
        <v>10069.516607757541</v>
      </c>
      <c r="N1130" s="903">
        <f t="shared" si="378"/>
        <v>4281733.0776786599</v>
      </c>
      <c r="O1130" s="903">
        <f t="shared" si="378"/>
        <v>430785.88604914851</v>
      </c>
      <c r="P1130" s="903">
        <f t="shared" si="378"/>
        <v>136515.78952741998</v>
      </c>
      <c r="Q1130" s="903">
        <f t="shared" si="378"/>
        <v>468980.55176922469</v>
      </c>
      <c r="R1130" s="903">
        <f t="shared" si="378"/>
        <v>51351.15506097996</v>
      </c>
      <c r="S1130" s="903">
        <f t="shared" si="378"/>
        <v>229814.61171414371</v>
      </c>
      <c r="T1130" s="468"/>
      <c r="U1130" s="380">
        <f>SUM(I1130:T1130)</f>
        <v>78221384.964147449</v>
      </c>
      <c r="W1130" s="729">
        <f>F1130-'WP II-I-1.1'!G465</f>
        <v>0</v>
      </c>
      <c r="X1130" s="729">
        <f t="shared" si="350"/>
        <v>0</v>
      </c>
    </row>
    <row r="1131" spans="24:24" s="664" customFormat="1" ht="14.25">
      <c r="X1131" s="729">
        <f t="shared" si="350"/>
        <v>0</v>
      </c>
    </row>
    <row r="1132" spans="8:24" s="664" customFormat="1" ht="14.25">
      <c r="H1132" s="736"/>
      <c r="U1132" s="736"/>
      <c r="V1132" s="736">
        <f>$H$2</f>
        <v>0</v>
      </c>
      <c r="W1132" s="736"/>
      <c r="X1132" s="729"/>
    </row>
    <row r="1133" spans="6:24" s="664" customFormat="1" ht="15" thickBot="1">
      <c r="F1133" s="951"/>
      <c r="G1133" s="951"/>
      <c r="H1133" s="951"/>
      <c r="X1133" s="729">
        <f t="shared" si="350"/>
        <v>0</v>
      </c>
    </row>
    <row r="1134" spans="2:24" s="664" customFormat="1" ht="15">
      <c r="B1134" s="920" t="str">
        <f>+$B$4</f>
        <v>2022 RATE CASE</v>
      </c>
      <c r="C1134" s="935"/>
      <c r="D1134" s="971"/>
      <c r="F1134" s="737"/>
      <c r="U1134" s="736"/>
      <c r="X1134" s="729">
        <f t="shared" si="379" ref="X1134:X1194">U1134-F1134</f>
        <v>0</v>
      </c>
    </row>
    <row r="1135" spans="2:24" s="664" customFormat="1" ht="15">
      <c r="B1135" s="917" t="str">
        <f>+$B$5</f>
        <v>ONCOR ELECTRIC DELIVERY COMPANY LLC</v>
      </c>
      <c r="C1135" s="8"/>
      <c r="D1135" s="972"/>
      <c r="F1135" s="737"/>
      <c r="U1135" s="736"/>
      <c r="X1135" s="729">
        <f t="shared" si="379"/>
        <v>0</v>
      </c>
    </row>
    <row r="1136" spans="2:24" s="664" customFormat="1" ht="15">
      <c r="B1136" s="917" t="str">
        <f>+$B$6</f>
        <v>II-I-1-DIST:  CLASS REVENUE REQUIREMENT</v>
      </c>
      <c r="C1136" s="85"/>
      <c r="D1136" s="972"/>
      <c r="F1136" s="737"/>
      <c r="U1136" s="737"/>
      <c r="X1136" s="729">
        <f t="shared" si="379"/>
        <v>0</v>
      </c>
    </row>
    <row r="1137" spans="2:24" s="664" customFormat="1" ht="15">
      <c r="B1137" s="406" t="str">
        <f>+$B$7</f>
        <v>TEST YEAR ENDING 12/31/2021</v>
      </c>
      <c r="C1137" s="85"/>
      <c r="D1137" s="972"/>
      <c r="F1137" s="737"/>
      <c r="U1137" s="737"/>
      <c r="X1137" s="729">
        <f t="shared" si="379"/>
        <v>0</v>
      </c>
    </row>
    <row r="1138" spans="2:24" s="664" customFormat="1" ht="15">
      <c r="B1138" s="406" t="str">
        <f>+$B$8</f>
        <v>SPONSOR:  MATTHEW A. TROXLE</v>
      </c>
      <c r="C1138" s="85"/>
      <c r="D1138" s="972"/>
      <c r="F1138" s="737"/>
      <c r="U1138" s="737"/>
      <c r="X1138" s="729">
        <f t="shared" si="379"/>
        <v>0</v>
      </c>
    </row>
    <row r="1139" spans="2:24" s="664" customFormat="1" ht="15.75" thickBot="1">
      <c r="B1139" s="410"/>
      <c r="C1139" s="934"/>
      <c r="D1139" s="973"/>
      <c r="F1139" s="737"/>
      <c r="U1139" s="737"/>
      <c r="X1139" s="729">
        <f t="shared" si="379"/>
        <v>0</v>
      </c>
    </row>
    <row r="1140" spans="2:24" s="664" customFormat="1" ht="15" thickBot="1">
      <c r="B1140" s="738"/>
      <c r="C1140" s="739"/>
      <c r="D1140" s="739"/>
      <c r="E1140" s="739"/>
      <c r="F1140" s="738"/>
      <c r="G1140" s="739"/>
      <c r="H1140" s="739"/>
      <c r="I1140" s="739"/>
      <c r="J1140" s="740"/>
      <c r="K1140" s="740"/>
      <c r="L1140" s="739"/>
      <c r="M1140" s="740"/>
      <c r="N1140" s="740"/>
      <c r="O1140" s="740"/>
      <c r="P1140" s="740"/>
      <c r="Q1140" s="739"/>
      <c r="R1140" s="741" t="str">
        <f>R$10</f>
        <v xml:space="preserve"> </v>
      </c>
      <c r="S1140" s="742"/>
      <c r="T1140" s="740"/>
      <c r="U1140" s="738"/>
      <c r="X1140" s="729">
        <f t="shared" si="379"/>
        <v>0</v>
      </c>
    </row>
    <row r="1141" spans="2:24" s="664" customFormat="1" ht="15">
      <c r="B1141" s="743" t="s">
        <v>2</v>
      </c>
      <c r="C1141" s="743" t="s">
        <v>370</v>
      </c>
      <c r="D1141" s="287" t="s">
        <v>719</v>
      </c>
      <c r="E1141" s="743" t="s">
        <v>371</v>
      </c>
      <c r="F1141" s="287" t="str">
        <f>F$11</f>
        <v>DIST</v>
      </c>
      <c r="G1141" s="744" t="s">
        <v>741</v>
      </c>
      <c r="H1141" s="744" t="s">
        <v>376</v>
      </c>
      <c r="I1141" s="743"/>
      <c r="J1141" s="744" t="s">
        <v>730</v>
      </c>
      <c r="K1141" s="744" t="s">
        <v>409</v>
      </c>
      <c r="L1141" s="743" t="s">
        <v>409</v>
      </c>
      <c r="M1141" s="744" t="s">
        <v>410</v>
      </c>
      <c r="N1141" s="744" t="s">
        <v>410</v>
      </c>
      <c r="O1141" s="744" t="s">
        <v>410</v>
      </c>
      <c r="P1141" s="744" t="s">
        <v>411</v>
      </c>
      <c r="Q1141" s="743" t="s">
        <v>412</v>
      </c>
      <c r="R1141" s="745" t="str">
        <f>R$11</f>
        <v>Wholesale</v>
      </c>
      <c r="S1141" s="738" t="str">
        <f>S$11</f>
        <v>Wholesale</v>
      </c>
      <c r="T1141" s="744"/>
      <c r="U1141" s="743" t="s">
        <v>10</v>
      </c>
      <c r="X1141" s="729"/>
    </row>
    <row r="1142" spans="2:24" s="664" customFormat="1" ht="14.25">
      <c r="B1142" s="743"/>
      <c r="C1142" s="743"/>
      <c r="D1142" s="743"/>
      <c r="E1142" s="743"/>
      <c r="F1142" s="743"/>
      <c r="G1142" s="744" t="s">
        <v>742</v>
      </c>
      <c r="H1142" s="744" t="s">
        <v>743</v>
      </c>
      <c r="I1142" s="743"/>
      <c r="J1142" s="744"/>
      <c r="K1142" s="744" t="s">
        <v>731</v>
      </c>
      <c r="L1142" s="743" t="s">
        <v>732</v>
      </c>
      <c r="M1142" s="744" t="s">
        <v>731</v>
      </c>
      <c r="N1142" s="744" t="s">
        <v>732</v>
      </c>
      <c r="O1142" s="744" t="s">
        <v>414</v>
      </c>
      <c r="P1142" s="744"/>
      <c r="Q1142" s="743"/>
      <c r="R1142" s="746" t="str">
        <f>R$12</f>
        <v>XFMR</v>
      </c>
      <c r="S1142" s="743" t="str">
        <f>S$12</f>
        <v>DLS</v>
      </c>
      <c r="T1142" s="744"/>
      <c r="U1142" s="743"/>
      <c r="X1142" s="729">
        <f t="shared" si="379"/>
        <v>0</v>
      </c>
    </row>
    <row r="1143" spans="2:24" s="664" customFormat="1" ht="15" thickBot="1">
      <c r="B1143" s="747"/>
      <c r="C1143" s="747"/>
      <c r="D1143" s="747"/>
      <c r="E1143" s="747"/>
      <c r="F1143" s="747" t="s">
        <v>13</v>
      </c>
      <c r="G1143" s="747" t="s">
        <v>14</v>
      </c>
      <c r="H1143" s="747" t="s">
        <v>15</v>
      </c>
      <c r="I1143" s="747"/>
      <c r="J1143" s="748" t="str">
        <f t="shared" si="380" ref="J1143:Q1143">J$13</f>
        <v>(d)</v>
      </c>
      <c r="K1143" s="748" t="str">
        <f t="shared" si="380"/>
        <v>(e)</v>
      </c>
      <c r="L1143" s="747" t="str">
        <f t="shared" si="380"/>
        <v>(f)</v>
      </c>
      <c r="M1143" s="748" t="str">
        <f t="shared" si="380"/>
        <v>(g)</v>
      </c>
      <c r="N1143" s="748" t="str">
        <f t="shared" si="380"/>
        <v>(h)</v>
      </c>
      <c r="O1143" s="748" t="str">
        <f>O$13</f>
        <v>(i)</v>
      </c>
      <c r="P1143" s="748" t="str">
        <f t="shared" si="380"/>
        <v>(j)</v>
      </c>
      <c r="Q1143" s="748" t="str">
        <f t="shared" si="380"/>
        <v>(k)</v>
      </c>
      <c r="R1143" s="748" t="str">
        <f>R$13</f>
        <v>(l)</v>
      </c>
      <c r="S1143" s="747" t="str">
        <f>S$13</f>
        <v>(m)</v>
      </c>
      <c r="T1143" s="747"/>
      <c r="U1143" s="747" t="s">
        <v>734</v>
      </c>
      <c r="X1143" s="729"/>
    </row>
    <row r="1144" spans="3:24" s="664" customFormat="1" ht="14.25">
      <c r="C1144" s="749"/>
      <c r="D1144" s="749"/>
      <c r="E1144" s="749"/>
      <c r="F1144" s="749"/>
      <c r="G1144" s="749"/>
      <c r="H1144" s="749"/>
      <c r="I1144" s="749"/>
      <c r="J1144" s="749"/>
      <c r="K1144" s="749"/>
      <c r="L1144" s="749"/>
      <c r="M1144" s="749"/>
      <c r="N1144" s="749"/>
      <c r="O1144" s="749"/>
      <c r="P1144" s="749"/>
      <c r="Q1144" s="749"/>
      <c r="R1144" s="749"/>
      <c r="S1144" s="749"/>
      <c r="T1144" s="749"/>
      <c r="U1144" s="691"/>
      <c r="X1144" s="729">
        <f t="shared" si="379"/>
        <v>0</v>
      </c>
    </row>
    <row r="1145" spans="2:24" s="664" customFormat="1" ht="15">
      <c r="B1145" s="728">
        <f t="shared" si="381" ref="B1145:B1156">B1144+1</f>
        <v>1</v>
      </c>
      <c r="C1145" s="366" t="s">
        <v>719</v>
      </c>
      <c r="D1145" s="8"/>
      <c r="E1145" s="727"/>
      <c r="F1145" s="22"/>
      <c r="G1145" s="727"/>
      <c r="H1145" s="727"/>
      <c r="I1145" s="727"/>
      <c r="J1145" s="727"/>
      <c r="K1145" s="727"/>
      <c r="L1145" s="727"/>
      <c r="M1145" s="727"/>
      <c r="N1145" s="727"/>
      <c r="O1145" s="727"/>
      <c r="P1145" s="727"/>
      <c r="Q1145" s="727"/>
      <c r="R1145" s="727"/>
      <c r="S1145" s="727"/>
      <c r="T1145" s="727"/>
      <c r="U1145" s="8"/>
      <c r="X1145" s="729">
        <f t="shared" si="379"/>
        <v>0</v>
      </c>
    </row>
    <row r="1146" spans="2:24" s="664" customFormat="1" ht="14.25">
      <c r="B1146" s="728">
        <f t="shared" si="381"/>
        <v>2</v>
      </c>
      <c r="D1146" s="730"/>
      <c r="E1146" s="728"/>
      <c r="F1146" s="694"/>
      <c r="G1146" s="728"/>
      <c r="H1146" s="728"/>
      <c r="I1146" s="728"/>
      <c r="J1146" s="728"/>
      <c r="K1146" s="728"/>
      <c r="L1146" s="728"/>
      <c r="M1146" s="728"/>
      <c r="N1146" s="728"/>
      <c r="O1146" s="728"/>
      <c r="P1146" s="728"/>
      <c r="Q1146" s="728"/>
      <c r="R1146" s="728"/>
      <c r="S1146" s="728"/>
      <c r="T1146" s="728"/>
      <c r="U1146" s="730"/>
      <c r="X1146" s="729">
        <f t="shared" si="379"/>
        <v>0</v>
      </c>
    </row>
    <row r="1147" spans="2:24" s="664" customFormat="1" ht="15">
      <c r="B1147" s="728">
        <f t="shared" si="381"/>
        <v>3</v>
      </c>
      <c r="C1147" s="8" t="s">
        <v>720</v>
      </c>
      <c r="X1147" s="729" t="e">
        <f>#REF!-#REF!</f>
        <v>#REF!</v>
      </c>
    </row>
    <row r="1148" spans="2:24" s="664" customFormat="1" ht="15">
      <c r="B1148" s="728">
        <f t="shared" si="381"/>
        <v>4</v>
      </c>
      <c r="C1148" s="730" t="s">
        <v>328</v>
      </c>
      <c r="D1148" s="730" t="s">
        <v>329</v>
      </c>
      <c r="E1148" s="727" t="s">
        <v>330</v>
      </c>
      <c r="F1148" s="729">
        <f>' WP II-I-1.4'!G1150</f>
        <v>97.260000000002037</v>
      </c>
      <c r="G1148" s="728">
        <v>10</v>
      </c>
      <c r="H1148" s="703" t="str">
        <f>VLOOKUP(G1148,FactorTable,2)</f>
        <v>CUS U RTL</v>
      </c>
      <c r="I1148" s="1010"/>
      <c r="J1148" s="731">
        <f t="shared" si="382" ref="J1148:S1148">$F1148*HLOOKUP(J$1318,FactorTable,$G1148+1)</f>
        <v>82.694581644240344</v>
      </c>
      <c r="K1148" s="731">
        <f t="shared" si="382"/>
        <v>7.726373519413781</v>
      </c>
      <c r="L1148" s="731">
        <f t="shared" si="382"/>
        <v>5.1670233947719106</v>
      </c>
      <c r="M1148" s="731">
        <f t="shared" si="382"/>
        <v>0.078702770041395823</v>
      </c>
      <c r="N1148" s="731">
        <f t="shared" si="382"/>
        <v>0.18166863204008749</v>
      </c>
      <c r="O1148" s="731">
        <f t="shared" si="382"/>
        <v>0.0032993744293393929</v>
      </c>
      <c r="P1148" s="731">
        <f t="shared" si="382"/>
        <v>0.0071824843346388325</v>
      </c>
      <c r="Q1148" s="731">
        <f t="shared" si="382"/>
        <v>1.4011681807305325</v>
      </c>
      <c r="R1148" s="731">
        <f t="shared" si="382"/>
        <v>0</v>
      </c>
      <c r="S1148" s="731">
        <f t="shared" si="382"/>
        <v>0</v>
      </c>
      <c r="T1148" s="1010"/>
      <c r="U1148" s="898">
        <f>SUM(I1148:T1148)</f>
        <v>97.260000000002051</v>
      </c>
      <c r="X1148" s="729">
        <f>U1148-F1148</f>
        <v>0</v>
      </c>
    </row>
    <row r="1149" spans="2:24" s="664" customFormat="1" ht="15" thickBot="1">
      <c r="B1149" s="728">
        <f t="shared" si="381"/>
        <v>5</v>
      </c>
      <c r="C1149" s="730"/>
      <c r="D1149" s="730"/>
      <c r="E1149" s="728"/>
      <c r="F1149" s="694"/>
      <c r="G1149" s="728"/>
      <c r="H1149" s="728"/>
      <c r="I1149" s="728"/>
      <c r="J1149" s="728"/>
      <c r="K1149" s="728"/>
      <c r="L1149" s="728"/>
      <c r="M1149" s="728"/>
      <c r="N1149" s="728"/>
      <c r="O1149" s="728"/>
      <c r="P1149" s="728"/>
      <c r="Q1149" s="728"/>
      <c r="R1149" s="728"/>
      <c r="S1149" s="728"/>
      <c r="T1149" s="728"/>
      <c r="U1149" s="730"/>
      <c r="X1149" s="729">
        <f t="shared" si="379"/>
        <v>0</v>
      </c>
    </row>
    <row r="1150" spans="2:24" s="664" customFormat="1" ht="15.75" thickBot="1">
      <c r="B1150" s="728">
        <f t="shared" si="381"/>
        <v>6</v>
      </c>
      <c r="C1150" s="284" t="s">
        <v>721</v>
      </c>
      <c r="D1150" s="336"/>
      <c r="E1150" s="337"/>
      <c r="F1150" s="278">
        <f>+F1148+F1072+F1040-F1038-F1037</f>
        <v>907267440.79999995</v>
      </c>
      <c r="G1150" s="337"/>
      <c r="H1150" s="457"/>
      <c r="I1150" s="643"/>
      <c r="J1150" s="356">
        <f t="shared" si="383" ref="J1150:S1150">+J1148+J1072+J1040-J1038-J1037</f>
        <v>448969914.55127704</v>
      </c>
      <c r="K1150" s="905">
        <f t="shared" si="383"/>
        <v>17798437.740879785</v>
      </c>
      <c r="L1150" s="905">
        <f t="shared" si="383"/>
        <v>327737743.98610818</v>
      </c>
      <c r="M1150" s="905">
        <f t="shared" si="383"/>
        <v>76649.695974631395</v>
      </c>
      <c r="N1150" s="905">
        <f t="shared" si="383"/>
        <v>50314805.458280869</v>
      </c>
      <c r="O1150" s="905">
        <f t="shared" si="383"/>
        <v>5545103.3371361513</v>
      </c>
      <c r="P1150" s="905">
        <f t="shared" si="383"/>
        <v>23071005.852159865</v>
      </c>
      <c r="Q1150" s="905">
        <f t="shared" si="383"/>
        <v>31187727.249766603</v>
      </c>
      <c r="R1150" s="905">
        <f t="shared" si="383"/>
        <v>533313.57676178473</v>
      </c>
      <c r="S1150" s="279">
        <f t="shared" si="383"/>
        <v>2032739.3516550746</v>
      </c>
      <c r="T1150" s="457"/>
      <c r="U1150" s="279">
        <f>SUM(I1150:T1150)</f>
        <v>907267440.80000007</v>
      </c>
      <c r="X1150" s="729">
        <f t="shared" si="379"/>
        <v>0</v>
      </c>
    </row>
    <row r="1151" spans="1:24" s="664" customFormat="1" ht="15.75" thickBot="1">
      <c r="A1151" s="703"/>
      <c r="B1151" s="728">
        <f t="shared" si="381"/>
        <v>7</v>
      </c>
      <c r="C1151" s="8"/>
      <c r="D1151" s="36"/>
      <c r="E1151" s="37"/>
      <c r="F1151" s="39"/>
      <c r="G1151" s="37"/>
      <c r="H1151" s="37"/>
      <c r="I1151" s="37"/>
      <c r="J1151" s="898"/>
      <c r="K1151" s="898"/>
      <c r="L1151" s="898"/>
      <c r="M1151" s="898"/>
      <c r="N1151" s="898"/>
      <c r="O1151" s="898"/>
      <c r="P1151" s="898"/>
      <c r="Q1151" s="898"/>
      <c r="R1151" s="898"/>
      <c r="S1151" s="898"/>
      <c r="T1151" s="37"/>
      <c r="U1151" s="751"/>
      <c r="V1151" s="703"/>
      <c r="W1151" s="703"/>
      <c r="X1151" s="729">
        <f t="shared" si="379"/>
        <v>0</v>
      </c>
    </row>
    <row r="1152" spans="2:24" s="664" customFormat="1" ht="15.75" thickBot="1">
      <c r="B1152" s="728">
        <f t="shared" si="381"/>
        <v>8</v>
      </c>
      <c r="C1152" s="284" t="s">
        <v>722</v>
      </c>
      <c r="D1152" s="336"/>
      <c r="E1152" s="337"/>
      <c r="F1152" s="278">
        <f>F1150+F1130</f>
        <v>985488825.7641474</v>
      </c>
      <c r="G1152" s="337"/>
      <c r="H1152" s="457"/>
      <c r="I1152" s="643"/>
      <c r="J1152" s="356">
        <f t="shared" si="384" ref="J1152:Q1152">J1150+J1130</f>
        <v>492493176.95061254</v>
      </c>
      <c r="K1152" s="905">
        <f t="shared" si="384"/>
        <v>19211816.044848341</v>
      </c>
      <c r="L1152" s="905">
        <f t="shared" si="384"/>
        <v>355413237.65854424</v>
      </c>
      <c r="M1152" s="905">
        <f t="shared" si="384"/>
        <v>86719.212582388936</v>
      </c>
      <c r="N1152" s="905">
        <f t="shared" si="384"/>
        <v>54596538.535959527</v>
      </c>
      <c r="O1152" s="905">
        <f>O1150+O1130</f>
        <v>5975889.2231852999</v>
      </c>
      <c r="P1152" s="905">
        <f t="shared" si="384"/>
        <v>23207521.641687285</v>
      </c>
      <c r="Q1152" s="905">
        <f t="shared" si="384"/>
        <v>31656707.801535826</v>
      </c>
      <c r="R1152" s="905">
        <f>R1150+R1130</f>
        <v>584664.73182276473</v>
      </c>
      <c r="S1152" s="279">
        <f>S1150+S1130</f>
        <v>2262553.9633692182</v>
      </c>
      <c r="T1152" s="457"/>
      <c r="U1152" s="279">
        <f>SUM(I1152:T1152)</f>
        <v>985488825.76414728</v>
      </c>
      <c r="X1152" s="729">
        <f t="shared" si="379"/>
        <v>0</v>
      </c>
    </row>
    <row r="1153" spans="1:24" s="664" customFormat="1" ht="15.75" thickBot="1">
      <c r="A1153" s="703"/>
      <c r="B1153" s="728">
        <f t="shared" si="381"/>
        <v>9</v>
      </c>
      <c r="C1153" s="8"/>
      <c r="D1153" s="36"/>
      <c r="E1153" s="37"/>
      <c r="F1153" s="39"/>
      <c r="G1153" s="37"/>
      <c r="H1153" s="37"/>
      <c r="I1153" s="37"/>
      <c r="J1153" s="898"/>
      <c r="K1153" s="898"/>
      <c r="L1153" s="898"/>
      <c r="M1153" s="898"/>
      <c r="N1153" s="898"/>
      <c r="O1153" s="898"/>
      <c r="P1153" s="898"/>
      <c r="Q1153" s="898"/>
      <c r="R1153" s="898"/>
      <c r="S1153" s="898"/>
      <c r="T1153" s="37"/>
      <c r="U1153" s="751"/>
      <c r="V1153" s="703"/>
      <c r="W1153" s="703"/>
      <c r="X1153" s="729">
        <f t="shared" si="379"/>
        <v>0</v>
      </c>
    </row>
    <row r="1154" spans="2:24" s="664" customFormat="1" ht="15.75" thickBot="1">
      <c r="B1154" s="728">
        <f t="shared" si="381"/>
        <v>10</v>
      </c>
      <c r="C1154" s="284" t="s">
        <v>723</v>
      </c>
      <c r="D1154" s="336"/>
      <c r="E1154" s="337"/>
      <c r="F1154" s="278">
        <f>F1130+F1072+F1040+F762</f>
        <v>3373712708.5941477</v>
      </c>
      <c r="G1154" s="337"/>
      <c r="H1154" s="457"/>
      <c r="I1154" s="643"/>
      <c r="J1154" s="356">
        <f t="shared" si="385" ref="J1154:S1154">J1130+J1072+J1040+J762</f>
        <v>1645141116.7758088</v>
      </c>
      <c r="K1154" s="905">
        <f t="shared" si="385"/>
        <v>52782199.487992041</v>
      </c>
      <c r="L1154" s="905">
        <f t="shared" si="385"/>
        <v>1156914739.6518512</v>
      </c>
      <c r="M1154" s="905">
        <f t="shared" si="385"/>
        <v>451644.35830251721</v>
      </c>
      <c r="N1154" s="905">
        <f t="shared" si="385"/>
        <v>239459967.87841556</v>
      </c>
      <c r="O1154" s="905">
        <f t="shared" si="385"/>
        <v>55428711.146372199</v>
      </c>
      <c r="P1154" s="905">
        <f t="shared" si="385"/>
        <v>161391775.7562373</v>
      </c>
      <c r="Q1154" s="905">
        <f t="shared" si="385"/>
        <v>56348172.834219083</v>
      </c>
      <c r="R1154" s="905">
        <f t="shared" si="385"/>
        <v>1066176.7689082581</v>
      </c>
      <c r="S1154" s="279">
        <f t="shared" si="385"/>
        <v>4728203.9360402217</v>
      </c>
      <c r="T1154" s="457"/>
      <c r="U1154" s="279">
        <f>SUM(I1154:T1154)</f>
        <v>3373712708.5941477</v>
      </c>
      <c r="X1154" s="729">
        <f t="shared" si="379"/>
        <v>0</v>
      </c>
    </row>
    <row r="1155" spans="1:24" s="664" customFormat="1" ht="15.75" thickBot="1">
      <c r="A1155" s="703"/>
      <c r="B1155" s="728">
        <f t="shared" si="381"/>
        <v>11</v>
      </c>
      <c r="C1155" s="8"/>
      <c r="D1155" s="36"/>
      <c r="E1155" s="37"/>
      <c r="F1155" s="39"/>
      <c r="G1155" s="37"/>
      <c r="H1155" s="37"/>
      <c r="I1155" s="37"/>
      <c r="J1155" s="898"/>
      <c r="K1155" s="898"/>
      <c r="L1155" s="898"/>
      <c r="M1155" s="898"/>
      <c r="N1155" s="898"/>
      <c r="O1155" s="898"/>
      <c r="P1155" s="898"/>
      <c r="Q1155" s="898"/>
      <c r="R1155" s="898"/>
      <c r="S1155" s="898"/>
      <c r="T1155" s="37"/>
      <c r="U1155" s="751"/>
      <c r="V1155" s="703"/>
      <c r="W1155" s="703"/>
      <c r="X1155" s="729">
        <f t="shared" si="379"/>
        <v>0</v>
      </c>
    </row>
    <row r="1156" spans="2:24" s="664" customFormat="1" ht="15.75" thickBot="1">
      <c r="B1156" s="728">
        <f t="shared" si="381"/>
        <v>12</v>
      </c>
      <c r="C1156" s="284" t="s">
        <v>1382</v>
      </c>
      <c r="D1156" s="336"/>
      <c r="E1156" s="337"/>
      <c r="F1156" s="905">
        <f>F1154-F622-(0.727923)*F753</f>
        <v>1719544061.3801124</v>
      </c>
      <c r="G1156" s="337"/>
      <c r="H1156" s="457"/>
      <c r="I1156" s="643"/>
      <c r="J1156" s="356">
        <f>J1154-J622-(0.727923)*J753</f>
        <v>886128158.02400005</v>
      </c>
      <c r="K1156" s="905">
        <f>K1154-K622-(0.727923)*K753</f>
        <v>31555621.611332424</v>
      </c>
      <c r="L1156" s="905">
        <f t="shared" si="386" ref="L1156:S1156">L1154-L622-(0.727923)*L753</f>
        <v>605179060.21079779</v>
      </c>
      <c r="M1156" s="905">
        <f t="shared" si="386"/>
        <v>231825.11576841102</v>
      </c>
      <c r="N1156" s="905">
        <f t="shared" si="386"/>
        <v>100775346.13782601</v>
      </c>
      <c r="O1156" s="905">
        <f t="shared" si="386"/>
        <v>10021440.583334751</v>
      </c>
      <c r="P1156" s="905">
        <f t="shared" si="386"/>
        <v>23536895.499967523</v>
      </c>
      <c r="Q1156" s="905">
        <f t="shared" si="386"/>
        <v>56324539.920263641</v>
      </c>
      <c r="R1156" s="905">
        <f t="shared" si="386"/>
        <v>1065571.9135874684</v>
      </c>
      <c r="S1156" s="905">
        <f t="shared" si="386"/>
        <v>4725602.3632338354</v>
      </c>
      <c r="T1156" s="457"/>
      <c r="U1156" s="279">
        <f>SUM(I1156:T1156)</f>
        <v>1719544061.3801119</v>
      </c>
      <c r="X1156" s="729">
        <f t="shared" si="379"/>
        <v>0</v>
      </c>
    </row>
    <row r="1157" spans="24:24" s="664" customFormat="1" ht="14.25">
      <c r="X1157" s="729">
        <f t="shared" si="379"/>
        <v>0</v>
      </c>
    </row>
    <row r="1158" spans="8:24" s="664" customFormat="1" ht="14.25">
      <c r="H1158" s="736"/>
      <c r="U1158" s="736"/>
      <c r="V1158" s="736">
        <f>$H$2</f>
        <v>0</v>
      </c>
      <c r="W1158" s="736"/>
      <c r="X1158" s="729"/>
    </row>
    <row r="1159" spans="24:24" s="664" customFormat="1" ht="15" thickBot="1">
      <c r="X1159" s="729">
        <f t="shared" si="379"/>
        <v>0</v>
      </c>
    </row>
    <row r="1160" spans="2:24" s="664" customFormat="1" ht="15">
      <c r="B1160" s="920" t="str">
        <f>+$B$4</f>
        <v>2022 RATE CASE</v>
      </c>
      <c r="C1160" s="935"/>
      <c r="D1160" s="974"/>
      <c r="F1160" s="646"/>
      <c r="U1160" s="736"/>
      <c r="X1160" s="729">
        <f t="shared" si="379"/>
        <v>0</v>
      </c>
    </row>
    <row r="1161" spans="2:24" s="664" customFormat="1" ht="15">
      <c r="B1161" s="917" t="str">
        <f>+$B$5</f>
        <v>ONCOR ELECTRIC DELIVERY COMPANY LLC</v>
      </c>
      <c r="C1161" s="8"/>
      <c r="D1161" s="975"/>
      <c r="F1161" s="646"/>
      <c r="U1161" s="736"/>
      <c r="X1161" s="729">
        <f t="shared" si="379"/>
        <v>0</v>
      </c>
    </row>
    <row r="1162" spans="2:24" s="664" customFormat="1" ht="15">
      <c r="B1162" s="917" t="str">
        <f>+$B$6</f>
        <v>II-I-1-DIST:  CLASS REVENUE REQUIREMENT</v>
      </c>
      <c r="C1162" s="85"/>
      <c r="D1162" s="975"/>
      <c r="F1162" s="646"/>
      <c r="U1162" s="646"/>
      <c r="X1162" s="729">
        <f t="shared" si="379"/>
        <v>0</v>
      </c>
    </row>
    <row r="1163" spans="2:24" s="664" customFormat="1" ht="15">
      <c r="B1163" s="406" t="str">
        <f>+$B$7</f>
        <v>TEST YEAR ENDING 12/31/2021</v>
      </c>
      <c r="C1163" s="85"/>
      <c r="D1163" s="975"/>
      <c r="F1163" s="646"/>
      <c r="U1163" s="646"/>
      <c r="X1163" s="729">
        <f t="shared" si="379"/>
        <v>0</v>
      </c>
    </row>
    <row r="1164" spans="2:24" s="664" customFormat="1" ht="15">
      <c r="B1164" s="406" t="str">
        <f>+$B$8</f>
        <v>SPONSOR:  MATTHEW A. TROXLE</v>
      </c>
      <c r="C1164" s="85"/>
      <c r="D1164" s="975"/>
      <c r="F1164" s="646"/>
      <c r="U1164" s="646"/>
      <c r="X1164" s="729">
        <f t="shared" si="379"/>
        <v>0</v>
      </c>
    </row>
    <row r="1165" spans="2:24" s="664" customFormat="1" ht="15.75" thickBot="1">
      <c r="B1165" s="410"/>
      <c r="C1165" s="934"/>
      <c r="D1165" s="976"/>
      <c r="F1165" s="646"/>
      <c r="U1165" s="646"/>
      <c r="X1165" s="729">
        <f t="shared" si="379"/>
        <v>0</v>
      </c>
    </row>
    <row r="1166" spans="2:24" s="664" customFormat="1" ht="15" thickBot="1">
      <c r="B1166" s="738"/>
      <c r="C1166" s="739"/>
      <c r="D1166" s="739"/>
      <c r="E1166" s="739"/>
      <c r="F1166" s="738"/>
      <c r="G1166" s="739"/>
      <c r="H1166" s="739"/>
      <c r="I1166" s="739"/>
      <c r="J1166" s="740"/>
      <c r="K1166" s="740"/>
      <c r="L1166" s="739"/>
      <c r="M1166" s="740"/>
      <c r="N1166" s="740"/>
      <c r="O1166" s="740"/>
      <c r="P1166" s="740"/>
      <c r="Q1166" s="739"/>
      <c r="R1166" s="741" t="str">
        <f>R$10</f>
        <v xml:space="preserve"> </v>
      </c>
      <c r="S1166" s="742"/>
      <c r="T1166" s="740"/>
      <c r="U1166" s="738"/>
      <c r="X1166" s="729">
        <f t="shared" si="379"/>
        <v>0</v>
      </c>
    </row>
    <row r="1167" spans="2:24" s="664" customFormat="1" ht="15">
      <c r="B1167" s="743" t="s">
        <v>2</v>
      </c>
      <c r="C1167" s="743" t="s">
        <v>370</v>
      </c>
      <c r="D1167" s="287" t="s">
        <v>334</v>
      </c>
      <c r="E1167" s="743" t="s">
        <v>371</v>
      </c>
      <c r="F1167" s="287" t="str">
        <f>F$11</f>
        <v>DIST</v>
      </c>
      <c r="G1167" s="744" t="s">
        <v>741</v>
      </c>
      <c r="H1167" s="744" t="s">
        <v>376</v>
      </c>
      <c r="I1167" s="743"/>
      <c r="J1167" s="744" t="s">
        <v>730</v>
      </c>
      <c r="K1167" s="744" t="s">
        <v>409</v>
      </c>
      <c r="L1167" s="743" t="s">
        <v>409</v>
      </c>
      <c r="M1167" s="744" t="s">
        <v>410</v>
      </c>
      <c r="N1167" s="744" t="s">
        <v>410</v>
      </c>
      <c r="O1167" s="744" t="s">
        <v>410</v>
      </c>
      <c r="P1167" s="744" t="s">
        <v>411</v>
      </c>
      <c r="Q1167" s="743" t="s">
        <v>412</v>
      </c>
      <c r="R1167" s="745" t="str">
        <f>R$11</f>
        <v>Wholesale</v>
      </c>
      <c r="S1167" s="738" t="str">
        <f>S$11</f>
        <v>Wholesale</v>
      </c>
      <c r="T1167" s="744"/>
      <c r="U1167" s="743" t="s">
        <v>10</v>
      </c>
      <c r="X1167" s="729"/>
    </row>
    <row r="1168" spans="2:24" s="664" customFormat="1" ht="14.25">
      <c r="B1168" s="743"/>
      <c r="C1168" s="743"/>
      <c r="D1168" s="743"/>
      <c r="E1168" s="743"/>
      <c r="F1168" s="743"/>
      <c r="G1168" s="744" t="s">
        <v>742</v>
      </c>
      <c r="H1168" s="744" t="s">
        <v>743</v>
      </c>
      <c r="I1168" s="743"/>
      <c r="J1168" s="744"/>
      <c r="K1168" s="744" t="s">
        <v>731</v>
      </c>
      <c r="L1168" s="743" t="s">
        <v>732</v>
      </c>
      <c r="M1168" s="744" t="s">
        <v>731</v>
      </c>
      <c r="N1168" s="744" t="s">
        <v>732</v>
      </c>
      <c r="O1168" s="744" t="s">
        <v>414</v>
      </c>
      <c r="P1168" s="744"/>
      <c r="Q1168" s="743"/>
      <c r="R1168" s="746" t="str">
        <f>R$12</f>
        <v>XFMR</v>
      </c>
      <c r="S1168" s="743" t="str">
        <f>S$12</f>
        <v>DLS</v>
      </c>
      <c r="T1168" s="744"/>
      <c r="U1168" s="743"/>
      <c r="X1168" s="729">
        <f t="shared" si="379"/>
        <v>0</v>
      </c>
    </row>
    <row r="1169" spans="2:24" s="664" customFormat="1" ht="15" thickBot="1">
      <c r="B1169" s="747"/>
      <c r="C1169" s="747"/>
      <c r="D1169" s="747"/>
      <c r="E1169" s="747"/>
      <c r="F1169" s="747" t="s">
        <v>13</v>
      </c>
      <c r="G1169" s="747" t="s">
        <v>14</v>
      </c>
      <c r="H1169" s="747" t="s">
        <v>15</v>
      </c>
      <c r="I1169" s="747"/>
      <c r="J1169" s="748" t="str">
        <f t="shared" si="387" ref="J1169:Q1169">J$13</f>
        <v>(d)</v>
      </c>
      <c r="K1169" s="748" t="str">
        <f t="shared" si="387"/>
        <v>(e)</v>
      </c>
      <c r="L1169" s="747" t="str">
        <f t="shared" si="387"/>
        <v>(f)</v>
      </c>
      <c r="M1169" s="748" t="str">
        <f t="shared" si="387"/>
        <v>(g)</v>
      </c>
      <c r="N1169" s="748" t="str">
        <f t="shared" si="387"/>
        <v>(h)</v>
      </c>
      <c r="O1169" s="748" t="str">
        <f>O$13</f>
        <v>(i)</v>
      </c>
      <c r="P1169" s="748" t="str">
        <f t="shared" si="387"/>
        <v>(j)</v>
      </c>
      <c r="Q1169" s="748" t="str">
        <f t="shared" si="387"/>
        <v>(k)</v>
      </c>
      <c r="R1169" s="748" t="str">
        <f>R$13</f>
        <v>(l)</v>
      </c>
      <c r="S1169" s="747" t="str">
        <f>S$13</f>
        <v>(m)</v>
      </c>
      <c r="T1169" s="747"/>
      <c r="U1169" s="747" t="s">
        <v>734</v>
      </c>
      <c r="X1169" s="729"/>
    </row>
    <row r="1170" spans="3:24" s="664" customFormat="1" ht="14.25">
      <c r="C1170" s="755"/>
      <c r="D1170" s="755"/>
      <c r="E1170" s="756"/>
      <c r="F1170" s="757"/>
      <c r="G1170" s="728"/>
      <c r="H1170" s="756"/>
      <c r="I1170" s="756"/>
      <c r="J1170" s="756"/>
      <c r="K1170" s="756"/>
      <c r="L1170" s="756"/>
      <c r="M1170" s="756"/>
      <c r="N1170" s="756"/>
      <c r="O1170" s="756"/>
      <c r="P1170" s="756"/>
      <c r="Q1170" s="756"/>
      <c r="R1170" s="756"/>
      <c r="S1170" s="756"/>
      <c r="T1170" s="756"/>
      <c r="U1170" s="730"/>
      <c r="X1170" s="729">
        <f t="shared" si="379"/>
        <v>0</v>
      </c>
    </row>
    <row r="1171" spans="2:24" s="664" customFormat="1" ht="15">
      <c r="B1171" s="728">
        <f t="shared" si="388" ref="B1171:B1194">B1170+1</f>
        <v>1</v>
      </c>
      <c r="C1171" s="8" t="s">
        <v>724</v>
      </c>
      <c r="D1171" s="8"/>
      <c r="E1171" s="727" t="s">
        <v>335</v>
      </c>
      <c r="F1171" s="22"/>
      <c r="G1171" s="728"/>
      <c r="H1171" s="727"/>
      <c r="I1171" s="727"/>
      <c r="J1171" s="1059"/>
      <c r="K1171" s="1059"/>
      <c r="L1171" s="1059"/>
      <c r="M1171" s="1059"/>
      <c r="N1171" s="1059"/>
      <c r="O1171" s="1059"/>
      <c r="P1171" s="1059"/>
      <c r="Q1171" s="1059"/>
      <c r="R1171" s="1059"/>
      <c r="S1171" s="1059"/>
      <c r="T1171" s="727"/>
      <c r="U1171" s="8"/>
      <c r="X1171" s="729">
        <f t="shared" si="379"/>
        <v>0</v>
      </c>
    </row>
    <row r="1172" spans="2:24" s="664" customFormat="1" ht="15">
      <c r="B1172" s="728">
        <f t="shared" si="388"/>
        <v>2</v>
      </c>
      <c r="C1172" s="8" t="s">
        <v>336</v>
      </c>
      <c r="D1172" s="8"/>
      <c r="E1172" s="727"/>
      <c r="F1172" s="22"/>
      <c r="G1172" s="728"/>
      <c r="H1172" s="727"/>
      <c r="I1172" s="1010"/>
      <c r="J1172" s="1059"/>
      <c r="K1172" s="1059"/>
      <c r="L1172" s="1059"/>
      <c r="M1172" s="1059"/>
      <c r="N1172" s="1059"/>
      <c r="O1172" s="1059"/>
      <c r="P1172" s="1059"/>
      <c r="Q1172" s="1059"/>
      <c r="R1172" s="1059"/>
      <c r="S1172" s="1059"/>
      <c r="T1172" s="727"/>
      <c r="U1172" s="8"/>
      <c r="X1172" s="729">
        <f t="shared" si="379"/>
        <v>0</v>
      </c>
    </row>
    <row r="1173" spans="2:24" s="664" customFormat="1" ht="14.25">
      <c r="B1173" s="728">
        <f t="shared" si="388"/>
        <v>3</v>
      </c>
      <c r="C1173" s="730" t="s">
        <v>337</v>
      </c>
      <c r="D1173" s="730" t="s">
        <v>338</v>
      </c>
      <c r="E1173" s="728"/>
      <c r="F1173" s="729">
        <f>' WP II-I-1.4'!G1175</f>
        <v>17616778</v>
      </c>
      <c r="G1173" s="728">
        <v>57</v>
      </c>
      <c r="H1173" s="703" t="str">
        <f t="shared" si="389" ref="H1173:H1183">VLOOKUP(G1173,FactorTable,2)</f>
        <v>PLTDIST_N xWHL</v>
      </c>
      <c r="I1173" s="728"/>
      <c r="J1173" s="731">
        <f t="shared" si="390" ref="J1173:Q1183">$F1173*HLOOKUP(J$1318,FactorTable,$G1173+1)</f>
        <v>9856074.1384115722</v>
      </c>
      <c r="K1173" s="731">
        <f t="shared" si="390"/>
        <v>330223.70729911048</v>
      </c>
      <c r="L1173" s="731">
        <f t="shared" si="390"/>
        <v>6229907.3234708207</v>
      </c>
      <c r="M1173" s="731">
        <f t="shared" si="390"/>
        <v>2217.5949977993264</v>
      </c>
      <c r="N1173" s="731">
        <f t="shared" si="390"/>
        <v>938597.84889134672</v>
      </c>
      <c r="O1173" s="731">
        <f t="shared" si="391" ref="O1173:O1183">$F1173*HLOOKUP(O$1318,FactorTable,$G1173+1)</f>
        <v>81197.921446107255</v>
      </c>
      <c r="P1173" s="731">
        <f t="shared" si="390"/>
        <v>18465.550947725143</v>
      </c>
      <c r="Q1173" s="731">
        <f t="shared" si="390"/>
        <v>160093.91453551964</v>
      </c>
      <c r="R1173" s="731">
        <f t="shared" si="392" ref="R1173:S1183">$F1173*HLOOKUP(R$1318,FactorTable,$G1173+1)</f>
        <v>0</v>
      </c>
      <c r="S1173" s="731">
        <f t="shared" si="392"/>
        <v>0</v>
      </c>
      <c r="T1173" s="728"/>
      <c r="U1173" s="777">
        <f t="shared" si="393" ref="U1173:U1184">SUM(I1173:T1173)</f>
        <v>17616778</v>
      </c>
      <c r="X1173" s="729">
        <f t="shared" si="379"/>
        <v>0</v>
      </c>
    </row>
    <row r="1174" spans="2:24" s="664" customFormat="1" ht="14.25">
      <c r="B1174" s="728">
        <f t="shared" si="388"/>
        <v>4</v>
      </c>
      <c r="C1174" s="730" t="s">
        <v>339</v>
      </c>
      <c r="D1174" s="730" t="s">
        <v>340</v>
      </c>
      <c r="E1174" s="728"/>
      <c r="F1174" s="729">
        <f>' WP II-I-1.4'!G1176</f>
        <v>1070706.0600000001</v>
      </c>
      <c r="G1174" s="728">
        <v>92</v>
      </c>
      <c r="H1174" s="703" t="str">
        <f t="shared" si="389"/>
        <v>RCOS x565</v>
      </c>
      <c r="I1174" s="728"/>
      <c r="J1174" s="731">
        <f t="shared" si="390"/>
        <v>565535.25739891885</v>
      </c>
      <c r="K1174" s="731">
        <f t="shared" si="390"/>
        <v>19628.056795190128</v>
      </c>
      <c r="L1174" s="731">
        <f t="shared" si="390"/>
        <v>378764.05710957531</v>
      </c>
      <c r="M1174" s="731">
        <f t="shared" si="390"/>
        <v>143.01685733445896</v>
      </c>
      <c r="N1174" s="731">
        <f t="shared" si="390"/>
        <v>61823.07390620777</v>
      </c>
      <c r="O1174" s="731">
        <f t="shared" si="391"/>
        <v>6160.4757085900319</v>
      </c>
      <c r="P1174" s="731">
        <f t="shared" si="390"/>
        <v>11227.158425466565</v>
      </c>
      <c r="Q1174" s="731">
        <f t="shared" si="390"/>
        <v>27424.963798717097</v>
      </c>
      <c r="R1174" s="731">
        <f t="shared" si="392"/>
        <v>0</v>
      </c>
      <c r="S1174" s="731">
        <f t="shared" si="392"/>
        <v>0</v>
      </c>
      <c r="T1174" s="728"/>
      <c r="U1174" s="777">
        <f t="shared" si="393"/>
        <v>1070706.0600000003</v>
      </c>
      <c r="X1174" s="729">
        <f t="shared" si="379"/>
        <v>0</v>
      </c>
    </row>
    <row r="1175" spans="2:24" s="664" customFormat="1" ht="14.25">
      <c r="B1175" s="728">
        <f t="shared" si="388"/>
        <v>5</v>
      </c>
      <c r="C1175" s="730" t="s">
        <v>725</v>
      </c>
      <c r="D1175" s="733" t="s">
        <v>342</v>
      </c>
      <c r="E1175" s="728"/>
      <c r="F1175" s="729">
        <f>' WP II-I-1.4'!G1177</f>
        <v>17168857.82</v>
      </c>
      <c r="G1175" s="728">
        <v>10</v>
      </c>
      <c r="H1175" s="703" t="str">
        <f t="shared" si="389"/>
        <v>CUS U RTL</v>
      </c>
      <c r="I1175" s="728"/>
      <c r="J1175" s="731">
        <f t="shared" si="390"/>
        <v>14597691.905555364</v>
      </c>
      <c r="K1175" s="731">
        <f t="shared" si="390"/>
        <v>1363900.9707898975</v>
      </c>
      <c r="L1175" s="731">
        <f t="shared" si="390"/>
        <v>912110.7342941683</v>
      </c>
      <c r="M1175" s="731">
        <f t="shared" si="390"/>
        <v>13893.035871692908</v>
      </c>
      <c r="N1175" s="731">
        <f t="shared" si="390"/>
        <v>32069.123111763249</v>
      </c>
      <c r="O1175" s="731">
        <f t="shared" si="391"/>
        <v>582.42330323124088</v>
      </c>
      <c r="P1175" s="731">
        <f t="shared" si="390"/>
        <v>1267.8907293418552</v>
      </c>
      <c r="Q1175" s="731">
        <f t="shared" si="390"/>
        <v>247341.73634454116</v>
      </c>
      <c r="R1175" s="731">
        <f t="shared" si="392"/>
        <v>0</v>
      </c>
      <c r="S1175" s="731">
        <f t="shared" si="392"/>
        <v>0</v>
      </c>
      <c r="T1175" s="728"/>
      <c r="U1175" s="777">
        <f t="shared" si="393"/>
        <v>17168857.82</v>
      </c>
      <c r="X1175" s="729">
        <f t="shared" si="379"/>
        <v>0</v>
      </c>
    </row>
    <row r="1176" spans="2:24" s="664" customFormat="1" ht="14.25">
      <c r="B1176" s="728">
        <f t="shared" si="388"/>
        <v>6</v>
      </c>
      <c r="C1176" s="730" t="s">
        <v>725</v>
      </c>
      <c r="D1176" s="730" t="s">
        <v>344</v>
      </c>
      <c r="E1176" s="728"/>
      <c r="F1176" s="729">
        <f>' WP II-I-1.4'!G1178</f>
        <v>456565.46000000002</v>
      </c>
      <c r="G1176" s="728">
        <v>58</v>
      </c>
      <c r="H1176" s="703" t="str">
        <f t="shared" si="389"/>
        <v>PLTDIST_N</v>
      </c>
      <c r="I1176" s="728"/>
      <c r="J1176" s="731">
        <f t="shared" si="390"/>
        <v>254558.23859217216</v>
      </c>
      <c r="K1176" s="731">
        <f t="shared" si="390"/>
        <v>8528.8690091961998</v>
      </c>
      <c r="L1176" s="731">
        <f t="shared" si="390"/>
        <v>160903.23719001462</v>
      </c>
      <c r="M1176" s="731">
        <f t="shared" si="390"/>
        <v>57.275043655625936</v>
      </c>
      <c r="N1176" s="731">
        <f t="shared" si="390"/>
        <v>24241.682013026049</v>
      </c>
      <c r="O1176" s="731">
        <f t="shared" si="391"/>
        <v>2097.1433017241675</v>
      </c>
      <c r="P1176" s="731">
        <f t="shared" si="390"/>
        <v>476.91992347822185</v>
      </c>
      <c r="Q1176" s="731">
        <f t="shared" si="390"/>
        <v>4134.8334358263592</v>
      </c>
      <c r="R1176" s="731">
        <f t="shared" si="392"/>
        <v>251.35575048053053</v>
      </c>
      <c r="S1176" s="731">
        <f t="shared" si="392"/>
        <v>1315.9057404260163</v>
      </c>
      <c r="T1176" s="728"/>
      <c r="U1176" s="777">
        <f t="shared" si="393"/>
        <v>456565.45999999996</v>
      </c>
      <c r="X1176" s="729">
        <f t="shared" si="379"/>
        <v>0</v>
      </c>
    </row>
    <row r="1177" spans="2:24" s="664" customFormat="1" ht="14.25">
      <c r="B1177" s="728">
        <f t="shared" si="388"/>
        <v>7</v>
      </c>
      <c r="C1177" s="730" t="s">
        <v>345</v>
      </c>
      <c r="D1177" s="730" t="s">
        <v>346</v>
      </c>
      <c r="E1177" s="728"/>
      <c r="F1177" s="751">
        <f>' WP II-I-1.4'!G1179</f>
        <v>8281656.0099999998</v>
      </c>
      <c r="G1177" s="728">
        <v>45</v>
      </c>
      <c r="H1177" s="703" t="str">
        <f t="shared" si="389"/>
        <v>PLT 364</v>
      </c>
      <c r="I1177" s="728"/>
      <c r="J1177" s="731">
        <f t="shared" si="390"/>
        <v>4581449.4643650167</v>
      </c>
      <c r="K1177" s="731">
        <f t="shared" si="390"/>
        <v>111879.98407341298</v>
      </c>
      <c r="L1177" s="731">
        <f t="shared" si="390"/>
        <v>2949868.5679805726</v>
      </c>
      <c r="M1177" s="731">
        <f t="shared" si="390"/>
        <v>1361.0678993905046</v>
      </c>
      <c r="N1177" s="731">
        <f t="shared" si="390"/>
        <v>576072.4586007538</v>
      </c>
      <c r="O1177" s="731">
        <f t="shared" si="391"/>
        <v>0</v>
      </c>
      <c r="P1177" s="731">
        <f t="shared" si="390"/>
        <v>0</v>
      </c>
      <c r="Q1177" s="731">
        <f t="shared" si="390"/>
        <v>29753.656137672187</v>
      </c>
      <c r="R1177" s="731">
        <f t="shared" si="392"/>
        <v>0</v>
      </c>
      <c r="S1177" s="731">
        <f t="shared" si="392"/>
        <v>31270.810943181481</v>
      </c>
      <c r="T1177" s="728"/>
      <c r="U1177" s="777">
        <f t="shared" si="393"/>
        <v>8281656.0099999998</v>
      </c>
      <c r="X1177" s="729">
        <f t="shared" si="379"/>
        <v>0</v>
      </c>
    </row>
    <row r="1178" spans="2:24" s="664" customFormat="1" ht="14.25">
      <c r="B1178" s="728">
        <f t="shared" si="388"/>
        <v>8</v>
      </c>
      <c r="C1178" s="730" t="s">
        <v>372</v>
      </c>
      <c r="D1178" s="730" t="s">
        <v>959</v>
      </c>
      <c r="E1178" s="728" t="s">
        <v>961</v>
      </c>
      <c r="F1178" s="751">
        <f>' WP II-I-1.4'!G1180</f>
        <v>127189.3152</v>
      </c>
      <c r="G1178" s="728">
        <v>45</v>
      </c>
      <c r="H1178" s="703" t="str">
        <f t="shared" si="389"/>
        <v>PLT 364</v>
      </c>
      <c r="I1178" s="728"/>
      <c r="J1178" s="731">
        <f t="shared" si="390"/>
        <v>70361.702936269779</v>
      </c>
      <c r="K1178" s="731">
        <f t="shared" si="390"/>
        <v>1718.2479617243007</v>
      </c>
      <c r="L1178" s="731">
        <f t="shared" si="390"/>
        <v>45303.954020598554</v>
      </c>
      <c r="M1178" s="731">
        <f t="shared" si="390"/>
        <v>20.903221995111672</v>
      </c>
      <c r="N1178" s="731">
        <f t="shared" si="390"/>
        <v>8847.2959304923152</v>
      </c>
      <c r="O1178" s="731">
        <f t="shared" si="391"/>
        <v>0</v>
      </c>
      <c r="P1178" s="731">
        <f t="shared" si="390"/>
        <v>0</v>
      </c>
      <c r="Q1178" s="731">
        <f t="shared" si="390"/>
        <v>456.95536548212687</v>
      </c>
      <c r="R1178" s="731">
        <f t="shared" si="392"/>
        <v>0</v>
      </c>
      <c r="S1178" s="731">
        <f t="shared" si="392"/>
        <v>480.25576343781501</v>
      </c>
      <c r="T1178" s="728"/>
      <c r="U1178" s="777">
        <f t="shared" si="393"/>
        <v>127189.3152</v>
      </c>
      <c r="X1178" s="729">
        <f t="shared" si="379"/>
        <v>0</v>
      </c>
    </row>
    <row r="1179" spans="2:24" s="664" customFormat="1" ht="14.25">
      <c r="B1179" s="728">
        <f t="shared" si="388"/>
        <v>9</v>
      </c>
      <c r="C1179" s="730" t="s">
        <v>374</v>
      </c>
      <c r="D1179" s="730" t="s">
        <v>960</v>
      </c>
      <c r="E1179" s="728" t="s">
        <v>961</v>
      </c>
      <c r="F1179" s="751">
        <f>' WP II-I-1.4'!G1181</f>
        <v>932721.64480000001</v>
      </c>
      <c r="G1179" s="728">
        <v>47</v>
      </c>
      <c r="H1179" s="703" t="str">
        <f t="shared" si="389"/>
        <v>PLT 366</v>
      </c>
      <c r="I1179" s="728"/>
      <c r="J1179" s="731">
        <f t="shared" si="390"/>
        <v>526964.81183156511</v>
      </c>
      <c r="K1179" s="731">
        <f t="shared" si="390"/>
        <v>12868.594363756869</v>
      </c>
      <c r="L1179" s="731">
        <f t="shared" si="390"/>
        <v>339298.0642795717</v>
      </c>
      <c r="M1179" s="731">
        <f t="shared" si="390"/>
        <v>112.17576191845136</v>
      </c>
      <c r="N1179" s="731">
        <f t="shared" si="390"/>
        <v>47478.429983333648</v>
      </c>
      <c r="O1179" s="731">
        <f t="shared" si="391"/>
        <v>0</v>
      </c>
      <c r="P1179" s="731">
        <f t="shared" si="390"/>
        <v>0</v>
      </c>
      <c r="Q1179" s="731">
        <f t="shared" si="390"/>
        <v>3422.3077062932571</v>
      </c>
      <c r="R1179" s="731">
        <f t="shared" si="392"/>
        <v>0</v>
      </c>
      <c r="S1179" s="731">
        <f t="shared" si="392"/>
        <v>2577.260873561163</v>
      </c>
      <c r="T1179" s="728"/>
      <c r="U1179" s="777">
        <f>SUM(I1179:T1179)</f>
        <v>932721.64480000024</v>
      </c>
      <c r="X1179" s="729">
        <f t="shared" si="379"/>
        <v>0</v>
      </c>
    </row>
    <row r="1180" spans="2:24" s="664" customFormat="1" ht="14.25">
      <c r="B1180" s="728">
        <f t="shared" si="388"/>
        <v>10</v>
      </c>
      <c r="C1180" s="730" t="s">
        <v>349</v>
      </c>
      <c r="D1180" s="730" t="s">
        <v>350</v>
      </c>
      <c r="E1180" s="728"/>
      <c r="F1180" s="751">
        <f>' WP II-I-1.4'!G1182</f>
        <v>0</v>
      </c>
      <c r="G1180" s="728">
        <v>45</v>
      </c>
      <c r="H1180" s="703" t="str">
        <f t="shared" si="389"/>
        <v>PLT 364</v>
      </c>
      <c r="I1180" s="728"/>
      <c r="J1180" s="731">
        <f t="shared" si="390"/>
        <v>0</v>
      </c>
      <c r="K1180" s="731">
        <f t="shared" si="390"/>
        <v>0</v>
      </c>
      <c r="L1180" s="731">
        <f t="shared" si="390"/>
        <v>0</v>
      </c>
      <c r="M1180" s="731">
        <f t="shared" si="390"/>
        <v>0</v>
      </c>
      <c r="N1180" s="731">
        <f t="shared" si="390"/>
        <v>0</v>
      </c>
      <c r="O1180" s="731">
        <f t="shared" si="391"/>
        <v>0</v>
      </c>
      <c r="P1180" s="731">
        <f t="shared" si="390"/>
        <v>0</v>
      </c>
      <c r="Q1180" s="731">
        <f t="shared" si="390"/>
        <v>0</v>
      </c>
      <c r="R1180" s="731">
        <f t="shared" si="392"/>
        <v>0</v>
      </c>
      <c r="S1180" s="731">
        <f t="shared" si="392"/>
        <v>0</v>
      </c>
      <c r="T1180" s="728"/>
      <c r="U1180" s="777">
        <f t="shared" si="393"/>
        <v>0</v>
      </c>
      <c r="X1180" s="729">
        <f t="shared" si="379"/>
        <v>0</v>
      </c>
    </row>
    <row r="1181" spans="2:24" s="664" customFormat="1" ht="14.25">
      <c r="B1181" s="728">
        <f t="shared" si="388"/>
        <v>11</v>
      </c>
      <c r="C1181" s="730" t="s">
        <v>351</v>
      </c>
      <c r="D1181" s="730" t="s">
        <v>352</v>
      </c>
      <c r="E1181" s="728"/>
      <c r="F1181" s="751">
        <f>' WP II-I-1.4'!G1183</f>
        <v>16700</v>
      </c>
      <c r="G1181" s="728">
        <v>62</v>
      </c>
      <c r="H1181" s="703" t="str">
        <f t="shared" si="389"/>
        <v>PLTGEN</v>
      </c>
      <c r="I1181" s="728"/>
      <c r="J1181" s="731">
        <f t="shared" si="390"/>
        <v>9295.1733033190121</v>
      </c>
      <c r="K1181" s="731">
        <f t="shared" si="390"/>
        <v>308.99373823140081</v>
      </c>
      <c r="L1181" s="731">
        <f t="shared" si="390"/>
        <v>5878.5301230167734</v>
      </c>
      <c r="M1181" s="731">
        <f t="shared" si="390"/>
        <v>2.1286880330577205</v>
      </c>
      <c r="N1181" s="731">
        <f t="shared" si="390"/>
        <v>900.96794535136712</v>
      </c>
      <c r="O1181" s="731">
        <f t="shared" si="391"/>
        <v>89.314569560404308</v>
      </c>
      <c r="P1181" s="731">
        <f t="shared" si="390"/>
        <v>16.912051385818415</v>
      </c>
      <c r="Q1181" s="731">
        <f t="shared" si="390"/>
        <v>148.36763178301982</v>
      </c>
      <c r="R1181" s="731">
        <f t="shared" si="392"/>
        <v>10.70491017101403</v>
      </c>
      <c r="S1181" s="731">
        <f t="shared" si="392"/>
        <v>48.907039148134679</v>
      </c>
      <c r="T1181" s="728"/>
      <c r="U1181" s="777">
        <f t="shared" si="393"/>
        <v>16700.000000000004</v>
      </c>
      <c r="X1181" s="729">
        <f t="shared" si="379"/>
        <v>0</v>
      </c>
    </row>
    <row r="1182" spans="2:24" s="664" customFormat="1" ht="14.25">
      <c r="B1182" s="728">
        <f t="shared" si="388"/>
        <v>12</v>
      </c>
      <c r="C1182" s="730" t="s">
        <v>353</v>
      </c>
      <c r="D1182" s="730" t="s">
        <v>354</v>
      </c>
      <c r="E1182" s="728"/>
      <c r="F1182" s="729">
        <f>' WP II-I-1.4'!G1184</f>
        <v>0</v>
      </c>
      <c r="G1182" s="728">
        <v>40</v>
      </c>
      <c r="H1182" s="703" t="str">
        <f t="shared" si="389"/>
        <v>PLT 360</v>
      </c>
      <c r="I1182" s="728"/>
      <c r="J1182" s="731">
        <f t="shared" si="390"/>
        <v>0</v>
      </c>
      <c r="K1182" s="731">
        <f t="shared" si="390"/>
        <v>0</v>
      </c>
      <c r="L1182" s="731">
        <f t="shared" si="390"/>
        <v>0</v>
      </c>
      <c r="M1182" s="731">
        <f t="shared" si="390"/>
        <v>0</v>
      </c>
      <c r="N1182" s="731">
        <f t="shared" si="390"/>
        <v>0</v>
      </c>
      <c r="O1182" s="731">
        <f t="shared" si="391"/>
        <v>0</v>
      </c>
      <c r="P1182" s="731">
        <f t="shared" si="390"/>
        <v>0</v>
      </c>
      <c r="Q1182" s="731">
        <f t="shared" si="390"/>
        <v>0</v>
      </c>
      <c r="R1182" s="731">
        <f t="shared" si="392"/>
        <v>0</v>
      </c>
      <c r="S1182" s="731">
        <f t="shared" si="392"/>
        <v>0</v>
      </c>
      <c r="T1182" s="728"/>
      <c r="U1182" s="777">
        <f t="shared" si="393"/>
        <v>0</v>
      </c>
      <c r="X1182" s="729">
        <f t="shared" si="379"/>
        <v>0</v>
      </c>
    </row>
    <row r="1183" spans="2:24" s="664" customFormat="1" ht="14.25">
      <c r="B1183" s="728">
        <f t="shared" si="388"/>
        <v>13</v>
      </c>
      <c r="C1183" s="730" t="s">
        <v>355</v>
      </c>
      <c r="D1183" s="730" t="s">
        <v>356</v>
      </c>
      <c r="E1183" s="728"/>
      <c r="F1183" s="729">
        <f>' WP II-I-1.4'!G1185</f>
        <v>6086807.6699999981</v>
      </c>
      <c r="G1183" s="728">
        <v>58</v>
      </c>
      <c r="H1183" s="703" t="str">
        <f t="shared" si="389"/>
        <v>PLTDIST_N</v>
      </c>
      <c r="I1183" s="728"/>
      <c r="J1183" s="734">
        <f t="shared" si="390"/>
        <v>3393701.8343974659</v>
      </c>
      <c r="K1183" s="734">
        <f t="shared" si="390"/>
        <v>113704.58313162961</v>
      </c>
      <c r="L1183" s="734">
        <f t="shared" si="390"/>
        <v>2145118.5953839123</v>
      </c>
      <c r="M1183" s="734">
        <f t="shared" si="390"/>
        <v>763.5754466022214</v>
      </c>
      <c r="N1183" s="734">
        <f t="shared" si="390"/>
        <v>323183.57155310863</v>
      </c>
      <c r="O1183" s="734">
        <f t="shared" si="391"/>
        <v>27958.549326144344</v>
      </c>
      <c r="P1183" s="734">
        <f t="shared" si="390"/>
        <v>6358.1678916382616</v>
      </c>
      <c r="Q1183" s="734">
        <f t="shared" si="390"/>
        <v>55124.485043963519</v>
      </c>
      <c r="R1183" s="734">
        <f t="shared" si="392"/>
        <v>3351.0071259518818</v>
      </c>
      <c r="S1183" s="734">
        <f t="shared" si="392"/>
        <v>17543.300699580082</v>
      </c>
      <c r="T1183" s="728"/>
      <c r="U1183" s="777">
        <f t="shared" si="393"/>
        <v>6086807.6699999962</v>
      </c>
      <c r="X1183" s="729">
        <f t="shared" si="379"/>
        <v>0</v>
      </c>
    </row>
    <row r="1184" spans="2:24" s="664" customFormat="1" ht="15">
      <c r="B1184" s="728">
        <f t="shared" si="388"/>
        <v>14</v>
      </c>
      <c r="C1184" s="252"/>
      <c r="D1184" s="388" t="s">
        <v>491</v>
      </c>
      <c r="E1184" s="252"/>
      <c r="F1184" s="22">
        <f>SUM(F1173:F1183)</f>
        <v>51757981.979999989</v>
      </c>
      <c r="G1184" s="252"/>
      <c r="H1184" s="252"/>
      <c r="I1184" s="252"/>
      <c r="J1184" s="896">
        <f t="shared" si="394" ref="J1184:Q1184">SUM(J1173:J1183)</f>
        <v>33855632.526791662</v>
      </c>
      <c r="K1184" s="896">
        <f>SUM(K1173:K1183)</f>
        <v>1962762.0071621498</v>
      </c>
      <c r="L1184" s="896">
        <f t="shared" si="394"/>
        <v>13167153.063852251</v>
      </c>
      <c r="M1184" s="896">
        <f t="shared" si="394"/>
        <v>18570.773788421666</v>
      </c>
      <c r="N1184" s="896">
        <f t="shared" si="394"/>
        <v>2013214.4519353835</v>
      </c>
      <c r="O1184" s="896">
        <f>SUM(O1173:O1183)</f>
        <v>118085.82765535745</v>
      </c>
      <c r="P1184" s="896">
        <f t="shared" si="394"/>
        <v>37812.599969035866</v>
      </c>
      <c r="Q1184" s="896">
        <f t="shared" si="394"/>
        <v>527901.21999979834</v>
      </c>
      <c r="R1184" s="896">
        <f>SUM(R1173:R1183)</f>
        <v>3613.0677866034262</v>
      </c>
      <c r="S1184" s="896">
        <f>SUM(S1173:S1183)</f>
        <v>53236.441059334698</v>
      </c>
      <c r="T1184" s="252"/>
      <c r="U1184" s="22">
        <f t="shared" si="393"/>
        <v>51757981.979999997</v>
      </c>
      <c r="X1184" s="729">
        <f t="shared" si="379"/>
        <v>0</v>
      </c>
    </row>
    <row r="1185" spans="1:24" ht="15" thickBot="1">
      <c r="A1185" s="67"/>
      <c r="B1185" s="17">
        <f t="shared" si="388"/>
        <v>15</v>
      </c>
      <c r="C1185" s="1"/>
      <c r="D1185" s="1"/>
      <c r="E1185" s="17"/>
      <c r="F1185" s="19"/>
      <c r="G1185" s="17"/>
      <c r="H1185" s="17"/>
      <c r="I1185" s="17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7"/>
      <c r="U1185" s="24"/>
      <c r="V1185" s="67"/>
      <c r="W1185" s="67"/>
      <c r="X1185" s="370">
        <f t="shared" si="379"/>
        <v>0</v>
      </c>
    </row>
    <row r="1186" spans="1:24" ht="15.75" thickBot="1">
      <c r="A1186" s="47"/>
      <c r="B1186" s="17">
        <f t="shared" si="388"/>
        <v>16</v>
      </c>
      <c r="C1186" s="284" t="s">
        <v>727</v>
      </c>
      <c r="D1186" s="316"/>
      <c r="E1186" s="316" t="s">
        <v>335</v>
      </c>
      <c r="F1186" s="255">
        <f>+F1184</f>
        <v>51757981.979999989</v>
      </c>
      <c r="G1186" s="316"/>
      <c r="H1186" s="444"/>
      <c r="I1186" s="1061"/>
      <c r="J1186" s="446">
        <f t="shared" si="395" ref="J1186:Q1186">+J1184</f>
        <v>33855632.526791662</v>
      </c>
      <c r="K1186" s="903">
        <f t="shared" si="395"/>
        <v>1962762.0071621498</v>
      </c>
      <c r="L1186" s="903">
        <f t="shared" si="395"/>
        <v>13167153.063852251</v>
      </c>
      <c r="M1186" s="903">
        <f t="shared" si="395"/>
        <v>18570.773788421666</v>
      </c>
      <c r="N1186" s="903">
        <f t="shared" si="395"/>
        <v>2013214.4519353835</v>
      </c>
      <c r="O1186" s="903">
        <f>+O1184</f>
        <v>118085.82765535745</v>
      </c>
      <c r="P1186" s="903">
        <f t="shared" si="395"/>
        <v>37812.599969035866</v>
      </c>
      <c r="Q1186" s="903">
        <f t="shared" si="395"/>
        <v>527901.21999979834</v>
      </c>
      <c r="R1186" s="903">
        <f>+R1184</f>
        <v>3613.0677866034262</v>
      </c>
      <c r="S1186" s="380">
        <f>+S1184</f>
        <v>53236.441059334698</v>
      </c>
      <c r="T1186" s="444"/>
      <c r="U1186" s="256">
        <f>SUM(I1186:T1186)</f>
        <v>51757981.979999997</v>
      </c>
      <c r="V1186" s="67"/>
      <c r="W1186" s="67"/>
      <c r="X1186" s="370">
        <f t="shared" si="379"/>
        <v>0</v>
      </c>
    </row>
    <row r="1187" spans="1:24" ht="15" thickBot="1">
      <c r="A1187" s="67"/>
      <c r="B1187" s="17">
        <f t="shared" si="388"/>
        <v>17</v>
      </c>
      <c r="C1187" s="67"/>
      <c r="D1187" s="67"/>
      <c r="E1187" s="67"/>
      <c r="F1187" s="67"/>
      <c r="G1187" s="67"/>
      <c r="H1187" s="67"/>
      <c r="I1187" s="67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67"/>
      <c r="U1187" s="67"/>
      <c r="V1187" s="67"/>
      <c r="W1187" s="67"/>
      <c r="X1187" s="370">
        <f t="shared" si="379"/>
        <v>0</v>
      </c>
    </row>
    <row r="1188" spans="1:24" ht="15.75" thickBot="1">
      <c r="A1188" s="129"/>
      <c r="B1188" s="17">
        <f t="shared" si="388"/>
        <v>18</v>
      </c>
      <c r="C1188" s="284" t="s">
        <v>511</v>
      </c>
      <c r="D1188" s="316"/>
      <c r="E1188" s="316"/>
      <c r="F1188" s="255">
        <f>F599+F1154</f>
        <v>4012552544.0526075</v>
      </c>
      <c r="G1188" s="316"/>
      <c r="H1188" s="444"/>
      <c r="I1188" s="1061"/>
      <c r="J1188" s="446">
        <f t="shared" si="396" ref="J1188:S1188">J599+J1154</f>
        <v>2000413949.0069408</v>
      </c>
      <c r="K1188" s="903">
        <f t="shared" si="396"/>
        <v>64311936.081206426</v>
      </c>
      <c r="L1188" s="903">
        <f t="shared" si="396"/>
        <v>1383157008.9112487</v>
      </c>
      <c r="M1188" s="903">
        <f t="shared" si="396"/>
        <v>533754.16700679867</v>
      </c>
      <c r="N1188" s="903">
        <f t="shared" si="396"/>
        <v>274391855.13354909</v>
      </c>
      <c r="O1188" s="903">
        <f t="shared" si="396"/>
        <v>58930071.387623087</v>
      </c>
      <c r="P1188" s="903">
        <f t="shared" si="396"/>
        <v>162499507.45639893</v>
      </c>
      <c r="Q1188" s="903">
        <f t="shared" si="396"/>
        <v>60223906.499061964</v>
      </c>
      <c r="R1188" s="903">
        <f t="shared" si="396"/>
        <v>1484853.3559145653</v>
      </c>
      <c r="S1188" s="380">
        <f t="shared" si="396"/>
        <v>6605702.0536562791</v>
      </c>
      <c r="T1188" s="444"/>
      <c r="U1188" s="256">
        <f>SUM(I1188:T1188)</f>
        <v>4012552544.0526071</v>
      </c>
      <c r="V1188" s="129"/>
      <c r="W1188" s="129"/>
      <c r="X1188" s="370">
        <f t="shared" si="379"/>
        <v>0</v>
      </c>
    </row>
    <row r="1189" spans="1:24" ht="15" thickBot="1">
      <c r="A1189" s="67"/>
      <c r="B1189" s="17">
        <f t="shared" si="388"/>
        <v>19</v>
      </c>
      <c r="C1189" s="67"/>
      <c r="D1189" s="67"/>
      <c r="E1189" s="67"/>
      <c r="F1189" s="67"/>
      <c r="G1189" s="67"/>
      <c r="H1189" s="67"/>
      <c r="I1189" s="67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67"/>
      <c r="U1189" s="67"/>
      <c r="V1189" s="67"/>
      <c r="W1189" s="67"/>
      <c r="X1189" s="370">
        <f t="shared" si="379"/>
        <v>0</v>
      </c>
    </row>
    <row r="1190" spans="1:24" ht="15.75" thickBot="1">
      <c r="A1190" s="129"/>
      <c r="B1190" s="17">
        <f t="shared" si="388"/>
        <v>20</v>
      </c>
      <c r="C1190" s="284" t="s">
        <v>728</v>
      </c>
      <c r="D1190" s="316"/>
      <c r="E1190" s="316"/>
      <c r="F1190" s="255">
        <f>F1188-F1186</f>
        <v>3960794562.0726075</v>
      </c>
      <c r="G1190" s="316"/>
      <c r="H1190" s="444"/>
      <c r="I1190" s="1061"/>
      <c r="J1190" s="446">
        <f t="shared" si="397" ref="J1190:Q1190">J1188-J1186</f>
        <v>1966558316.4801493</v>
      </c>
      <c r="K1190" s="903">
        <f t="shared" si="397"/>
        <v>62349174.07404428</v>
      </c>
      <c r="L1190" s="903">
        <f t="shared" si="397"/>
        <v>1369989855.8473964</v>
      </c>
      <c r="M1190" s="903">
        <f t="shared" si="397"/>
        <v>515183.39321837702</v>
      </c>
      <c r="N1190" s="903">
        <f t="shared" si="397"/>
        <v>272378640.68161368</v>
      </c>
      <c r="O1190" s="903">
        <f>O1188-O1186</f>
        <v>58811985.559967726</v>
      </c>
      <c r="P1190" s="903">
        <f t="shared" si="397"/>
        <v>162461694.85642991</v>
      </c>
      <c r="Q1190" s="903">
        <f t="shared" si="397"/>
        <v>59696005.279062167</v>
      </c>
      <c r="R1190" s="903">
        <f>R1188-R1186</f>
        <v>1481240.2881279618</v>
      </c>
      <c r="S1190" s="380">
        <f>S1188-S1186</f>
        <v>6552465.612596944</v>
      </c>
      <c r="T1190" s="444"/>
      <c r="U1190" s="256">
        <f>SUM(I1190:T1190)</f>
        <v>3960794562.072607</v>
      </c>
      <c r="V1190" s="129"/>
      <c r="W1190" s="129"/>
      <c r="X1190" s="370">
        <f t="shared" si="379"/>
        <v>0</v>
      </c>
    </row>
    <row r="1191" spans="1:24" ht="15" thickBot="1">
      <c r="A1191" s="67"/>
      <c r="B1191" s="17">
        <f t="shared" si="388"/>
        <v>21</v>
      </c>
      <c r="C1191" s="67"/>
      <c r="D1191" s="67"/>
      <c r="E1191" s="67"/>
      <c r="F1191" s="67"/>
      <c r="G1191" s="67"/>
      <c r="H1191" s="67"/>
      <c r="I1191" s="67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67"/>
      <c r="U1191" s="67"/>
      <c r="V1191" s="67"/>
      <c r="W1191" s="67"/>
      <c r="X1191" s="370">
        <f t="shared" si="379"/>
        <v>0</v>
      </c>
    </row>
    <row r="1192" spans="1:24" ht="15">
      <c r="A1192" s="129"/>
      <c r="B1192" s="17">
        <f t="shared" si="388"/>
        <v>22</v>
      </c>
      <c r="C1192" s="319" t="s">
        <v>1383</v>
      </c>
      <c r="D1192" s="305"/>
      <c r="E1192" s="305"/>
      <c r="F1192" s="908">
        <f>F1188-F622-(0.727923)*F753</f>
        <v>2358383896.8385725</v>
      </c>
      <c r="G1192" s="305"/>
      <c r="H1192" s="437"/>
      <c r="I1192" s="438"/>
      <c r="J1192" s="908">
        <f>J1188-J622-(0.727923)*J753</f>
        <v>1241400990.255132</v>
      </c>
      <c r="K1192" s="908">
        <f>K1188-K622-(0.727923)*K753</f>
        <v>43085358.204546802</v>
      </c>
      <c r="L1192" s="908">
        <f t="shared" si="398" ref="L1192:S1192">L1188-L622-(0.727923)*L753</f>
        <v>831421329.47019529</v>
      </c>
      <c r="M1192" s="908">
        <f t="shared" si="398"/>
        <v>313934.92447269248</v>
      </c>
      <c r="N1192" s="908">
        <f t="shared" si="398"/>
        <v>135707233.39295957</v>
      </c>
      <c r="O1192" s="908">
        <f t="shared" si="398"/>
        <v>13522800.824585639</v>
      </c>
      <c r="P1192" s="908">
        <f t="shared" si="398"/>
        <v>24644627.200129159</v>
      </c>
      <c r="Q1192" s="908">
        <f t="shared" si="398"/>
        <v>60200273.585106522</v>
      </c>
      <c r="R1192" s="908">
        <f t="shared" si="398"/>
        <v>1484248.5005937757</v>
      </c>
      <c r="S1192" s="908">
        <f t="shared" si="398"/>
        <v>6603100.4808498928</v>
      </c>
      <c r="T1192" s="438"/>
      <c r="U1192" s="307">
        <f>SUM(I1192:T1192)</f>
        <v>2358383896.8385706</v>
      </c>
      <c r="V1192" s="129"/>
      <c r="W1192" s="129"/>
      <c r="X1192" s="370">
        <f t="shared" si="379"/>
        <v>0</v>
      </c>
    </row>
    <row r="1193" spans="1:24" ht="14.25">
      <c r="A1193" s="67"/>
      <c r="B1193" s="17">
        <f t="shared" si="388"/>
        <v>23</v>
      </c>
      <c r="C1193" s="389"/>
      <c r="D1193" s="390"/>
      <c r="E1193" s="390"/>
      <c r="F1193" s="390"/>
      <c r="G1193" s="390"/>
      <c r="H1193" s="301"/>
      <c r="I1193" s="469"/>
      <c r="J1193" s="390"/>
      <c r="K1193" s="390"/>
      <c r="L1193" s="390"/>
      <c r="M1193" s="390"/>
      <c r="N1193" s="390"/>
      <c r="O1193" s="390"/>
      <c r="P1193" s="390"/>
      <c r="Q1193" s="390"/>
      <c r="R1193" s="390"/>
      <c r="S1193" s="390"/>
      <c r="T1193" s="469"/>
      <c r="U1193" s="301"/>
      <c r="V1193" s="67"/>
      <c r="W1193" s="67"/>
      <c r="X1193" s="370">
        <f t="shared" si="379"/>
        <v>0</v>
      </c>
    </row>
    <row r="1194" spans="1:24" ht="15.75" thickBot="1">
      <c r="A1194" s="129"/>
      <c r="B1194" s="17">
        <f t="shared" si="388"/>
        <v>24</v>
      </c>
      <c r="C1194" s="326" t="s">
        <v>1384</v>
      </c>
      <c r="D1194" s="311"/>
      <c r="E1194" s="311"/>
      <c r="F1194" s="312">
        <f>F1192-F1186</f>
        <v>2306625914.8585725</v>
      </c>
      <c r="G1194" s="311"/>
      <c r="H1194" s="440"/>
      <c r="I1194" s="441"/>
      <c r="J1194" s="312">
        <f t="shared" si="399" ref="J1194:Q1194">J1192-J1186</f>
        <v>1207545357.7283404</v>
      </c>
      <c r="K1194" s="312">
        <f t="shared" si="399"/>
        <v>41122596.197384655</v>
      </c>
      <c r="L1194" s="312">
        <f t="shared" si="399"/>
        <v>818254176.40634298</v>
      </c>
      <c r="M1194" s="312">
        <f t="shared" si="399"/>
        <v>295364.15068427083</v>
      </c>
      <c r="N1194" s="312">
        <f t="shared" si="399"/>
        <v>133694018.94102418</v>
      </c>
      <c r="O1194" s="312">
        <f>O1192-O1186</f>
        <v>13404714.996930281</v>
      </c>
      <c r="P1194" s="312">
        <f t="shared" si="399"/>
        <v>24606814.600160122</v>
      </c>
      <c r="Q1194" s="312">
        <f t="shared" si="399"/>
        <v>59672372.365106724</v>
      </c>
      <c r="R1194" s="312">
        <f>R1192-R1186</f>
        <v>1480635.4328071722</v>
      </c>
      <c r="S1194" s="312">
        <f>S1192-S1186</f>
        <v>6549864.0397905577</v>
      </c>
      <c r="T1194" s="441"/>
      <c r="U1194" s="313">
        <f>SUM(I1194:T1194)</f>
        <v>2306625914.8585711</v>
      </c>
      <c r="V1194" s="129"/>
      <c r="W1194" s="129"/>
      <c r="X1194" s="370">
        <f t="shared" si="379"/>
        <v>0</v>
      </c>
    </row>
    <row r="1195" spans="2:24" ht="14.25">
      <c r="B1195" s="17"/>
      <c r="U1195" s="233"/>
      <c r="X1195" s="370"/>
    </row>
    <row r="1196" spans="2:24" ht="14.25">
      <c r="B1196" s="17"/>
      <c r="F1196" s="370"/>
      <c r="U1196" s="233"/>
      <c r="X1196" s="370"/>
    </row>
    <row r="1197" spans="2:24" ht="14.25">
      <c r="B1197" s="17"/>
      <c r="C1197" s="67"/>
      <c r="F1197" s="392"/>
      <c r="J1197" s="370"/>
      <c r="U1197" s="392"/>
      <c r="X1197" s="370"/>
    </row>
    <row r="1198" spans="21:24" ht="14.25">
      <c r="U1198" s="233"/>
      <c r="X1198" s="370"/>
    </row>
    <row r="1199" spans="8:24" ht="15" thickBot="1">
      <c r="H1199" s="134"/>
      <c r="U1199" s="134"/>
      <c r="X1199" s="370"/>
    </row>
    <row r="1200" spans="1:24" ht="15">
      <c r="A1200" s="67"/>
      <c r="B1200" s="920" t="str">
        <f>+$B$4</f>
        <v>2022 RATE CASE</v>
      </c>
      <c r="C1200" s="935"/>
      <c r="D1200" s="620"/>
      <c r="F1200" s="12"/>
      <c r="U1200" s="134"/>
      <c r="X1200" s="370"/>
    </row>
    <row r="1201" spans="1:24" ht="15">
      <c r="A1201" s="67"/>
      <c r="B1201" s="917" t="str">
        <f>+$B$5</f>
        <v>ONCOR ELECTRIC DELIVERY COMPANY LLC</v>
      </c>
      <c r="C1201" s="8"/>
      <c r="D1201" s="621"/>
      <c r="F1201" s="12"/>
      <c r="U1201" s="134"/>
      <c r="V1201" s="67"/>
      <c r="W1201" s="67"/>
      <c r="X1201" s="370"/>
    </row>
    <row r="1202" spans="1:24" ht="15">
      <c r="A1202" s="67"/>
      <c r="B1202" s="917" t="s">
        <v>963</v>
      </c>
      <c r="C1202" s="85"/>
      <c r="D1202" s="621"/>
      <c r="F1202" s="12"/>
      <c r="U1202" s="12"/>
      <c r="V1202" s="67"/>
      <c r="W1202" s="67"/>
      <c r="X1202" s="370"/>
    </row>
    <row r="1203" spans="1:24" ht="15">
      <c r="A1203" s="67"/>
      <c r="B1203" s="406" t="str">
        <f>+$B$7</f>
        <v>TEST YEAR ENDING 12/31/2021</v>
      </c>
      <c r="C1203" s="85"/>
      <c r="D1203" s="621"/>
      <c r="F1203" s="12"/>
      <c r="U1203" s="12"/>
      <c r="V1203" s="67"/>
      <c r="W1203" s="67"/>
      <c r="X1203" s="370"/>
    </row>
    <row r="1204" spans="1:24" ht="15">
      <c r="A1204" s="67"/>
      <c r="B1204" s="406" t="str">
        <f>+$B$8</f>
        <v>SPONSOR:  MATTHEW A. TROXLE</v>
      </c>
      <c r="C1204" s="85"/>
      <c r="D1204" s="621"/>
      <c r="F1204" s="12"/>
      <c r="U1204" s="12"/>
      <c r="V1204" s="67"/>
      <c r="W1204" s="67"/>
      <c r="X1204" s="370"/>
    </row>
    <row r="1205" spans="1:24" ht="15.75" thickBot="1">
      <c r="A1205" s="67"/>
      <c r="B1205" s="410"/>
      <c r="C1205" s="85"/>
      <c r="D1205" s="621"/>
      <c r="F1205" s="12"/>
      <c r="U1205" s="12"/>
      <c r="V1205" s="67"/>
      <c r="W1205" s="67"/>
      <c r="X1205" s="370"/>
    </row>
    <row r="1206" spans="1:24" ht="15.75" thickBot="1">
      <c r="A1206" s="67"/>
      <c r="B1206" s="396"/>
      <c r="C1206" s="470"/>
      <c r="D1206" s="471"/>
      <c r="E1206" s="471"/>
      <c r="F1206" s="237"/>
      <c r="G1206" s="238"/>
      <c r="H1206" s="438" t="str">
        <f>F$11</f>
        <v>DIST</v>
      </c>
      <c r="I1206" s="14"/>
      <c r="J1206" s="14"/>
      <c r="K1206" s="238"/>
      <c r="L1206" s="14"/>
      <c r="M1206" s="14"/>
      <c r="N1206" s="238"/>
      <c r="O1206" s="238"/>
      <c r="P1206" s="238"/>
      <c r="Q1206" s="14"/>
      <c r="R1206" s="393" t="str">
        <f>R$10</f>
        <v xml:space="preserve"> </v>
      </c>
      <c r="S1206" s="394"/>
      <c r="T1206" s="238"/>
      <c r="U1206" s="13"/>
      <c r="V1206" s="67"/>
      <c r="W1206" s="67"/>
      <c r="X1206" s="370"/>
    </row>
    <row r="1207" spans="1:24" ht="15">
      <c r="A1207" s="67"/>
      <c r="B1207" s="235" t="s">
        <v>2</v>
      </c>
      <c r="C1207" s="235"/>
      <c r="D1207" s="472" t="s">
        <v>744</v>
      </c>
      <c r="E1207" s="395"/>
      <c r="F1207" s="242"/>
      <c r="G1207" s="242" t="s">
        <v>741</v>
      </c>
      <c r="H1207" s="15" t="s">
        <v>376</v>
      </c>
      <c r="I1207" s="15"/>
      <c r="J1207" s="15" t="s">
        <v>730</v>
      </c>
      <c r="K1207" s="242" t="s">
        <v>409</v>
      </c>
      <c r="L1207" s="15" t="s">
        <v>409</v>
      </c>
      <c r="M1207" s="15" t="s">
        <v>410</v>
      </c>
      <c r="N1207" s="242" t="s">
        <v>410</v>
      </c>
      <c r="O1207" s="242" t="s">
        <v>410</v>
      </c>
      <c r="P1207" s="242" t="s">
        <v>411</v>
      </c>
      <c r="Q1207" s="15" t="s">
        <v>412</v>
      </c>
      <c r="R1207" s="396" t="str">
        <f>R$11</f>
        <v>Wholesale</v>
      </c>
      <c r="S1207" s="13" t="str">
        <f>S$11</f>
        <v>Wholesale</v>
      </c>
      <c r="T1207" s="242"/>
      <c r="U1207" s="15" t="s">
        <v>10</v>
      </c>
      <c r="V1207" s="67"/>
      <c r="W1207" s="67"/>
      <c r="X1207" s="370"/>
    </row>
    <row r="1208" spans="1:24" ht="14.25">
      <c r="A1208" s="67"/>
      <c r="B1208" s="235"/>
      <c r="C1208" s="235"/>
      <c r="D1208" s="395"/>
      <c r="E1208" s="395"/>
      <c r="F1208" s="242"/>
      <c r="G1208" s="242" t="s">
        <v>742</v>
      </c>
      <c r="H1208" s="15" t="s">
        <v>743</v>
      </c>
      <c r="I1208" s="15"/>
      <c r="J1208" s="15"/>
      <c r="K1208" s="242" t="s">
        <v>731</v>
      </c>
      <c r="L1208" s="15" t="s">
        <v>732</v>
      </c>
      <c r="M1208" s="15" t="s">
        <v>731</v>
      </c>
      <c r="N1208" s="242" t="s">
        <v>732</v>
      </c>
      <c r="O1208" s="242" t="s">
        <v>414</v>
      </c>
      <c r="P1208" s="242"/>
      <c r="Q1208" s="15"/>
      <c r="R1208" s="235" t="str">
        <f>R$12</f>
        <v>XFMR</v>
      </c>
      <c r="S1208" s="15" t="str">
        <f>S$12</f>
        <v>DLS</v>
      </c>
      <c r="T1208" s="242"/>
      <c r="U1208" s="15"/>
      <c r="V1208" s="67"/>
      <c r="W1208" s="67"/>
      <c r="X1208" s="370"/>
    </row>
    <row r="1209" spans="1:24" ht="15" thickBot="1">
      <c r="A1209" s="67"/>
      <c r="B1209" s="243"/>
      <c r="C1209" s="243"/>
      <c r="D1209" s="473" t="s">
        <v>13</v>
      </c>
      <c r="E1209" s="473"/>
      <c r="F1209" s="245"/>
      <c r="G1209" s="245" t="s">
        <v>14</v>
      </c>
      <c r="H1209" s="16" t="s">
        <v>15</v>
      </c>
      <c r="I1209" s="16"/>
      <c r="J1209" s="16" t="str">
        <f t="shared" si="400" ref="J1209:Q1209">J$13</f>
        <v>(d)</v>
      </c>
      <c r="K1209" s="243" t="str">
        <f t="shared" si="400"/>
        <v>(e)</v>
      </c>
      <c r="L1209" s="16" t="str">
        <f t="shared" si="400"/>
        <v>(f)</v>
      </c>
      <c r="M1209" s="16" t="str">
        <f t="shared" si="400"/>
        <v>(g)</v>
      </c>
      <c r="N1209" s="243" t="str">
        <f t="shared" si="400"/>
        <v>(h)</v>
      </c>
      <c r="O1209" s="243" t="str">
        <f>O$13</f>
        <v>(i)</v>
      </c>
      <c r="P1209" s="243" t="str">
        <f t="shared" si="400"/>
        <v>(j)</v>
      </c>
      <c r="Q1209" s="243" t="str">
        <f t="shared" si="400"/>
        <v>(k)</v>
      </c>
      <c r="R1209" s="243" t="str">
        <f>R$13</f>
        <v>(l)</v>
      </c>
      <c r="S1209" s="16" t="str">
        <f>S$13</f>
        <v>(m)</v>
      </c>
      <c r="T1209" s="16"/>
      <c r="U1209" s="16" t="s">
        <v>734</v>
      </c>
      <c r="V1209" s="67"/>
      <c r="W1209" s="67"/>
      <c r="X1209" s="370"/>
    </row>
    <row r="1210" spans="2:24" ht="14.25">
      <c r="B1210" s="1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U1210" s="233"/>
      <c r="X1210" s="370"/>
    </row>
    <row r="1211" spans="2:24" ht="14.25">
      <c r="B1211" s="1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U1211" s="233"/>
      <c r="X1211" s="370"/>
    </row>
    <row r="1212" spans="2:24" ht="14.25">
      <c r="B1212" s="17">
        <f t="shared" si="401" ref="B1212:B1275">B1211+1</f>
        <v>1</v>
      </c>
      <c r="D1212" s="67" t="s">
        <v>745</v>
      </c>
      <c r="G1212" s="17">
        <f t="shared" si="402" ref="G1212:G1275">G1211+1</f>
        <v>1</v>
      </c>
      <c r="H1212" s="67" t="str">
        <f>VLOOKUP(G1212,FactorTable,2)</f>
        <v>ASSIGNED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8">
        <v>0</v>
      </c>
      <c r="S1212" s="18">
        <v>0</v>
      </c>
      <c r="T1212" s="386"/>
      <c r="U1212" s="18">
        <v>0</v>
      </c>
      <c r="X1212" s="370"/>
    </row>
    <row r="1213" spans="2:24" ht="14.25">
      <c r="B1213" s="17">
        <f t="shared" si="401"/>
        <v>2</v>
      </c>
      <c r="D1213" s="67" t="s">
        <v>746</v>
      </c>
      <c r="G1213" s="17">
        <f t="shared" si="402"/>
        <v>2</v>
      </c>
      <c r="H1213" s="67" t="str">
        <f>VLOOKUP(G1213,FactorTable,2)</f>
        <v>N / A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8">
        <v>0</v>
      </c>
      <c r="R1213" s="18">
        <v>0</v>
      </c>
      <c r="S1213" s="18">
        <v>0</v>
      </c>
      <c r="T1213" s="386"/>
      <c r="U1213" s="18">
        <v>0</v>
      </c>
      <c r="X1213" s="370"/>
    </row>
    <row r="1214" spans="2:24" ht="14.25">
      <c r="B1214" s="17">
        <f t="shared" si="401"/>
        <v>3</v>
      </c>
      <c r="G1214" s="17">
        <f t="shared" si="402"/>
        <v>3</v>
      </c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U1214" s="233"/>
      <c r="X1214" s="370"/>
    </row>
    <row r="1215" spans="2:24" ht="14.25">
      <c r="B1215" s="17">
        <f t="shared" si="401"/>
        <v>4</v>
      </c>
      <c r="G1215" s="17">
        <f t="shared" si="402"/>
        <v>4</v>
      </c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U1215" s="233"/>
      <c r="X1215" s="370"/>
    </row>
    <row r="1216" spans="2:24" ht="14.25">
      <c r="B1216" s="17">
        <f t="shared" si="401"/>
        <v>5</v>
      </c>
      <c r="G1216" s="17">
        <f t="shared" si="402"/>
        <v>5</v>
      </c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U1216" s="233"/>
      <c r="X1216" s="370"/>
    </row>
    <row r="1217" spans="2:24" ht="14.25">
      <c r="B1217" s="17">
        <f t="shared" si="401"/>
        <v>6</v>
      </c>
      <c r="D1217" s="67" t="s">
        <v>747</v>
      </c>
      <c r="E1217" t="s">
        <v>0</v>
      </c>
      <c r="G1217" s="17">
        <f t="shared" si="402"/>
        <v>6</v>
      </c>
      <c r="H1217" s="47" t="str">
        <f>VLOOKUP(G1217,FactorTable,2)</f>
        <v>CUS W ALL</v>
      </c>
      <c r="J1217" s="475">
        <f>'WP II-I-2.2'!E17</f>
        <v>0.55750481473464375</v>
      </c>
      <c r="K1217" s="475">
        <f>'WP II-I-2.2'!F17</f>
        <v>0.085952885111240593</v>
      </c>
      <c r="L1217" s="475">
        <f>'WP II-I-2.2'!G17</f>
        <v>0.26512464751523457</v>
      </c>
      <c r="M1217" s="475">
        <f>'WP II-I-2.2'!H17</f>
        <v>0.003722752602926988</v>
      </c>
      <c r="N1217" s="475">
        <f>'WP II-I-2.2'!I17</f>
        <v>0.077683818478312835</v>
      </c>
      <c r="O1217" s="475">
        <f>'WP II-I-2.2'!J17</f>
        <v>0.0026546895902129727</v>
      </c>
      <c r="P1217" s="475">
        <f>'WP II-I-2.2'!K17</f>
        <v>0.0057790550310020863</v>
      </c>
      <c r="Q1217" s="475">
        <f>'WP II-I-2.2'!L17</f>
        <v>0.00055573311775356405</v>
      </c>
      <c r="R1217" s="475">
        <f>'WP II-I-2.2'!M17</f>
        <v>0.00030631033733226608</v>
      </c>
      <c r="S1217" s="475">
        <f>'WP II-I-2.2'!N17</f>
        <v>0.00071529348134022558</v>
      </c>
      <c r="U1217" s="476">
        <f>MAX(0.0000001,SUM(I1217:T1217))</f>
        <v>0.99999999999999989</v>
      </c>
      <c r="X1217" s="370"/>
    </row>
    <row r="1218" spans="2:24" ht="14.25">
      <c r="B1218" s="17">
        <f t="shared" si="401"/>
        <v>7</v>
      </c>
      <c r="D1218" s="67" t="s">
        <v>748</v>
      </c>
      <c r="G1218" s="17">
        <f t="shared" si="402"/>
        <v>7</v>
      </c>
      <c r="H1218" s="67" t="str">
        <f>VLOOKUP(G1218,FactorTable,2)</f>
        <v>CUS W SEC</v>
      </c>
      <c r="J1218" s="67">
        <f>J1217</f>
        <v>0.55750481473464375</v>
      </c>
      <c r="K1218" s="67">
        <f>K1217</f>
        <v>0.085952885111240593</v>
      </c>
      <c r="L1218" s="67">
        <f>L1217</f>
        <v>0.26512464751523457</v>
      </c>
      <c r="M1218" s="18">
        <v>0</v>
      </c>
      <c r="N1218" s="18">
        <v>0</v>
      </c>
      <c r="O1218" s="18">
        <v>0</v>
      </c>
      <c r="P1218" s="18">
        <v>0</v>
      </c>
      <c r="Q1218" s="67">
        <f>Q1217</f>
        <v>0.00055573311775356405</v>
      </c>
      <c r="R1218" s="18">
        <v>0</v>
      </c>
      <c r="S1218" s="18">
        <v>0</v>
      </c>
      <c r="U1218" s="476">
        <f>MAX(0.0000001,SUM(I1218:T1218))</f>
        <v>0.90913808047887246</v>
      </c>
      <c r="X1218" s="370"/>
    </row>
    <row r="1219" spans="2:24" ht="14.25">
      <c r="B1219" s="17">
        <f t="shared" si="401"/>
        <v>8</v>
      </c>
      <c r="D1219" s="67" t="s">
        <v>749</v>
      </c>
      <c r="G1219" s="17">
        <f t="shared" si="402"/>
        <v>8</v>
      </c>
      <c r="H1219" s="67" t="str">
        <f>VLOOKUP(G1219,FactorTable,2)</f>
        <v>CUS W RTL</v>
      </c>
      <c r="J1219" s="67">
        <f t="shared" si="403" ref="J1219:Q1219">J1217</f>
        <v>0.55750481473464375</v>
      </c>
      <c r="K1219" s="67">
        <f t="shared" si="403"/>
        <v>0.085952885111240593</v>
      </c>
      <c r="L1219" s="67">
        <f t="shared" si="403"/>
        <v>0.26512464751523457</v>
      </c>
      <c r="M1219" s="67">
        <f t="shared" si="403"/>
        <v>0.003722752602926988</v>
      </c>
      <c r="N1219" s="67">
        <f t="shared" si="403"/>
        <v>0.077683818478312835</v>
      </c>
      <c r="O1219" s="67">
        <f>O1217</f>
        <v>0.0026546895902129727</v>
      </c>
      <c r="P1219" s="67">
        <f t="shared" si="403"/>
        <v>0.0057790550310020863</v>
      </c>
      <c r="Q1219" s="67">
        <f t="shared" si="403"/>
        <v>0.00055573311775356405</v>
      </c>
      <c r="R1219" s="27"/>
      <c r="S1219" s="27"/>
      <c r="U1219" s="476">
        <f>MAX(0.0000001,SUM(I1219:T1219))</f>
        <v>0.99897839618132733</v>
      </c>
      <c r="X1219" s="370"/>
    </row>
    <row r="1220" spans="2:24" ht="14.25">
      <c r="B1220" s="17">
        <f t="shared" si="401"/>
        <v>9</v>
      </c>
      <c r="D1220" s="67" t="s">
        <v>750</v>
      </c>
      <c r="G1220" s="17">
        <f t="shared" si="402"/>
        <v>9</v>
      </c>
      <c r="H1220" s="67" t="str">
        <f>VLOOKUP(G1220,FactorTable,2)</f>
        <v>CUS U ALL</v>
      </c>
      <c r="J1220" s="477">
        <f>'WP II-I-2.2'!E14</f>
        <v>3258283</v>
      </c>
      <c r="K1220" s="477">
        <f>'WP II-I-2.2'!F14</f>
        <v>304430</v>
      </c>
      <c r="L1220" s="477">
        <f>'WP II-I-2.2'!G14</f>
        <v>203588</v>
      </c>
      <c r="M1220" s="477">
        <f>'WP II-I-2.2'!H14</f>
        <v>3101</v>
      </c>
      <c r="N1220" s="477">
        <f>'WP II-I-2.2'!I14</f>
        <v>7158</v>
      </c>
      <c r="O1220" s="477">
        <f>'WP II-I-2.2'!J14</f>
        <v>130</v>
      </c>
      <c r="P1220" s="477">
        <f>'WP II-I-2.2'!K14</f>
        <v>283</v>
      </c>
      <c r="Q1220" s="477">
        <f>'WP II-I-2.2'!L14</f>
        <v>55208</v>
      </c>
      <c r="R1220" s="477">
        <f>'WP II-I-2.2'!M14</f>
        <v>15</v>
      </c>
      <c r="S1220" s="477">
        <f>'WP II-I-2.2'!N14</f>
        <v>48</v>
      </c>
      <c r="U1220" s="50">
        <f>MAX(0.0000001,SUM(I1220:T1220))</f>
        <v>3832244</v>
      </c>
      <c r="X1220" s="370"/>
    </row>
    <row r="1221" spans="2:24" ht="14.25">
      <c r="B1221" s="17">
        <f t="shared" si="401"/>
        <v>10</v>
      </c>
      <c r="D1221" s="67" t="s">
        <v>751</v>
      </c>
      <c r="G1221" s="17">
        <f t="shared" si="402"/>
        <v>10</v>
      </c>
      <c r="H1221" s="67" t="str">
        <f>VLOOKUP(G1221,FactorTable,2)</f>
        <v>CUS U RTL</v>
      </c>
      <c r="J1221" s="50">
        <f t="shared" si="404" ref="J1221:Q1221">J1220</f>
        <v>3258283</v>
      </c>
      <c r="K1221" s="50">
        <f t="shared" si="404"/>
        <v>304430</v>
      </c>
      <c r="L1221" s="50">
        <f t="shared" si="404"/>
        <v>203588</v>
      </c>
      <c r="M1221" s="50">
        <f t="shared" si="404"/>
        <v>3101</v>
      </c>
      <c r="N1221" s="50">
        <f t="shared" si="404"/>
        <v>7158</v>
      </c>
      <c r="O1221" s="50">
        <f>O1220</f>
        <v>130</v>
      </c>
      <c r="P1221" s="50">
        <f t="shared" si="404"/>
        <v>283</v>
      </c>
      <c r="Q1221" s="50">
        <f t="shared" si="404"/>
        <v>55208</v>
      </c>
      <c r="R1221" s="18">
        <v>0</v>
      </c>
      <c r="S1221" s="18">
        <v>0</v>
      </c>
      <c r="U1221" s="50">
        <f>MAX(0.0000001,SUM(I1221:T1221))</f>
        <v>3832181</v>
      </c>
      <c r="X1221" s="370"/>
    </row>
    <row r="1222" spans="2:24" ht="14.25">
      <c r="B1222" s="17">
        <f t="shared" si="401"/>
        <v>11</v>
      </c>
      <c r="D1222" s="67"/>
      <c r="G1222" s="17">
        <f t="shared" si="402"/>
        <v>11</v>
      </c>
      <c r="H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U1222" s="233"/>
      <c r="X1222" s="370"/>
    </row>
    <row r="1223" spans="2:24" s="386" customFormat="1" ht="14.25">
      <c r="B1223" s="17">
        <f t="shared" si="401"/>
        <v>12</v>
      </c>
      <c r="D1223" s="47"/>
      <c r="G1223" s="17">
        <f t="shared" si="402"/>
        <v>12</v>
      </c>
      <c r="H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U1223" s="1339"/>
      <c r="X1223" s="839"/>
    </row>
    <row r="1224" spans="2:24" s="386" customFormat="1" ht="14.25">
      <c r="B1224" s="17">
        <f t="shared" si="401"/>
        <v>13</v>
      </c>
      <c r="D1224" s="47"/>
      <c r="G1224" s="17">
        <f t="shared" si="402"/>
        <v>13</v>
      </c>
      <c r="H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U1224" s="1339"/>
      <c r="X1224" s="839"/>
    </row>
    <row r="1225" spans="2:24" s="386" customFormat="1" ht="14.25">
      <c r="B1225" s="17">
        <f t="shared" si="401"/>
        <v>14</v>
      </c>
      <c r="D1225" s="47" t="s">
        <v>752</v>
      </c>
      <c r="G1225" s="17">
        <f t="shared" si="402"/>
        <v>14</v>
      </c>
      <c r="H1225" s="47" t="str">
        <f>VLOOKUP(G1225,FactorTable,2)</f>
        <v>REVENUE</v>
      </c>
      <c r="J1225" s="477">
        <f>'WP II-I-2.2'!E77</f>
        <v>1921088302</v>
      </c>
      <c r="K1225" s="477">
        <f>'WP II-I-2.2'!F77</f>
        <v>95557181</v>
      </c>
      <c r="L1225" s="477">
        <f>'WP II-I-2.2'!G77</f>
        <v>1496280417.6886501</v>
      </c>
      <c r="M1225" s="477">
        <f>'WP II-I-2.2'!H77</f>
        <v>1232285</v>
      </c>
      <c r="N1225" s="477">
        <f>'WP II-I-2.2'!I77</f>
        <v>272480697.46980089</v>
      </c>
      <c r="O1225" s="477">
        <f>'WP II-I-2.2'!J77</f>
        <v>31568642.908480335</v>
      </c>
      <c r="P1225" s="477">
        <f>'WP II-I-2.2'!K77</f>
        <v>114615137.75514101</v>
      </c>
      <c r="Q1225" s="477">
        <f>'WP II-I-2.2'!L77</f>
        <v>60374542.129999995</v>
      </c>
      <c r="R1225" s="477">
        <f>'WP II-I-2.2'!M77</f>
        <v>608356</v>
      </c>
      <c r="S1225" s="477">
        <f>'WP II-I-2.2'!N77</f>
        <v>2160192</v>
      </c>
      <c r="U1225" s="19">
        <f>MAX(0.0000001,SUM(I1225:T1225))</f>
        <v>3995965753.9520721</v>
      </c>
      <c r="X1225" s="839"/>
    </row>
    <row r="1226" spans="2:24" s="386" customFormat="1" ht="14.25">
      <c r="B1226" s="17">
        <f t="shared" si="401"/>
        <v>15</v>
      </c>
      <c r="D1226" s="47" t="s">
        <v>753</v>
      </c>
      <c r="G1226" s="17">
        <f t="shared" si="402"/>
        <v>15</v>
      </c>
      <c r="H1226" s="47" t="str">
        <f>VLOOKUP(G1226,FactorTable,2)</f>
        <v>REVENUE RTL</v>
      </c>
      <c r="J1226" s="19">
        <f t="shared" si="405" ref="J1226:Q1226">J1225</f>
        <v>1921088302</v>
      </c>
      <c r="K1226" s="19">
        <f t="shared" si="405"/>
        <v>95557181</v>
      </c>
      <c r="L1226" s="19">
        <f t="shared" si="405"/>
        <v>1496280417.6886501</v>
      </c>
      <c r="M1226" s="19">
        <f t="shared" si="405"/>
        <v>1232285</v>
      </c>
      <c r="N1226" s="19">
        <f t="shared" si="405"/>
        <v>272480697.46980089</v>
      </c>
      <c r="O1226" s="19">
        <f>O1225</f>
        <v>31568642.908480335</v>
      </c>
      <c r="P1226" s="19">
        <f t="shared" si="405"/>
        <v>114615137.75514101</v>
      </c>
      <c r="Q1226" s="19">
        <f t="shared" si="405"/>
        <v>60374542.129999995</v>
      </c>
      <c r="R1226" s="27"/>
      <c r="S1226" s="27"/>
      <c r="U1226" s="19">
        <f>MAX(0.0000001,SUM(I1226:T1226))</f>
        <v>3993197205.9520721</v>
      </c>
      <c r="X1226" s="839"/>
    </row>
    <row r="1227" spans="2:24" s="386" customFormat="1" ht="14.25">
      <c r="B1227" s="17">
        <f t="shared" si="401"/>
        <v>16</v>
      </c>
      <c r="D1227" s="47"/>
      <c r="G1227" s="17">
        <f t="shared" si="402"/>
        <v>16</v>
      </c>
      <c r="H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U1227" s="1339"/>
      <c r="X1227" s="839"/>
    </row>
    <row r="1228" spans="2:24" s="386" customFormat="1" ht="14.25">
      <c r="B1228" s="17">
        <f t="shared" si="401"/>
        <v>17</v>
      </c>
      <c r="D1228" s="703" t="s">
        <v>1044</v>
      </c>
      <c r="G1228" s="17">
        <f t="shared" si="402"/>
        <v>17</v>
      </c>
      <c r="H1228" s="703" t="s">
        <v>1043</v>
      </c>
      <c r="J1228" s="1340">
        <v>2144469483.1040874</v>
      </c>
      <c r="K1228" s="1340">
        <v>88303089.787045717</v>
      </c>
      <c r="L1228" s="1340">
        <v>1456649046.8285568</v>
      </c>
      <c r="M1228" s="1340">
        <v>1620433.807184896</v>
      </c>
      <c r="N1228" s="1340">
        <v>296631175.55217379</v>
      </c>
      <c r="O1228" s="1340">
        <v>59703446.68878942</v>
      </c>
      <c r="P1228" s="1340">
        <v>164321994.78183579</v>
      </c>
      <c r="Q1228" s="1340">
        <v>61449281.413809136</v>
      </c>
      <c r="R1228" s="1340">
        <v>1572718.6622823512</v>
      </c>
      <c r="S1228" s="1340">
        <v>6764497.1669411464</v>
      </c>
      <c r="U1228" s="19">
        <f>MAX(0.0000001,SUM(I1228:T1228))</f>
        <v>4281485167.792707</v>
      </c>
      <c r="X1228" s="839"/>
    </row>
    <row r="1229" spans="2:24" ht="14.25">
      <c r="B1229" s="17">
        <f t="shared" si="401"/>
        <v>18</v>
      </c>
      <c r="D1229" s="47"/>
      <c r="G1229" s="17">
        <f t="shared" si="402"/>
        <v>18</v>
      </c>
      <c r="H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U1229" s="233"/>
      <c r="X1229" s="370"/>
    </row>
    <row r="1230" spans="2:24" ht="14.25">
      <c r="B1230" s="17">
        <f t="shared" si="401"/>
        <v>19</v>
      </c>
      <c r="D1230" s="664" t="s">
        <v>1035</v>
      </c>
      <c r="G1230" s="17">
        <f t="shared" si="402"/>
        <v>19</v>
      </c>
      <c r="H1230" s="67" t="str">
        <f>VLOOKUP(G1230,FactorTable,2)</f>
        <v>ENERGY ICL</v>
      </c>
      <c r="J1230" s="478">
        <f>'WP II-I-2.2'!E20</f>
        <v>39273336.848999999</v>
      </c>
      <c r="K1230" s="478">
        <f>'WP II-I-2.2'!F20</f>
        <v>1402919.575</v>
      </c>
      <c r="L1230" s="478">
        <f>'WP II-I-2.2'!G20</f>
        <v>41118783.953000002</v>
      </c>
      <c r="M1230" s="478">
        <f>'WP II-I-2.2'!H20</f>
        <v>709.72199999999998</v>
      </c>
      <c r="N1230" s="478">
        <f>'WP II-I-2.2'!I20</f>
        <v>6611595.1490000002</v>
      </c>
      <c r="O1230" s="478">
        <f>'WP II-I-2.2'!J20</f>
        <v>1040290.0600000001</v>
      </c>
      <c r="P1230" s="478">
        <f>'WP II-I-2.2'!K20</f>
        <v>7792495.8710000003</v>
      </c>
      <c r="Q1230" s="478">
        <f>'WP II-I-2.2'!L20</f>
        <v>357989.07199999999</v>
      </c>
      <c r="R1230" s="478">
        <f>'WP II-I-2.2'!M20</f>
        <v>79376.522324525358</v>
      </c>
      <c r="S1230" s="478">
        <f>'WP II-I-2.2'!N20</f>
        <v>118215.49419116367</v>
      </c>
      <c r="U1230" s="50">
        <f>MAX(0.0000001,SUM(I1230:T1230))</f>
        <v>97795712.267515719</v>
      </c>
      <c r="X1230" s="370"/>
    </row>
    <row r="1231" spans="2:24" ht="14.25">
      <c r="B1231" s="17">
        <f t="shared" si="401"/>
        <v>20</v>
      </c>
      <c r="D1231" s="67"/>
      <c r="G1231" s="17">
        <f t="shared" si="402"/>
        <v>20</v>
      </c>
      <c r="H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U1231" s="233"/>
      <c r="X1231" s="370"/>
    </row>
    <row r="1232" spans="2:24" ht="14.25">
      <c r="B1232" s="17">
        <f t="shared" si="401"/>
        <v>21</v>
      </c>
      <c r="D1232" s="67"/>
      <c r="G1232" s="17">
        <f t="shared" si="402"/>
        <v>21</v>
      </c>
      <c r="H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U1232" s="233"/>
      <c r="X1232" s="370"/>
    </row>
    <row r="1233" spans="2:24" ht="14.25">
      <c r="B1233" s="17">
        <f t="shared" si="401"/>
        <v>22</v>
      </c>
      <c r="D1233" s="47"/>
      <c r="G1233" s="17">
        <f t="shared" si="402"/>
        <v>22</v>
      </c>
      <c r="H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U1233" s="233"/>
      <c r="X1233" s="370"/>
    </row>
    <row r="1234" spans="2:24" ht="14.25">
      <c r="B1234" s="17">
        <f t="shared" si="401"/>
        <v>23</v>
      </c>
      <c r="D1234" s="67" t="s">
        <v>755</v>
      </c>
      <c r="G1234" s="17">
        <f t="shared" si="402"/>
        <v>23</v>
      </c>
      <c r="H1234" s="67" t="str">
        <f>VLOOKUP(G1234,FactorTable,2)</f>
        <v>4CP RTL</v>
      </c>
      <c r="J1234" s="478">
        <f>'WP II-I-2.2'!E40</f>
        <v>11677303.199334735</v>
      </c>
      <c r="K1234" s="478">
        <f>'WP II-I-2.2'!F40</f>
        <v>326399.97894299857</v>
      </c>
      <c r="L1234" s="478">
        <f>'WP II-I-2.2'!G40</f>
        <v>8488977.9318657275</v>
      </c>
      <c r="M1234" s="478">
        <f>'WP II-I-2.2'!H40</f>
        <v>3375.967252129818</v>
      </c>
      <c r="N1234" s="478">
        <f>'WP II-I-2.2'!I40</f>
        <v>2134206.4937228127</v>
      </c>
      <c r="O1234" s="478">
        <f>'WP II-I-2.2'!J40</f>
        <v>698990.473477375</v>
      </c>
      <c r="P1234" s="478">
        <f>'WP II-I-2.2'!K40</f>
        <v>2122210.8674999997</v>
      </c>
      <c r="Q1234" s="478">
        <f>'WP II-I-2.2'!L40</f>
        <v>0</v>
      </c>
      <c r="R1234" s="27">
        <v>0</v>
      </c>
      <c r="S1234" s="27">
        <v>0</v>
      </c>
      <c r="U1234" s="50">
        <f>MAX(0.0000001,SUM(I1234:T1234))</f>
        <v>25451464.912095778</v>
      </c>
      <c r="X1234" s="370"/>
    </row>
    <row r="1235" spans="2:24" ht="14.25">
      <c r="B1235" s="17">
        <f t="shared" si="401"/>
        <v>24</v>
      </c>
      <c r="D1235" s="67"/>
      <c r="G1235" s="17">
        <f t="shared" si="402"/>
        <v>24</v>
      </c>
      <c r="H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U1235" s="233"/>
      <c r="X1235" s="370"/>
    </row>
    <row r="1236" spans="2:24" ht="14.25">
      <c r="B1236" s="17">
        <f t="shared" si="401"/>
        <v>25</v>
      </c>
      <c r="D1236" s="67"/>
      <c r="G1236" s="17">
        <f t="shared" si="402"/>
        <v>25</v>
      </c>
      <c r="H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U1236" s="233"/>
      <c r="X1236" s="370"/>
    </row>
    <row r="1237" spans="2:24" s="386" customFormat="1" ht="14.25">
      <c r="B1237" s="17">
        <f t="shared" si="401"/>
        <v>26</v>
      </c>
      <c r="D1237" s="47" t="s">
        <v>756</v>
      </c>
      <c r="G1237" s="17">
        <f t="shared" si="402"/>
        <v>26</v>
      </c>
      <c r="H1237" s="47" t="str">
        <f t="shared" si="406" ref="H1237:H1244">VLOOKUP(G1237,FactorTable,2)</f>
        <v>NCP ALL</v>
      </c>
      <c r="J1237" s="477">
        <f>'WP II-I-2.2'!E37</f>
        <v>15210692.881406292</v>
      </c>
      <c r="K1237" s="477">
        <f>'WP II-I-2.2'!F37</f>
        <v>371448.40089449205</v>
      </c>
      <c r="L1237" s="477">
        <f>'WP II-I-2.2'!G37</f>
        <v>9793744.3547214009</v>
      </c>
      <c r="M1237" s="477">
        <f>'WP II-I-2.2'!H37</f>
        <v>5536.8073701752573</v>
      </c>
      <c r="N1237" s="477">
        <f>'WP II-I-2.2'!I37</f>
        <v>2343455.6321282429</v>
      </c>
      <c r="O1237" s="477">
        <f>'WP II-I-2.2'!J37</f>
        <v>847474.94215962989</v>
      </c>
      <c r="P1237" s="477">
        <f>'WP II-I-2.2'!K37</f>
        <v>2790485.8700000001</v>
      </c>
      <c r="Q1237" s="477">
        <f>'WP II-I-2.2'!L37</f>
        <v>98783.961086827592</v>
      </c>
      <c r="R1237" s="477">
        <f>'WP II-I-2.2'!M37</f>
        <v>101575.17606204849</v>
      </c>
      <c r="S1237" s="477">
        <f>'WP II-I-2.2'!N37</f>
        <v>127209.27191001845</v>
      </c>
      <c r="U1237" s="19">
        <f t="shared" si="407" ref="U1237:U1244">MAX(0.0000001,SUM(I1237:T1237))</f>
        <v>31690407.29773913</v>
      </c>
      <c r="X1237" s="839"/>
    </row>
    <row r="1238" spans="2:24" ht="14.25">
      <c r="B1238" s="17">
        <f t="shared" si="401"/>
        <v>27</v>
      </c>
      <c r="D1238" s="67"/>
      <c r="G1238" s="17">
        <f>G1237+1</f>
        <v>27</v>
      </c>
      <c r="H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U1238" s="233"/>
      <c r="X1238" s="370"/>
    </row>
    <row r="1239" spans="2:24" ht="14.25">
      <c r="B1239" s="17">
        <f t="shared" si="401"/>
        <v>28</v>
      </c>
      <c r="D1239" s="67" t="s">
        <v>757</v>
      </c>
      <c r="G1239" s="17">
        <f t="shared" si="402"/>
        <v>28</v>
      </c>
      <c r="H1239" s="67" t="str">
        <f t="shared" si="406"/>
        <v>NCP XHV</v>
      </c>
      <c r="J1239" s="480">
        <f t="shared" si="408" ref="J1239:O1239">J1237</f>
        <v>15210692.881406292</v>
      </c>
      <c r="K1239" s="480">
        <f t="shared" si="408"/>
        <v>371448.40089449205</v>
      </c>
      <c r="L1239" s="480">
        <f t="shared" si="408"/>
        <v>9793744.3547214009</v>
      </c>
      <c r="M1239" s="480">
        <f t="shared" si="408"/>
        <v>5536.8073701752573</v>
      </c>
      <c r="N1239" s="480">
        <f t="shared" si="408"/>
        <v>2343455.6321282429</v>
      </c>
      <c r="O1239" s="480">
        <f t="shared" si="408"/>
        <v>847474.94215962989</v>
      </c>
      <c r="P1239" s="18">
        <v>0</v>
      </c>
      <c r="Q1239" s="480">
        <f>Q1237</f>
        <v>98783.961086827592</v>
      </c>
      <c r="R1239" s="479">
        <f>R1237</f>
        <v>101575.17606204849</v>
      </c>
      <c r="S1239" s="479">
        <f>S1237</f>
        <v>127209.27191001845</v>
      </c>
      <c r="U1239" s="50">
        <f t="shared" si="407"/>
        <v>28899921.427739128</v>
      </c>
      <c r="X1239" s="370"/>
    </row>
    <row r="1240" spans="2:24" ht="14.25">
      <c r="B1240" s="17">
        <f t="shared" si="401"/>
        <v>29</v>
      </c>
      <c r="D1240" s="67"/>
      <c r="G1240" s="17">
        <f>G1239+1</f>
        <v>29</v>
      </c>
      <c r="H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U1240" s="233"/>
      <c r="X1240" s="370"/>
    </row>
    <row r="1241" spans="2:24" ht="14.25">
      <c r="B1241" s="17">
        <f t="shared" si="401"/>
        <v>30</v>
      </c>
      <c r="D1241" s="67" t="s">
        <v>759</v>
      </c>
      <c r="G1241" s="17">
        <f t="shared" si="402"/>
        <v>30</v>
      </c>
      <c r="H1241" s="67" t="str">
        <f t="shared" si="406"/>
        <v>NCP XSS</v>
      </c>
      <c r="J1241" s="480">
        <f>J1237</f>
        <v>15210692.881406292</v>
      </c>
      <c r="K1241" s="480">
        <f>K1237</f>
        <v>371448.40089449205</v>
      </c>
      <c r="L1241" s="480">
        <f>L1237</f>
        <v>9793744.3547214009</v>
      </c>
      <c r="M1241" s="480">
        <f>M1237</f>
        <v>5536.8073701752573</v>
      </c>
      <c r="N1241" s="480">
        <f>N1237</f>
        <v>2343455.6321282429</v>
      </c>
      <c r="O1241" s="18">
        <v>0</v>
      </c>
      <c r="P1241" s="18">
        <v>0</v>
      </c>
      <c r="Q1241" s="480">
        <f>Q1237</f>
        <v>98783.961086827592</v>
      </c>
      <c r="R1241" s="18">
        <v>0</v>
      </c>
      <c r="S1241" s="479">
        <f>S1237</f>
        <v>127209.27191001845</v>
      </c>
      <c r="U1241" s="50">
        <f t="shared" si="407"/>
        <v>27950871.309517451</v>
      </c>
      <c r="X1241" s="370"/>
    </row>
    <row r="1242" spans="2:24" ht="14.25">
      <c r="B1242" s="17">
        <f t="shared" si="401"/>
        <v>31</v>
      </c>
      <c r="D1242" s="67"/>
      <c r="G1242" s="17">
        <f>G1241+1</f>
        <v>31</v>
      </c>
      <c r="H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U1242" s="233"/>
      <c r="X1242" s="370"/>
    </row>
    <row r="1243" spans="2:24" ht="14.25">
      <c r="B1243" s="17">
        <f t="shared" si="401"/>
        <v>32</v>
      </c>
      <c r="D1243" s="67" t="s">
        <v>760</v>
      </c>
      <c r="G1243" s="17">
        <f t="shared" si="402"/>
        <v>32</v>
      </c>
      <c r="H1243" s="67" t="str">
        <f t="shared" si="406"/>
        <v>NCP SEC</v>
      </c>
      <c r="J1243" s="480">
        <f>J1237</f>
        <v>15210692.881406292</v>
      </c>
      <c r="K1243" s="480">
        <f>K1237</f>
        <v>371448.40089449205</v>
      </c>
      <c r="L1243" s="480">
        <f>L1237</f>
        <v>9793744.3547214009</v>
      </c>
      <c r="M1243" s="18">
        <v>0</v>
      </c>
      <c r="N1243" s="18">
        <v>0</v>
      </c>
      <c r="O1243" s="18">
        <v>0</v>
      </c>
      <c r="P1243" s="18">
        <v>0</v>
      </c>
      <c r="Q1243" s="480">
        <f>Q1237</f>
        <v>98783.961086827592</v>
      </c>
      <c r="R1243" s="18">
        <v>0</v>
      </c>
      <c r="S1243" s="18">
        <v>0</v>
      </c>
      <c r="U1243" s="50">
        <f t="shared" si="407"/>
        <v>25474669.598109014</v>
      </c>
      <c r="X1243" s="370"/>
    </row>
    <row r="1244" spans="2:24" ht="14.25">
      <c r="B1244" s="17">
        <f t="shared" si="401"/>
        <v>33</v>
      </c>
      <c r="D1244" s="67" t="s">
        <v>761</v>
      </c>
      <c r="G1244" s="17">
        <f t="shared" si="402"/>
        <v>33</v>
      </c>
      <c r="H1244" s="67" t="str">
        <f t="shared" si="406"/>
        <v>NCP LGT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480">
        <f>Q1237</f>
        <v>98783.961086827592</v>
      </c>
      <c r="R1244" s="18">
        <v>0</v>
      </c>
      <c r="S1244" s="18">
        <v>0</v>
      </c>
      <c r="U1244" s="50">
        <f t="shared" si="407"/>
        <v>98783.961086827592</v>
      </c>
      <c r="X1244" s="370"/>
    </row>
    <row r="1245" spans="2:24" ht="14.25">
      <c r="B1245" s="17">
        <f t="shared" si="401"/>
        <v>34</v>
      </c>
      <c r="D1245" s="47"/>
      <c r="E1245" s="386"/>
      <c r="F1245" s="386"/>
      <c r="G1245" s="17">
        <f t="shared" si="402"/>
        <v>34</v>
      </c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U1245" s="233"/>
      <c r="X1245" s="370"/>
    </row>
    <row r="1246" spans="2:24" ht="14.25">
      <c r="B1246" s="17">
        <f t="shared" si="401"/>
        <v>35</v>
      </c>
      <c r="G1246" s="17">
        <f t="shared" si="402"/>
        <v>35</v>
      </c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U1246" s="233"/>
      <c r="X1246" s="370"/>
    </row>
    <row r="1247" spans="2:24" ht="14.25">
      <c r="B1247" s="17">
        <f t="shared" si="401"/>
        <v>36</v>
      </c>
      <c r="D1247" s="47" t="s">
        <v>940</v>
      </c>
      <c r="G1247" s="17">
        <f t="shared" si="402"/>
        <v>36</v>
      </c>
      <c r="H1247" s="67" t="str">
        <f>VLOOKUP(G1247,FactorTable,2)</f>
        <v>OPEB MED</v>
      </c>
      <c r="J1247" s="477">
        <f>J1299</f>
        <v>92864672.335052758</v>
      </c>
      <c r="K1247" s="477">
        <f t="shared" si="409" ref="K1247:Q1247">K1299</f>
        <v>2582442.465247185</v>
      </c>
      <c r="L1247" s="477">
        <f t="shared" si="409"/>
        <v>59368551.667050406</v>
      </c>
      <c r="M1247" s="477">
        <f t="shared" si="409"/>
        <v>43693.738940842828</v>
      </c>
      <c r="N1247" s="477">
        <f t="shared" si="409"/>
        <v>12140441.207212703</v>
      </c>
      <c r="O1247" s="477">
        <f>O1299</f>
        <v>1359237.4207259538</v>
      </c>
      <c r="P1247" s="477">
        <f t="shared" si="409"/>
        <v>41757.365102757343</v>
      </c>
      <c r="Q1247" s="477">
        <f t="shared" si="409"/>
        <v>2387244.8620820427</v>
      </c>
      <c r="R1247" s="477">
        <f>R1299*(1-'WP II-I-2.2'!$G$42)</f>
        <v>161571.99173989601</v>
      </c>
      <c r="S1247" s="477">
        <f>S1299*(1-'WP II-I-2.2'!$G$42)</f>
        <v>641182.49684541998</v>
      </c>
      <c r="U1247" s="50">
        <f>MAX(0.0000001,SUM(I1247:T1247))</f>
        <v>171590795.54999998</v>
      </c>
      <c r="X1247" s="370"/>
    </row>
    <row r="1248" spans="2:24" ht="14.25">
      <c r="B1248" s="17">
        <f t="shared" si="401"/>
        <v>37</v>
      </c>
      <c r="D1248" t="s">
        <v>949</v>
      </c>
      <c r="G1248" s="17">
        <f t="shared" si="402"/>
        <v>37</v>
      </c>
      <c r="H1248" s="67" t="str">
        <f>VLOOKUP(G1248,FactorTable,2)</f>
        <v>OPEB TOTAL</v>
      </c>
      <c r="J1248" s="477">
        <f>J1299</f>
        <v>92864672.335052758</v>
      </c>
      <c r="K1248" s="477">
        <f t="shared" si="410" ref="K1248:Q1248">K1299</f>
        <v>2582442.465247185</v>
      </c>
      <c r="L1248" s="477">
        <f t="shared" si="410"/>
        <v>59368551.667050406</v>
      </c>
      <c r="M1248" s="477">
        <f t="shared" si="410"/>
        <v>43693.738940842828</v>
      </c>
      <c r="N1248" s="477">
        <f t="shared" si="410"/>
        <v>12140441.207212703</v>
      </c>
      <c r="O1248" s="477">
        <f>O1299</f>
        <v>1359237.4207259538</v>
      </c>
      <c r="P1248" s="477">
        <f t="shared" si="410"/>
        <v>41757.365102757343</v>
      </c>
      <c r="Q1248" s="477">
        <f t="shared" si="410"/>
        <v>2387244.8620820427</v>
      </c>
      <c r="R1248" s="477">
        <f>R1299*(1-'WP II-I-2.2'!$K$42)</f>
        <v>161571.99173989601</v>
      </c>
      <c r="S1248" s="477">
        <f>S1299*(1-'WP II-I-2.2'!$K$42)</f>
        <v>641182.49684541998</v>
      </c>
      <c r="U1248" s="50">
        <f>MAX(0.0000001,SUM(I1248:T1248))</f>
        <v>171590795.54999998</v>
      </c>
      <c r="X1248" s="370"/>
    </row>
    <row r="1249" spans="2:24" ht="14.25">
      <c r="B1249" s="17">
        <f t="shared" si="401"/>
        <v>38</v>
      </c>
      <c r="D1249" s="67"/>
      <c r="G1249" s="17">
        <f t="shared" si="402"/>
        <v>38</v>
      </c>
      <c r="H1249" s="67"/>
      <c r="J1249" s="481"/>
      <c r="K1249" s="481"/>
      <c r="L1249" s="481"/>
      <c r="M1249" s="481"/>
      <c r="N1249" s="481"/>
      <c r="O1249" s="481"/>
      <c r="P1249" s="481"/>
      <c r="Q1249" s="481"/>
      <c r="R1249" s="481"/>
      <c r="S1249" s="481"/>
      <c r="U1249" s="50"/>
      <c r="X1249" s="370"/>
    </row>
    <row r="1250" spans="2:24" ht="14.25">
      <c r="B1250" s="17">
        <f t="shared" si="401"/>
        <v>39</v>
      </c>
      <c r="D1250" s="67" t="s">
        <v>762</v>
      </c>
      <c r="G1250" s="17">
        <f t="shared" si="402"/>
        <v>39</v>
      </c>
      <c r="H1250" s="67" t="str">
        <f t="shared" si="411" ref="H1250:H1265">VLOOKUP(G1250,FactorTable,2)</f>
        <v>NOT USED</v>
      </c>
      <c r="J1250" s="480"/>
      <c r="K1250" s="480"/>
      <c r="L1250" s="480"/>
      <c r="M1250" s="480"/>
      <c r="N1250" s="480"/>
      <c r="O1250" s="480"/>
      <c r="P1250" s="480"/>
      <c r="Q1250" s="480"/>
      <c r="R1250" s="480"/>
      <c r="S1250" s="480"/>
      <c r="U1250" s="50"/>
      <c r="X1250" s="370"/>
    </row>
    <row r="1251" spans="2:24" ht="14.25">
      <c r="B1251" s="17">
        <f t="shared" si="401"/>
        <v>40</v>
      </c>
      <c r="D1251" s="67" t="s">
        <v>957</v>
      </c>
      <c r="G1251" s="17">
        <f t="shared" si="402"/>
        <v>40</v>
      </c>
      <c r="H1251" s="67" t="str">
        <f t="shared" si="411"/>
        <v>PLT 360</v>
      </c>
      <c r="J1251" s="480">
        <f t="shared" si="412" ref="J1251:S1251">J133</f>
        <v>12552441.094896648</v>
      </c>
      <c r="K1251" s="480">
        <f t="shared" si="412"/>
        <v>517118.23927808105</v>
      </c>
      <c r="L1251" s="480">
        <f t="shared" si="412"/>
        <v>7808999.4463880276</v>
      </c>
      <c r="M1251" s="480">
        <f t="shared" si="412"/>
        <v>2651.3198569671868</v>
      </c>
      <c r="N1251" s="480">
        <f t="shared" si="412"/>
        <v>1122172.0453652935</v>
      </c>
      <c r="O1251" s="480">
        <f t="shared" si="412"/>
        <v>89114.886931054905</v>
      </c>
      <c r="P1251" s="480">
        <f t="shared" si="412"/>
        <v>21184.098630247769</v>
      </c>
      <c r="Q1251" s="480">
        <f t="shared" si="412"/>
        <v>860751.29043023055</v>
      </c>
      <c r="R1251" s="480">
        <f t="shared" si="412"/>
        <v>10680.976958096822</v>
      </c>
      <c r="S1251" s="480">
        <f t="shared" si="412"/>
        <v>60914.611265353509</v>
      </c>
      <c r="U1251" s="50">
        <f t="shared" si="413" ref="U1251:U1265">MAX(0.0000001,SUM(I1251:T1251))</f>
        <v>23046028.010000002</v>
      </c>
      <c r="X1251" s="370"/>
    </row>
    <row r="1252" spans="2:24" ht="14.25">
      <c r="B1252" s="17">
        <f t="shared" si="401"/>
        <v>41</v>
      </c>
      <c r="D1252" s="67" t="s">
        <v>763</v>
      </c>
      <c r="G1252" s="17">
        <f t="shared" si="402"/>
        <v>41</v>
      </c>
      <c r="H1252" s="67" t="str">
        <f t="shared" si="411"/>
        <v>PLT 353</v>
      </c>
      <c r="J1252" s="480">
        <f t="shared" si="414" ref="J1252:S1252">J111</f>
        <v>200982037.20894235</v>
      </c>
      <c r="K1252" s="480">
        <f t="shared" si="414"/>
        <v>4908024.6976150116</v>
      </c>
      <c r="L1252" s="480">
        <f t="shared" si="414"/>
        <v>129406773.75201213</v>
      </c>
      <c r="M1252" s="480">
        <f t="shared" si="414"/>
        <v>73158.983194750224</v>
      </c>
      <c r="N1252" s="480">
        <f t="shared" si="414"/>
        <v>30964564.910100192</v>
      </c>
      <c r="O1252" s="480">
        <f t="shared" si="414"/>
        <v>11197862.036053781</v>
      </c>
      <c r="P1252" s="480">
        <f t="shared" si="414"/>
        <v>0</v>
      </c>
      <c r="Q1252" s="480">
        <f t="shared" si="414"/>
        <v>1305252.9491979284</v>
      </c>
      <c r="R1252" s="480">
        <f t="shared" si="414"/>
        <v>1342133.8510991004</v>
      </c>
      <c r="S1252" s="480">
        <f t="shared" si="414"/>
        <v>1680842.4717847591</v>
      </c>
      <c r="U1252" s="50">
        <f t="shared" si="413"/>
        <v>381860650.85999995</v>
      </c>
      <c r="X1252" s="370"/>
    </row>
    <row r="1253" spans="2:24" s="386" customFormat="1" ht="14.25">
      <c r="B1253" s="17">
        <f t="shared" si="401"/>
        <v>42</v>
      </c>
      <c r="D1253" s="47" t="s">
        <v>764</v>
      </c>
      <c r="G1253" s="17">
        <f t="shared" si="402"/>
        <v>42</v>
      </c>
      <c r="H1253" s="47" t="str">
        <f t="shared" si="411"/>
        <v>PLT 352-358</v>
      </c>
      <c r="J1253" s="838">
        <f t="shared" si="415" ref="J1253:S1253">SUM(J110:J116)</f>
        <v>200982037.20894235</v>
      </c>
      <c r="K1253" s="838">
        <f t="shared" si="415"/>
        <v>4908024.6976150116</v>
      </c>
      <c r="L1253" s="838">
        <f t="shared" si="415"/>
        <v>129406773.75201213</v>
      </c>
      <c r="M1253" s="838">
        <f t="shared" si="415"/>
        <v>73158.983194750224</v>
      </c>
      <c r="N1253" s="838">
        <f t="shared" si="415"/>
        <v>30964564.910100192</v>
      </c>
      <c r="O1253" s="838">
        <f t="shared" si="415"/>
        <v>11197862.036053781</v>
      </c>
      <c r="P1253" s="838">
        <f t="shared" si="415"/>
        <v>0</v>
      </c>
      <c r="Q1253" s="838">
        <f t="shared" si="415"/>
        <v>1305252.9491979284</v>
      </c>
      <c r="R1253" s="838">
        <f t="shared" si="415"/>
        <v>1342133.8510991004</v>
      </c>
      <c r="S1253" s="838">
        <f t="shared" si="415"/>
        <v>1680842.4717847591</v>
      </c>
      <c r="U1253" s="19">
        <f t="shared" si="413"/>
        <v>381860650.85999995</v>
      </c>
      <c r="X1253" s="839"/>
    </row>
    <row r="1254" spans="2:24" ht="14.25">
      <c r="B1254" s="17">
        <f t="shared" si="401"/>
        <v>43</v>
      </c>
      <c r="D1254" s="67" t="s">
        <v>765</v>
      </c>
      <c r="G1254" s="17">
        <f t="shared" si="402"/>
        <v>43</v>
      </c>
      <c r="H1254" s="67" t="str">
        <f t="shared" si="411"/>
        <v>PLT 361</v>
      </c>
      <c r="J1254" s="480">
        <f t="shared" si="416" ref="J1254:S1254">J134</f>
        <v>74653356.840157658</v>
      </c>
      <c r="K1254" s="480">
        <f t="shared" si="416"/>
        <v>3075466.5290622879</v>
      </c>
      <c r="L1254" s="480">
        <f t="shared" si="416"/>
        <v>46442601.708189815</v>
      </c>
      <c r="M1254" s="480">
        <f t="shared" si="416"/>
        <v>15768.241880859177</v>
      </c>
      <c r="N1254" s="480">
        <f t="shared" si="416"/>
        <v>6673913.8232454387</v>
      </c>
      <c r="O1254" s="480">
        <f t="shared" si="416"/>
        <v>529994.55671925785</v>
      </c>
      <c r="P1254" s="480">
        <f t="shared" si="416"/>
        <v>125988.56767580815</v>
      </c>
      <c r="Q1254" s="480">
        <f t="shared" si="416"/>
        <v>5119161.5040710336</v>
      </c>
      <c r="R1254" s="480">
        <f t="shared" si="416"/>
        <v>63523.164795291079</v>
      </c>
      <c r="S1254" s="480">
        <f t="shared" si="416"/>
        <v>362278.55420255731</v>
      </c>
      <c r="U1254" s="50">
        <f t="shared" si="413"/>
        <v>137062053.49000001</v>
      </c>
      <c r="X1254" s="370"/>
    </row>
    <row r="1255" spans="2:24" ht="14.25">
      <c r="B1255" s="17">
        <f t="shared" si="401"/>
        <v>44</v>
      </c>
      <c r="D1255" s="67" t="s">
        <v>766</v>
      </c>
      <c r="G1255" s="17">
        <f t="shared" si="402"/>
        <v>44</v>
      </c>
      <c r="H1255" s="67" t="str">
        <f t="shared" si="411"/>
        <v>PLT 362</v>
      </c>
      <c r="J1255" s="480">
        <f t="shared" si="417" ref="J1255:S1255">J135</f>
        <v>926433731.87432814</v>
      </c>
      <c r="K1255" s="480">
        <f t="shared" si="417"/>
        <v>22623711.55097704</v>
      </c>
      <c r="L1255" s="480">
        <f t="shared" si="417"/>
        <v>596505050.90789926</v>
      </c>
      <c r="M1255" s="480">
        <f t="shared" si="417"/>
        <v>337228.89250436996</v>
      </c>
      <c r="N1255" s="480">
        <f t="shared" si="417"/>
        <v>142732245.24889347</v>
      </c>
      <c r="O1255" s="480">
        <f t="shared" si="417"/>
        <v>51616936.812567994</v>
      </c>
      <c r="P1255" s="480">
        <f t="shared" si="417"/>
        <v>0</v>
      </c>
      <c r="Q1255" s="480">
        <f t="shared" si="417"/>
        <v>6016609.1336226491</v>
      </c>
      <c r="R1255" s="480">
        <f t="shared" si="417"/>
        <v>6186612.9412150299</v>
      </c>
      <c r="S1255" s="480">
        <f t="shared" si="417"/>
        <v>7747902.1779919546</v>
      </c>
      <c r="U1255" s="50">
        <f t="shared" si="413"/>
        <v>1760200029.5399997</v>
      </c>
      <c r="X1255" s="370"/>
    </row>
    <row r="1256" spans="2:24" ht="14.25">
      <c r="B1256" s="17">
        <f t="shared" si="401"/>
        <v>45</v>
      </c>
      <c r="D1256" s="67" t="s">
        <v>767</v>
      </c>
      <c r="G1256" s="17">
        <f t="shared" si="402"/>
        <v>45</v>
      </c>
      <c r="H1256" s="67" t="str">
        <f t="shared" si="411"/>
        <v>PLT 364</v>
      </c>
      <c r="J1256" s="480">
        <f t="shared" si="418" ref="J1256:S1256">J156</f>
        <v>1481679872.3043788</v>
      </c>
      <c r="K1256" s="480">
        <f t="shared" si="418"/>
        <v>36182942.058990069</v>
      </c>
      <c r="L1256" s="480">
        <f t="shared" si="418"/>
        <v>954012680.29176819</v>
      </c>
      <c r="M1256" s="480">
        <f t="shared" si="418"/>
        <v>440180.97919716313</v>
      </c>
      <c r="N1256" s="480">
        <f t="shared" si="418"/>
        <v>186306751.50662956</v>
      </c>
      <c r="O1256" s="480">
        <f t="shared" si="418"/>
        <v>0</v>
      </c>
      <c r="P1256" s="480">
        <f t="shared" si="418"/>
        <v>0</v>
      </c>
      <c r="Q1256" s="480">
        <f t="shared" si="418"/>
        <v>9622586.4258801118</v>
      </c>
      <c r="R1256" s="480">
        <f t="shared" si="418"/>
        <v>0</v>
      </c>
      <c r="S1256" s="480">
        <f t="shared" si="418"/>
        <v>10113247.243155884</v>
      </c>
      <c r="U1256" s="50">
        <f t="shared" si="413"/>
        <v>2678358260.8099995</v>
      </c>
      <c r="X1256" s="370"/>
    </row>
    <row r="1257" spans="2:24" ht="14.25">
      <c r="B1257" s="17">
        <f t="shared" si="401"/>
        <v>46</v>
      </c>
      <c r="D1257" s="67" t="s">
        <v>768</v>
      </c>
      <c r="G1257" s="17">
        <f t="shared" si="402"/>
        <v>46</v>
      </c>
      <c r="H1257" s="67" t="str">
        <f t="shared" si="411"/>
        <v>PLT 365</v>
      </c>
      <c r="J1257" s="480">
        <f t="shared" si="419" ref="J1257:S1257">J157</f>
        <v>925090412.58597863</v>
      </c>
      <c r="K1257" s="480">
        <f t="shared" si="419"/>
        <v>22590907.404220644</v>
      </c>
      <c r="L1257" s="480">
        <f t="shared" si="419"/>
        <v>595640124.77998149</v>
      </c>
      <c r="M1257" s="480">
        <f t="shared" si="419"/>
        <v>281919.3329723588</v>
      </c>
      <c r="N1257" s="480">
        <f t="shared" si="419"/>
        <v>119322455.07016791</v>
      </c>
      <c r="O1257" s="480">
        <f t="shared" si="419"/>
        <v>0</v>
      </c>
      <c r="P1257" s="480">
        <f t="shared" si="419"/>
        <v>0</v>
      </c>
      <c r="Q1257" s="480">
        <f t="shared" si="419"/>
        <v>6007885.112873422</v>
      </c>
      <c r="R1257" s="480">
        <f t="shared" si="419"/>
        <v>0</v>
      </c>
      <c r="S1257" s="480">
        <f t="shared" si="419"/>
        <v>6477153.8338052481</v>
      </c>
      <c r="U1257" s="50">
        <f t="shared" si="413"/>
        <v>1675410858.1199997</v>
      </c>
      <c r="X1257" s="370"/>
    </row>
    <row r="1258" spans="2:24" ht="14.25">
      <c r="B1258" s="17">
        <f t="shared" si="401"/>
        <v>47</v>
      </c>
      <c r="D1258" s="67" t="s">
        <v>769</v>
      </c>
      <c r="G1258" s="17">
        <f t="shared" si="402"/>
        <v>47</v>
      </c>
      <c r="H1258" s="67" t="str">
        <f t="shared" si="411"/>
        <v>PLT 366</v>
      </c>
      <c r="J1258" s="480">
        <f t="shared" si="420" ref="J1258:S1258">J158</f>
        <v>611370351.8898927</v>
      </c>
      <c r="K1258" s="480">
        <f t="shared" si="420"/>
        <v>14929795.857058149</v>
      </c>
      <c r="L1258" s="480">
        <f t="shared" si="420"/>
        <v>393644456.5115757</v>
      </c>
      <c r="M1258" s="480">
        <f t="shared" si="420"/>
        <v>130143.29135039306</v>
      </c>
      <c r="N1258" s="480">
        <f t="shared" si="420"/>
        <v>55083193.022323206</v>
      </c>
      <c r="O1258" s="480">
        <f t="shared" si="420"/>
        <v>0</v>
      </c>
      <c r="P1258" s="480">
        <f t="shared" si="420"/>
        <v>0</v>
      </c>
      <c r="Q1258" s="480">
        <f t="shared" si="420"/>
        <v>3970469.0326472232</v>
      </c>
      <c r="R1258" s="480">
        <f t="shared" si="420"/>
        <v>0</v>
      </c>
      <c r="S1258" s="480">
        <f t="shared" si="420"/>
        <v>2990068.5051524322</v>
      </c>
      <c r="U1258" s="50">
        <f t="shared" si="413"/>
        <v>1082118478.1099997</v>
      </c>
      <c r="X1258" s="370"/>
    </row>
    <row r="1259" spans="2:24" ht="14.25">
      <c r="B1259" s="17">
        <f t="shared" si="401"/>
        <v>48</v>
      </c>
      <c r="D1259" s="67" t="s">
        <v>770</v>
      </c>
      <c r="G1259" s="17">
        <f t="shared" si="402"/>
        <v>48</v>
      </c>
      <c r="H1259" s="67" t="str">
        <f t="shared" si="411"/>
        <v>PLT 367</v>
      </c>
      <c r="J1259" s="480">
        <f t="shared" si="421" ref="J1259:S1259">J159</f>
        <v>1415326236.081053</v>
      </c>
      <c r="K1259" s="480">
        <f t="shared" si="421"/>
        <v>34562571.950878963</v>
      </c>
      <c r="L1259" s="480">
        <f t="shared" si="421"/>
        <v>911289409.54768407</v>
      </c>
      <c r="M1259" s="480">
        <f t="shared" si="421"/>
        <v>410436.41217636777</v>
      </c>
      <c r="N1259" s="480">
        <f t="shared" si="421"/>
        <v>173717353.23975569</v>
      </c>
      <c r="O1259" s="480">
        <f t="shared" si="421"/>
        <v>0</v>
      </c>
      <c r="P1259" s="480">
        <f t="shared" si="421"/>
        <v>0</v>
      </c>
      <c r="Q1259" s="480">
        <f t="shared" si="421"/>
        <v>9191660.9532695226</v>
      </c>
      <c r="R1259" s="480">
        <f t="shared" si="421"/>
        <v>0</v>
      </c>
      <c r="S1259" s="480">
        <f t="shared" si="421"/>
        <v>9429859.7851821817</v>
      </c>
      <c r="U1259" s="50">
        <f t="shared" si="413"/>
        <v>2553927527.9699993</v>
      </c>
      <c r="X1259" s="370"/>
    </row>
    <row r="1260" spans="2:24" ht="14.25">
      <c r="B1260" s="17">
        <f t="shared" si="401"/>
        <v>49</v>
      </c>
      <c r="D1260" s="67" t="s">
        <v>771</v>
      </c>
      <c r="G1260" s="17">
        <f t="shared" si="402"/>
        <v>49</v>
      </c>
      <c r="H1260" s="67" t="str">
        <f t="shared" si="411"/>
        <v>PLT 368</v>
      </c>
      <c r="J1260" s="480">
        <f t="shared" si="422" ref="J1260:S1260">J160</f>
        <v>1463250412.640316</v>
      </c>
      <c r="K1260" s="480">
        <f t="shared" si="422"/>
        <v>35732890.6790208</v>
      </c>
      <c r="L1260" s="480">
        <f t="shared" si="422"/>
        <v>942146461.05029511</v>
      </c>
      <c r="M1260" s="480">
        <f t="shared" si="422"/>
        <v>55279.194045982804</v>
      </c>
      <c r="N1260" s="480">
        <f t="shared" si="422"/>
        <v>23396937.976274215</v>
      </c>
      <c r="O1260" s="480">
        <f t="shared" si="422"/>
        <v>4016449.0249529257</v>
      </c>
      <c r="P1260" s="480">
        <f t="shared" si="422"/>
        <v>13224986.007427361</v>
      </c>
      <c r="Q1260" s="480">
        <f t="shared" si="422"/>
        <v>9502898.582564868</v>
      </c>
      <c r="R1260" s="480">
        <f t="shared" si="422"/>
        <v>481396.55411427037</v>
      </c>
      <c r="S1260" s="480">
        <f t="shared" si="422"/>
        <v>1270050.6909886436</v>
      </c>
      <c r="U1260" s="50">
        <f t="shared" si="413"/>
        <v>2493077762.3999996</v>
      </c>
      <c r="X1260" s="370"/>
    </row>
    <row r="1261" spans="2:24" s="386" customFormat="1" ht="14.25">
      <c r="B1261" s="17">
        <f t="shared" si="401"/>
        <v>50</v>
      </c>
      <c r="D1261" s="47" t="s">
        <v>772</v>
      </c>
      <c r="G1261" s="17">
        <f t="shared" si="402"/>
        <v>50</v>
      </c>
      <c r="H1261" s="47" t="str">
        <f t="shared" si="411"/>
        <v>PLT 369</v>
      </c>
      <c r="J1261" s="838">
        <f t="shared" si="423" ref="J1261:S1261">J148</f>
        <v>1013191738.4131759</v>
      </c>
      <c r="K1261" s="838">
        <f t="shared" si="423"/>
        <v>156208073.51939485</v>
      </c>
      <c r="L1261" s="838">
        <f t="shared" si="423"/>
        <v>481829206.51545835</v>
      </c>
      <c r="M1261" s="838">
        <f t="shared" si="423"/>
        <v>0</v>
      </c>
      <c r="N1261" s="838">
        <f t="shared" si="423"/>
        <v>0</v>
      </c>
      <c r="O1261" s="838">
        <f t="shared" si="423"/>
        <v>0</v>
      </c>
      <c r="P1261" s="838">
        <f t="shared" si="423"/>
        <v>0</v>
      </c>
      <c r="Q1261" s="838">
        <f t="shared" si="423"/>
        <v>1009971.911970859</v>
      </c>
      <c r="R1261" s="838">
        <f t="shared" si="423"/>
        <v>0</v>
      </c>
      <c r="S1261" s="838">
        <f t="shared" si="423"/>
        <v>0</v>
      </c>
      <c r="U1261" s="19">
        <f t="shared" si="413"/>
        <v>1652238990.3599999</v>
      </c>
      <c r="X1261" s="839"/>
    </row>
    <row r="1262" spans="2:24" s="386" customFormat="1" ht="14.25">
      <c r="B1262" s="17">
        <f t="shared" si="401"/>
        <v>51</v>
      </c>
      <c r="D1262" s="47" t="s">
        <v>773</v>
      </c>
      <c r="G1262" s="17">
        <f t="shared" si="402"/>
        <v>51</v>
      </c>
      <c r="H1262" s="47" t="str">
        <f t="shared" si="411"/>
        <v>PLT 370</v>
      </c>
      <c r="J1262" s="838">
        <f t="shared" si="424" ref="J1262:S1262">J149</f>
        <v>0</v>
      </c>
      <c r="K1262" s="838">
        <f t="shared" si="424"/>
        <v>0</v>
      </c>
      <c r="L1262" s="838">
        <f t="shared" si="424"/>
        <v>0</v>
      </c>
      <c r="M1262" s="838">
        <f t="shared" si="424"/>
        <v>0</v>
      </c>
      <c r="N1262" s="838">
        <f t="shared" si="424"/>
        <v>0</v>
      </c>
      <c r="O1262" s="838">
        <f t="shared" si="424"/>
        <v>0</v>
      </c>
      <c r="P1262" s="838">
        <f t="shared" si="424"/>
        <v>0</v>
      </c>
      <c r="Q1262" s="838">
        <f t="shared" si="424"/>
        <v>0</v>
      </c>
      <c r="R1262" s="838">
        <f t="shared" si="424"/>
        <v>0</v>
      </c>
      <c r="S1262" s="838">
        <f t="shared" si="424"/>
        <v>0</v>
      </c>
      <c r="U1262" s="19">
        <f t="shared" si="413"/>
        <v>9.9999999999999995E-08</v>
      </c>
      <c r="X1262" s="839"/>
    </row>
    <row r="1263" spans="2:24" s="386" customFormat="1" ht="14.25">
      <c r="B1263" s="17">
        <f t="shared" si="401"/>
        <v>52</v>
      </c>
      <c r="D1263" s="47" t="s">
        <v>774</v>
      </c>
      <c r="G1263" s="17">
        <f t="shared" si="402"/>
        <v>52</v>
      </c>
      <c r="H1263" s="47" t="str">
        <f t="shared" si="411"/>
        <v>PLT OH</v>
      </c>
      <c r="J1263" s="838">
        <f t="shared" si="425" ref="J1263:S1263">SUM(J156:J157)</f>
        <v>2406770284.8903575</v>
      </c>
      <c r="K1263" s="838">
        <f t="shared" si="425"/>
        <v>58773849.463210717</v>
      </c>
      <c r="L1263" s="838">
        <f t="shared" si="425"/>
        <v>1549652805.0717497</v>
      </c>
      <c r="M1263" s="838">
        <f t="shared" si="425"/>
        <v>722100.31216952193</v>
      </c>
      <c r="N1263" s="838">
        <f t="shared" si="425"/>
        <v>305629206.57679749</v>
      </c>
      <c r="O1263" s="838">
        <f t="shared" si="425"/>
        <v>0</v>
      </c>
      <c r="P1263" s="838">
        <f t="shared" si="425"/>
        <v>0</v>
      </c>
      <c r="Q1263" s="838">
        <f t="shared" si="425"/>
        <v>15630471.538753534</v>
      </c>
      <c r="R1263" s="838">
        <f t="shared" si="425"/>
        <v>0</v>
      </c>
      <c r="S1263" s="838">
        <f t="shared" si="425"/>
        <v>16590401.076961132</v>
      </c>
      <c r="U1263" s="19">
        <f t="shared" si="413"/>
        <v>4353769118.9300003</v>
      </c>
      <c r="X1263" s="839"/>
    </row>
    <row r="1264" spans="2:24" ht="14.25">
      <c r="B1264" s="17">
        <f t="shared" si="401"/>
        <v>53</v>
      </c>
      <c r="D1264" s="67" t="s">
        <v>775</v>
      </c>
      <c r="G1264" s="17">
        <f t="shared" si="402"/>
        <v>53</v>
      </c>
      <c r="H1264" s="67" t="str">
        <f t="shared" si="411"/>
        <v>PLT UG</v>
      </c>
      <c r="J1264" s="480">
        <f t="shared" si="426" ref="J1264:S1264">SUM(J158:J159)</f>
        <v>2026696587.9709458</v>
      </c>
      <c r="K1264" s="480">
        <f t="shared" si="426"/>
        <v>49492367.807937115</v>
      </c>
      <c r="L1264" s="480">
        <f t="shared" si="426"/>
        <v>1304933866.0592599</v>
      </c>
      <c r="M1264" s="480">
        <f t="shared" si="426"/>
        <v>540579.7035267608</v>
      </c>
      <c r="N1264" s="480">
        <f t="shared" si="426"/>
        <v>228800546.26207888</v>
      </c>
      <c r="O1264" s="480">
        <f t="shared" si="426"/>
        <v>0</v>
      </c>
      <c r="P1264" s="480">
        <f t="shared" si="426"/>
        <v>0</v>
      </c>
      <c r="Q1264" s="480">
        <f t="shared" si="426"/>
        <v>13162129.985916745</v>
      </c>
      <c r="R1264" s="480">
        <f t="shared" si="426"/>
        <v>0</v>
      </c>
      <c r="S1264" s="480">
        <f t="shared" si="426"/>
        <v>12419928.290334614</v>
      </c>
      <c r="U1264" s="50">
        <f t="shared" si="413"/>
        <v>3636046006.0799999</v>
      </c>
      <c r="X1264" s="370"/>
    </row>
    <row r="1265" spans="2:24" ht="14.25">
      <c r="B1265" s="17">
        <f t="shared" si="401"/>
        <v>54</v>
      </c>
      <c r="D1265" s="67" t="s">
        <v>776</v>
      </c>
      <c r="G1265" s="17">
        <f t="shared" si="402"/>
        <v>54</v>
      </c>
      <c r="H1265" s="67" t="str">
        <f t="shared" si="411"/>
        <v>PLT 362-373</v>
      </c>
      <c r="J1265" s="480">
        <f t="shared" si="427" ref="J1265:S1265">SUM(J135:J152)</f>
        <v>7836342755.7891226</v>
      </c>
      <c r="K1265" s="480">
        <f t="shared" si="427"/>
        <v>322830893.02054048</v>
      </c>
      <c r="L1265" s="480">
        <f t="shared" si="427"/>
        <v>4875067389.6046619</v>
      </c>
      <c r="M1265" s="480">
        <f t="shared" si="427"/>
        <v>1655188.1022466356</v>
      </c>
      <c r="N1265" s="480">
        <f t="shared" si="427"/>
        <v>700558936.064044</v>
      </c>
      <c r="O1265" s="480">
        <f t="shared" si="427"/>
        <v>55633385.83752092</v>
      </c>
      <c r="P1265" s="480">
        <f t="shared" si="427"/>
        <v>13224986.007427361</v>
      </c>
      <c r="Q1265" s="480">
        <f t="shared" si="427"/>
        <v>537357003.97282863</v>
      </c>
      <c r="R1265" s="480">
        <f t="shared" si="427"/>
        <v>6668009.4953292999</v>
      </c>
      <c r="S1265" s="480">
        <f t="shared" si="427"/>
        <v>38028282.236276343</v>
      </c>
      <c r="U1265" s="50">
        <f t="shared" si="413"/>
        <v>14387366830.129997</v>
      </c>
      <c r="X1265" s="370"/>
    </row>
    <row r="1266" spans="2:24" ht="14.25">
      <c r="B1266" s="17">
        <f t="shared" si="401"/>
        <v>55</v>
      </c>
      <c r="D1266" s="67"/>
      <c r="G1266" s="17">
        <f>G1265+1</f>
        <v>55</v>
      </c>
      <c r="H1266" s="67"/>
      <c r="J1266" s="480"/>
      <c r="K1266" s="480"/>
      <c r="L1266" s="480"/>
      <c r="M1266" s="480"/>
      <c r="N1266" s="480"/>
      <c r="O1266" s="480"/>
      <c r="P1266" s="480"/>
      <c r="Q1266" s="480"/>
      <c r="R1266" s="480"/>
      <c r="S1266" s="480"/>
      <c r="U1266" s="233"/>
      <c r="X1266" s="370"/>
    </row>
    <row r="1267" spans="2:24" ht="14.25">
      <c r="B1267" s="17">
        <f t="shared" si="401"/>
        <v>56</v>
      </c>
      <c r="D1267" s="67" t="s">
        <v>432</v>
      </c>
      <c r="G1267" s="17">
        <f>G1266+1</f>
        <v>56</v>
      </c>
      <c r="H1267" s="67" t="str">
        <f t="shared" si="428" ref="H1267:H1280">VLOOKUP(G1267,FactorTable,2)</f>
        <v>PLTDIST</v>
      </c>
      <c r="J1267" s="480">
        <f t="shared" si="429" ref="J1267:S1267">J154</f>
        <v>7962407816.8215485</v>
      </c>
      <c r="K1267" s="480">
        <f t="shared" si="429"/>
        <v>328024348.37338626</v>
      </c>
      <c r="L1267" s="480">
        <f t="shared" si="429"/>
        <v>4953493727.9056091</v>
      </c>
      <c r="M1267" s="480">
        <f t="shared" si="429"/>
        <v>1681815.4966361574</v>
      </c>
      <c r="N1267" s="480">
        <f t="shared" si="429"/>
        <v>711828989.93789768</v>
      </c>
      <c r="O1267" s="480">
        <f t="shared" si="429"/>
        <v>56528373.001764901</v>
      </c>
      <c r="P1267" s="480">
        <f t="shared" si="429"/>
        <v>13437739.420612058</v>
      </c>
      <c r="Q1267" s="480">
        <f t="shared" si="429"/>
        <v>546001590.56291771</v>
      </c>
      <c r="R1267" s="480">
        <f t="shared" si="429"/>
        <v>6775279.3085814686</v>
      </c>
      <c r="S1267" s="480">
        <f t="shared" si="429"/>
        <v>38640052.021043979</v>
      </c>
      <c r="U1267" s="50">
        <f>MAX(0.0000001,SUM(I1267:T1267))</f>
        <v>14618819732.849997</v>
      </c>
      <c r="X1267" s="370"/>
    </row>
    <row r="1268" spans="2:24" ht="14.25">
      <c r="B1268" s="17">
        <f t="shared" si="401"/>
        <v>57</v>
      </c>
      <c r="C1268" s="386"/>
      <c r="D1268" s="67" t="s">
        <v>945</v>
      </c>
      <c r="G1268" s="17">
        <f t="shared" si="402"/>
        <v>57</v>
      </c>
      <c r="H1268" s="67" t="str">
        <f t="shared" si="428"/>
        <v>PLTDIST_N xWHL</v>
      </c>
      <c r="J1268" s="480">
        <f t="shared" si="430" ref="J1268:Q1268">J313</f>
        <v>5041542812.5898514</v>
      </c>
      <c r="K1268" s="480">
        <f t="shared" si="430"/>
        <v>168914816.86327031</v>
      </c>
      <c r="L1268" s="480">
        <f t="shared" si="430"/>
        <v>3186699293.1129718</v>
      </c>
      <c r="M1268" s="480">
        <f t="shared" si="430"/>
        <v>1134336.0414486711</v>
      </c>
      <c r="N1268" s="480">
        <f t="shared" si="430"/>
        <v>480108121.40188324</v>
      </c>
      <c r="O1268" s="480">
        <f t="shared" si="430"/>
        <v>41534062.296515077</v>
      </c>
      <c r="P1268" s="480">
        <f t="shared" si="430"/>
        <v>9445430.7418611608</v>
      </c>
      <c r="Q1268" s="480">
        <f t="shared" si="430"/>
        <v>81890650.661846638</v>
      </c>
      <c r="R1268" s="838">
        <v>0</v>
      </c>
      <c r="S1268" s="838">
        <v>0</v>
      </c>
      <c r="U1268" s="50">
        <f t="shared" si="431" ref="U1268:U1280">MAX(0.0000001,SUM(I1268:T1268))</f>
        <v>9011269523.7096481</v>
      </c>
      <c r="X1268" s="370"/>
    </row>
    <row r="1269" spans="2:24" ht="14.25">
      <c r="B1269" s="17">
        <f t="shared" si="401"/>
        <v>58</v>
      </c>
      <c r="C1269" s="386"/>
      <c r="D1269" s="67" t="s">
        <v>777</v>
      </c>
      <c r="G1269" s="17">
        <f t="shared" si="402"/>
        <v>58</v>
      </c>
      <c r="H1269" s="67" t="str">
        <f t="shared" si="428"/>
        <v>PLTDIST_N</v>
      </c>
      <c r="J1269" s="480">
        <f t="shared" si="432" ref="J1269:S1269">J313</f>
        <v>5041542812.5898514</v>
      </c>
      <c r="K1269" s="480">
        <f t="shared" si="432"/>
        <v>168914816.86327031</v>
      </c>
      <c r="L1269" s="480">
        <f t="shared" si="432"/>
        <v>3186699293.1129718</v>
      </c>
      <c r="M1269" s="480">
        <f t="shared" si="432"/>
        <v>1134336.0414486711</v>
      </c>
      <c r="N1269" s="480">
        <f t="shared" si="432"/>
        <v>480108121.40188324</v>
      </c>
      <c r="O1269" s="480">
        <f t="shared" si="432"/>
        <v>41534062.296515077</v>
      </c>
      <c r="P1269" s="480">
        <f t="shared" si="432"/>
        <v>9445430.7418611608</v>
      </c>
      <c r="Q1269" s="480">
        <f t="shared" si="432"/>
        <v>81890650.661846638</v>
      </c>
      <c r="R1269" s="480">
        <f t="shared" si="432"/>
        <v>4978117.3229614524</v>
      </c>
      <c r="S1269" s="480">
        <f t="shared" si="432"/>
        <v>26061600.537388835</v>
      </c>
      <c r="U1269" s="50">
        <f t="shared" si="431"/>
        <v>9042309241.5699997</v>
      </c>
      <c r="X1269" s="370"/>
    </row>
    <row r="1270" spans="2:24" ht="14.25">
      <c r="B1270" s="17">
        <f t="shared" si="401"/>
        <v>59</v>
      </c>
      <c r="C1270" s="386"/>
      <c r="D1270" s="67" t="s">
        <v>941</v>
      </c>
      <c r="G1270" s="17">
        <f t="shared" si="402"/>
        <v>59</v>
      </c>
      <c r="H1270" s="67" t="str">
        <f t="shared" si="428"/>
        <v>PLANT_N</v>
      </c>
      <c r="J1270" s="480">
        <f t="shared" si="433" ref="J1270:S1270">J352</f>
        <v>5480068335.7810678</v>
      </c>
      <c r="K1270" s="480">
        <f t="shared" si="433"/>
        <v>182170546.53858873</v>
      </c>
      <c r="L1270" s="480">
        <f t="shared" si="433"/>
        <v>3465749990.5436454</v>
      </c>
      <c r="M1270" s="480">
        <f t="shared" si="433"/>
        <v>1254990.6823738692</v>
      </c>
      <c r="N1270" s="480">
        <f t="shared" si="433"/>
        <v>531175239.85386878</v>
      </c>
      <c r="O1270" s="480">
        <f t="shared" si="433"/>
        <v>52656354.927467607</v>
      </c>
      <c r="P1270" s="480">
        <f t="shared" si="433"/>
        <v>9970679.8645091504</v>
      </c>
      <c r="Q1270" s="480">
        <f t="shared" si="433"/>
        <v>87471716.175386623</v>
      </c>
      <c r="R1270" s="480">
        <f t="shared" si="433"/>
        <v>6311193.7078793067</v>
      </c>
      <c r="S1270" s="480">
        <f t="shared" si="433"/>
        <v>28833665.375211313</v>
      </c>
      <c r="T1270" s="386"/>
      <c r="U1270" s="50">
        <f t="shared" si="431"/>
        <v>9845662713.4499989</v>
      </c>
      <c r="X1270" s="370"/>
    </row>
    <row r="1271" spans="2:24" ht="14.25">
      <c r="B1271" s="17">
        <f t="shared" si="401"/>
        <v>60</v>
      </c>
      <c r="C1271" s="386"/>
      <c r="D1271" s="67" t="s">
        <v>778</v>
      </c>
      <c r="G1271" s="17">
        <f t="shared" si="402"/>
        <v>60</v>
      </c>
      <c r="H1271" s="67" t="str">
        <f t="shared" si="428"/>
        <v>PLTOPER</v>
      </c>
      <c r="J1271" s="480">
        <f t="shared" si="434" ref="J1271:S1271">J163</f>
        <v>8163389854.0304909</v>
      </c>
      <c r="K1271" s="480">
        <f t="shared" si="434"/>
        <v>332932373.07100129</v>
      </c>
      <c r="L1271" s="480">
        <f t="shared" si="434"/>
        <v>5082900501.6576214</v>
      </c>
      <c r="M1271" s="480">
        <f t="shared" si="434"/>
        <v>1754974.4798309077</v>
      </c>
      <c r="N1271" s="480">
        <f t="shared" si="434"/>
        <v>742793554.8479979</v>
      </c>
      <c r="O1271" s="480">
        <f t="shared" si="434"/>
        <v>67726235.037818685</v>
      </c>
      <c r="P1271" s="480">
        <f t="shared" si="434"/>
        <v>13437739.420612058</v>
      </c>
      <c r="Q1271" s="480">
        <f t="shared" si="434"/>
        <v>547306843.5121156</v>
      </c>
      <c r="R1271" s="480">
        <f t="shared" si="434"/>
        <v>8117413.1596805695</v>
      </c>
      <c r="S1271" s="480">
        <f t="shared" si="434"/>
        <v>40320894.492828734</v>
      </c>
      <c r="U1271" s="50">
        <f t="shared" si="431"/>
        <v>15000680383.709999</v>
      </c>
      <c r="X1271" s="370"/>
    </row>
    <row r="1272" spans="2:24" ht="14.25">
      <c r="B1272" s="17">
        <f t="shared" si="401"/>
        <v>61</v>
      </c>
      <c r="C1272" s="386"/>
      <c r="D1272" s="67" t="s">
        <v>779</v>
      </c>
      <c r="G1272" s="17">
        <f t="shared" si="402"/>
        <v>61</v>
      </c>
      <c r="H1272" s="67" t="str">
        <f t="shared" si="428"/>
        <v>PLTOPER_N</v>
      </c>
      <c r="J1272" s="480">
        <f t="shared" si="435" ref="J1272:S1272">J314</f>
        <v>5191381794.3882627</v>
      </c>
      <c r="K1272" s="480">
        <f t="shared" si="435"/>
        <v>172573917.11692902</v>
      </c>
      <c r="L1272" s="480">
        <f t="shared" si="435"/>
        <v>3283176468.3177423</v>
      </c>
      <c r="M1272" s="480">
        <f t="shared" si="435"/>
        <v>1188878.5652659226</v>
      </c>
      <c r="N1272" s="480">
        <f t="shared" si="435"/>
        <v>503193263.44936264</v>
      </c>
      <c r="O1272" s="480">
        <f t="shared" si="435"/>
        <v>49882451.381938912</v>
      </c>
      <c r="P1272" s="480">
        <f t="shared" si="435"/>
        <v>9445430.7418611608</v>
      </c>
      <c r="Q1272" s="480">
        <f t="shared" si="435"/>
        <v>82863761.371705085</v>
      </c>
      <c r="R1272" s="480">
        <f t="shared" si="435"/>
        <v>5978724.0064174496</v>
      </c>
      <c r="S1272" s="480">
        <f t="shared" si="435"/>
        <v>27314726.080513477</v>
      </c>
      <c r="U1272" s="50">
        <f t="shared" si="431"/>
        <v>9326999415.4199982</v>
      </c>
      <c r="X1272" s="370"/>
    </row>
    <row r="1273" spans="2:24" ht="14.25">
      <c r="B1273" s="17">
        <f t="shared" si="401"/>
        <v>62</v>
      </c>
      <c r="C1273" s="386"/>
      <c r="D1273" s="47" t="s">
        <v>780</v>
      </c>
      <c r="G1273" s="17">
        <f t="shared" si="402"/>
        <v>62</v>
      </c>
      <c r="H1273" s="67" t="str">
        <f t="shared" si="428"/>
        <v>PLTGEN</v>
      </c>
      <c r="J1273" s="480">
        <f t="shared" si="436" ref="J1273:S1273">J194</f>
        <v>183750545.2490347</v>
      </c>
      <c r="K1273" s="480">
        <f t="shared" si="436"/>
        <v>6108306.5399419563</v>
      </c>
      <c r="L1273" s="480">
        <f t="shared" si="436"/>
        <v>116209034.52994341</v>
      </c>
      <c r="M1273" s="480">
        <f t="shared" si="436"/>
        <v>42080.720173316724</v>
      </c>
      <c r="N1273" s="480">
        <f t="shared" si="436"/>
        <v>17810679.350228183</v>
      </c>
      <c r="O1273" s="480">
        <f t="shared" si="436"/>
        <v>1765604.6121858822</v>
      </c>
      <c r="P1273" s="480">
        <f t="shared" si="436"/>
        <v>334323.90790542896</v>
      </c>
      <c r="Q1273" s="480">
        <f t="shared" si="436"/>
        <v>2932988.159317404</v>
      </c>
      <c r="R1273" s="480">
        <f t="shared" si="436"/>
        <v>211618.76347839582</v>
      </c>
      <c r="S1273" s="480">
        <f t="shared" si="436"/>
        <v>966813.07779132738</v>
      </c>
      <c r="U1273" s="50">
        <f t="shared" si="431"/>
        <v>330131994.90999997</v>
      </c>
      <c r="X1273" s="370"/>
    </row>
    <row r="1274" spans="2:24" ht="14.25">
      <c r="B1274" s="17">
        <f t="shared" si="401"/>
        <v>63</v>
      </c>
      <c r="C1274" s="386"/>
      <c r="D1274" s="47" t="s">
        <v>781</v>
      </c>
      <c r="G1274" s="17">
        <f t="shared" si="402"/>
        <v>63</v>
      </c>
      <c r="H1274" s="67" t="str">
        <f t="shared" si="428"/>
        <v>PLTGEN_N</v>
      </c>
      <c r="J1274" s="480">
        <f t="shared" si="437" ref="J1274:S1274">J350</f>
        <v>172240548.17960745</v>
      </c>
      <c r="K1274" s="480">
        <f t="shared" si="437"/>
        <v>5725686.7753115473</v>
      </c>
      <c r="L1274" s="480">
        <f t="shared" si="437"/>
        <v>108929787.30339597</v>
      </c>
      <c r="M1274" s="480">
        <f t="shared" si="437"/>
        <v>39444.815255495501</v>
      </c>
      <c r="N1274" s="480">
        <f t="shared" si="437"/>
        <v>16695031.683181539</v>
      </c>
      <c r="O1274" s="480">
        <f t="shared" si="437"/>
        <v>1655008.4564874901</v>
      </c>
      <c r="P1274" s="480">
        <f t="shared" si="437"/>
        <v>313382.10773272353</v>
      </c>
      <c r="Q1274" s="480">
        <f t="shared" si="437"/>
        <v>2749267.9691397077</v>
      </c>
      <c r="R1274" s="480">
        <f t="shared" si="437"/>
        <v>198363.12200984379</v>
      </c>
      <c r="S1274" s="480">
        <f t="shared" si="437"/>
        <v>906252.62787821051</v>
      </c>
      <c r="U1274" s="50">
        <f t="shared" si="431"/>
        <v>309452773.03999996</v>
      </c>
      <c r="X1274" s="370"/>
    </row>
    <row r="1275" spans="2:24" ht="14.25">
      <c r="B1275" s="17">
        <f t="shared" si="401"/>
        <v>64</v>
      </c>
      <c r="C1275" s="386"/>
      <c r="D1275" s="67" t="s">
        <v>782</v>
      </c>
      <c r="G1275" s="17">
        <f t="shared" si="402"/>
        <v>64</v>
      </c>
      <c r="H1275" s="67" t="str">
        <f t="shared" si="428"/>
        <v>PLANT</v>
      </c>
      <c r="J1275" s="480">
        <f t="shared" si="438" ref="J1275:S1275">J216</f>
        <v>8561247383.6987848</v>
      </c>
      <c r="K1275" s="480">
        <f t="shared" si="438"/>
        <v>346158106.61723006</v>
      </c>
      <c r="L1275" s="480">
        <f t="shared" si="438"/>
        <v>5334516840.2135668</v>
      </c>
      <c r="M1275" s="480">
        <f t="shared" si="438"/>
        <v>1846087.8496014741</v>
      </c>
      <c r="N1275" s="480">
        <f t="shared" si="438"/>
        <v>781357320.07869232</v>
      </c>
      <c r="O1275" s="480">
        <f t="shared" si="438"/>
        <v>71549130.302826941</v>
      </c>
      <c r="P1275" s="480">
        <f t="shared" si="438"/>
        <v>14161619.090890221</v>
      </c>
      <c r="Q1275" s="480">
        <f t="shared" si="438"/>
        <v>553657363.02774954</v>
      </c>
      <c r="R1275" s="480">
        <f t="shared" si="438"/>
        <v>8575611.084235657</v>
      </c>
      <c r="S1275" s="480">
        <f t="shared" si="438"/>
        <v>42414242.636420585</v>
      </c>
      <c r="U1275" s="50">
        <f t="shared" si="431"/>
        <v>15715483704.600002</v>
      </c>
      <c r="X1275" s="370"/>
    </row>
    <row r="1276" spans="2:24" ht="14.25">
      <c r="B1276" s="17">
        <f t="shared" si="439" ref="B1276:B1305">B1275+1</f>
        <v>65</v>
      </c>
      <c r="C1276" s="386"/>
      <c r="D1276" s="67" t="s">
        <v>783</v>
      </c>
      <c r="G1276" s="17">
        <f t="shared" si="440" ref="G1276:G1305">G1275+1</f>
        <v>65</v>
      </c>
      <c r="H1276" s="67" t="str">
        <f t="shared" si="428"/>
        <v>PLT_N XINT</v>
      </c>
      <c r="J1276" s="480">
        <f t="shared" si="441" ref="J1276:S1276">J354</f>
        <v>5363622342.5678701</v>
      </c>
      <c r="K1276" s="480">
        <f t="shared" si="441"/>
        <v>178299603.89224058</v>
      </c>
      <c r="L1276" s="480">
        <f t="shared" si="441"/>
        <v>3392106255.6211381</v>
      </c>
      <c r="M1276" s="480">
        <f t="shared" si="441"/>
        <v>1228323.3805214181</v>
      </c>
      <c r="N1276" s="480">
        <f t="shared" si="441"/>
        <v>519888295.13254416</v>
      </c>
      <c r="O1276" s="480">
        <f t="shared" si="441"/>
        <v>51537459.838426404</v>
      </c>
      <c r="P1276" s="480">
        <f t="shared" si="441"/>
        <v>9758812.8495938852</v>
      </c>
      <c r="Q1276" s="480">
        <f t="shared" si="441"/>
        <v>85613029.340844795</v>
      </c>
      <c r="R1276" s="480">
        <f t="shared" si="441"/>
        <v>6177087.1284272932</v>
      </c>
      <c r="S1276" s="480">
        <f t="shared" si="441"/>
        <v>28220978.708391689</v>
      </c>
      <c r="U1276" s="50">
        <f t="shared" si="431"/>
        <v>9636452188.4599991</v>
      </c>
      <c r="X1276" s="370"/>
    </row>
    <row r="1277" spans="2:24" ht="14.25">
      <c r="B1277" s="17">
        <f t="shared" si="439"/>
        <v>66</v>
      </c>
      <c r="C1277" s="386"/>
      <c r="D1277" s="67" t="s">
        <v>784</v>
      </c>
      <c r="G1277" s="17">
        <f t="shared" si="440"/>
        <v>66</v>
      </c>
      <c r="H1277" s="67" t="str">
        <f t="shared" si="428"/>
        <v>PLT INT_N</v>
      </c>
      <c r="J1277" s="480">
        <f t="shared" si="442" ref="J1277:S1277">J311</f>
        <v>116445993.21319775</v>
      </c>
      <c r="K1277" s="480">
        <f t="shared" si="442"/>
        <v>3870942.6463481425</v>
      </c>
      <c r="L1277" s="480">
        <f t="shared" si="442"/>
        <v>73643734.922507077</v>
      </c>
      <c r="M1277" s="480">
        <f t="shared" si="442"/>
        <v>26667.301852451274</v>
      </c>
      <c r="N1277" s="480">
        <f t="shared" si="442"/>
        <v>11286944.721324613</v>
      </c>
      <c r="O1277" s="480">
        <f t="shared" si="442"/>
        <v>1118895.0890412012</v>
      </c>
      <c r="P1277" s="480">
        <f t="shared" si="442"/>
        <v>211867.0149152652</v>
      </c>
      <c r="Q1277" s="480">
        <f t="shared" si="442"/>
        <v>1858686.8345418307</v>
      </c>
      <c r="R1277" s="480">
        <f t="shared" si="442"/>
        <v>134106.57945201403</v>
      </c>
      <c r="S1277" s="480">
        <f t="shared" si="442"/>
        <v>612686.66681962484</v>
      </c>
      <c r="U1277" s="50">
        <f t="shared" si="431"/>
        <v>209210524.99000001</v>
      </c>
      <c r="X1277" s="370"/>
    </row>
    <row r="1278" spans="2:24" ht="14.25">
      <c r="B1278" s="17">
        <f t="shared" si="439"/>
        <v>67</v>
      </c>
      <c r="C1278" s="386"/>
      <c r="D1278" s="67" t="s">
        <v>785</v>
      </c>
      <c r="G1278" s="17">
        <f t="shared" si="440"/>
        <v>67</v>
      </c>
      <c r="H1278" s="67" t="str">
        <f t="shared" si="428"/>
        <v>PLTTRAN_N</v>
      </c>
      <c r="J1278" s="480">
        <f t="shared" si="443" ref="J1278:S1278">J312</f>
        <v>149838981.79841113</v>
      </c>
      <c r="K1278" s="480">
        <f t="shared" si="443"/>
        <v>3659100.2536587236</v>
      </c>
      <c r="L1278" s="480">
        <f t="shared" si="443"/>
        <v>96477175.204770595</v>
      </c>
      <c r="M1278" s="480">
        <f t="shared" si="443"/>
        <v>54542.523817251393</v>
      </c>
      <c r="N1278" s="480">
        <f t="shared" si="443"/>
        <v>23085142.047479391</v>
      </c>
      <c r="O1278" s="480">
        <f t="shared" si="443"/>
        <v>8348389.0854238346</v>
      </c>
      <c r="P1278" s="480">
        <f t="shared" si="443"/>
        <v>0</v>
      </c>
      <c r="Q1278" s="480">
        <f t="shared" si="443"/>
        <v>973110.70985844778</v>
      </c>
      <c r="R1278" s="480">
        <f t="shared" si="443"/>
        <v>1000606.6834559967</v>
      </c>
      <c r="S1278" s="480">
        <f t="shared" si="443"/>
        <v>1253125.543124642</v>
      </c>
      <c r="U1278" s="50">
        <f t="shared" si="431"/>
        <v>284690173.84999996</v>
      </c>
      <c r="X1278" s="370"/>
    </row>
    <row r="1279" spans="2:24" ht="14.25">
      <c r="B1279" s="17">
        <f t="shared" si="439"/>
        <v>68</v>
      </c>
      <c r="C1279" s="386"/>
      <c r="D1279" s="67" t="s">
        <v>786</v>
      </c>
      <c r="G1279" s="17">
        <f t="shared" si="440"/>
        <v>68</v>
      </c>
      <c r="H1279" s="67" t="str">
        <f t="shared" si="428"/>
        <v>RATEBASE</v>
      </c>
      <c r="J1279" s="480">
        <f t="shared" si="444" ref="J1279:S1279">J595</f>
        <v>5039330953.6330776</v>
      </c>
      <c r="K1279" s="480">
        <f t="shared" si="444"/>
        <v>163542363.02431753</v>
      </c>
      <c r="L1279" s="480">
        <f t="shared" si="444"/>
        <v>3209110202.2609591</v>
      </c>
      <c r="M1279" s="480">
        <f t="shared" si="444"/>
        <v>1164678.137649382</v>
      </c>
      <c r="N1279" s="480">
        <f t="shared" si="444"/>
        <v>495487762.48416352</v>
      </c>
      <c r="O1279" s="480">
        <f t="shared" si="444"/>
        <v>49664684.273062266</v>
      </c>
      <c r="P1279" s="480">
        <f t="shared" si="444"/>
        <v>15712506.385271328</v>
      </c>
      <c r="Q1279" s="480">
        <f t="shared" si="444"/>
        <v>54974945.600608259</v>
      </c>
      <c r="R1279" s="480">
        <f t="shared" si="444"/>
        <v>5938674.9929972645</v>
      </c>
      <c r="S1279" s="480">
        <f t="shared" si="444"/>
        <v>26631178.973277412</v>
      </c>
      <c r="U1279" s="50">
        <f t="shared" si="431"/>
        <v>9061557949.7653847</v>
      </c>
      <c r="X1279" s="370"/>
    </row>
    <row r="1280" spans="2:24" ht="14.25">
      <c r="B1280" s="17">
        <f t="shared" si="439"/>
        <v>69</v>
      </c>
      <c r="C1280" s="386"/>
      <c r="D1280" s="67" t="s">
        <v>943</v>
      </c>
      <c r="G1280" s="17">
        <f t="shared" si="440"/>
        <v>69</v>
      </c>
      <c r="H1280" s="67" t="str">
        <f t="shared" si="428"/>
        <v>PLANT_xWHL</v>
      </c>
      <c r="J1280" s="480">
        <f>J1275</f>
        <v>8561247383.6987848</v>
      </c>
      <c r="K1280" s="480">
        <f t="shared" si="445" ref="K1280:Q1280">K1275</f>
        <v>346158106.61723006</v>
      </c>
      <c r="L1280" s="480">
        <f t="shared" si="445"/>
        <v>5334516840.2135668</v>
      </c>
      <c r="M1280" s="480">
        <f t="shared" si="445"/>
        <v>1846087.8496014741</v>
      </c>
      <c r="N1280" s="480">
        <f t="shared" si="445"/>
        <v>781357320.07869232</v>
      </c>
      <c r="O1280" s="480">
        <f>O1275</f>
        <v>71549130.302826941</v>
      </c>
      <c r="P1280" s="480">
        <f t="shared" si="445"/>
        <v>14161619.090890221</v>
      </c>
      <c r="Q1280" s="480">
        <f t="shared" si="445"/>
        <v>553657363.02774954</v>
      </c>
      <c r="R1280" s="18">
        <v>0</v>
      </c>
      <c r="S1280" s="18">
        <v>0</v>
      </c>
      <c r="U1280" s="50">
        <f t="shared" si="431"/>
        <v>15664493850.879345</v>
      </c>
      <c r="X1280" s="370"/>
    </row>
    <row r="1281" spans="2:24" ht="14.25">
      <c r="B1281" s="17">
        <f t="shared" si="439"/>
        <v>70</v>
      </c>
      <c r="C1281" s="386"/>
      <c r="D1281" s="67"/>
      <c r="G1281" s="17">
        <f t="shared" si="440"/>
        <v>70</v>
      </c>
      <c r="H1281" s="67"/>
      <c r="J1281" s="480"/>
      <c r="K1281" s="480"/>
      <c r="L1281" s="480"/>
      <c r="M1281" s="480"/>
      <c r="N1281" s="480"/>
      <c r="O1281" s="480"/>
      <c r="P1281" s="480"/>
      <c r="Q1281" s="480"/>
      <c r="R1281" s="480"/>
      <c r="S1281" s="480"/>
      <c r="U1281" s="233"/>
      <c r="X1281" s="370"/>
    </row>
    <row r="1282" spans="2:24" ht="14.25">
      <c r="B1282" s="17">
        <f t="shared" si="439"/>
        <v>71</v>
      </c>
      <c r="C1282" s="386"/>
      <c r="D1282" s="67" t="s">
        <v>787</v>
      </c>
      <c r="G1282" s="17">
        <f t="shared" si="440"/>
        <v>71</v>
      </c>
      <c r="H1282" s="67" t="str">
        <f t="shared" si="446" ref="H1282:H1288">VLOOKUP(G1282,FactorTable,2)</f>
        <v>DIST OPS</v>
      </c>
      <c r="J1282" s="480">
        <f t="shared" si="447" ref="J1282:S1282">J669</f>
        <v>21576904.405363318</v>
      </c>
      <c r="K1282" s="480">
        <f t="shared" si="447"/>
        <v>645559.68221661285</v>
      </c>
      <c r="L1282" s="480">
        <f t="shared" si="447"/>
        <v>13738863.279935869</v>
      </c>
      <c r="M1282" s="480">
        <f t="shared" si="447"/>
        <v>12764.560295822594</v>
      </c>
      <c r="N1282" s="480">
        <f t="shared" si="447"/>
        <v>2945683.4846548364</v>
      </c>
      <c r="O1282" s="480">
        <f t="shared" si="447"/>
        <v>399740.96527528251</v>
      </c>
      <c r="P1282" s="480">
        <f t="shared" si="447"/>
        <v>9478.5999122127068</v>
      </c>
      <c r="Q1282" s="480">
        <f t="shared" si="447"/>
        <v>135928.19264554919</v>
      </c>
      <c r="R1282" s="480">
        <f t="shared" si="447"/>
        <v>47389.587226029653</v>
      </c>
      <c r="S1282" s="480">
        <f t="shared" si="447"/>
        <v>152983.4724744737</v>
      </c>
      <c r="U1282" s="50">
        <f t="shared" si="448" ref="U1282:U1288">MAX(0.0000001,SUM(I1282:T1282))</f>
        <v>39665296.230000004</v>
      </c>
      <c r="X1282" s="370"/>
    </row>
    <row r="1283" spans="2:24" ht="14.25">
      <c r="B1283" s="17">
        <f t="shared" si="439"/>
        <v>72</v>
      </c>
      <c r="D1283" s="67" t="s">
        <v>788</v>
      </c>
      <c r="G1283" s="17">
        <f t="shared" si="440"/>
        <v>72</v>
      </c>
      <c r="H1283" s="67" t="str">
        <f t="shared" si="446"/>
        <v>DIST MAINT</v>
      </c>
      <c r="J1283" s="480">
        <f t="shared" si="449" ref="J1283:S1283">J684</f>
        <v>84385417.353153825</v>
      </c>
      <c r="K1283" s="480">
        <f t="shared" si="449"/>
        <v>2059816.9165697175</v>
      </c>
      <c r="L1283" s="480">
        <f t="shared" si="449"/>
        <v>54334594.403935835</v>
      </c>
      <c r="M1283" s="480">
        <f t="shared" si="449"/>
        <v>24320.355589239611</v>
      </c>
      <c r="N1283" s="480">
        <f t="shared" si="449"/>
        <v>10313186.887491938</v>
      </c>
      <c r="O1283" s="480">
        <f t="shared" si="449"/>
        <v>280146.18849964807</v>
      </c>
      <c r="P1283" s="480">
        <f t="shared" si="449"/>
        <v>26508.139575206591</v>
      </c>
      <c r="Q1283" s="480">
        <f t="shared" si="449"/>
        <v>10180336.987169297</v>
      </c>
      <c r="R1283" s="480">
        <f t="shared" si="449"/>
        <v>33577.429319972834</v>
      </c>
      <c r="S1283" s="480">
        <f t="shared" si="449"/>
        <v>559874.17869530374</v>
      </c>
      <c r="U1283" s="50">
        <f t="shared" si="448"/>
        <v>162197778.84</v>
      </c>
      <c r="X1283" s="370"/>
    </row>
    <row r="1284" spans="2:24" ht="14.25">
      <c r="B1284" s="17">
        <f t="shared" si="439"/>
        <v>73</v>
      </c>
      <c r="D1284" s="47" t="s">
        <v>789</v>
      </c>
      <c r="G1284" s="17">
        <f t="shared" si="440"/>
        <v>73</v>
      </c>
      <c r="H1284" s="67" t="str">
        <f t="shared" si="446"/>
        <v>CUS ACCT</v>
      </c>
      <c r="J1284" s="480">
        <f t="shared" si="450" ref="J1284:S1284">J708</f>
        <v>5989.3801506090786</v>
      </c>
      <c r="K1284" s="480">
        <f t="shared" si="450"/>
        <v>923.40817579822897</v>
      </c>
      <c r="L1284" s="480">
        <f t="shared" si="450"/>
        <v>2848.2844619391935</v>
      </c>
      <c r="M1284" s="480">
        <f t="shared" si="450"/>
        <v>39.994238536239195</v>
      </c>
      <c r="N1284" s="480">
        <f t="shared" si="450"/>
        <v>834.57202183802588</v>
      </c>
      <c r="O1284" s="480">
        <f t="shared" si="450"/>
        <v>28.519834658680111</v>
      </c>
      <c r="P1284" s="480">
        <f t="shared" si="450"/>
        <v>62.085486218511313</v>
      </c>
      <c r="Q1284" s="480">
        <f t="shared" si="450"/>
        <v>5.9703464733189131</v>
      </c>
      <c r="R1284" s="480">
        <f t="shared" si="450"/>
        <v>3.2907501529246286</v>
      </c>
      <c r="S1284" s="480">
        <f t="shared" si="450"/>
        <v>7.6845337757994994</v>
      </c>
      <c r="U1284" s="50">
        <f t="shared" si="448"/>
        <v>10743.190000000001</v>
      </c>
      <c r="X1284" s="370"/>
    </row>
    <row r="1285" spans="2:24" ht="14.25">
      <c r="B1285" s="17">
        <f t="shared" si="439"/>
        <v>74</v>
      </c>
      <c r="D1285" s="67" t="s">
        <v>947</v>
      </c>
      <c r="G1285" s="17">
        <f t="shared" si="440"/>
        <v>74</v>
      </c>
      <c r="H1285" s="67" t="str">
        <f t="shared" si="446"/>
        <v>CUS SVC INFO</v>
      </c>
      <c r="J1285" s="480">
        <f t="shared" si="451" ref="J1285:S1285">J718</f>
        <v>213142.02676213204</v>
      </c>
      <c r="K1285" s="480">
        <f t="shared" si="451"/>
        <v>19914.423396370377</v>
      </c>
      <c r="L1285" s="480">
        <f t="shared" si="451"/>
        <v>13317.799265579122</v>
      </c>
      <c r="M1285" s="480">
        <f t="shared" si="451"/>
        <v>202.85328959742645</v>
      </c>
      <c r="N1285" s="480">
        <f t="shared" si="451"/>
        <v>468.24374296626206</v>
      </c>
      <c r="O1285" s="480">
        <f t="shared" si="451"/>
        <v>8.5040076258192325</v>
      </c>
      <c r="P1285" s="480">
        <f t="shared" si="451"/>
        <v>18.512570446975715</v>
      </c>
      <c r="Q1285" s="480">
        <f t="shared" si="451"/>
        <v>3611.4557923556017</v>
      </c>
      <c r="R1285" s="480">
        <f t="shared" si="451"/>
        <v>0.98123164913298844</v>
      </c>
      <c r="S1285" s="480">
        <f t="shared" si="451"/>
        <v>3.1399412772255628</v>
      </c>
      <c r="U1285" s="50">
        <f t="shared" si="448"/>
        <v>250687.94</v>
      </c>
      <c r="X1285" s="370"/>
    </row>
    <row r="1286" spans="2:24" ht="14.25">
      <c r="B1286" s="17">
        <f t="shared" si="439"/>
        <v>75</v>
      </c>
      <c r="C1286" s="67"/>
      <c r="D1286" s="47" t="s">
        <v>790</v>
      </c>
      <c r="F1286" s="67"/>
      <c r="G1286" s="17">
        <f t="shared" si="440"/>
        <v>75</v>
      </c>
      <c r="H1286" s="67" t="str">
        <f t="shared" si="446"/>
        <v>SALES EXP</v>
      </c>
      <c r="J1286" s="480">
        <f t="shared" si="452" ref="J1286:S1286">J728</f>
        <v>0</v>
      </c>
      <c r="K1286" s="480">
        <f t="shared" si="452"/>
        <v>0</v>
      </c>
      <c r="L1286" s="480">
        <f t="shared" si="452"/>
        <v>0</v>
      </c>
      <c r="M1286" s="480">
        <f t="shared" si="452"/>
        <v>0</v>
      </c>
      <c r="N1286" s="480">
        <f t="shared" si="452"/>
        <v>0</v>
      </c>
      <c r="O1286" s="480">
        <f t="shared" si="452"/>
        <v>0</v>
      </c>
      <c r="P1286" s="480">
        <f t="shared" si="452"/>
        <v>0</v>
      </c>
      <c r="Q1286" s="480">
        <f t="shared" si="452"/>
        <v>0</v>
      </c>
      <c r="R1286" s="480">
        <f t="shared" si="452"/>
        <v>0</v>
      </c>
      <c r="S1286" s="480">
        <f t="shared" si="452"/>
        <v>0</v>
      </c>
      <c r="U1286" s="50">
        <f t="shared" si="448"/>
        <v>9.9999999999999995E-08</v>
      </c>
      <c r="X1286" s="370"/>
    </row>
    <row r="1287" spans="2:24" ht="14.25">
      <c r="B1287" s="17">
        <f t="shared" si="439"/>
        <v>76</v>
      </c>
      <c r="D1287" s="67" t="s">
        <v>791</v>
      </c>
      <c r="G1287" s="17">
        <f t="shared" si="440"/>
        <v>76</v>
      </c>
      <c r="H1287" s="67" t="str">
        <f t="shared" si="446"/>
        <v>O&amp;M</v>
      </c>
      <c r="J1287" s="480">
        <f t="shared" si="453" ref="J1287:S1287">J730</f>
        <v>925840215.37214518</v>
      </c>
      <c r="K1287" s="480">
        <f t="shared" si="453"/>
        <v>25742279.620157477</v>
      </c>
      <c r="L1287" s="480">
        <f t="shared" si="453"/>
        <v>658424844.80918574</v>
      </c>
      <c r="M1287" s="480">
        <f t="shared" si="453"/>
        <v>292078.27599808009</v>
      </c>
      <c r="N1287" s="480">
        <f t="shared" si="453"/>
        <v>160201477.1724551</v>
      </c>
      <c r="O1287" s="480">
        <f t="shared" si="453"/>
        <v>47191750.948543631</v>
      </c>
      <c r="P1287" s="480">
        <f t="shared" si="453"/>
        <v>137853749.51531971</v>
      </c>
      <c r="Q1287" s="480">
        <f t="shared" si="453"/>
        <v>10960812.836179461</v>
      </c>
      <c r="R1287" s="480">
        <f t="shared" si="453"/>
        <v>214708.05088728434</v>
      </c>
      <c r="S1287" s="480">
        <f t="shared" si="453"/>
        <v>1148515.7991283389</v>
      </c>
      <c r="U1287" s="50">
        <f t="shared" si="448"/>
        <v>1967870432.3999999</v>
      </c>
      <c r="X1287" s="370"/>
    </row>
    <row r="1288" spans="2:24" ht="14.25">
      <c r="B1288" s="17">
        <f t="shared" si="439"/>
        <v>77</v>
      </c>
      <c r="D1288" s="67" t="s">
        <v>792</v>
      </c>
      <c r="G1288" s="17">
        <f t="shared" si="440"/>
        <v>77</v>
      </c>
      <c r="H1288" s="67" t="str">
        <f t="shared" si="446"/>
        <v>O&amp;M x565</v>
      </c>
      <c r="J1288" s="480">
        <f t="shared" si="454" ref="J1288:S1288">J731</f>
        <v>167652002.84369707</v>
      </c>
      <c r="K1288" s="480">
        <f t="shared" si="454"/>
        <v>4549662.4225314111</v>
      </c>
      <c r="L1288" s="480">
        <f t="shared" si="454"/>
        <v>107249381.22086382</v>
      </c>
      <c r="M1288" s="480">
        <f t="shared" si="454"/>
        <v>72882.239657026017</v>
      </c>
      <c r="N1288" s="480">
        <f t="shared" si="454"/>
        <v>21630937.46646443</v>
      </c>
      <c r="O1288" s="480">
        <f t="shared" si="454"/>
        <v>1807441.8650544584</v>
      </c>
      <c r="P1288" s="480">
        <f t="shared" si="454"/>
        <v>62066.215536922216</v>
      </c>
      <c r="Q1288" s="480">
        <f t="shared" si="454"/>
        <v>10960812.836179461</v>
      </c>
      <c r="R1288" s="480">
        <f t="shared" si="454"/>
        <v>214708.05088728434</v>
      </c>
      <c r="S1288" s="480">
        <f t="shared" si="454"/>
        <v>1148515.7991283389</v>
      </c>
      <c r="U1288" s="50">
        <f t="shared" si="448"/>
        <v>315348410.96000034</v>
      </c>
      <c r="X1288" s="370"/>
    </row>
    <row r="1289" spans="2:24" ht="14.25">
      <c r="B1289" s="17">
        <f t="shared" si="439"/>
        <v>78</v>
      </c>
      <c r="G1289" s="17">
        <f t="shared" si="440"/>
        <v>78</v>
      </c>
      <c r="U1289" s="233"/>
      <c r="X1289" s="370"/>
    </row>
    <row r="1290" spans="2:24" ht="14.25">
      <c r="B1290" s="17">
        <f t="shared" si="439"/>
        <v>79</v>
      </c>
      <c r="D1290" s="67"/>
      <c r="G1290" s="17">
        <f t="shared" si="440"/>
        <v>79</v>
      </c>
      <c r="H1290" s="67"/>
      <c r="J1290" s="480"/>
      <c r="K1290" s="480"/>
      <c r="L1290" s="480"/>
      <c r="M1290" s="480"/>
      <c r="N1290" s="480"/>
      <c r="O1290" s="480"/>
      <c r="P1290" s="480"/>
      <c r="Q1290" s="480"/>
      <c r="R1290" s="480"/>
      <c r="S1290" s="480"/>
      <c r="U1290" s="233"/>
      <c r="X1290" s="370"/>
    </row>
    <row r="1291" spans="2:24" ht="14.25">
      <c r="B1291" s="17">
        <f t="shared" si="439"/>
        <v>80</v>
      </c>
      <c r="D1291" s="67" t="s">
        <v>793</v>
      </c>
      <c r="G1291" s="17">
        <f t="shared" si="440"/>
        <v>80</v>
      </c>
      <c r="H1291" s="67" t="str">
        <f t="shared" si="455" ref="H1291:H1299">VLOOKUP(G1291,FactorTable,2)</f>
        <v>PAY TR OPS</v>
      </c>
      <c r="J1291" s="480">
        <f t="shared" si="456" ref="J1291:S1291">J791</f>
        <v>306077.39438831492</v>
      </c>
      <c r="K1291" s="480">
        <f t="shared" si="456"/>
        <v>7474.4759875120853</v>
      </c>
      <c r="L1291" s="480">
        <f t="shared" si="456"/>
        <v>197074.76686106424</v>
      </c>
      <c r="M1291" s="480">
        <f t="shared" si="456"/>
        <v>111.41448889319626</v>
      </c>
      <c r="N1291" s="480">
        <f t="shared" si="456"/>
        <v>47156.220912411103</v>
      </c>
      <c r="O1291" s="480">
        <f t="shared" si="456"/>
        <v>17053.327164516748</v>
      </c>
      <c r="P1291" s="480">
        <f t="shared" si="456"/>
        <v>0</v>
      </c>
      <c r="Q1291" s="480">
        <f t="shared" si="456"/>
        <v>1987.7817304281462</v>
      </c>
      <c r="R1291" s="480">
        <f t="shared" si="456"/>
        <v>2043.9479954007034</v>
      </c>
      <c r="S1291" s="480">
        <f t="shared" si="456"/>
        <v>2559.7704714588467</v>
      </c>
      <c r="U1291" s="50">
        <f t="shared" si="457" ref="U1291:U1299">MAX(0.0000001,SUM(I1291:T1291))</f>
        <v>581539.09999999998</v>
      </c>
      <c r="X1291" s="370"/>
    </row>
    <row r="1292" spans="2:24" ht="14.25">
      <c r="B1292" s="17">
        <f t="shared" si="439"/>
        <v>81</v>
      </c>
      <c r="D1292" s="67" t="s">
        <v>794</v>
      </c>
      <c r="G1292" s="17">
        <f t="shared" si="440"/>
        <v>81</v>
      </c>
      <c r="H1292" s="67" t="str">
        <f t="shared" si="455"/>
        <v>PAY TR MNT</v>
      </c>
      <c r="J1292" s="480">
        <f t="shared" si="458" ref="J1292:S1292">J802</f>
        <v>40098.32706320416</v>
      </c>
      <c r="K1292" s="480">
        <f t="shared" si="458"/>
        <v>979.20979552342806</v>
      </c>
      <c r="L1292" s="480">
        <f t="shared" si="458"/>
        <v>25818.203507946982</v>
      </c>
      <c r="M1292" s="480">
        <f t="shared" si="458"/>
        <v>14.596094638571152</v>
      </c>
      <c r="N1292" s="480">
        <f t="shared" si="458"/>
        <v>6177.8020980263418</v>
      </c>
      <c r="O1292" s="480">
        <f t="shared" si="458"/>
        <v>2234.1077867746062</v>
      </c>
      <c r="P1292" s="480">
        <f t="shared" si="458"/>
        <v>0</v>
      </c>
      <c r="Q1292" s="480">
        <f t="shared" si="458"/>
        <v>260.41361896804193</v>
      </c>
      <c r="R1292" s="480">
        <f t="shared" si="458"/>
        <v>267.77180125814238</v>
      </c>
      <c r="S1292" s="480">
        <f t="shared" si="458"/>
        <v>335.34823365971425</v>
      </c>
      <c r="U1292" s="50">
        <f t="shared" si="457"/>
        <v>76185.779999999984</v>
      </c>
      <c r="X1292" s="370"/>
    </row>
    <row r="1293" spans="1:24" ht="14.25">
      <c r="A1293" t="s">
        <v>0</v>
      </c>
      <c r="B1293" s="17">
        <f t="shared" si="439"/>
        <v>82</v>
      </c>
      <c r="D1293" s="67" t="s">
        <v>795</v>
      </c>
      <c r="G1293" s="17">
        <f t="shared" si="440"/>
        <v>82</v>
      </c>
      <c r="H1293" s="67" t="str">
        <f t="shared" si="455"/>
        <v>PAY DISTR OPS</v>
      </c>
      <c r="J1293" s="480">
        <f t="shared" si="459" ref="J1293:S1293">J830</f>
        <v>32334323.582551792</v>
      </c>
      <c r="K1293" s="480">
        <f t="shared" si="459"/>
        <v>1007424.7207085838</v>
      </c>
      <c r="L1293" s="480">
        <f t="shared" si="459"/>
        <v>20536629.354625937</v>
      </c>
      <c r="M1293" s="480">
        <f t="shared" si="459"/>
        <v>21301.392779101374</v>
      </c>
      <c r="N1293" s="480">
        <f t="shared" si="459"/>
        <v>4505377.9830065053</v>
      </c>
      <c r="O1293" s="480">
        <f t="shared" si="459"/>
        <v>789305.7810713714</v>
      </c>
      <c r="P1293" s="480">
        <f t="shared" si="459"/>
        <v>17400.922392054203</v>
      </c>
      <c r="Q1293" s="480">
        <f t="shared" si="459"/>
        <v>201638.4770782674</v>
      </c>
      <c r="R1293" s="480">
        <f t="shared" si="459"/>
        <v>93645.184216726295</v>
      </c>
      <c r="S1293" s="480">
        <f t="shared" si="459"/>
        <v>231867.21156966334</v>
      </c>
      <c r="U1293" s="50">
        <f t="shared" si="457"/>
        <v>59738914.610000007</v>
      </c>
      <c r="X1293" s="370"/>
    </row>
    <row r="1294" spans="2:24" ht="14.25">
      <c r="B1294" s="17">
        <f t="shared" si="439"/>
        <v>83</v>
      </c>
      <c r="D1294" s="67" t="s">
        <v>796</v>
      </c>
      <c r="G1294" s="17">
        <f t="shared" si="440"/>
        <v>83</v>
      </c>
      <c r="H1294" s="67" t="str">
        <f t="shared" si="455"/>
        <v>PAY DISTR MNT</v>
      </c>
      <c r="J1294" s="480">
        <f t="shared" si="460" ref="J1294:S1294">J845</f>
        <v>29692167.84758513</v>
      </c>
      <c r="K1294" s="480">
        <f t="shared" si="460"/>
        <v>725088.65856854699</v>
      </c>
      <c r="L1294" s="480">
        <f t="shared" si="460"/>
        <v>19117966.095481765</v>
      </c>
      <c r="M1294" s="480">
        <f t="shared" si="460"/>
        <v>8610.7127922077889</v>
      </c>
      <c r="N1294" s="480">
        <f t="shared" si="460"/>
        <v>3644497.7881931695</v>
      </c>
      <c r="O1294" s="480">
        <f t="shared" si="460"/>
        <v>183913.05562845117</v>
      </c>
      <c r="P1294" s="480">
        <f t="shared" si="460"/>
        <v>11486.785199145717</v>
      </c>
      <c r="Q1294" s="480">
        <f t="shared" si="460"/>
        <v>458088.04189755215</v>
      </c>
      <c r="R1294" s="480">
        <f t="shared" si="460"/>
        <v>22043.130891063218</v>
      </c>
      <c r="S1294" s="480">
        <f t="shared" si="460"/>
        <v>197833.47376295913</v>
      </c>
      <c r="U1294" s="50">
        <f t="shared" si="457"/>
        <v>54061695.589999981</v>
      </c>
      <c r="X1294" s="370"/>
    </row>
    <row r="1295" spans="2:24" ht="14.25">
      <c r="B1295" s="17">
        <f t="shared" si="439"/>
        <v>84</v>
      </c>
      <c r="D1295" s="67" t="s">
        <v>797</v>
      </c>
      <c r="G1295" s="17">
        <f t="shared" si="440"/>
        <v>84</v>
      </c>
      <c r="H1295" s="67" t="str">
        <f t="shared" si="455"/>
        <v>PAY CUS ACCT</v>
      </c>
      <c r="J1295" s="480">
        <f t="shared" si="461" ref="J1295:S1295">J867</f>
        <v>5984.0838548690999</v>
      </c>
      <c r="K1295" s="480">
        <f t="shared" si="461"/>
        <v>922.59162338967224</v>
      </c>
      <c r="L1295" s="480">
        <f t="shared" si="461"/>
        <v>2845.7657777877989</v>
      </c>
      <c r="M1295" s="480">
        <f t="shared" si="461"/>
        <v>39.958872386511388</v>
      </c>
      <c r="N1295" s="480">
        <f t="shared" si="461"/>
        <v>833.83402556248188</v>
      </c>
      <c r="O1295" s="480">
        <f t="shared" si="461"/>
        <v>28.49461510757309</v>
      </c>
      <c r="P1295" s="480">
        <f t="shared" si="461"/>
        <v>62.030585195716796</v>
      </c>
      <c r="Q1295" s="480">
        <f t="shared" si="461"/>
        <v>5.9650670087002542</v>
      </c>
      <c r="R1295" s="480">
        <f t="shared" si="461"/>
        <v>3.2878402047199717</v>
      </c>
      <c r="S1295" s="480">
        <f t="shared" si="461"/>
        <v>7.6777384877267671</v>
      </c>
      <c r="U1295" s="50">
        <f t="shared" si="457"/>
        <v>10733.690000000001</v>
      </c>
      <c r="X1295" s="370"/>
    </row>
    <row r="1296" spans="2:24" ht="14.25">
      <c r="B1296" s="17">
        <f t="shared" si="439"/>
        <v>85</v>
      </c>
      <c r="D1296" s="67" t="s">
        <v>798</v>
      </c>
      <c r="G1296" s="17">
        <f t="shared" si="440"/>
        <v>85</v>
      </c>
      <c r="H1296" s="67" t="str">
        <f t="shared" si="455"/>
        <v>PAY CUS SV INF</v>
      </c>
      <c r="J1296" s="480">
        <f t="shared" si="462" ref="J1296:S1296">J880</f>
        <v>0</v>
      </c>
      <c r="K1296" s="480">
        <f t="shared" si="462"/>
        <v>0</v>
      </c>
      <c r="L1296" s="480">
        <f t="shared" si="462"/>
        <v>0</v>
      </c>
      <c r="M1296" s="480">
        <f t="shared" si="462"/>
        <v>0</v>
      </c>
      <c r="N1296" s="480">
        <f t="shared" si="462"/>
        <v>0</v>
      </c>
      <c r="O1296" s="480">
        <f t="shared" si="462"/>
        <v>0</v>
      </c>
      <c r="P1296" s="480">
        <f t="shared" si="462"/>
        <v>0</v>
      </c>
      <c r="Q1296" s="480">
        <f t="shared" si="462"/>
        <v>0</v>
      </c>
      <c r="R1296" s="480">
        <f t="shared" si="462"/>
        <v>0</v>
      </c>
      <c r="S1296" s="480">
        <f t="shared" si="462"/>
        <v>0</v>
      </c>
      <c r="U1296" s="50">
        <f>SUM(I1296:T1296)</f>
        <v>0</v>
      </c>
      <c r="X1296" s="370"/>
    </row>
    <row r="1297" spans="2:24" ht="14.25">
      <c r="B1297" s="17">
        <f t="shared" si="439"/>
        <v>86</v>
      </c>
      <c r="D1297" s="67" t="s">
        <v>799</v>
      </c>
      <c r="G1297" s="17">
        <f t="shared" si="440"/>
        <v>86</v>
      </c>
      <c r="H1297" s="67" t="str">
        <f t="shared" si="455"/>
        <v>PAY SALES</v>
      </c>
      <c r="J1297" s="480">
        <f t="shared" si="463" ref="J1297:S1297">J892</f>
        <v>0</v>
      </c>
      <c r="K1297" s="480">
        <f t="shared" si="463"/>
        <v>0</v>
      </c>
      <c r="L1297" s="480">
        <f t="shared" si="463"/>
        <v>0</v>
      </c>
      <c r="M1297" s="480">
        <f t="shared" si="463"/>
        <v>0</v>
      </c>
      <c r="N1297" s="480">
        <f t="shared" si="463"/>
        <v>0</v>
      </c>
      <c r="O1297" s="480">
        <f t="shared" si="463"/>
        <v>0</v>
      </c>
      <c r="P1297" s="480">
        <f t="shared" si="463"/>
        <v>0</v>
      </c>
      <c r="Q1297" s="480">
        <f t="shared" si="463"/>
        <v>0</v>
      </c>
      <c r="R1297" s="480">
        <f t="shared" si="463"/>
        <v>0</v>
      </c>
      <c r="S1297" s="480">
        <f t="shared" si="463"/>
        <v>0</v>
      </c>
      <c r="U1297" s="50">
        <f t="shared" si="457"/>
        <v>9.9999999999999995E-08</v>
      </c>
      <c r="X1297" s="370"/>
    </row>
    <row r="1298" spans="2:24" ht="14.25">
      <c r="B1298" s="17">
        <f t="shared" si="439"/>
        <v>87</v>
      </c>
      <c r="D1298" s="47" t="s">
        <v>800</v>
      </c>
      <c r="G1298" s="17">
        <f t="shared" si="440"/>
        <v>87</v>
      </c>
      <c r="H1298" s="67" t="str">
        <f t="shared" si="455"/>
        <v>PAYROLL XAG</v>
      </c>
      <c r="J1298" s="480">
        <f t="shared" si="464" ref="J1298:S1298">J902</f>
        <v>66478181.568338417</v>
      </c>
      <c r="K1298" s="480">
        <f t="shared" si="464"/>
        <v>1862038.9482578265</v>
      </c>
      <c r="L1298" s="480">
        <f t="shared" si="464"/>
        <v>42493915.284457333</v>
      </c>
      <c r="M1298" s="480">
        <f t="shared" si="464"/>
        <v>32369.130403635423</v>
      </c>
      <c r="N1298" s="480">
        <f t="shared" si="464"/>
        <v>8758792.906829454</v>
      </c>
      <c r="O1298" s="480">
        <f t="shared" si="464"/>
        <v>1075600.0994645236</v>
      </c>
      <c r="P1298" s="480">
        <f t="shared" si="464"/>
        <v>30958.784350528684</v>
      </c>
      <c r="Q1298" s="480">
        <f t="shared" si="464"/>
        <v>697263.249805331</v>
      </c>
      <c r="R1298" s="480">
        <f t="shared" si="464"/>
        <v>127871.12108130367</v>
      </c>
      <c r="S1298" s="480">
        <f t="shared" si="464"/>
        <v>461548.80701163516</v>
      </c>
      <c r="U1298" s="50">
        <f t="shared" si="457"/>
        <v>122018539.89999999</v>
      </c>
      <c r="X1298" s="370"/>
    </row>
    <row r="1299" spans="2:24" ht="14.25">
      <c r="B1299" s="17">
        <f t="shared" si="439"/>
        <v>88</v>
      </c>
      <c r="D1299" s="67" t="s">
        <v>713</v>
      </c>
      <c r="G1299" s="17">
        <f t="shared" si="440"/>
        <v>88</v>
      </c>
      <c r="H1299" s="67" t="str">
        <f t="shared" si="455"/>
        <v>PAYROLL</v>
      </c>
      <c r="J1299" s="480">
        <f t="shared" si="465" ref="J1299:S1299">J934</f>
        <v>92864672.335052758</v>
      </c>
      <c r="K1299" s="480">
        <f t="shared" si="465"/>
        <v>2582442.465247185</v>
      </c>
      <c r="L1299" s="480">
        <f t="shared" si="465"/>
        <v>59368551.667050406</v>
      </c>
      <c r="M1299" s="480">
        <f t="shared" si="465"/>
        <v>43693.738940842828</v>
      </c>
      <c r="N1299" s="480">
        <f t="shared" si="465"/>
        <v>12140441.207212703</v>
      </c>
      <c r="O1299" s="480">
        <f t="shared" si="465"/>
        <v>1359237.4207259538</v>
      </c>
      <c r="P1299" s="480">
        <f t="shared" si="465"/>
        <v>41757.365102757343</v>
      </c>
      <c r="Q1299" s="480">
        <f t="shared" si="465"/>
        <v>2387244.8620820427</v>
      </c>
      <c r="R1299" s="480">
        <f t="shared" si="465"/>
        <v>161571.99173989601</v>
      </c>
      <c r="S1299" s="480">
        <f t="shared" si="465"/>
        <v>641182.49684541998</v>
      </c>
      <c r="U1299" s="50">
        <f t="shared" si="457"/>
        <v>171590795.54999998</v>
      </c>
      <c r="X1299" s="370"/>
    </row>
    <row r="1300" spans="2:24" ht="14.25">
      <c r="B1300" s="17">
        <f t="shared" si="439"/>
        <v>89</v>
      </c>
      <c r="D1300" s="67"/>
      <c r="G1300" s="17">
        <f t="shared" si="440"/>
        <v>89</v>
      </c>
      <c r="H1300" s="67"/>
      <c r="J1300" s="480"/>
      <c r="K1300" s="480"/>
      <c r="L1300" s="480"/>
      <c r="M1300" s="480"/>
      <c r="N1300" s="480"/>
      <c r="O1300" s="480"/>
      <c r="P1300" s="480"/>
      <c r="Q1300" s="480"/>
      <c r="R1300" s="480"/>
      <c r="S1300" s="480"/>
      <c r="U1300" s="233"/>
      <c r="X1300" s="370"/>
    </row>
    <row r="1301" spans="2:24" ht="14.25">
      <c r="B1301" s="17">
        <f t="shared" si="439"/>
        <v>90</v>
      </c>
      <c r="G1301" s="17">
        <f t="shared" si="440"/>
        <v>90</v>
      </c>
      <c r="J1301" s="480"/>
      <c r="K1301" s="480"/>
      <c r="L1301" s="480"/>
      <c r="M1301" s="480"/>
      <c r="N1301" s="480"/>
      <c r="O1301" s="480"/>
      <c r="P1301" s="480"/>
      <c r="Q1301" s="480"/>
      <c r="R1301" s="480"/>
      <c r="S1301" s="480"/>
      <c r="U1301" s="50">
        <f>SUM(I1301:T1301)</f>
        <v>0</v>
      </c>
      <c r="X1301" s="370"/>
    </row>
    <row r="1302" spans="2:24" ht="14.25">
      <c r="B1302" s="17">
        <f t="shared" si="439"/>
        <v>91</v>
      </c>
      <c r="D1302" s="67" t="s">
        <v>801</v>
      </c>
      <c r="G1302" s="17">
        <f t="shared" si="440"/>
        <v>91</v>
      </c>
      <c r="H1302" s="67" t="str">
        <f>VLOOKUP(G1302,FactorTable,2)</f>
        <v>TAX INC</v>
      </c>
      <c r="J1302" s="480">
        <f t="shared" si="466" ref="J1302:Q1302">J1110</f>
        <v>218886266.59625003</v>
      </c>
      <c r="K1302" s="480">
        <f t="shared" si="466"/>
        <v>7107295.2723136852</v>
      </c>
      <c r="L1302" s="480">
        <f t="shared" si="466"/>
        <v>139234795.99888557</v>
      </c>
      <c r="M1302" s="480">
        <f t="shared" si="466"/>
        <v>50627.2185182268</v>
      </c>
      <c r="N1302" s="480">
        <f t="shared" si="466"/>
        <v>21530068.484978851</v>
      </c>
      <c r="O1302" s="480">
        <f>O1110</f>
        <v>2164060.8548416127</v>
      </c>
      <c r="P1302" s="480">
        <f t="shared" si="466"/>
        <v>685014.37305540196</v>
      </c>
      <c r="Q1302" s="480">
        <f t="shared" si="466"/>
        <v>2367987.7964707813</v>
      </c>
      <c r="R1302" s="480">
        <f>R1110</f>
        <v>258166.72191946977</v>
      </c>
      <c r="S1302" s="480">
        <f>S1110</f>
        <v>1156011.9112258139</v>
      </c>
      <c r="U1302" s="50">
        <f>MAX(0.0000001,SUM(I1302:T1302))</f>
        <v>393440295.22845936</v>
      </c>
      <c r="X1302" s="370"/>
    </row>
    <row r="1303" spans="2:24" ht="14.25">
      <c r="B1303" s="17">
        <f t="shared" si="439"/>
        <v>92</v>
      </c>
      <c r="D1303" s="67" t="s">
        <v>802</v>
      </c>
      <c r="G1303" s="17">
        <f t="shared" si="440"/>
        <v>92</v>
      </c>
      <c r="H1303" s="67" t="str">
        <f>VLOOKUP(G1303,FactorTable,2)</f>
        <v>RCOS x565</v>
      </c>
      <c r="J1303" s="480">
        <f t="shared" si="467" ref="J1303:Q1303">J1192</f>
        <v>1241400990.255132</v>
      </c>
      <c r="K1303" s="480">
        <f t="shared" si="467"/>
        <v>43085358.204546802</v>
      </c>
      <c r="L1303" s="480">
        <f t="shared" si="467"/>
        <v>831421329.47019529</v>
      </c>
      <c r="M1303" s="480">
        <f t="shared" si="467"/>
        <v>313934.92447269248</v>
      </c>
      <c r="N1303" s="480">
        <f t="shared" si="467"/>
        <v>135707233.39295957</v>
      </c>
      <c r="O1303" s="480">
        <f>O1192</f>
        <v>13522800.824585639</v>
      </c>
      <c r="P1303" s="480">
        <f t="shared" si="467"/>
        <v>24644627.200129159</v>
      </c>
      <c r="Q1303" s="480">
        <f t="shared" si="467"/>
        <v>60200273.585106522</v>
      </c>
      <c r="R1303" s="18">
        <v>0</v>
      </c>
      <c r="S1303" s="18">
        <v>0</v>
      </c>
      <c r="T1303" s="386" t="s">
        <v>0</v>
      </c>
      <c r="U1303" s="50">
        <f>MAX(0.0000001,SUM(I1303:T1303))</f>
        <v>2350296547.8571272</v>
      </c>
      <c r="X1303" s="370"/>
    </row>
    <row r="1304" spans="2:21" ht="14.25">
      <c r="B1304" s="17">
        <f t="shared" si="439"/>
        <v>93</v>
      </c>
      <c r="G1304" s="17">
        <f t="shared" si="440"/>
        <v>93</v>
      </c>
      <c r="U1304" s="233"/>
    </row>
    <row r="1305" spans="2:21" ht="14.25">
      <c r="B1305" s="17">
        <f t="shared" si="439"/>
        <v>94</v>
      </c>
      <c r="G1305" s="17">
        <f t="shared" si="440"/>
        <v>94</v>
      </c>
      <c r="U1305" s="233"/>
    </row>
    <row r="1306" spans="8:21" ht="15" thickBot="1">
      <c r="H1306" s="134"/>
      <c r="U1306" s="134"/>
    </row>
    <row r="1307" spans="1:21" ht="15">
      <c r="A1307" s="67"/>
      <c r="B1307" s="920" t="str">
        <f>+$B$4</f>
        <v>2022 RATE CASE</v>
      </c>
      <c r="C1307" s="935"/>
      <c r="D1307" s="620"/>
      <c r="F1307" s="12"/>
      <c r="U1307" s="134"/>
    </row>
    <row r="1308" spans="1:23" ht="15">
      <c r="A1308" s="67"/>
      <c r="B1308" s="917" t="str">
        <f>+$B$5</f>
        <v>ONCOR ELECTRIC DELIVERY COMPANY LLC</v>
      </c>
      <c r="C1308" s="8"/>
      <c r="D1308" s="621"/>
      <c r="F1308" s="12"/>
      <c r="U1308" s="134"/>
      <c r="V1308" s="67"/>
      <c r="W1308" s="67"/>
    </row>
    <row r="1309" spans="1:23" ht="15">
      <c r="A1309" s="67"/>
      <c r="B1309" s="917" t="str">
        <f>B1202</f>
        <v>II-I-2-DIST:  CLASS ALLOCATION FACTORS</v>
      </c>
      <c r="C1309" s="85"/>
      <c r="D1309" s="621"/>
      <c r="F1309" s="12"/>
      <c r="U1309" s="12"/>
      <c r="V1309" s="67"/>
      <c r="W1309" s="67"/>
    </row>
    <row r="1310" spans="1:23" ht="15">
      <c r="A1310" s="67"/>
      <c r="B1310" s="406" t="str">
        <f>+$B$7</f>
        <v>TEST YEAR ENDING 12/31/2021</v>
      </c>
      <c r="C1310" s="85"/>
      <c r="D1310" s="621"/>
      <c r="F1310" s="12"/>
      <c r="U1310" s="12"/>
      <c r="V1310" s="67"/>
      <c r="W1310" s="67"/>
    </row>
    <row r="1311" spans="1:23" ht="15">
      <c r="A1311" s="67"/>
      <c r="B1311" s="406" t="str">
        <f>+$B$8</f>
        <v>SPONSOR:  MATTHEW A. TROXLE</v>
      </c>
      <c r="C1311" s="85"/>
      <c r="D1311" s="621"/>
      <c r="F1311" s="12"/>
      <c r="U1311" s="12"/>
      <c r="V1311" s="67"/>
      <c r="W1311" s="67"/>
    </row>
    <row r="1312" spans="1:23" ht="15.75" thickBot="1">
      <c r="A1312" s="67"/>
      <c r="B1312" s="410"/>
      <c r="C1312" s="85"/>
      <c r="D1312" s="621"/>
      <c r="F1312" s="12"/>
      <c r="U1312" s="12"/>
      <c r="V1312" s="67"/>
      <c r="W1312" s="67"/>
    </row>
    <row r="1313" spans="1:23" ht="15.75" thickBot="1">
      <c r="A1313" s="67"/>
      <c r="B1313" s="396"/>
      <c r="C1313" s="470"/>
      <c r="D1313" s="471"/>
      <c r="E1313" s="471"/>
      <c r="F1313" s="237"/>
      <c r="G1313" s="238"/>
      <c r="H1313" s="438" t="str">
        <f>F$11</f>
        <v>DIST</v>
      </c>
      <c r="I1313" s="14"/>
      <c r="J1313" s="238"/>
      <c r="K1313" s="238"/>
      <c r="L1313" s="14"/>
      <c r="M1313" s="14"/>
      <c r="N1313" s="238"/>
      <c r="O1313" s="238"/>
      <c r="P1313" s="238"/>
      <c r="Q1313" s="14"/>
      <c r="R1313" s="393" t="str">
        <f>R$10</f>
        <v xml:space="preserve"> </v>
      </c>
      <c r="S1313" s="394"/>
      <c r="T1313" s="238"/>
      <c r="U1313" s="13"/>
      <c r="V1313" s="67"/>
      <c r="W1313" s="67"/>
    </row>
    <row r="1314" spans="1:23" ht="15">
      <c r="A1314" s="67"/>
      <c r="B1314" s="235" t="s">
        <v>2</v>
      </c>
      <c r="C1314" s="235"/>
      <c r="D1314" s="472" t="s">
        <v>803</v>
      </c>
      <c r="E1314" s="395"/>
      <c r="F1314" s="242"/>
      <c r="G1314" s="242" t="s">
        <v>741</v>
      </c>
      <c r="H1314" s="242" t="s">
        <v>376</v>
      </c>
      <c r="I1314" s="15"/>
      <c r="J1314" s="242" t="s">
        <v>730</v>
      </c>
      <c r="K1314" s="242" t="s">
        <v>409</v>
      </c>
      <c r="L1314" s="15" t="s">
        <v>409</v>
      </c>
      <c r="M1314" s="15" t="s">
        <v>410</v>
      </c>
      <c r="N1314" s="242" t="s">
        <v>410</v>
      </c>
      <c r="O1314" s="242" t="s">
        <v>410</v>
      </c>
      <c r="P1314" s="242" t="s">
        <v>411</v>
      </c>
      <c r="Q1314" s="15" t="s">
        <v>412</v>
      </c>
      <c r="R1314" s="396" t="str">
        <f>R$11</f>
        <v>Wholesale</v>
      </c>
      <c r="S1314" s="13" t="str">
        <f>S$11</f>
        <v>Wholesale</v>
      </c>
      <c r="T1314" s="242"/>
      <c r="U1314" s="15" t="s">
        <v>10</v>
      </c>
      <c r="V1314" s="67"/>
      <c r="W1314" s="67"/>
    </row>
    <row r="1315" spans="1:23" ht="14.25">
      <c r="A1315" s="67"/>
      <c r="B1315" s="235"/>
      <c r="C1315" s="235"/>
      <c r="D1315" s="395"/>
      <c r="E1315" s="395"/>
      <c r="F1315" s="242"/>
      <c r="G1315" s="242" t="s">
        <v>742</v>
      </c>
      <c r="H1315" s="242" t="s">
        <v>743</v>
      </c>
      <c r="I1315" s="15"/>
      <c r="J1315" s="242"/>
      <c r="K1315" s="242" t="s">
        <v>731</v>
      </c>
      <c r="L1315" s="15" t="s">
        <v>732</v>
      </c>
      <c r="M1315" s="15" t="s">
        <v>731</v>
      </c>
      <c r="N1315" s="242" t="s">
        <v>732</v>
      </c>
      <c r="O1315" s="242" t="s">
        <v>414</v>
      </c>
      <c r="P1315" s="242"/>
      <c r="Q1315" s="15"/>
      <c r="R1315" s="235" t="str">
        <f>R$12</f>
        <v>XFMR</v>
      </c>
      <c r="S1315" s="15" t="str">
        <f>S$12</f>
        <v>DLS</v>
      </c>
      <c r="T1315" s="242"/>
      <c r="U1315" s="15"/>
      <c r="V1315" s="67"/>
      <c r="W1315" s="67"/>
    </row>
    <row r="1316" spans="1:23" ht="15" thickBot="1">
      <c r="A1316" s="67"/>
      <c r="B1316" s="243"/>
      <c r="C1316" s="243"/>
      <c r="D1316" s="473" t="s">
        <v>13</v>
      </c>
      <c r="E1316" s="473"/>
      <c r="F1316" s="245"/>
      <c r="G1316" s="245" t="s">
        <v>14</v>
      </c>
      <c r="H1316" s="16" t="s">
        <v>15</v>
      </c>
      <c r="I1316" s="16"/>
      <c r="J1316" s="243" t="str">
        <f t="shared" si="468" ref="J1316:Q1316">J$13</f>
        <v>(d)</v>
      </c>
      <c r="K1316" s="243" t="str">
        <f t="shared" si="468"/>
        <v>(e)</v>
      </c>
      <c r="L1316" s="16" t="str">
        <f t="shared" si="468"/>
        <v>(f)</v>
      </c>
      <c r="M1316" s="16" t="str">
        <f t="shared" si="468"/>
        <v>(g)</v>
      </c>
      <c r="N1316" s="243" t="str">
        <f t="shared" si="468"/>
        <v>(h)</v>
      </c>
      <c r="O1316" s="243" t="str">
        <f>O$13</f>
        <v>(i)</v>
      </c>
      <c r="P1316" s="243" t="str">
        <f t="shared" si="468"/>
        <v>(j)</v>
      </c>
      <c r="Q1316" s="243" t="str">
        <f t="shared" si="468"/>
        <v>(k)</v>
      </c>
      <c r="R1316" s="243" t="str">
        <f>R$13</f>
        <v>(l)</v>
      </c>
      <c r="S1316" s="16" t="str">
        <f>S$13</f>
        <v>(m)</v>
      </c>
      <c r="T1316" s="16"/>
      <c r="U1316" s="16" t="s">
        <v>734</v>
      </c>
      <c r="V1316" s="67"/>
      <c r="W1316" s="67"/>
    </row>
    <row r="1317" spans="2:21" ht="14.25">
      <c r="B1317" s="1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U1317" s="233"/>
    </row>
    <row r="1318" spans="2:21" ht="14.25">
      <c r="B1318" s="17"/>
      <c r="G1318" s="17">
        <f>0</f>
        <v>0</v>
      </c>
      <c r="H1318" s="67">
        <v>-1</v>
      </c>
      <c r="I1318" s="67">
        <f t="shared" si="469" ref="I1318:Q1318">H1318+1</f>
        <v>0</v>
      </c>
      <c r="J1318" s="67">
        <f>I1318+1</f>
        <v>1</v>
      </c>
      <c r="K1318" s="67">
        <f t="shared" si="469"/>
        <v>2</v>
      </c>
      <c r="L1318" s="67">
        <f t="shared" si="469"/>
        <v>3</v>
      </c>
      <c r="M1318" s="67">
        <f t="shared" si="469"/>
        <v>4</v>
      </c>
      <c r="N1318" s="67">
        <f t="shared" si="469"/>
        <v>5</v>
      </c>
      <c r="O1318" s="67">
        <f t="shared" si="469"/>
        <v>6</v>
      </c>
      <c r="P1318" s="67">
        <f t="shared" si="469"/>
        <v>7</v>
      </c>
      <c r="Q1318" s="67">
        <f t="shared" si="469"/>
        <v>8</v>
      </c>
      <c r="R1318" s="67">
        <f>Q1318+1</f>
        <v>9</v>
      </c>
      <c r="S1318" s="67">
        <f>R1318+1</f>
        <v>10</v>
      </c>
      <c r="T1318">
        <f>S1318+1</f>
        <v>11</v>
      </c>
      <c r="U1318" s="233"/>
    </row>
    <row r="1319" spans="2:21" ht="14.25">
      <c r="B1319" s="17">
        <f t="shared" si="470" ref="B1319:B1382">B1318+1</f>
        <v>1</v>
      </c>
      <c r="D1319" s="67" t="s">
        <v>745</v>
      </c>
      <c r="G1319" s="17">
        <f t="shared" si="471" ref="G1319:G1382">G1318+1</f>
        <v>1</v>
      </c>
      <c r="H1319" s="67" t="s">
        <v>804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59"/>
      <c r="U1319" s="18"/>
    </row>
    <row r="1320" spans="2:21" ht="14.25">
      <c r="B1320" s="17">
        <f t="shared" si="470"/>
        <v>2</v>
      </c>
      <c r="D1320" s="67" t="s">
        <v>746</v>
      </c>
      <c r="G1320" s="17">
        <f t="shared" si="471"/>
        <v>2</v>
      </c>
      <c r="H1320" s="67" t="s">
        <v>805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59"/>
      <c r="U1320" s="18"/>
    </row>
    <row r="1321" spans="2:21" ht="14.25">
      <c r="B1321" s="17">
        <f t="shared" si="470"/>
        <v>3</v>
      </c>
      <c r="G1321" s="17">
        <f t="shared" si="471"/>
        <v>3</v>
      </c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U1321" s="233"/>
    </row>
    <row r="1322" spans="2:21" ht="14.25">
      <c r="B1322" s="17">
        <f t="shared" si="470"/>
        <v>4</v>
      </c>
      <c r="G1322" s="17">
        <f t="shared" si="471"/>
        <v>4</v>
      </c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U1322" s="233"/>
    </row>
    <row r="1323" spans="2:21" ht="14.25">
      <c r="B1323" s="17">
        <f t="shared" si="470"/>
        <v>5</v>
      </c>
      <c r="G1323" s="17">
        <f t="shared" si="471"/>
        <v>5</v>
      </c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U1323" s="233"/>
    </row>
    <row r="1324" spans="2:21" ht="14.25">
      <c r="B1324" s="17">
        <f t="shared" si="470"/>
        <v>6</v>
      </c>
      <c r="D1324" s="67" t="s">
        <v>747</v>
      </c>
      <c r="G1324" s="17">
        <f t="shared" si="471"/>
        <v>6</v>
      </c>
      <c r="H1324" s="67" t="s">
        <v>806</v>
      </c>
      <c r="J1324" s="476">
        <f t="shared" si="472" ref="J1324:Q1324">J1217/$U1217</f>
        <v>0.55750481473464386</v>
      </c>
      <c r="K1324" s="476">
        <f t="shared" si="472"/>
        <v>0.085952885111240607</v>
      </c>
      <c r="L1324" s="476">
        <f t="shared" si="472"/>
        <v>0.26512464751523462</v>
      </c>
      <c r="M1324" s="476">
        <f t="shared" si="472"/>
        <v>0.0037227526029269885</v>
      </c>
      <c r="N1324" s="476">
        <f t="shared" si="472"/>
        <v>0.077683818478312849</v>
      </c>
      <c r="O1324" s="476">
        <f t="shared" si="472"/>
        <v>0.0026546895902129731</v>
      </c>
      <c r="P1324" s="476">
        <f t="shared" si="472"/>
        <v>0.0057790550310020871</v>
      </c>
      <c r="Q1324" s="476">
        <f t="shared" si="472"/>
        <v>0.00055573311775356416</v>
      </c>
      <c r="R1324" s="476">
        <f>R1217/$U1217</f>
        <v>0.00030631033733226614</v>
      </c>
      <c r="S1324" s="476">
        <f>S1217/$U1217</f>
        <v>0.00071529348134022569</v>
      </c>
      <c r="T1324" s="129"/>
      <c r="U1324" s="476">
        <f>ROUND(SUM(I1324:T1324),6)</f>
        <v>1</v>
      </c>
    </row>
    <row r="1325" spans="2:21" ht="14.25">
      <c r="B1325" s="17">
        <f t="shared" si="470"/>
        <v>7</v>
      </c>
      <c r="D1325" s="67" t="s">
        <v>748</v>
      </c>
      <c r="G1325" s="17">
        <f t="shared" si="471"/>
        <v>7</v>
      </c>
      <c r="H1325" s="67" t="s">
        <v>807</v>
      </c>
      <c r="J1325" s="476">
        <f t="shared" si="473" ref="J1325:L1328">J1218/$U1218</f>
        <v>0.61322347694531498</v>
      </c>
      <c r="K1325" s="476">
        <f t="shared" si="473"/>
        <v>0.094543267911477671</v>
      </c>
      <c r="L1325" s="476">
        <f t="shared" si="473"/>
        <v>0.29162198043182269</v>
      </c>
      <c r="M1325" s="18">
        <v>0</v>
      </c>
      <c r="N1325" s="18">
        <v>0</v>
      </c>
      <c r="O1325" s="18">
        <v>0</v>
      </c>
      <c r="P1325" s="18">
        <v>0</v>
      </c>
      <c r="Q1325" s="476">
        <f>Q1218/$U1218</f>
        <v>0.00061127471138470123</v>
      </c>
      <c r="R1325" s="18">
        <v>0</v>
      </c>
      <c r="S1325" s="18">
        <v>0</v>
      </c>
      <c r="T1325" s="129"/>
      <c r="U1325" s="476">
        <f>ROUND(SUM(I1325:T1325),6)</f>
        <v>1</v>
      </c>
    </row>
    <row r="1326" spans="2:21" ht="14.25">
      <c r="B1326" s="17">
        <f t="shared" si="470"/>
        <v>8</v>
      </c>
      <c r="D1326" s="67" t="s">
        <v>749</v>
      </c>
      <c r="G1326" s="17">
        <f t="shared" si="471"/>
        <v>8</v>
      </c>
      <c r="H1326" s="67" t="s">
        <v>808</v>
      </c>
      <c r="J1326" s="476">
        <f t="shared" si="473"/>
        <v>0.55807494623081866</v>
      </c>
      <c r="K1326" s="476">
        <f t="shared" si="473"/>
        <v>0.086040784705457285</v>
      </c>
      <c r="L1326" s="476">
        <f t="shared" si="473"/>
        <v>0.26539577685432852</v>
      </c>
      <c r="M1326" s="476">
        <f t="shared" si="474" ref="M1326:P1328">M1219/$U1219</f>
        <v>0.0037265596705168998</v>
      </c>
      <c r="N1326" s="476">
        <f t="shared" si="474"/>
        <v>0.077763261723441945</v>
      </c>
      <c r="O1326" s="476">
        <f t="shared" si="474"/>
        <v>0.0026574044047005725</v>
      </c>
      <c r="P1326" s="476">
        <f t="shared" si="474"/>
        <v>0.0057849649733097072</v>
      </c>
      <c r="Q1326" s="476">
        <f>Q1219/$U1219</f>
        <v>0.00055630143742637196</v>
      </c>
      <c r="R1326" s="18"/>
      <c r="S1326" s="18"/>
      <c r="T1326" s="129"/>
      <c r="U1326" s="476">
        <f>ROUND(SUM(I1326:T1326),6)</f>
        <v>1</v>
      </c>
    </row>
    <row r="1327" spans="2:21" ht="14.25">
      <c r="B1327" s="17">
        <f t="shared" si="470"/>
        <v>9</v>
      </c>
      <c r="D1327" s="67" t="s">
        <v>750</v>
      </c>
      <c r="G1327" s="17">
        <f t="shared" si="471"/>
        <v>9</v>
      </c>
      <c r="H1327" s="67" t="s">
        <v>809</v>
      </c>
      <c r="J1327" s="476">
        <f t="shared" si="473"/>
        <v>0.85022848232001924</v>
      </c>
      <c r="K1327" s="476">
        <f t="shared" si="473"/>
        <v>0.079439096257962694</v>
      </c>
      <c r="L1327" s="476">
        <f t="shared" si="473"/>
        <v>0.053125009785389449</v>
      </c>
      <c r="M1327" s="476">
        <f t="shared" si="474"/>
        <v>0.00080918647142509713</v>
      </c>
      <c r="N1327" s="476">
        <f t="shared" si="474"/>
        <v>0.0018678351378461288</v>
      </c>
      <c r="O1327" s="476">
        <f t="shared" si="474"/>
        <v>3.3922683419949252E-05</v>
      </c>
      <c r="P1327" s="476">
        <f t="shared" si="474"/>
        <v>7.3847072368043374E-05</v>
      </c>
      <c r="Q1327" s="476">
        <f>Q1220/$U1220</f>
        <v>0.014406180817296603</v>
      </c>
      <c r="R1327" s="476">
        <f>R1220/$U1220</f>
        <v>3.9141557792249139E-06</v>
      </c>
      <c r="S1327" s="476">
        <f>S1220/$U1220</f>
        <v>1.2525298493519723E-05</v>
      </c>
      <c r="T1327" s="129"/>
      <c r="U1327" s="476">
        <f>ROUND(SUM(I1327:T1327),6)</f>
        <v>1</v>
      </c>
    </row>
    <row r="1328" spans="2:21" ht="14.25">
      <c r="B1328" s="17">
        <f t="shared" si="470"/>
        <v>10</v>
      </c>
      <c r="D1328" s="67" t="s">
        <v>751</v>
      </c>
      <c r="G1328" s="17">
        <f t="shared" si="471"/>
        <v>10</v>
      </c>
      <c r="H1328" s="67" t="s">
        <v>810</v>
      </c>
      <c r="J1328" s="476">
        <f t="shared" si="473"/>
        <v>0.8502424598420586</v>
      </c>
      <c r="K1328" s="476">
        <f t="shared" si="473"/>
        <v>0.07944040221482232</v>
      </c>
      <c r="L1328" s="476">
        <f t="shared" si="473"/>
        <v>0.053125883145916125</v>
      </c>
      <c r="M1328" s="476">
        <f t="shared" si="474"/>
        <v>0.00080919977422778304</v>
      </c>
      <c r="N1328" s="476">
        <f t="shared" si="474"/>
        <v>0.0018678658445412677</v>
      </c>
      <c r="O1328" s="476">
        <f t="shared" si="474"/>
        <v>3.3923241099520089E-05</v>
      </c>
      <c r="P1328" s="476">
        <f t="shared" si="474"/>
        <v>7.3848286393570658E-05</v>
      </c>
      <c r="Q1328" s="476">
        <f>Q1221/$U1221</f>
        <v>0.014406417650940809</v>
      </c>
      <c r="R1328" s="18">
        <v>0</v>
      </c>
      <c r="S1328" s="18">
        <v>0</v>
      </c>
      <c r="T1328" s="129"/>
      <c r="U1328" s="476">
        <f>ROUND(SUM(I1328:T1328),6)</f>
        <v>1</v>
      </c>
    </row>
    <row r="1329" spans="2:21" ht="14.25">
      <c r="B1329" s="17">
        <f t="shared" si="470"/>
        <v>11</v>
      </c>
      <c r="D1329" s="67"/>
      <c r="G1329" s="17">
        <f t="shared" si="471"/>
        <v>11</v>
      </c>
      <c r="H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129"/>
      <c r="U1329" s="476"/>
    </row>
    <row r="1330" spans="2:21" ht="14.25">
      <c r="B1330" s="17">
        <f t="shared" si="470"/>
        <v>12</v>
      </c>
      <c r="D1330" s="67"/>
      <c r="G1330" s="17">
        <f t="shared" si="471"/>
        <v>12</v>
      </c>
      <c r="H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129"/>
      <c r="U1330" s="476"/>
    </row>
    <row r="1331" spans="2:21" ht="14.25">
      <c r="B1331" s="17">
        <f t="shared" si="470"/>
        <v>13</v>
      </c>
      <c r="D1331" s="67"/>
      <c r="G1331" s="17">
        <f t="shared" si="471"/>
        <v>13</v>
      </c>
      <c r="H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129"/>
      <c r="U1331" s="476"/>
    </row>
    <row r="1332" spans="2:21" s="664" customFormat="1" ht="14.25">
      <c r="B1332" s="728">
        <f t="shared" si="470"/>
        <v>14</v>
      </c>
      <c r="D1332" s="703" t="s">
        <v>752</v>
      </c>
      <c r="G1332" s="728">
        <f t="shared" si="471"/>
        <v>14</v>
      </c>
      <c r="H1332" s="664" t="s">
        <v>811</v>
      </c>
      <c r="J1332" s="919">
        <f t="shared" si="475" ref="J1332:Q1332">J1225/$U1225</f>
        <v>0.48075694845482941</v>
      </c>
      <c r="K1332" s="919">
        <f t="shared" si="475"/>
        <v>0.023913413398373714</v>
      </c>
      <c r="L1332" s="919">
        <f t="shared" si="475"/>
        <v>0.37444775801914859</v>
      </c>
      <c r="M1332" s="919">
        <f t="shared" si="475"/>
        <v>0.00030838227249101196</v>
      </c>
      <c r="N1332" s="919">
        <f t="shared" si="475"/>
        <v>0.068188947115053036</v>
      </c>
      <c r="O1332" s="919">
        <f t="shared" si="475"/>
        <v>0.0079001284926574905</v>
      </c>
      <c r="P1332" s="919">
        <f t="shared" si="475"/>
        <v>0.02868271271889276</v>
      </c>
      <c r="Q1332" s="919">
        <f t="shared" si="475"/>
        <v>0.015108873761064803</v>
      </c>
      <c r="R1332" s="919">
        <f>R1225/$U1225</f>
        <v>0.00015224254597235386</v>
      </c>
      <c r="S1332" s="919">
        <f>S1225/$U1225</f>
        <v>0.00054059322151686021</v>
      </c>
      <c r="U1332" s="919">
        <f>ROUND(SUM(I1332:T1332),6)</f>
        <v>1</v>
      </c>
    </row>
    <row r="1333" spans="2:21" ht="14.25">
      <c r="B1333" s="17">
        <f t="shared" si="470"/>
        <v>15</v>
      </c>
      <c r="D1333" s="67" t="s">
        <v>753</v>
      </c>
      <c r="G1333" s="17">
        <f t="shared" si="471"/>
        <v>15</v>
      </c>
      <c r="H1333" s="67" t="s">
        <v>812</v>
      </c>
      <c r="J1333" s="476">
        <f t="shared" si="476" ref="J1333:Q1333">J1226/$U1226</f>
        <v>0.48109026499781077</v>
      </c>
      <c r="K1333" s="476">
        <f t="shared" si="476"/>
        <v>0.0239299929534076</v>
      </c>
      <c r="L1333" s="476">
        <f t="shared" si="476"/>
        <v>0.37470736868651638</v>
      </c>
      <c r="M1333" s="476">
        <f t="shared" si="476"/>
        <v>0.00030859607889217541</v>
      </c>
      <c r="N1333" s="476">
        <f t="shared" si="476"/>
        <v>0.068236223611409422</v>
      </c>
      <c r="O1333" s="476">
        <f t="shared" si="476"/>
        <v>0.0079056057791049242</v>
      </c>
      <c r="P1333" s="476">
        <f t="shared" si="476"/>
        <v>0.02870259890603476</v>
      </c>
      <c r="Q1333" s="476">
        <f t="shared" si="476"/>
        <v>0.015119348986824027</v>
      </c>
      <c r="R1333" s="18"/>
      <c r="S1333" s="18"/>
      <c r="T1333" s="129"/>
      <c r="U1333" s="476">
        <f>ROUND(SUM(I1333:T1333),6)</f>
        <v>1</v>
      </c>
    </row>
    <row r="1334" spans="2:21" ht="14.25">
      <c r="B1334" s="17">
        <f t="shared" si="470"/>
        <v>16</v>
      </c>
      <c r="D1334" s="67"/>
      <c r="G1334" s="17">
        <f t="shared" si="471"/>
        <v>16</v>
      </c>
      <c r="H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129"/>
      <c r="U1334" s="476"/>
    </row>
    <row r="1335" spans="2:21" s="703" customFormat="1" ht="18" customHeight="1">
      <c r="B1335" s="728">
        <f t="shared" si="470"/>
        <v>17</v>
      </c>
      <c r="D1335" s="703" t="s">
        <v>1044</v>
      </c>
      <c r="G1335" s="728">
        <f t="shared" si="471"/>
        <v>17</v>
      </c>
      <c r="H1335" s="703" t="s">
        <v>1043</v>
      </c>
      <c r="J1335" s="1336">
        <f>J1228/$U$1228</f>
        <v>0.50087046878867392</v>
      </c>
      <c r="K1335" s="1336">
        <f t="shared" si="477" ref="K1335:S1335">K1228/$U$1228</f>
        <v>0.020624406327809333</v>
      </c>
      <c r="L1335" s="1336">
        <f t="shared" si="477"/>
        <v>0.34022050520836516</v>
      </c>
      <c r="M1335" s="1336">
        <f t="shared" si="477"/>
        <v>0.00037847469830668608</v>
      </c>
      <c r="N1335" s="1336">
        <f t="shared" si="477"/>
        <v>0.069282308340939583</v>
      </c>
      <c r="O1335" s="1336">
        <f t="shared" si="477"/>
        <v>0.013944564642639918</v>
      </c>
      <c r="P1335" s="1336">
        <f t="shared" si="477"/>
        <v>0.038379671619077682</v>
      </c>
      <c r="Q1335" s="1336">
        <f t="shared" si="477"/>
        <v>0.014352328457437804</v>
      </c>
      <c r="R1335" s="1336">
        <f t="shared" si="477"/>
        <v>0.0003673301671375768</v>
      </c>
      <c r="S1335" s="1336">
        <f t="shared" si="477"/>
        <v>0.0015799417496122124</v>
      </c>
      <c r="U1335" s="1462">
        <f>ROUND(SUM(I1335:T1335),6)</f>
        <v>1</v>
      </c>
    </row>
    <row r="1336" spans="2:21" ht="14.25">
      <c r="B1336" s="17">
        <f t="shared" si="470"/>
        <v>18</v>
      </c>
      <c r="D1336" s="47"/>
      <c r="G1336" s="17">
        <f t="shared" si="471"/>
        <v>18</v>
      </c>
      <c r="H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129"/>
      <c r="U1336" s="476"/>
    </row>
    <row r="1337" spans="2:21" ht="14.25">
      <c r="B1337" s="17">
        <f t="shared" si="470"/>
        <v>19</v>
      </c>
      <c r="D1337" s="664" t="s">
        <v>1035</v>
      </c>
      <c r="G1337" s="17">
        <f t="shared" si="471"/>
        <v>19</v>
      </c>
      <c r="H1337" s="67" t="s">
        <v>813</v>
      </c>
      <c r="J1337" s="476">
        <f t="shared" si="478" ref="J1337:S1337">J1230/$U1230</f>
        <v>0.4015854676897242</v>
      </c>
      <c r="K1337" s="476">
        <f t="shared" si="478"/>
        <v>0.014345409859712227</v>
      </c>
      <c r="L1337" s="476">
        <f t="shared" si="478"/>
        <v>0.42045589729457095</v>
      </c>
      <c r="M1337" s="476">
        <f t="shared" si="478"/>
        <v>7.2571893342173099E-06</v>
      </c>
      <c r="N1337" s="476">
        <f t="shared" si="478"/>
        <v>0.06760618636238655</v>
      </c>
      <c r="O1337" s="476">
        <f t="shared" si="478"/>
        <v>0.010637379041264447</v>
      </c>
      <c r="P1337" s="476">
        <f t="shared" si="478"/>
        <v>0.07968136526971635</v>
      </c>
      <c r="Q1337" s="476">
        <f t="shared" si="478"/>
        <v>0.0036605804457023349</v>
      </c>
      <c r="R1337" s="476">
        <f t="shared" si="478"/>
        <v>0.00081165646718124509</v>
      </c>
      <c r="S1337" s="476">
        <f t="shared" si="478"/>
        <v>0.0012088003804071755</v>
      </c>
      <c r="T1337" s="129"/>
      <c r="U1337" s="476">
        <f>ROUND(SUM(I1337:T1337),6)</f>
        <v>1</v>
      </c>
    </row>
    <row r="1338" spans="2:21" ht="14.25">
      <c r="B1338" s="17">
        <f t="shared" si="470"/>
        <v>20</v>
      </c>
      <c r="D1338" s="67"/>
      <c r="G1338" s="17">
        <f t="shared" si="471"/>
        <v>20</v>
      </c>
      <c r="H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129"/>
      <c r="U1338" s="476"/>
    </row>
    <row r="1339" spans="2:21" ht="14.25">
      <c r="B1339" s="17">
        <f t="shared" si="470"/>
        <v>21</v>
      </c>
      <c r="D1339" s="67"/>
      <c r="G1339" s="17">
        <f t="shared" si="471"/>
        <v>21</v>
      </c>
      <c r="H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129"/>
      <c r="U1339" s="476"/>
    </row>
    <row r="1340" spans="2:21" ht="14.25">
      <c r="B1340" s="17">
        <f t="shared" si="470"/>
        <v>22</v>
      </c>
      <c r="D1340" s="47"/>
      <c r="G1340" s="17">
        <f t="shared" si="471"/>
        <v>22</v>
      </c>
      <c r="H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129"/>
      <c r="U1340" s="476"/>
    </row>
    <row r="1341" spans="2:21" s="386" customFormat="1" ht="14.25">
      <c r="B1341" s="17">
        <f t="shared" si="470"/>
        <v>23</v>
      </c>
      <c r="D1341" s="47" t="s">
        <v>755</v>
      </c>
      <c r="G1341" s="17">
        <f t="shared" si="471"/>
        <v>23</v>
      </c>
      <c r="H1341" s="47" t="s">
        <v>814</v>
      </c>
      <c r="J1341" s="1336">
        <f t="shared" si="479" ref="J1341:Q1341">J1234/$U1234</f>
        <v>0.45880672250755639</v>
      </c>
      <c r="K1341" s="1336">
        <f t="shared" si="479"/>
        <v>0.012824408342322071</v>
      </c>
      <c r="L1341" s="1336">
        <f t="shared" si="479"/>
        <v>0.33353592656394998</v>
      </c>
      <c r="M1341" s="1336">
        <f t="shared" si="479"/>
        <v>0.00013264333757564555</v>
      </c>
      <c r="N1341" s="1336">
        <f t="shared" si="479"/>
        <v>0.08385397465701605</v>
      </c>
      <c r="O1341" s="1336">
        <f t="shared" si="479"/>
        <v>0.027463663718043225</v>
      </c>
      <c r="P1341" s="1336">
        <f t="shared" si="479"/>
        <v>0.083382660873536657</v>
      </c>
      <c r="Q1341" s="1336">
        <f t="shared" si="479"/>
        <v>0</v>
      </c>
      <c r="R1341" s="18">
        <v>0</v>
      </c>
      <c r="S1341" s="18">
        <v>0</v>
      </c>
      <c r="T1341" s="159"/>
      <c r="U1341" s="1336">
        <f>ROUND(SUM(I1341:T1341),6)</f>
        <v>1</v>
      </c>
    </row>
    <row r="1342" spans="2:21" ht="14.25">
      <c r="B1342" s="17">
        <f t="shared" si="470"/>
        <v>24</v>
      </c>
      <c r="D1342" s="67"/>
      <c r="G1342" s="17">
        <f t="shared" si="471"/>
        <v>24</v>
      </c>
      <c r="H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129"/>
      <c r="U1342" s="476"/>
    </row>
    <row r="1343" spans="2:21" ht="14.25">
      <c r="B1343" s="17">
        <f t="shared" si="470"/>
        <v>25</v>
      </c>
      <c r="D1343" s="67"/>
      <c r="G1343" s="17">
        <f t="shared" si="471"/>
        <v>25</v>
      </c>
      <c r="H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129"/>
      <c r="U1343" s="476"/>
    </row>
    <row r="1344" spans="2:21" ht="14.25">
      <c r="B1344" s="17">
        <f t="shared" si="470"/>
        <v>26</v>
      </c>
      <c r="D1344" s="67" t="s">
        <v>756</v>
      </c>
      <c r="G1344" s="17">
        <f t="shared" si="471"/>
        <v>26</v>
      </c>
      <c r="H1344" s="67" t="s">
        <v>815</v>
      </c>
      <c r="J1344" s="476">
        <f t="shared" si="480" ref="J1344:Q1344">J1237/$U1237</f>
        <v>0.47997782857437304</v>
      </c>
      <c r="K1344" s="476">
        <f t="shared" si="480"/>
        <v>0.011721162098190895</v>
      </c>
      <c r="L1344" s="476">
        <f t="shared" si="480"/>
        <v>0.30904444561746325</v>
      </c>
      <c r="M1344" s="476">
        <f t="shared" si="480"/>
        <v>0.00017471556355068578</v>
      </c>
      <c r="N1344" s="476">
        <f t="shared" si="480"/>
        <v>0.073948422628680788</v>
      </c>
      <c r="O1344" s="476">
        <f t="shared" si="480"/>
        <v>0.026742317768193871</v>
      </c>
      <c r="P1344" s="476">
        <f t="shared" si="480"/>
        <v>0.088054591529313678</v>
      </c>
      <c r="Q1344" s="476">
        <f t="shared" si="480"/>
        <v>0.0031171565628276125</v>
      </c>
      <c r="R1344" s="476">
        <f>R1237/$U1237</f>
        <v>0.0032052341614837846</v>
      </c>
      <c r="S1344" s="476">
        <f>S1237/$U1237</f>
        <v>0.004014125495922353</v>
      </c>
      <c r="T1344" s="129"/>
      <c r="U1344" s="476">
        <f t="shared" si="481" ref="U1344:U1351">ROUND(SUM(I1344:T1344),6)</f>
        <v>1</v>
      </c>
    </row>
    <row r="1345" spans="2:21" ht="14.25">
      <c r="B1345" s="17">
        <f t="shared" si="470"/>
        <v>27</v>
      </c>
      <c r="D1345" s="67"/>
      <c r="G1345" s="17">
        <f>G1344+1</f>
        <v>27</v>
      </c>
      <c r="H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129"/>
      <c r="U1345" s="476"/>
    </row>
    <row r="1346" spans="2:21" ht="14.25">
      <c r="B1346" s="17">
        <f t="shared" si="470"/>
        <v>28</v>
      </c>
      <c r="D1346" s="67" t="s">
        <v>757</v>
      </c>
      <c r="G1346" s="17">
        <f t="shared" si="471"/>
        <v>28</v>
      </c>
      <c r="H1346" s="67" t="s">
        <v>816</v>
      </c>
      <c r="J1346" s="476">
        <f t="shared" si="482" ref="J1346:O1346">J1239/$U1239</f>
        <v>0.52632298393747712</v>
      </c>
      <c r="K1346" s="476">
        <f t="shared" si="482"/>
        <v>0.012852920788150075</v>
      </c>
      <c r="L1346" s="476">
        <f t="shared" si="482"/>
        <v>0.33888480905422225</v>
      </c>
      <c r="M1346" s="476">
        <f t="shared" si="482"/>
        <v>0.00019158555098564527</v>
      </c>
      <c r="N1346" s="476">
        <f t="shared" si="482"/>
        <v>0.081088650638299467</v>
      </c>
      <c r="O1346" s="476">
        <f t="shared" si="482"/>
        <v>0.029324472188571232</v>
      </c>
      <c r="P1346" s="18">
        <v>0</v>
      </c>
      <c r="Q1346" s="476">
        <f>Q1239/$U1239</f>
        <v>0.0034181394345249461</v>
      </c>
      <c r="R1346" s="476">
        <f>R1239/$U1239</f>
        <v>0.003514721530161434</v>
      </c>
      <c r="S1346" s="476">
        <f>S1239/$U1239</f>
        <v>0.0044017168776077937</v>
      </c>
      <c r="T1346" s="129"/>
      <c r="U1346" s="476">
        <f t="shared" si="481"/>
        <v>1</v>
      </c>
    </row>
    <row r="1347" spans="2:21" ht="14.25">
      <c r="B1347" s="17">
        <f t="shared" si="470"/>
        <v>29</v>
      </c>
      <c r="D1347" s="67"/>
      <c r="G1347" s="17">
        <f>G1346+1</f>
        <v>29</v>
      </c>
      <c r="H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129"/>
      <c r="U1347" s="476"/>
    </row>
    <row r="1348" spans="2:21" ht="14.25">
      <c r="B1348" s="17">
        <f t="shared" si="470"/>
        <v>30</v>
      </c>
      <c r="D1348" s="67" t="s">
        <v>759</v>
      </c>
      <c r="G1348" s="17">
        <f t="shared" si="471"/>
        <v>30</v>
      </c>
      <c r="H1348" s="67" t="s">
        <v>817</v>
      </c>
      <c r="J1348" s="476">
        <f>J1241/$U1241</f>
        <v>0.54419387191793744</v>
      </c>
      <c r="K1348" s="476">
        <f>K1241/$U1241</f>
        <v>0.01328933172712979</v>
      </c>
      <c r="L1348" s="476">
        <f>L1241/$U1241</f>
        <v>0.35039137944106125</v>
      </c>
      <c r="M1348" s="476">
        <f>M1241/$U1241</f>
        <v>0.00019809068951242101</v>
      </c>
      <c r="N1348" s="476">
        <f>N1241/$U1241</f>
        <v>0.083841952766970859</v>
      </c>
      <c r="O1348" s="18">
        <v>0</v>
      </c>
      <c r="P1348" s="18">
        <v>0</v>
      </c>
      <c r="Q1348" s="476">
        <f>Q1241/$U1241</f>
        <v>0.0035341997032196639</v>
      </c>
      <c r="R1348" s="18">
        <v>0</v>
      </c>
      <c r="S1348" s="476">
        <f>S1241/$U1241</f>
        <v>0.0045511737541685466</v>
      </c>
      <c r="T1348" s="129"/>
      <c r="U1348" s="476">
        <f t="shared" si="481"/>
        <v>1</v>
      </c>
    </row>
    <row r="1349" spans="2:21" ht="14.25">
      <c r="B1349" s="17">
        <f t="shared" si="470"/>
        <v>31</v>
      </c>
      <c r="D1349" s="67"/>
      <c r="G1349" s="17">
        <f>G1348+1</f>
        <v>31</v>
      </c>
      <c r="H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129"/>
      <c r="U1349" s="476"/>
    </row>
    <row r="1350" spans="2:21" ht="14.25">
      <c r="B1350" s="17">
        <f t="shared" si="470"/>
        <v>32</v>
      </c>
      <c r="D1350" s="67" t="s">
        <v>760</v>
      </c>
      <c r="G1350" s="17">
        <f t="shared" si="471"/>
        <v>32</v>
      </c>
      <c r="H1350" s="67" t="s">
        <v>818</v>
      </c>
      <c r="J1350" s="476">
        <f>J1243/$U1243</f>
        <v>0.59709087973943276</v>
      </c>
      <c r="K1350" s="476">
        <f>K1243/$U1243</f>
        <v>0.014581088067264459</v>
      </c>
      <c r="L1350" s="476">
        <f>L1243/$U1243</f>
        <v>0.38445029942403613</v>
      </c>
      <c r="M1350" s="18">
        <v>0</v>
      </c>
      <c r="N1350" s="18">
        <v>0</v>
      </c>
      <c r="O1350" s="18">
        <v>0</v>
      </c>
      <c r="P1350" s="18">
        <v>0</v>
      </c>
      <c r="Q1350" s="476">
        <f>Q1243/$U1243</f>
        <v>0.0038777327692666257</v>
      </c>
      <c r="R1350" s="18">
        <v>0</v>
      </c>
      <c r="S1350" s="18">
        <v>0</v>
      </c>
      <c r="T1350" s="129"/>
      <c r="U1350" s="476">
        <f t="shared" si="481"/>
        <v>1</v>
      </c>
    </row>
    <row r="1351" spans="2:21" ht="14.25">
      <c r="B1351" s="17">
        <f t="shared" si="470"/>
        <v>33</v>
      </c>
      <c r="D1351" s="67" t="s">
        <v>761</v>
      </c>
      <c r="G1351" s="17">
        <f t="shared" si="471"/>
        <v>33</v>
      </c>
      <c r="H1351" s="67" t="s">
        <v>819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476">
        <f>Q1244/$U1244</f>
        <v>1</v>
      </c>
      <c r="R1351" s="18">
        <v>0</v>
      </c>
      <c r="S1351" s="18">
        <v>0</v>
      </c>
      <c r="T1351" s="129"/>
      <c r="U1351" s="476">
        <f t="shared" si="481"/>
        <v>1</v>
      </c>
    </row>
    <row r="1352" spans="2:21" ht="14.25">
      <c r="B1352" s="17">
        <f t="shared" si="470"/>
        <v>34</v>
      </c>
      <c r="G1352" s="17">
        <f>G1351+1</f>
        <v>34</v>
      </c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129"/>
      <c r="U1352" s="476"/>
    </row>
    <row r="1353" spans="2:21" ht="14.25">
      <c r="B1353" s="17">
        <f t="shared" si="470"/>
        <v>35</v>
      </c>
      <c r="G1353" s="17">
        <f t="shared" si="471"/>
        <v>35</v>
      </c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129"/>
      <c r="U1353" s="476"/>
    </row>
    <row r="1354" spans="2:21" ht="14.25">
      <c r="B1354" s="17">
        <f t="shared" si="470"/>
        <v>36</v>
      </c>
      <c r="D1354" s="47" t="s">
        <v>940</v>
      </c>
      <c r="G1354" s="17">
        <f t="shared" si="471"/>
        <v>36</v>
      </c>
      <c r="H1354" s="67" t="s">
        <v>820</v>
      </c>
      <c r="J1354" s="476">
        <v>0.51613093377856889</v>
      </c>
      <c r="K1354" s="476">
        <v>0.014340597617411329</v>
      </c>
      <c r="L1354" s="476">
        <v>0.39210268959257316</v>
      </c>
      <c r="M1354" s="476">
        <v>0.00014899736769594869</v>
      </c>
      <c r="N1354" s="476">
        <v>0.053553644113581406</v>
      </c>
      <c r="O1354" s="476">
        <v>0.003214349575431655</v>
      </c>
      <c r="P1354" s="476">
        <v>8.8202724030008115E-05</v>
      </c>
      <c r="Q1354" s="476">
        <v>0.016462181180645526</v>
      </c>
      <c r="R1354" s="476">
        <v>0.00062692925580971589</v>
      </c>
      <c r="S1354" s="476">
        <v>0.0033314747942520344</v>
      </c>
      <c r="T1354" s="129"/>
      <c r="U1354" s="476">
        <v>1</v>
      </c>
    </row>
    <row r="1355" spans="2:21" ht="14.25">
      <c r="B1355" s="17">
        <f t="shared" si="470"/>
        <v>37</v>
      </c>
      <c r="D1355" t="s">
        <v>949</v>
      </c>
      <c r="G1355" s="17">
        <f t="shared" si="471"/>
        <v>37</v>
      </c>
      <c r="H1355" s="67" t="s">
        <v>950</v>
      </c>
      <c r="J1355" s="476">
        <v>0.51613093377856889</v>
      </c>
      <c r="K1355" s="476">
        <v>0.014340597617411329</v>
      </c>
      <c r="L1355" s="476">
        <v>0.39210268959257316</v>
      </c>
      <c r="M1355" s="476">
        <v>0.00014899736769594869</v>
      </c>
      <c r="N1355" s="476">
        <v>0.053553644113581406</v>
      </c>
      <c r="O1355" s="476">
        <v>0.003214349575431655</v>
      </c>
      <c r="P1355" s="476">
        <v>8.8202724030008115E-05</v>
      </c>
      <c r="Q1355" s="476">
        <v>0.016462181180645526</v>
      </c>
      <c r="R1355" s="476">
        <v>0.00062692925580971589</v>
      </c>
      <c r="S1355" s="476">
        <v>0.0033314747942520344</v>
      </c>
      <c r="T1355" s="129"/>
      <c r="U1355" s="476">
        <v>1</v>
      </c>
    </row>
    <row r="1356" spans="2:21" ht="14.25">
      <c r="B1356" s="17">
        <f t="shared" si="470"/>
        <v>38</v>
      </c>
      <c r="D1356" s="67"/>
      <c r="G1356" s="17">
        <f t="shared" si="471"/>
        <v>38</v>
      </c>
      <c r="H1356" s="67"/>
      <c r="J1356" s="476"/>
      <c r="K1356" s="476"/>
      <c r="L1356" s="476"/>
      <c r="M1356" s="476"/>
      <c r="N1356" s="476"/>
      <c r="O1356" s="476"/>
      <c r="P1356" s="476"/>
      <c r="Q1356" s="476"/>
      <c r="R1356" s="476"/>
      <c r="S1356" s="476"/>
      <c r="T1356" s="129"/>
      <c r="U1356" s="476"/>
    </row>
    <row r="1357" spans="2:21" ht="14.25">
      <c r="B1357" s="17">
        <f t="shared" si="470"/>
        <v>39</v>
      </c>
      <c r="D1357" s="67" t="s">
        <v>762</v>
      </c>
      <c r="G1357" s="17">
        <f t="shared" si="471"/>
        <v>39</v>
      </c>
      <c r="H1357" s="67" t="s">
        <v>821</v>
      </c>
      <c r="J1357" s="476"/>
      <c r="K1357" s="476"/>
      <c r="L1357" s="476"/>
      <c r="M1357" s="476"/>
      <c r="N1357" s="476"/>
      <c r="O1357" s="476"/>
      <c r="P1357" s="476"/>
      <c r="Q1357" s="476"/>
      <c r="R1357" s="476"/>
      <c r="S1357" s="476"/>
      <c r="T1357" s="129"/>
      <c r="U1357" s="476"/>
    </row>
    <row r="1358" spans="2:21" ht="14.25">
      <c r="B1358" s="17">
        <f t="shared" si="470"/>
        <v>40</v>
      </c>
      <c r="D1358" s="67" t="s">
        <v>957</v>
      </c>
      <c r="G1358" s="17">
        <f t="shared" si="471"/>
        <v>40</v>
      </c>
      <c r="H1358" s="67" t="s">
        <v>958</v>
      </c>
      <c r="J1358" s="476">
        <f t="shared" si="483" ref="J1358:Q1358">J1251/$U1251</f>
        <v>0.5446683085454016</v>
      </c>
      <c r="K1358" s="476">
        <f t="shared" si="483"/>
        <v>0.022438497386781619</v>
      </c>
      <c r="L1358" s="476">
        <f t="shared" si="483"/>
        <v>0.33884361517740025</v>
      </c>
      <c r="M1358" s="476">
        <f t="shared" si="483"/>
        <v>0.00011504454719124446</v>
      </c>
      <c r="N1358" s="476">
        <f t="shared" si="483"/>
        <v>0.048692644341071137</v>
      </c>
      <c r="O1358" s="476">
        <f t="shared" si="483"/>
        <v>0.0038668219483368967</v>
      </c>
      <c r="P1358" s="476">
        <f t="shared" si="483"/>
        <v>0.00091920823063547808</v>
      </c>
      <c r="Q1358" s="476">
        <f t="shared" si="483"/>
        <v>0.037349225213851957</v>
      </c>
      <c r="R1358" s="476">
        <f t="shared" si="484" ref="R1358:S1372">R1251/$U1251</f>
        <v>0.00046346281248387764</v>
      </c>
      <c r="S1358" s="476">
        <f t="shared" si="484"/>
        <v>0.0026431717968459375</v>
      </c>
      <c r="T1358" s="129"/>
      <c r="U1358" s="476">
        <f>ROUND(SUM(I1358:T1358),6)</f>
        <v>1</v>
      </c>
    </row>
    <row r="1359" spans="2:21" ht="14.25">
      <c r="B1359" s="17">
        <f t="shared" si="470"/>
        <v>41</v>
      </c>
      <c r="D1359" s="67" t="s">
        <v>763</v>
      </c>
      <c r="G1359" s="17">
        <f t="shared" si="471"/>
        <v>41</v>
      </c>
      <c r="H1359" s="67" t="s">
        <v>822</v>
      </c>
      <c r="J1359" s="476">
        <f t="shared" si="485" ref="J1359:Q1359">J1252/$U1252</f>
        <v>0.52632298393747723</v>
      </c>
      <c r="K1359" s="476">
        <f t="shared" si="485"/>
        <v>0.012852920788150077</v>
      </c>
      <c r="L1359" s="476">
        <f t="shared" si="485"/>
        <v>0.3388848090542223</v>
      </c>
      <c r="M1359" s="476">
        <f t="shared" si="485"/>
        <v>0.00019158555098564532</v>
      </c>
      <c r="N1359" s="476">
        <f t="shared" si="485"/>
        <v>0.081088650638299481</v>
      </c>
      <c r="O1359" s="476">
        <f t="shared" si="485"/>
        <v>0.029324472188571239</v>
      </c>
      <c r="P1359" s="476">
        <f t="shared" si="485"/>
        <v>0</v>
      </c>
      <c r="Q1359" s="476">
        <f t="shared" si="485"/>
        <v>0.003418139434524947</v>
      </c>
      <c r="R1359" s="476">
        <f t="shared" si="484"/>
        <v>0.0035147215301614349</v>
      </c>
      <c r="S1359" s="476">
        <f t="shared" si="484"/>
        <v>0.0044017168776077946</v>
      </c>
      <c r="T1359" s="129"/>
      <c r="U1359" s="476">
        <f t="shared" si="486" ref="U1359:U1372">ROUND(SUM(I1359:T1359),6)</f>
        <v>1</v>
      </c>
    </row>
    <row r="1360" spans="2:21" ht="14.25">
      <c r="B1360" s="17">
        <f t="shared" si="470"/>
        <v>42</v>
      </c>
      <c r="D1360" s="67" t="s">
        <v>764</v>
      </c>
      <c r="G1360" s="17">
        <f t="shared" si="471"/>
        <v>42</v>
      </c>
      <c r="H1360" s="67" t="s">
        <v>823</v>
      </c>
      <c r="J1360" s="476">
        <f t="shared" si="487" ref="J1360:Q1360">J1253/$U1253</f>
        <v>0.52632298393747723</v>
      </c>
      <c r="K1360" s="476">
        <f t="shared" si="487"/>
        <v>0.012852920788150077</v>
      </c>
      <c r="L1360" s="476">
        <f t="shared" si="487"/>
        <v>0.3388848090542223</v>
      </c>
      <c r="M1360" s="476">
        <f t="shared" si="487"/>
        <v>0.00019158555098564532</v>
      </c>
      <c r="N1360" s="476">
        <f t="shared" si="487"/>
        <v>0.081088650638299481</v>
      </c>
      <c r="O1360" s="476">
        <f t="shared" si="487"/>
        <v>0.029324472188571239</v>
      </c>
      <c r="P1360" s="476">
        <f t="shared" si="487"/>
        <v>0</v>
      </c>
      <c r="Q1360" s="476">
        <f t="shared" si="487"/>
        <v>0.003418139434524947</v>
      </c>
      <c r="R1360" s="476">
        <f t="shared" si="484"/>
        <v>0.0035147215301614349</v>
      </c>
      <c r="S1360" s="476">
        <f t="shared" si="484"/>
        <v>0.0044017168776077946</v>
      </c>
      <c r="T1360" s="129"/>
      <c r="U1360" s="476">
        <f t="shared" si="486"/>
        <v>1</v>
      </c>
    </row>
    <row r="1361" spans="2:21" ht="14.25">
      <c r="B1361" s="17">
        <f t="shared" si="470"/>
        <v>43</v>
      </c>
      <c r="D1361" s="67" t="s">
        <v>765</v>
      </c>
      <c r="G1361" s="17">
        <f t="shared" si="471"/>
        <v>43</v>
      </c>
      <c r="H1361" s="67" t="s">
        <v>824</v>
      </c>
      <c r="J1361" s="476">
        <f t="shared" si="488" ref="J1361:Q1361">J1254/$U1254</f>
        <v>0.5446683085454016</v>
      </c>
      <c r="K1361" s="476">
        <f t="shared" si="488"/>
        <v>0.022438497386781619</v>
      </c>
      <c r="L1361" s="476">
        <f t="shared" si="488"/>
        <v>0.33884361517740025</v>
      </c>
      <c r="M1361" s="476">
        <f t="shared" si="488"/>
        <v>0.00011504454719124446</v>
      </c>
      <c r="N1361" s="476">
        <f t="shared" si="488"/>
        <v>0.048692644341071137</v>
      </c>
      <c r="O1361" s="476">
        <f t="shared" si="488"/>
        <v>0.0038668219483368972</v>
      </c>
      <c r="P1361" s="476">
        <f t="shared" si="488"/>
        <v>0.00091920823063547797</v>
      </c>
      <c r="Q1361" s="476">
        <f t="shared" si="488"/>
        <v>0.037349225213851957</v>
      </c>
      <c r="R1361" s="476">
        <f t="shared" si="484"/>
        <v>0.00046346281248387764</v>
      </c>
      <c r="S1361" s="476">
        <f t="shared" si="484"/>
        <v>0.0026431717968459375</v>
      </c>
      <c r="T1361" s="129"/>
      <c r="U1361" s="476">
        <f t="shared" si="486"/>
        <v>1</v>
      </c>
    </row>
    <row r="1362" spans="2:21" ht="14.25">
      <c r="B1362" s="17">
        <f t="shared" si="470"/>
        <v>44</v>
      </c>
      <c r="D1362" s="67" t="s">
        <v>766</v>
      </c>
      <c r="G1362" s="17">
        <f t="shared" si="471"/>
        <v>44</v>
      </c>
      <c r="H1362" s="67" t="s">
        <v>825</v>
      </c>
      <c r="J1362" s="476">
        <f t="shared" si="489" ref="J1362:Q1362">J1255/$U1255</f>
        <v>0.52632298393747723</v>
      </c>
      <c r="K1362" s="476">
        <f t="shared" si="489"/>
        <v>0.012852920788150075</v>
      </c>
      <c r="L1362" s="476">
        <f t="shared" si="489"/>
        <v>0.3388848090542223</v>
      </c>
      <c r="M1362" s="476">
        <f t="shared" si="489"/>
        <v>0.0001915855509856453</v>
      </c>
      <c r="N1362" s="476">
        <f t="shared" si="489"/>
        <v>0.081088650638299481</v>
      </c>
      <c r="O1362" s="476">
        <f t="shared" si="489"/>
        <v>0.029324472188571239</v>
      </c>
      <c r="P1362" s="476">
        <f t="shared" si="489"/>
        <v>0</v>
      </c>
      <c r="Q1362" s="476">
        <f t="shared" si="489"/>
        <v>0.0034181394345249466</v>
      </c>
      <c r="R1362" s="476">
        <f t="shared" si="484"/>
        <v>0.0035147215301614344</v>
      </c>
      <c r="S1362" s="476">
        <f t="shared" si="484"/>
        <v>0.0044017168776077946</v>
      </c>
      <c r="T1362" s="129"/>
      <c r="U1362" s="476">
        <f t="shared" si="486"/>
        <v>1</v>
      </c>
    </row>
    <row r="1363" spans="2:21" ht="14.25">
      <c r="B1363" s="17">
        <f t="shared" si="470"/>
        <v>45</v>
      </c>
      <c r="D1363" s="67" t="s">
        <v>767</v>
      </c>
      <c r="G1363" s="17">
        <f t="shared" si="471"/>
        <v>45</v>
      </c>
      <c r="H1363" s="67" t="s">
        <v>826</v>
      </c>
      <c r="J1363" s="476">
        <f t="shared" si="490" ref="J1363:Q1363">J1256/$U1256</f>
        <v>0.55320451113074143</v>
      </c>
      <c r="K1363" s="476">
        <f t="shared" si="490"/>
        <v>0.013509373480173441</v>
      </c>
      <c r="L1363" s="476">
        <f t="shared" si="490"/>
        <v>0.35619308075808048</v>
      </c>
      <c r="M1363" s="476">
        <f t="shared" si="490"/>
        <v>0.00016434731142503763</v>
      </c>
      <c r="N1363" s="476">
        <f t="shared" si="490"/>
        <v>0.069560056334766043</v>
      </c>
      <c r="O1363" s="476">
        <f t="shared" si="490"/>
        <v>0</v>
      </c>
      <c r="P1363" s="476">
        <f t="shared" si="490"/>
        <v>0</v>
      </c>
      <c r="Q1363" s="476">
        <f t="shared" si="490"/>
        <v>0.0035927181836271642</v>
      </c>
      <c r="R1363" s="476">
        <f t="shared" si="484"/>
        <v>0</v>
      </c>
      <c r="S1363" s="476">
        <f t="shared" si="484"/>
        <v>0.0037759128011864238</v>
      </c>
      <c r="T1363" s="129"/>
      <c r="U1363" s="476">
        <f t="shared" si="486"/>
        <v>1</v>
      </c>
    </row>
    <row r="1364" spans="2:21" ht="14.25">
      <c r="B1364" s="17">
        <f t="shared" si="470"/>
        <v>46</v>
      </c>
      <c r="D1364" s="67" t="s">
        <v>768</v>
      </c>
      <c r="G1364" s="17">
        <f t="shared" si="471"/>
        <v>46</v>
      </c>
      <c r="H1364" s="67" t="s">
        <v>827</v>
      </c>
      <c r="J1364" s="476">
        <f t="shared" si="491" ref="J1364:Q1364">J1257/$U1257</f>
        <v>0.55215734582503218</v>
      </c>
      <c r="K1364" s="476">
        <f t="shared" si="491"/>
        <v>0.013483801477549332</v>
      </c>
      <c r="L1364" s="476">
        <f t="shared" si="491"/>
        <v>0.35551883998672246</v>
      </c>
      <c r="M1364" s="476">
        <f t="shared" si="491"/>
        <v>0.00016826877515208668</v>
      </c>
      <c r="N1364" s="476">
        <f t="shared" si="491"/>
        <v>0.071219817211917322</v>
      </c>
      <c r="O1364" s="476">
        <f t="shared" si="491"/>
        <v>0</v>
      </c>
      <c r="P1364" s="476">
        <f t="shared" si="491"/>
        <v>0</v>
      </c>
      <c r="Q1364" s="476">
        <f t="shared" si="491"/>
        <v>0.0035859174982397738</v>
      </c>
      <c r="R1364" s="476">
        <f t="shared" si="484"/>
        <v>0</v>
      </c>
      <c r="S1364" s="476">
        <f t="shared" si="484"/>
        <v>0.0038660092253868681</v>
      </c>
      <c r="T1364" s="129"/>
      <c r="U1364" s="476">
        <f t="shared" si="486"/>
        <v>1</v>
      </c>
    </row>
    <row r="1365" spans="2:21" ht="14.25">
      <c r="B1365" s="17">
        <f t="shared" si="470"/>
        <v>47</v>
      </c>
      <c r="D1365" s="67" t="s">
        <v>769</v>
      </c>
      <c r="G1365" s="17">
        <f t="shared" si="471"/>
        <v>47</v>
      </c>
      <c r="H1365" s="67" t="s">
        <v>828</v>
      </c>
      <c r="J1365" s="476">
        <f t="shared" si="492" ref="J1365:Q1365">J1258/$U1258</f>
        <v>0.56497542945361812</v>
      </c>
      <c r="K1365" s="476">
        <f t="shared" si="492"/>
        <v>0.013796821844438095</v>
      </c>
      <c r="L1365" s="476">
        <f t="shared" si="492"/>
        <v>0.36377204943316838</v>
      </c>
      <c r="M1365" s="476">
        <f t="shared" si="492"/>
        <v>0.00012026713708622553</v>
      </c>
      <c r="N1365" s="476">
        <f t="shared" si="492"/>
        <v>0.050903107318276367</v>
      </c>
      <c r="O1365" s="476">
        <f t="shared" si="492"/>
        <v>0</v>
      </c>
      <c r="P1365" s="476">
        <f t="shared" si="492"/>
        <v>0</v>
      </c>
      <c r="Q1365" s="476">
        <f t="shared" si="492"/>
        <v>0.003669162954856794</v>
      </c>
      <c r="R1365" s="476">
        <f t="shared" si="484"/>
        <v>0</v>
      </c>
      <c r="S1365" s="476">
        <f t="shared" si="484"/>
        <v>0.0027631618585561989</v>
      </c>
      <c r="T1365" s="129"/>
      <c r="U1365" s="476">
        <f t="shared" si="486"/>
        <v>1</v>
      </c>
    </row>
    <row r="1366" spans="2:21" ht="14.25">
      <c r="B1366" s="17">
        <f t="shared" si="470"/>
        <v>48</v>
      </c>
      <c r="D1366" s="67" t="s">
        <v>770</v>
      </c>
      <c r="G1366" s="17">
        <f t="shared" si="471"/>
        <v>48</v>
      </c>
      <c r="H1366" s="67" t="s">
        <v>829</v>
      </c>
      <c r="J1366" s="476">
        <f t="shared" si="493" ref="J1366:Q1366">J1259/$U1259</f>
        <v>0.55417635018250944</v>
      </c>
      <c r="K1366" s="476">
        <f t="shared" si="493"/>
        <v>0.013533105999429505</v>
      </c>
      <c r="L1366" s="476">
        <f t="shared" si="493"/>
        <v>0.35681882103836615</v>
      </c>
      <c r="M1366" s="476">
        <f t="shared" si="493"/>
        <v>0.0001607079322656446</v>
      </c>
      <c r="N1366" s="476">
        <f t="shared" si="493"/>
        <v>0.06801968784832188</v>
      </c>
      <c r="O1366" s="476">
        <f t="shared" si="493"/>
        <v>0</v>
      </c>
      <c r="P1366" s="476">
        <f t="shared" si="493"/>
        <v>0</v>
      </c>
      <c r="Q1366" s="476">
        <f t="shared" si="493"/>
        <v>0.0035990296719874255</v>
      </c>
      <c r="R1366" s="476">
        <f t="shared" si="484"/>
        <v>0</v>
      </c>
      <c r="S1366" s="476">
        <f t="shared" si="484"/>
        <v>0.0036922973271201428</v>
      </c>
      <c r="T1366" s="129"/>
      <c r="U1366" s="476">
        <f t="shared" si="486"/>
        <v>1</v>
      </c>
    </row>
    <row r="1367" spans="2:21" ht="14.25">
      <c r="B1367" s="17">
        <f t="shared" si="470"/>
        <v>49</v>
      </c>
      <c r="D1367" s="67" t="s">
        <v>771</v>
      </c>
      <c r="G1367" s="17">
        <f t="shared" si="471"/>
        <v>49</v>
      </c>
      <c r="H1367" s="67" t="s">
        <v>830</v>
      </c>
      <c r="J1367" s="476">
        <f t="shared" si="494" ref="J1367:Q1367">J1260/$U1260</f>
        <v>0.58692529960705897</v>
      </c>
      <c r="K1367" s="476">
        <f t="shared" si="494"/>
        <v>0.014332842407860549</v>
      </c>
      <c r="L1367" s="476">
        <f t="shared" si="494"/>
        <v>0.37790496359941994</v>
      </c>
      <c r="M1367" s="476">
        <f t="shared" si="494"/>
        <v>2.2173072528940067E-05</v>
      </c>
      <c r="N1367" s="476">
        <f t="shared" si="494"/>
        <v>0.0093847606076076801</v>
      </c>
      <c r="O1367" s="476">
        <f t="shared" si="494"/>
        <v>0.0016110404117866061</v>
      </c>
      <c r="P1367" s="476">
        <f t="shared" si="494"/>
        <v>0.0053046825120673831</v>
      </c>
      <c r="Q1367" s="476">
        <f t="shared" si="494"/>
        <v>0.0038117136680954375</v>
      </c>
      <c r="R1367" s="476">
        <f t="shared" si="484"/>
        <v>0.00019309327666171416</v>
      </c>
      <c r="S1367" s="476">
        <f t="shared" si="484"/>
        <v>0.00050943083691300901</v>
      </c>
      <c r="T1367" s="129"/>
      <c r="U1367" s="476">
        <f t="shared" si="486"/>
        <v>1</v>
      </c>
    </row>
    <row r="1368" spans="2:21" s="386" customFormat="1" ht="14.25">
      <c r="B1368" s="17">
        <f t="shared" si="470"/>
        <v>50</v>
      </c>
      <c r="D1368" s="47" t="s">
        <v>772</v>
      </c>
      <c r="G1368" s="17">
        <f t="shared" si="471"/>
        <v>50</v>
      </c>
      <c r="H1368" s="47" t="s">
        <v>831</v>
      </c>
      <c r="J1368" s="1336">
        <f t="shared" si="495" ref="J1368:Q1368">J1261/$U1261</f>
        <v>0.61322347694531498</v>
      </c>
      <c r="K1368" s="1336">
        <f t="shared" si="495"/>
        <v>0.094543267911477671</v>
      </c>
      <c r="L1368" s="1336">
        <f t="shared" si="495"/>
        <v>0.29162198043182269</v>
      </c>
      <c r="M1368" s="1336">
        <f t="shared" si="495"/>
        <v>0</v>
      </c>
      <c r="N1368" s="1336">
        <f t="shared" si="495"/>
        <v>0</v>
      </c>
      <c r="O1368" s="1336">
        <f t="shared" si="495"/>
        <v>0</v>
      </c>
      <c r="P1368" s="1336">
        <f t="shared" si="495"/>
        <v>0</v>
      </c>
      <c r="Q1368" s="1336">
        <f t="shared" si="495"/>
        <v>0.00061127471138470123</v>
      </c>
      <c r="R1368" s="1336">
        <f t="shared" si="484"/>
        <v>0</v>
      </c>
      <c r="S1368" s="1336">
        <f t="shared" si="484"/>
        <v>0</v>
      </c>
      <c r="T1368" s="159"/>
      <c r="U1368" s="1336">
        <f t="shared" si="486"/>
        <v>1</v>
      </c>
    </row>
    <row r="1369" spans="2:21" s="386" customFormat="1" ht="14.25">
      <c r="B1369" s="17">
        <f t="shared" si="470"/>
        <v>51</v>
      </c>
      <c r="D1369" s="47" t="s">
        <v>773</v>
      </c>
      <c r="G1369" s="17">
        <f t="shared" si="471"/>
        <v>51</v>
      </c>
      <c r="H1369" s="47" t="s">
        <v>832</v>
      </c>
      <c r="J1369" s="1336">
        <f t="shared" si="496" ref="J1369:Q1369">J1262/$U1262</f>
        <v>0</v>
      </c>
      <c r="K1369" s="1336">
        <f t="shared" si="496"/>
        <v>0</v>
      </c>
      <c r="L1369" s="1336">
        <f t="shared" si="496"/>
        <v>0</v>
      </c>
      <c r="M1369" s="1336">
        <f t="shared" si="496"/>
        <v>0</v>
      </c>
      <c r="N1369" s="1336">
        <f t="shared" si="496"/>
        <v>0</v>
      </c>
      <c r="O1369" s="1336">
        <f t="shared" si="496"/>
        <v>0</v>
      </c>
      <c r="P1369" s="1336">
        <f t="shared" si="496"/>
        <v>0</v>
      </c>
      <c r="Q1369" s="1336">
        <f t="shared" si="496"/>
        <v>0</v>
      </c>
      <c r="R1369" s="1336">
        <f t="shared" si="484"/>
        <v>0</v>
      </c>
      <c r="S1369" s="1336">
        <f t="shared" si="484"/>
        <v>0</v>
      </c>
      <c r="T1369" s="159"/>
      <c r="U1369" s="1336">
        <f t="shared" si="486"/>
        <v>0</v>
      </c>
    </row>
    <row r="1370" spans="2:21" s="386" customFormat="1" ht="14.25">
      <c r="B1370" s="17">
        <f t="shared" si="470"/>
        <v>52</v>
      </c>
      <c r="D1370" s="47" t="s">
        <v>774</v>
      </c>
      <c r="G1370" s="17">
        <f t="shared" si="471"/>
        <v>52</v>
      </c>
      <c r="H1370" s="47" t="s">
        <v>833</v>
      </c>
      <c r="J1370" s="1336">
        <f t="shared" si="497" ref="J1370:Q1370">J1263/$U1263</f>
        <v>0.55280154255902636</v>
      </c>
      <c r="K1370" s="1336">
        <f t="shared" si="497"/>
        <v>0.013499532900737559</v>
      </c>
      <c r="L1370" s="1336">
        <f t="shared" si="497"/>
        <v>0.35593362044255544</v>
      </c>
      <c r="M1370" s="1336">
        <f t="shared" si="497"/>
        <v>0.00016585636317503861</v>
      </c>
      <c r="N1370" s="1336">
        <f t="shared" si="497"/>
        <v>0.070198763009259008</v>
      </c>
      <c r="O1370" s="1336">
        <f t="shared" si="497"/>
        <v>0</v>
      </c>
      <c r="P1370" s="1336">
        <f t="shared" si="497"/>
        <v>0</v>
      </c>
      <c r="Q1370" s="1336">
        <f t="shared" si="497"/>
        <v>0.0035901011541454777</v>
      </c>
      <c r="R1370" s="1336">
        <f t="shared" si="484"/>
        <v>0</v>
      </c>
      <c r="S1370" s="1336">
        <f t="shared" si="484"/>
        <v>0.0038105835711009072</v>
      </c>
      <c r="T1370" s="159"/>
      <c r="U1370" s="1336">
        <f t="shared" si="486"/>
        <v>1</v>
      </c>
    </row>
    <row r="1371" spans="2:21" ht="14.25">
      <c r="B1371" s="17">
        <f t="shared" si="470"/>
        <v>53</v>
      </c>
      <c r="D1371" s="67" t="s">
        <v>775</v>
      </c>
      <c r="G1371" s="17">
        <f t="shared" si="471"/>
        <v>53</v>
      </c>
      <c r="H1371" s="67" t="s">
        <v>834</v>
      </c>
      <c r="J1371" s="476">
        <f t="shared" si="498" ref="J1371:Q1371">J1264/$U1264</f>
        <v>0.55739024879828614</v>
      </c>
      <c r="K1371" s="476">
        <f t="shared" si="498"/>
        <v>0.013611590096819086</v>
      </c>
      <c r="L1371" s="476">
        <f t="shared" si="498"/>
        <v>0.35888816144713787</v>
      </c>
      <c r="M1371" s="476">
        <f t="shared" si="498"/>
        <v>0.00014867240475583437</v>
      </c>
      <c r="N1371" s="476">
        <f t="shared" si="498"/>
        <v>0.062925646672096824</v>
      </c>
      <c r="O1371" s="476">
        <f t="shared" si="498"/>
        <v>0</v>
      </c>
      <c r="P1371" s="476">
        <f t="shared" si="498"/>
        <v>0</v>
      </c>
      <c r="Q1371" s="476">
        <f t="shared" si="498"/>
        <v>0.0036199019385089576</v>
      </c>
      <c r="R1371" s="476">
        <f t="shared" si="484"/>
        <v>0</v>
      </c>
      <c r="S1371" s="476">
        <f t="shared" si="484"/>
        <v>0.0034157786423952502</v>
      </c>
      <c r="T1371" s="129"/>
      <c r="U1371" s="476">
        <f t="shared" si="486"/>
        <v>1</v>
      </c>
    </row>
    <row r="1372" spans="2:21" ht="14.25">
      <c r="B1372" s="17">
        <f t="shared" si="470"/>
        <v>54</v>
      </c>
      <c r="D1372" s="67" t="s">
        <v>776</v>
      </c>
      <c r="G1372" s="17">
        <f t="shared" si="471"/>
        <v>54</v>
      </c>
      <c r="H1372" s="67" t="s">
        <v>835</v>
      </c>
      <c r="J1372" s="476">
        <f t="shared" si="499" ref="J1372:Q1372">J1265/$U1265</f>
        <v>0.5446683085454016</v>
      </c>
      <c r="K1372" s="476">
        <f t="shared" si="499"/>
        <v>0.022438497386781619</v>
      </c>
      <c r="L1372" s="476">
        <f t="shared" si="499"/>
        <v>0.33884361517740025</v>
      </c>
      <c r="M1372" s="476">
        <f t="shared" si="499"/>
        <v>0.00011504454719124446</v>
      </c>
      <c r="N1372" s="476">
        <f t="shared" si="499"/>
        <v>0.048692644341071137</v>
      </c>
      <c r="O1372" s="476">
        <f t="shared" si="499"/>
        <v>0.0038668219483368967</v>
      </c>
      <c r="P1372" s="476">
        <f t="shared" si="499"/>
        <v>0.00091920823063547797</v>
      </c>
      <c r="Q1372" s="476">
        <f t="shared" si="499"/>
        <v>0.037349225213851957</v>
      </c>
      <c r="R1372" s="476">
        <f t="shared" si="484"/>
        <v>0.00046346281248387764</v>
      </c>
      <c r="S1372" s="476">
        <f t="shared" si="484"/>
        <v>0.0026431717968459375</v>
      </c>
      <c r="T1372" s="129"/>
      <c r="U1372" s="476">
        <f t="shared" si="486"/>
        <v>1</v>
      </c>
    </row>
    <row r="1373" spans="2:21" ht="14.25">
      <c r="B1373" s="17">
        <f t="shared" si="470"/>
        <v>55</v>
      </c>
      <c r="D1373" s="67"/>
      <c r="G1373" s="17">
        <f>G1372+1</f>
        <v>55</v>
      </c>
      <c r="H1373" s="67"/>
      <c r="J1373" s="480"/>
      <c r="K1373" s="480"/>
      <c r="L1373" s="480"/>
      <c r="M1373" s="480"/>
      <c r="N1373" s="480"/>
      <c r="O1373" s="480"/>
      <c r="P1373" s="480"/>
      <c r="Q1373" s="480"/>
      <c r="R1373" s="480"/>
      <c r="S1373" s="480"/>
      <c r="T1373" s="129"/>
      <c r="U1373" s="476"/>
    </row>
    <row r="1374" spans="2:21" ht="14.25">
      <c r="B1374" s="17">
        <f t="shared" si="470"/>
        <v>56</v>
      </c>
      <c r="D1374" s="67" t="s">
        <v>432</v>
      </c>
      <c r="G1374" s="17">
        <f>G1373+1</f>
        <v>56</v>
      </c>
      <c r="H1374" s="67" t="s">
        <v>433</v>
      </c>
      <c r="J1374" s="476">
        <f t="shared" si="500" ref="J1374:Q1374">J1267/$U1267</f>
        <v>0.54466830854540171</v>
      </c>
      <c r="K1374" s="476">
        <f t="shared" si="500"/>
        <v>0.022438497386781622</v>
      </c>
      <c r="L1374" s="476">
        <f t="shared" si="500"/>
        <v>0.33884361517740025</v>
      </c>
      <c r="M1374" s="476">
        <f t="shared" si="500"/>
        <v>0.00011504454719124447</v>
      </c>
      <c r="N1374" s="476">
        <f t="shared" si="500"/>
        <v>0.048692644341071151</v>
      </c>
      <c r="O1374" s="476">
        <f t="shared" si="500"/>
        <v>0.0038668219483368972</v>
      </c>
      <c r="P1374" s="476">
        <f t="shared" si="500"/>
        <v>0.00091920823063547808</v>
      </c>
      <c r="Q1374" s="476">
        <f t="shared" si="500"/>
        <v>0.037349225213851964</v>
      </c>
      <c r="R1374" s="476">
        <f t="shared" si="501" ref="R1374:S1387">R1267/$U1267</f>
        <v>0.00046346281248387769</v>
      </c>
      <c r="S1374" s="476">
        <f t="shared" si="501"/>
        <v>0.0026431717968459379</v>
      </c>
      <c r="T1374" s="129"/>
      <c r="U1374" s="476"/>
    </row>
    <row r="1375" spans="2:21" ht="14.25">
      <c r="B1375" s="17">
        <f t="shared" si="470"/>
        <v>57</v>
      </c>
      <c r="D1375" s="67" t="s">
        <v>945</v>
      </c>
      <c r="G1375" s="17">
        <f t="shared" si="471"/>
        <v>57</v>
      </c>
      <c r="H1375" t="s">
        <v>946</v>
      </c>
      <c r="J1375" s="476">
        <f t="shared" si="502" ref="J1375:Q1375">J1268/$U1268</f>
        <v>0.55947087137111973</v>
      </c>
      <c r="K1375" s="476">
        <f t="shared" si="502"/>
        <v>0.018744841270016032</v>
      </c>
      <c r="L1375" s="476">
        <f t="shared" si="502"/>
        <v>0.3536348884836274</v>
      </c>
      <c r="M1375" s="476">
        <f t="shared" si="502"/>
        <v>0.00012587971522371041</v>
      </c>
      <c r="N1375" s="476">
        <f t="shared" si="502"/>
        <v>0.053278632953843587</v>
      </c>
      <c r="O1375" s="476">
        <f t="shared" si="502"/>
        <v>0.0046091244066370851</v>
      </c>
      <c r="P1375" s="476">
        <f t="shared" si="502"/>
        <v>0.0010481798060760681</v>
      </c>
      <c r="Q1375" s="476">
        <f t="shared" si="502"/>
        <v>0.0090875819934564447</v>
      </c>
      <c r="R1375" s="476">
        <f t="shared" si="501"/>
        <v>0</v>
      </c>
      <c r="S1375" s="476">
        <f t="shared" si="501"/>
        <v>0</v>
      </c>
      <c r="T1375" s="129"/>
      <c r="U1375" s="476">
        <f>ROUND(SUM(I1375:T1375),6)</f>
        <v>1</v>
      </c>
    </row>
    <row r="1376" spans="2:21" ht="14.25">
      <c r="B1376" s="17">
        <f t="shared" si="470"/>
        <v>58</v>
      </c>
      <c r="D1376" s="67" t="s">
        <v>777</v>
      </c>
      <c r="G1376" s="17">
        <f t="shared" si="471"/>
        <v>58</v>
      </c>
      <c r="H1376" s="67" t="s">
        <v>836</v>
      </c>
      <c r="J1376" s="476">
        <f t="shared" si="503" ref="J1376:Q1376">J1269/$U1269</f>
        <v>0.55755036439281269</v>
      </c>
      <c r="K1376" s="476">
        <f t="shared" si="503"/>
        <v>0.018680495474178445</v>
      </c>
      <c r="L1376" s="476">
        <f t="shared" si="503"/>
        <v>0.35242095884786073</v>
      </c>
      <c r="M1376" s="476">
        <f t="shared" si="503"/>
        <v>0.00012544760537870284</v>
      </c>
      <c r="N1376" s="476">
        <f t="shared" si="503"/>
        <v>0.053095742312670891</v>
      </c>
      <c r="O1376" s="476">
        <f t="shared" si="503"/>
        <v>0.0045933025720433767</v>
      </c>
      <c r="P1376" s="476">
        <f t="shared" si="503"/>
        <v>0.0010445816980509692</v>
      </c>
      <c r="Q1376" s="476">
        <f t="shared" si="503"/>
        <v>0.0090563868669048218</v>
      </c>
      <c r="R1376" s="476">
        <f t="shared" si="501"/>
        <v>0.00055053606219036041</v>
      </c>
      <c r="S1376" s="476">
        <f t="shared" si="501"/>
        <v>0.0028821841679088391</v>
      </c>
      <c r="T1376" s="129"/>
      <c r="U1376" s="476">
        <f t="shared" si="504" ref="U1376:U1386">ROUND(SUM(I1376:T1376),6)</f>
        <v>1</v>
      </c>
    </row>
    <row r="1377" spans="2:21" ht="14.25">
      <c r="B1377" s="17">
        <f t="shared" si="470"/>
        <v>59</v>
      </c>
      <c r="D1377" s="67" t="s">
        <v>941</v>
      </c>
      <c r="G1377" s="17">
        <f t="shared" si="471"/>
        <v>59</v>
      </c>
      <c r="H1377" s="67" t="s">
        <v>942</v>
      </c>
      <c r="J1377" s="476">
        <f t="shared" si="505" ref="J1377:Q1377">J1270/$U1270</f>
        <v>0.55659720379155753</v>
      </c>
      <c r="K1377" s="476">
        <f t="shared" si="505"/>
        <v>0.018502619055772499</v>
      </c>
      <c r="L1377" s="476">
        <f t="shared" si="505"/>
        <v>0.35200779179741154</v>
      </c>
      <c r="M1377" s="476">
        <f t="shared" si="505"/>
        <v>0.00012746634928489342</v>
      </c>
      <c r="N1377" s="476">
        <f t="shared" si="505"/>
        <v>0.053950176368345322</v>
      </c>
      <c r="O1377" s="476">
        <f t="shared" si="505"/>
        <v>0.0053481778179882821</v>
      </c>
      <c r="P1377" s="476">
        <f t="shared" si="505"/>
        <v>0.0010126976877735581</v>
      </c>
      <c r="Q1377" s="476">
        <f t="shared" si="505"/>
        <v>0.008884289328324536</v>
      </c>
      <c r="R1377" s="476">
        <f t="shared" si="501"/>
        <v>0.00064101258509066011</v>
      </c>
      <c r="S1377" s="476">
        <f t="shared" si="501"/>
        <v>0.0029285652184511779</v>
      </c>
      <c r="T1377" s="159"/>
      <c r="U1377" s="476">
        <f t="shared" si="504"/>
        <v>1</v>
      </c>
    </row>
    <row r="1378" spans="2:21" ht="14.25">
      <c r="B1378" s="17">
        <f t="shared" si="470"/>
        <v>60</v>
      </c>
      <c r="D1378" s="67" t="s">
        <v>778</v>
      </c>
      <c r="G1378" s="17">
        <f t="shared" si="471"/>
        <v>60</v>
      </c>
      <c r="H1378" s="67" t="s">
        <v>837</v>
      </c>
      <c r="J1378" s="476">
        <f t="shared" si="506" ref="J1378:Q1378">J1271/$U1271</f>
        <v>0.54420130588846694</v>
      </c>
      <c r="K1378" s="476">
        <f t="shared" si="506"/>
        <v>0.022194484820338513</v>
      </c>
      <c r="L1378" s="476">
        <f t="shared" si="506"/>
        <v>0.33884466381787598</v>
      </c>
      <c r="M1378" s="476">
        <f t="shared" si="506"/>
        <v>0.00011699299198033202</v>
      </c>
      <c r="N1378" s="476">
        <f t="shared" si="506"/>
        <v>0.049517324271146738</v>
      </c>
      <c r="O1378" s="476">
        <f t="shared" si="506"/>
        <v>0.0045148775459122534</v>
      </c>
      <c r="P1378" s="476">
        <f t="shared" si="506"/>
        <v>0.00089580866179941952</v>
      </c>
      <c r="Q1378" s="476">
        <f t="shared" si="506"/>
        <v>0.036485467959604279</v>
      </c>
      <c r="R1378" s="476">
        <f t="shared" si="501"/>
        <v>0.0005411363319556946</v>
      </c>
      <c r="S1378" s="476">
        <f t="shared" si="501"/>
        <v>0.0026879377109197823</v>
      </c>
      <c r="T1378" s="129"/>
      <c r="U1378" s="476">
        <f t="shared" si="504"/>
        <v>1</v>
      </c>
    </row>
    <row r="1379" spans="2:21" ht="14.25">
      <c r="B1379" s="17">
        <f t="shared" si="470"/>
        <v>61</v>
      </c>
      <c r="D1379" s="67" t="s">
        <v>779</v>
      </c>
      <c r="G1379" s="17">
        <f t="shared" si="471"/>
        <v>61</v>
      </c>
      <c r="H1379" s="67" t="s">
        <v>838</v>
      </c>
      <c r="J1379" s="476">
        <f t="shared" si="507" ref="J1379:Q1379">J1272/$U1272</f>
        <v>0.55659720379155753</v>
      </c>
      <c r="K1379" s="476">
        <f t="shared" si="507"/>
        <v>0.018502619055772499</v>
      </c>
      <c r="L1379" s="476">
        <f t="shared" si="507"/>
        <v>0.3520077917974116</v>
      </c>
      <c r="M1379" s="476">
        <f t="shared" si="507"/>
        <v>0.00012746634928489345</v>
      </c>
      <c r="N1379" s="476">
        <f t="shared" si="507"/>
        <v>0.053950176368345322</v>
      </c>
      <c r="O1379" s="476">
        <f t="shared" si="507"/>
        <v>0.0053481778179882821</v>
      </c>
      <c r="P1379" s="476">
        <f t="shared" si="507"/>
        <v>0.0010126976877735581</v>
      </c>
      <c r="Q1379" s="476">
        <f t="shared" si="507"/>
        <v>0.0088842893283245378</v>
      </c>
      <c r="R1379" s="476">
        <f t="shared" si="501"/>
        <v>0.00064101258509066021</v>
      </c>
      <c r="S1379" s="476">
        <f t="shared" si="501"/>
        <v>0.0029285652184511779</v>
      </c>
      <c r="T1379" s="129"/>
      <c r="U1379" s="476">
        <f t="shared" si="504"/>
        <v>1</v>
      </c>
    </row>
    <row r="1380" spans="2:21" ht="14.25">
      <c r="B1380" s="17">
        <f t="shared" si="470"/>
        <v>62</v>
      </c>
      <c r="D1380" s="47" t="s">
        <v>780</v>
      </c>
      <c r="G1380" s="17">
        <f t="shared" si="471"/>
        <v>62</v>
      </c>
      <c r="H1380" s="67" t="s">
        <v>839</v>
      </c>
      <c r="J1380" s="476">
        <f t="shared" si="508" ref="J1380:Q1380">J1273/$U1273</f>
        <v>0.55659720379155764</v>
      </c>
      <c r="K1380" s="476">
        <f t="shared" si="508"/>
        <v>0.018502619055772503</v>
      </c>
      <c r="L1380" s="476">
        <f t="shared" si="508"/>
        <v>0.3520077917974116</v>
      </c>
      <c r="M1380" s="476">
        <f t="shared" si="508"/>
        <v>0.00012746634928489345</v>
      </c>
      <c r="N1380" s="476">
        <f t="shared" si="508"/>
        <v>0.053950176368345336</v>
      </c>
      <c r="O1380" s="476">
        <f t="shared" si="508"/>
        <v>0.0053481778179882821</v>
      </c>
      <c r="P1380" s="476">
        <f t="shared" si="508"/>
        <v>0.0010126976877735578</v>
      </c>
      <c r="Q1380" s="476">
        <f t="shared" si="508"/>
        <v>0.0088842893283245395</v>
      </c>
      <c r="R1380" s="476">
        <f t="shared" si="501"/>
        <v>0.00064101258509066043</v>
      </c>
      <c r="S1380" s="476">
        <f t="shared" si="501"/>
        <v>0.0029285652184511783</v>
      </c>
      <c r="T1380" s="129"/>
      <c r="U1380" s="476">
        <f t="shared" si="504"/>
        <v>1</v>
      </c>
    </row>
    <row r="1381" spans="2:21" ht="14.25">
      <c r="B1381" s="17">
        <f t="shared" si="470"/>
        <v>63</v>
      </c>
      <c r="D1381" s="47" t="s">
        <v>781</v>
      </c>
      <c r="G1381" s="17">
        <f t="shared" si="471"/>
        <v>63</v>
      </c>
      <c r="H1381" s="67" t="s">
        <v>840</v>
      </c>
      <c r="J1381" s="476">
        <f t="shared" si="509" ref="J1381:Q1381">J1274/$U1274</f>
        <v>0.55659720379155753</v>
      </c>
      <c r="K1381" s="476">
        <f t="shared" si="509"/>
        <v>0.018502619055772506</v>
      </c>
      <c r="L1381" s="476">
        <f t="shared" si="509"/>
        <v>0.3520077917974116</v>
      </c>
      <c r="M1381" s="476">
        <f t="shared" si="509"/>
        <v>0.00012746634928489348</v>
      </c>
      <c r="N1381" s="476">
        <f t="shared" si="509"/>
        <v>0.053950176368345336</v>
      </c>
      <c r="O1381" s="476">
        <f t="shared" si="509"/>
        <v>0.0053481778179882821</v>
      </c>
      <c r="P1381" s="476">
        <f t="shared" si="509"/>
        <v>0.0010126976877735578</v>
      </c>
      <c r="Q1381" s="476">
        <f t="shared" si="509"/>
        <v>0.0088842893283245412</v>
      </c>
      <c r="R1381" s="476">
        <f t="shared" si="501"/>
        <v>0.00064101258509066043</v>
      </c>
      <c r="S1381" s="476">
        <f t="shared" si="501"/>
        <v>0.0029285652184511787</v>
      </c>
      <c r="T1381" s="129"/>
      <c r="U1381" s="476">
        <f t="shared" si="504"/>
        <v>1</v>
      </c>
    </row>
    <row r="1382" spans="2:21" ht="14.25">
      <c r="B1382" s="17">
        <f t="shared" si="470"/>
        <v>64</v>
      </c>
      <c r="D1382" s="67" t="s">
        <v>782</v>
      </c>
      <c r="G1382" s="17">
        <f t="shared" si="471"/>
        <v>64</v>
      </c>
      <c r="H1382" s="67" t="s">
        <v>841</v>
      </c>
      <c r="J1382" s="476">
        <f t="shared" si="510" ref="J1382:Q1382">J1275/$U1275</f>
        <v>0.54476512111382636</v>
      </c>
      <c r="K1382" s="476">
        <f t="shared" si="510"/>
        <v>0.02202656393680761</v>
      </c>
      <c r="L1382" s="476">
        <f t="shared" si="510"/>
        <v>0.33944337574872901</v>
      </c>
      <c r="M1382" s="476">
        <f t="shared" si="510"/>
        <v>0.00011746936233729255</v>
      </c>
      <c r="N1382" s="476">
        <f t="shared" si="510"/>
        <v>0.049718948189293406</v>
      </c>
      <c r="O1382" s="476">
        <f t="shared" si="510"/>
        <v>0.0045527793892773498</v>
      </c>
      <c r="P1382" s="476">
        <f t="shared" si="510"/>
        <v>0.00090112524419118216</v>
      </c>
      <c r="Q1382" s="476">
        <f t="shared" si="510"/>
        <v>0.035230055493977015</v>
      </c>
      <c r="R1382" s="476">
        <f t="shared" si="501"/>
        <v>0.00054567910510610197</v>
      </c>
      <c r="S1382" s="476">
        <f t="shared" si="501"/>
        <v>0.0026988824164543988</v>
      </c>
      <c r="T1382" s="129"/>
      <c r="U1382" s="476">
        <f t="shared" si="504"/>
        <v>1</v>
      </c>
    </row>
    <row r="1383" spans="2:21" ht="14.25">
      <c r="B1383" s="17">
        <f t="shared" si="511" ref="B1383:B1412">B1382+1</f>
        <v>65</v>
      </c>
      <c r="D1383" s="67" t="s">
        <v>783</v>
      </c>
      <c r="G1383" s="17">
        <f t="shared" si="512" ref="G1383:G1412">G1382+1</f>
        <v>65</v>
      </c>
      <c r="H1383" s="664" t="s">
        <v>842</v>
      </c>
      <c r="J1383" s="476">
        <f t="shared" si="513" ref="J1383:Q1383">J1276/$U1276</f>
        <v>0.55659720379155753</v>
      </c>
      <c r="K1383" s="476">
        <f t="shared" si="513"/>
        <v>0.018502619055772499</v>
      </c>
      <c r="L1383" s="476">
        <f t="shared" si="513"/>
        <v>0.35200779179741154</v>
      </c>
      <c r="M1383" s="476">
        <f t="shared" si="513"/>
        <v>0.00012746634928489345</v>
      </c>
      <c r="N1383" s="476">
        <f t="shared" si="513"/>
        <v>0.053950176368345315</v>
      </c>
      <c r="O1383" s="476">
        <f t="shared" si="513"/>
        <v>0.0053481778179882821</v>
      </c>
      <c r="P1383" s="476">
        <f t="shared" si="513"/>
        <v>0.0010126976877735581</v>
      </c>
      <c r="Q1383" s="476">
        <f t="shared" si="513"/>
        <v>0.008884289328324536</v>
      </c>
      <c r="R1383" s="476">
        <f t="shared" si="501"/>
        <v>0.00064101258509066011</v>
      </c>
      <c r="S1383" s="476">
        <f t="shared" si="501"/>
        <v>0.0029285652184511779</v>
      </c>
      <c r="T1383" s="129"/>
      <c r="U1383" s="476">
        <f t="shared" si="504"/>
        <v>1</v>
      </c>
    </row>
    <row r="1384" spans="2:21" ht="14.25">
      <c r="B1384" s="17">
        <f t="shared" si="511"/>
        <v>66</v>
      </c>
      <c r="D1384" s="67" t="s">
        <v>784</v>
      </c>
      <c r="G1384" s="17">
        <f t="shared" si="512"/>
        <v>66</v>
      </c>
      <c r="H1384" s="664" t="s">
        <v>843</v>
      </c>
      <c r="J1384" s="476">
        <f t="shared" si="514" ref="J1384:Q1384">J1277/$U1277</f>
        <v>0.55659720379155742</v>
      </c>
      <c r="K1384" s="476">
        <f t="shared" si="514"/>
        <v>0.018502619055772499</v>
      </c>
      <c r="L1384" s="476">
        <f t="shared" si="514"/>
        <v>0.35200779179741148</v>
      </c>
      <c r="M1384" s="476">
        <f t="shared" si="514"/>
        <v>0.00012746634928489345</v>
      </c>
      <c r="N1384" s="476">
        <f t="shared" si="514"/>
        <v>0.053950176368345308</v>
      </c>
      <c r="O1384" s="476">
        <f t="shared" si="514"/>
        <v>0.0053481778179882821</v>
      </c>
      <c r="P1384" s="476">
        <f t="shared" si="514"/>
        <v>0.0010126976877735581</v>
      </c>
      <c r="Q1384" s="476">
        <f t="shared" si="514"/>
        <v>0.008884289328324536</v>
      </c>
      <c r="R1384" s="476">
        <f t="shared" si="501"/>
        <v>0.00064101258509066</v>
      </c>
      <c r="S1384" s="476">
        <f t="shared" si="501"/>
        <v>0.002928565218451177</v>
      </c>
      <c r="T1384" s="129"/>
      <c r="U1384" s="476">
        <f t="shared" si="504"/>
        <v>1</v>
      </c>
    </row>
    <row r="1385" spans="2:21" ht="14.25">
      <c r="B1385" s="17">
        <f t="shared" si="511"/>
        <v>67</v>
      </c>
      <c r="D1385" s="67" t="s">
        <v>785</v>
      </c>
      <c r="G1385" s="17">
        <f t="shared" si="512"/>
        <v>67</v>
      </c>
      <c r="H1385" s="67" t="s">
        <v>844</v>
      </c>
      <c r="J1385" s="476">
        <f t="shared" si="515" ref="J1385:Q1385">J1278/$U1278</f>
        <v>0.52632298393747723</v>
      </c>
      <c r="K1385" s="476">
        <f t="shared" si="515"/>
        <v>0.012852920788150075</v>
      </c>
      <c r="L1385" s="476">
        <f t="shared" si="515"/>
        <v>0.3388848090542223</v>
      </c>
      <c r="M1385" s="476">
        <f t="shared" si="515"/>
        <v>0.0001915855509856453</v>
      </c>
      <c r="N1385" s="476">
        <f t="shared" si="515"/>
        <v>0.081088650638299481</v>
      </c>
      <c r="O1385" s="476">
        <f t="shared" si="515"/>
        <v>0.029324472188571239</v>
      </c>
      <c r="P1385" s="476">
        <f t="shared" si="515"/>
        <v>0</v>
      </c>
      <c r="Q1385" s="476">
        <f t="shared" si="515"/>
        <v>0.003418139434524947</v>
      </c>
      <c r="R1385" s="476">
        <f t="shared" si="501"/>
        <v>0.0035147215301614344</v>
      </c>
      <c r="S1385" s="476">
        <f t="shared" si="501"/>
        <v>0.0044017168776077946</v>
      </c>
      <c r="T1385" s="129"/>
      <c r="U1385" s="476">
        <f t="shared" si="504"/>
        <v>1</v>
      </c>
    </row>
    <row r="1386" spans="2:21" ht="14.25">
      <c r="B1386" s="17">
        <f t="shared" si="511"/>
        <v>68</v>
      </c>
      <c r="D1386" s="67" t="s">
        <v>786</v>
      </c>
      <c r="G1386" s="17">
        <f t="shared" si="512"/>
        <v>68</v>
      </c>
      <c r="H1386" s="67" t="s">
        <v>845</v>
      </c>
      <c r="J1386" s="476">
        <f t="shared" si="516" ref="J1386:Q1386">J1279/$U1279</f>
        <v>0.55612191430763325</v>
      </c>
      <c r="K1386" s="476">
        <f t="shared" si="516"/>
        <v>0.018047929939967094</v>
      </c>
      <c r="L1386" s="476">
        <f t="shared" si="516"/>
        <v>0.35414552553228962</v>
      </c>
      <c r="M1386" s="476">
        <f t="shared" si="516"/>
        <v>0.00012852956898868996</v>
      </c>
      <c r="N1386" s="476">
        <f t="shared" si="516"/>
        <v>0.054680195749009397</v>
      </c>
      <c r="O1386" s="476">
        <f t="shared" si="516"/>
        <v>0.0054808107555443207</v>
      </c>
      <c r="P1386" s="476">
        <f t="shared" si="516"/>
        <v>0.0017339740552757977</v>
      </c>
      <c r="Q1386" s="476">
        <f t="shared" si="516"/>
        <v>0.0060668315432482146</v>
      </c>
      <c r="R1386" s="476">
        <f t="shared" si="501"/>
        <v>0.00065537019416744163</v>
      </c>
      <c r="S1386" s="476">
        <f t="shared" si="501"/>
        <v>0.0029389183538761046</v>
      </c>
      <c r="T1386" s="129"/>
      <c r="U1386" s="476">
        <f t="shared" si="504"/>
        <v>1</v>
      </c>
    </row>
    <row r="1387" spans="2:21" ht="14.25">
      <c r="B1387" s="17">
        <f t="shared" si="511"/>
        <v>69</v>
      </c>
      <c r="D1387" s="67" t="s">
        <v>943</v>
      </c>
      <c r="G1387" s="17">
        <f t="shared" si="512"/>
        <v>69</v>
      </c>
      <c r="H1387" s="67" t="s">
        <v>944</v>
      </c>
      <c r="J1387" s="476">
        <f t="shared" si="517" ref="J1387:Q1387">J1280/$U1280</f>
        <v>0.54653839857188802</v>
      </c>
      <c r="K1387" s="476">
        <f t="shared" si="517"/>
        <v>0.022098263110990852</v>
      </c>
      <c r="L1387" s="476">
        <f t="shared" si="517"/>
        <v>0.34054830567756311</v>
      </c>
      <c r="M1387" s="476">
        <f t="shared" si="517"/>
        <v>0.00011785173955670721</v>
      </c>
      <c r="N1387" s="476">
        <f t="shared" si="517"/>
        <v>0.049880789479503668</v>
      </c>
      <c r="O1387" s="476">
        <f t="shared" si="517"/>
        <v>0.0045675992460369507</v>
      </c>
      <c r="P1387" s="476">
        <f t="shared" si="517"/>
        <v>0.00090405851767085617</v>
      </c>
      <c r="Q1387" s="476">
        <f t="shared" si="517"/>
        <v>0.03534473365678964</v>
      </c>
      <c r="R1387" s="476">
        <f t="shared" si="501"/>
        <v>0</v>
      </c>
      <c r="S1387" s="476">
        <f t="shared" si="501"/>
        <v>0</v>
      </c>
      <c r="T1387" s="129"/>
      <c r="U1387" s="476">
        <f>ROUND(SUM(I1387:T1387),6)</f>
        <v>1</v>
      </c>
    </row>
    <row r="1388" spans="2:21" ht="14.25">
      <c r="B1388" s="17">
        <f t="shared" si="511"/>
        <v>70</v>
      </c>
      <c r="D1388" s="67"/>
      <c r="G1388" s="17">
        <f t="shared" si="512"/>
        <v>70</v>
      </c>
      <c r="H1388" s="67"/>
      <c r="J1388" s="476"/>
      <c r="K1388" s="476"/>
      <c r="L1388" s="476"/>
      <c r="M1388" s="476"/>
      <c r="N1388" s="476"/>
      <c r="O1388" s="476"/>
      <c r="P1388" s="476"/>
      <c r="Q1388" s="476"/>
      <c r="R1388" s="476"/>
      <c r="S1388" s="476"/>
      <c r="T1388" s="129"/>
      <c r="U1388" s="476"/>
    </row>
    <row r="1389" spans="2:21" ht="14.25">
      <c r="B1389" s="17">
        <f t="shared" si="511"/>
        <v>71</v>
      </c>
      <c r="D1389" s="67" t="s">
        <v>787</v>
      </c>
      <c r="G1389" s="17">
        <f t="shared" si="512"/>
        <v>71</v>
      </c>
      <c r="H1389" s="67" t="s">
        <v>846</v>
      </c>
      <c r="J1389" s="476">
        <f t="shared" si="518" ref="J1389:Q1389">J1282/$U1282</f>
        <v>0.54397436691886059</v>
      </c>
      <c r="K1389" s="476">
        <f t="shared" si="518"/>
        <v>0.016275176125581471</v>
      </c>
      <c r="L1389" s="476">
        <f t="shared" si="518"/>
        <v>0.34636986448483326</v>
      </c>
      <c r="M1389" s="476">
        <f t="shared" si="518"/>
        <v>0.00032180675575462837</v>
      </c>
      <c r="N1389" s="476">
        <f t="shared" si="518"/>
        <v>0.074263493900921157</v>
      </c>
      <c r="O1389" s="476">
        <f t="shared" si="518"/>
        <v>0.010077851504180798</v>
      </c>
      <c r="P1389" s="476">
        <f t="shared" si="518"/>
        <v>0.00023896455625216709</v>
      </c>
      <c r="Q1389" s="476">
        <f t="shared" si="518"/>
        <v>0.0034268795537884525</v>
      </c>
      <c r="R1389" s="476">
        <f t="shared" si="519" ref="R1389:S1395">R1282/$U1282</f>
        <v>0.0011947367530357063</v>
      </c>
      <c r="S1389" s="476">
        <f t="shared" si="519"/>
        <v>0.0038568594467918759</v>
      </c>
      <c r="T1389" s="129"/>
      <c r="U1389" s="476">
        <f t="shared" si="520" ref="U1389:U1395">ROUND(SUM(I1389:T1389),6)</f>
        <v>1</v>
      </c>
    </row>
    <row r="1390" spans="2:21" ht="14.25">
      <c r="B1390" s="17">
        <f t="shared" si="511"/>
        <v>72</v>
      </c>
      <c r="D1390" s="67" t="s">
        <v>788</v>
      </c>
      <c r="G1390" s="17">
        <f t="shared" si="512"/>
        <v>72</v>
      </c>
      <c r="H1390" s="67" t="s">
        <v>847</v>
      </c>
      <c r="J1390" s="476">
        <f t="shared" si="521" ref="J1390:Q1390">J1283/$U1283</f>
        <v>0.52026247188252694</v>
      </c>
      <c r="K1390" s="476">
        <f t="shared" si="521"/>
        <v>0.012699415067832858</v>
      </c>
      <c r="L1390" s="476">
        <f t="shared" si="521"/>
        <v>0.33498975628719424</v>
      </c>
      <c r="M1390" s="476">
        <f t="shared" si="521"/>
        <v>0.00014994259331522922</v>
      </c>
      <c r="N1390" s="476">
        <f t="shared" si="521"/>
        <v>0.063584020454838533</v>
      </c>
      <c r="O1390" s="476">
        <f t="shared" si="521"/>
        <v>0.0017271888092622912</v>
      </c>
      <c r="P1390" s="476">
        <f t="shared" si="521"/>
        <v>0.00016343096536084841</v>
      </c>
      <c r="Q1390" s="476">
        <f t="shared" si="521"/>
        <v>0.062764959298312523</v>
      </c>
      <c r="R1390" s="476">
        <f t="shared" si="519"/>
        <v>0.00020701534608001809</v>
      </c>
      <c r="S1390" s="476">
        <f t="shared" si="519"/>
        <v>0.0034517992952763652</v>
      </c>
      <c r="T1390" s="129"/>
      <c r="U1390" s="476">
        <f t="shared" si="520"/>
        <v>1</v>
      </c>
    </row>
    <row r="1391" spans="2:21" ht="14.25">
      <c r="B1391" s="17">
        <f t="shared" si="511"/>
        <v>73</v>
      </c>
      <c r="D1391" s="47" t="s">
        <v>789</v>
      </c>
      <c r="G1391" s="17">
        <f t="shared" si="512"/>
        <v>73</v>
      </c>
      <c r="H1391" s="67" t="s">
        <v>848</v>
      </c>
      <c r="J1391" s="476">
        <f t="shared" si="522" ref="J1391:Q1391">J1284/$U1284</f>
        <v>0.55750481473464386</v>
      </c>
      <c r="K1391" s="476">
        <f t="shared" si="522"/>
        <v>0.085952885111240607</v>
      </c>
      <c r="L1391" s="476">
        <f t="shared" si="522"/>
        <v>0.26512464751523462</v>
      </c>
      <c r="M1391" s="476">
        <f t="shared" si="522"/>
        <v>0.0037227526029269885</v>
      </c>
      <c r="N1391" s="476">
        <f t="shared" si="522"/>
        <v>0.077683818478312849</v>
      </c>
      <c r="O1391" s="476">
        <f t="shared" si="522"/>
        <v>0.0026546895902129731</v>
      </c>
      <c r="P1391" s="476">
        <f t="shared" si="522"/>
        <v>0.0057790550310020871</v>
      </c>
      <c r="Q1391" s="476">
        <f t="shared" si="522"/>
        <v>0.00055573311775356416</v>
      </c>
      <c r="R1391" s="476">
        <f t="shared" si="519"/>
        <v>0.00030631033733226614</v>
      </c>
      <c r="S1391" s="476">
        <f t="shared" si="519"/>
        <v>0.00071529348134022569</v>
      </c>
      <c r="T1391" s="129"/>
      <c r="U1391" s="476">
        <f t="shared" si="520"/>
        <v>1</v>
      </c>
    </row>
    <row r="1392" spans="2:21" ht="14.25">
      <c r="B1392" s="17">
        <f t="shared" si="511"/>
        <v>74</v>
      </c>
      <c r="D1392" s="67" t="s">
        <v>947</v>
      </c>
      <c r="G1392" s="17">
        <f t="shared" si="512"/>
        <v>74</v>
      </c>
      <c r="H1392" s="67" t="s">
        <v>849</v>
      </c>
      <c r="J1392" s="476">
        <f t="shared" si="523" ref="J1392:Q1392">J1285/$U1285</f>
        <v>0.85022848232001924</v>
      </c>
      <c r="K1392" s="476">
        <f t="shared" si="523"/>
        <v>0.079439096257962694</v>
      </c>
      <c r="L1392" s="476">
        <f t="shared" si="523"/>
        <v>0.053125009785389442</v>
      </c>
      <c r="M1392" s="476">
        <f t="shared" si="523"/>
        <v>0.00080918647142509713</v>
      </c>
      <c r="N1392" s="476">
        <f t="shared" si="523"/>
        <v>0.0018678351378461288</v>
      </c>
      <c r="O1392" s="476">
        <f t="shared" si="523"/>
        <v>3.3922683419949252E-05</v>
      </c>
      <c r="P1392" s="476">
        <f t="shared" si="523"/>
        <v>7.3847072368043374E-05</v>
      </c>
      <c r="Q1392" s="476">
        <f t="shared" si="523"/>
        <v>0.014406180817296603</v>
      </c>
      <c r="R1392" s="476">
        <f t="shared" si="519"/>
        <v>3.9141557792249139E-06</v>
      </c>
      <c r="S1392" s="476">
        <f t="shared" si="519"/>
        <v>1.2525298493519723E-05</v>
      </c>
      <c r="T1392" s="129"/>
      <c r="U1392" s="476">
        <f t="shared" si="520"/>
        <v>1</v>
      </c>
    </row>
    <row r="1393" spans="2:21" ht="14.25">
      <c r="B1393" s="17">
        <f t="shared" si="511"/>
        <v>75</v>
      </c>
      <c r="C1393" s="67"/>
      <c r="D1393" s="47" t="s">
        <v>790</v>
      </c>
      <c r="F1393" s="67"/>
      <c r="G1393" s="17">
        <f t="shared" si="512"/>
        <v>75</v>
      </c>
      <c r="H1393" s="67" t="s">
        <v>850</v>
      </c>
      <c r="J1393" s="476">
        <f t="shared" si="524" ref="J1393:Q1393">J1286/$U1286</f>
        <v>0</v>
      </c>
      <c r="K1393" s="476">
        <f t="shared" si="524"/>
        <v>0</v>
      </c>
      <c r="L1393" s="476">
        <f t="shared" si="524"/>
        <v>0</v>
      </c>
      <c r="M1393" s="476">
        <f t="shared" si="524"/>
        <v>0</v>
      </c>
      <c r="N1393" s="476">
        <f t="shared" si="524"/>
        <v>0</v>
      </c>
      <c r="O1393" s="476">
        <f t="shared" si="524"/>
        <v>0</v>
      </c>
      <c r="P1393" s="476">
        <f t="shared" si="524"/>
        <v>0</v>
      </c>
      <c r="Q1393" s="476">
        <f t="shared" si="524"/>
        <v>0</v>
      </c>
      <c r="R1393" s="476">
        <f t="shared" si="519"/>
        <v>0</v>
      </c>
      <c r="S1393" s="476">
        <f t="shared" si="519"/>
        <v>0</v>
      </c>
      <c r="T1393" s="129"/>
      <c r="U1393" s="476">
        <f t="shared" si="520"/>
        <v>0</v>
      </c>
    </row>
    <row r="1394" spans="2:21" ht="14.25">
      <c r="B1394" s="17">
        <f t="shared" si="511"/>
        <v>76</v>
      </c>
      <c r="D1394" s="67" t="s">
        <v>791</v>
      </c>
      <c r="G1394" s="17">
        <f t="shared" si="512"/>
        <v>76</v>
      </c>
      <c r="H1394" s="67" t="s">
        <v>851</v>
      </c>
      <c r="J1394" s="476">
        <f t="shared" si="525" ref="J1394:Q1394">J1287/$U1287</f>
        <v>0.47047823887622392</v>
      </c>
      <c r="K1394" s="476">
        <f t="shared" si="525"/>
        <v>0.013081287871560928</v>
      </c>
      <c r="L1394" s="476">
        <f t="shared" si="525"/>
        <v>0.33458749822577283</v>
      </c>
      <c r="M1394" s="476">
        <f t="shared" si="525"/>
        <v>0.00014842352991800565</v>
      </c>
      <c r="N1394" s="476">
        <f t="shared" si="525"/>
        <v>0.081408549330696842</v>
      </c>
      <c r="O1394" s="476">
        <f t="shared" si="525"/>
        <v>0.023981127096355082</v>
      </c>
      <c r="P1394" s="476">
        <f t="shared" si="525"/>
        <v>0.070052248992426971</v>
      </c>
      <c r="Q1394" s="476">
        <f t="shared" si="525"/>
        <v>0.005569885423204279</v>
      </c>
      <c r="R1394" s="476">
        <f t="shared" si="519"/>
        <v>0.00010910680263914938</v>
      </c>
      <c r="S1394" s="476">
        <f t="shared" si="519"/>
        <v>0.0005836338512020925</v>
      </c>
      <c r="T1394" s="129"/>
      <c r="U1394" s="476">
        <f t="shared" si="520"/>
        <v>1</v>
      </c>
    </row>
    <row r="1395" spans="2:21" ht="14.25">
      <c r="B1395" s="17">
        <f t="shared" si="511"/>
        <v>77</v>
      </c>
      <c r="D1395" s="67" t="s">
        <v>792</v>
      </c>
      <c r="G1395" s="17">
        <f t="shared" si="512"/>
        <v>77</v>
      </c>
      <c r="H1395" s="67" t="s">
        <v>852</v>
      </c>
      <c r="J1395" s="476">
        <f t="shared" si="526" ref="J1395:Q1395">J1288/$U1288</f>
        <v>0.53164055063198812</v>
      </c>
      <c r="K1395" s="476">
        <f t="shared" si="526"/>
        <v>0.014427415088857077</v>
      </c>
      <c r="L1395" s="476">
        <f t="shared" si="526"/>
        <v>0.34009805501911228</v>
      </c>
      <c r="M1395" s="476">
        <f t="shared" si="526"/>
        <v>0.00023111655909460282</v>
      </c>
      <c r="N1395" s="476">
        <f t="shared" si="526"/>
        <v>0.068593773473011599</v>
      </c>
      <c r="O1395" s="476">
        <f t="shared" si="526"/>
        <v>0.0057315711836065644</v>
      </c>
      <c r="P1395" s="476">
        <f t="shared" si="526"/>
        <v>0.0001968179111731591</v>
      </c>
      <c r="Q1395" s="476">
        <f t="shared" si="526"/>
        <v>0.034757786800992507</v>
      </c>
      <c r="R1395" s="476">
        <f t="shared" si="519"/>
        <v>0.00068085978373462767</v>
      </c>
      <c r="S1395" s="476">
        <f t="shared" si="519"/>
        <v>0.0036420535484290736</v>
      </c>
      <c r="T1395" s="129"/>
      <c r="U1395" s="476">
        <f t="shared" si="520"/>
        <v>1</v>
      </c>
    </row>
    <row r="1396" spans="2:21" ht="14.25">
      <c r="B1396" s="17">
        <f t="shared" si="511"/>
        <v>78</v>
      </c>
      <c r="G1396" s="17">
        <f t="shared" si="512"/>
        <v>78</v>
      </c>
      <c r="J1396" s="129"/>
      <c r="K1396" s="129"/>
      <c r="L1396" s="129"/>
      <c r="M1396" s="129"/>
      <c r="N1396" s="129"/>
      <c r="O1396" s="129"/>
      <c r="P1396" s="129"/>
      <c r="Q1396" s="129"/>
      <c r="R1396" s="129"/>
      <c r="S1396" s="129"/>
      <c r="T1396" s="129"/>
      <c r="U1396" s="476"/>
    </row>
    <row r="1397" spans="2:21" ht="14.25">
      <c r="B1397" s="17">
        <f t="shared" si="511"/>
        <v>79</v>
      </c>
      <c r="D1397" s="67"/>
      <c r="G1397" s="17">
        <f t="shared" si="512"/>
        <v>79</v>
      </c>
      <c r="H1397" s="67"/>
      <c r="J1397" s="480"/>
      <c r="K1397" s="480"/>
      <c r="L1397" s="480"/>
      <c r="M1397" s="480"/>
      <c r="N1397" s="480"/>
      <c r="O1397" s="480"/>
      <c r="P1397" s="480"/>
      <c r="Q1397" s="480"/>
      <c r="R1397" s="480"/>
      <c r="S1397" s="480"/>
      <c r="T1397" s="129"/>
      <c r="U1397" s="476"/>
    </row>
    <row r="1398" spans="2:21" ht="14.25">
      <c r="B1398" s="17">
        <f t="shared" si="511"/>
        <v>80</v>
      </c>
      <c r="D1398" s="67" t="s">
        <v>793</v>
      </c>
      <c r="G1398" s="17">
        <f t="shared" si="512"/>
        <v>80</v>
      </c>
      <c r="H1398" s="67" t="s">
        <v>853</v>
      </c>
      <c r="J1398" s="476">
        <f t="shared" si="527" ref="J1398:Q1398">J1291/$U1291</f>
        <v>0.52632298393747712</v>
      </c>
      <c r="K1398" s="476">
        <f t="shared" si="527"/>
        <v>0.012852920788150075</v>
      </c>
      <c r="L1398" s="476">
        <f t="shared" si="527"/>
        <v>0.33888480905422225</v>
      </c>
      <c r="M1398" s="476">
        <f t="shared" si="527"/>
        <v>0.00019158555098564527</v>
      </c>
      <c r="N1398" s="476">
        <f t="shared" si="527"/>
        <v>0.081088650638299481</v>
      </c>
      <c r="O1398" s="476">
        <f t="shared" si="527"/>
        <v>0.029324472188571239</v>
      </c>
      <c r="P1398" s="476">
        <f t="shared" si="527"/>
        <v>0</v>
      </c>
      <c r="Q1398" s="476">
        <f t="shared" si="527"/>
        <v>0.0034181394345249461</v>
      </c>
      <c r="R1398" s="476">
        <f t="shared" si="528" ref="R1398:S1406">R1291/$U1291</f>
        <v>0.0035147215301614344</v>
      </c>
      <c r="S1398" s="476">
        <f t="shared" si="528"/>
        <v>0.0044017168776077946</v>
      </c>
      <c r="T1398" s="129"/>
      <c r="U1398" s="476">
        <f t="shared" si="529" ref="U1398:U1406">ROUND(SUM(I1398:T1398),6)</f>
        <v>1</v>
      </c>
    </row>
    <row r="1399" spans="2:21" ht="14.25">
      <c r="B1399" s="17">
        <f t="shared" si="511"/>
        <v>81</v>
      </c>
      <c r="D1399" s="67" t="s">
        <v>794</v>
      </c>
      <c r="G1399" s="17">
        <f t="shared" si="512"/>
        <v>81</v>
      </c>
      <c r="H1399" s="67" t="s">
        <v>854</v>
      </c>
      <c r="J1399" s="476">
        <f t="shared" si="530" ref="J1399:Q1399">J1292/$U1292</f>
        <v>0.52632298393747712</v>
      </c>
      <c r="K1399" s="476">
        <f t="shared" si="530"/>
        <v>0.012852920788150075</v>
      </c>
      <c r="L1399" s="476">
        <f t="shared" si="530"/>
        <v>0.3388848090542223</v>
      </c>
      <c r="M1399" s="476">
        <f t="shared" si="530"/>
        <v>0.0001915855509856453</v>
      </c>
      <c r="N1399" s="476">
        <f t="shared" si="530"/>
        <v>0.081088650638299467</v>
      </c>
      <c r="O1399" s="476">
        <f t="shared" si="530"/>
        <v>0.029324472188571236</v>
      </c>
      <c r="P1399" s="476">
        <f t="shared" si="530"/>
        <v>0</v>
      </c>
      <c r="Q1399" s="476">
        <f t="shared" si="530"/>
        <v>0.0034181394345249466</v>
      </c>
      <c r="R1399" s="476">
        <f t="shared" si="528"/>
        <v>0.0035147215301614349</v>
      </c>
      <c r="S1399" s="476">
        <f t="shared" si="528"/>
        <v>0.0044017168776077937</v>
      </c>
      <c r="T1399" s="129"/>
      <c r="U1399" s="476">
        <f t="shared" si="529"/>
        <v>1</v>
      </c>
    </row>
    <row r="1400" spans="1:21" ht="14.25">
      <c r="A1400" t="s">
        <v>0</v>
      </c>
      <c r="B1400" s="17">
        <f t="shared" si="511"/>
        <v>82</v>
      </c>
      <c r="D1400" s="67" t="s">
        <v>795</v>
      </c>
      <c r="G1400" s="17">
        <f t="shared" si="512"/>
        <v>82</v>
      </c>
      <c r="H1400" s="67" t="s">
        <v>855</v>
      </c>
      <c r="J1400" s="476">
        <f t="shared" si="531" ref="J1400:Q1400">J1293/$U1293</f>
        <v>0.54126064716179467</v>
      </c>
      <c r="K1400" s="476">
        <f t="shared" si="531"/>
        <v>0.016863793513582616</v>
      </c>
      <c r="L1400" s="476">
        <f t="shared" si="531"/>
        <v>0.3437730579589105</v>
      </c>
      <c r="M1400" s="476">
        <f t="shared" si="531"/>
        <v>0.00035657482092143041</v>
      </c>
      <c r="N1400" s="476">
        <f t="shared" si="531"/>
        <v>0.075417807846350243</v>
      </c>
      <c r="O1400" s="476">
        <f t="shared" si="531"/>
        <v>0.013212589921063705</v>
      </c>
      <c r="P1400" s="476">
        <f t="shared" si="531"/>
        <v>0.0002912828682217365</v>
      </c>
      <c r="Q1400" s="476">
        <f t="shared" si="531"/>
        <v>0.0033753287684358778</v>
      </c>
      <c r="R1400" s="476">
        <f t="shared" si="528"/>
        <v>0.0015675742491821326</v>
      </c>
      <c r="S1400" s="476">
        <f t="shared" si="528"/>
        <v>0.0038813428915370667</v>
      </c>
      <c r="T1400" s="129"/>
      <c r="U1400" s="476">
        <f t="shared" si="529"/>
        <v>1</v>
      </c>
    </row>
    <row r="1401" spans="2:21" ht="14.25">
      <c r="B1401" s="17">
        <f t="shared" si="511"/>
        <v>83</v>
      </c>
      <c r="D1401" s="67" t="s">
        <v>856</v>
      </c>
      <c r="G1401" s="17">
        <f t="shared" si="512"/>
        <v>83</v>
      </c>
      <c r="H1401" s="67" t="s">
        <v>857</v>
      </c>
      <c r="J1401" s="476">
        <f t="shared" si="532" ref="J1401:Q1401">J1294/$U1294</f>
        <v>0.54922746176458093</v>
      </c>
      <c r="K1401" s="476">
        <f t="shared" si="532"/>
        <v>0.013412244115825877</v>
      </c>
      <c r="L1401" s="476">
        <f t="shared" si="532"/>
        <v>0.35363238031731464</v>
      </c>
      <c r="M1401" s="476">
        <f t="shared" si="532"/>
        <v>0.00015927567010681309</v>
      </c>
      <c r="N1401" s="476">
        <f t="shared" si="532"/>
        <v>0.067413678916635897</v>
      </c>
      <c r="O1401" s="476">
        <f t="shared" si="532"/>
        <v>0.0034019106064159471</v>
      </c>
      <c r="P1401" s="476">
        <f t="shared" si="532"/>
        <v>0.0002124754888611092</v>
      </c>
      <c r="Q1401" s="476">
        <f t="shared" si="532"/>
        <v>0.0084734308996088272</v>
      </c>
      <c r="R1401" s="476">
        <f t="shared" si="528"/>
        <v>0.00040774027988757028</v>
      </c>
      <c r="S1401" s="476">
        <f t="shared" si="528"/>
        <v>0.0036594019407625317</v>
      </c>
      <c r="T1401" s="129"/>
      <c r="U1401" s="476">
        <f t="shared" si="529"/>
        <v>1</v>
      </c>
    </row>
    <row r="1402" spans="2:21" ht="14.25">
      <c r="B1402" s="17">
        <f t="shared" si="511"/>
        <v>84</v>
      </c>
      <c r="D1402" s="67" t="s">
        <v>797</v>
      </c>
      <c r="G1402" s="17">
        <f t="shared" si="512"/>
        <v>84</v>
      </c>
      <c r="H1402" s="67" t="s">
        <v>858</v>
      </c>
      <c r="J1402" s="476">
        <f t="shared" si="533" ref="J1402:Q1402">J1295/$U1295</f>
        <v>0.55750481473464386</v>
      </c>
      <c r="K1402" s="476">
        <f t="shared" si="533"/>
        <v>0.085952885111240607</v>
      </c>
      <c r="L1402" s="476">
        <f t="shared" si="533"/>
        <v>0.26512464751523462</v>
      </c>
      <c r="M1402" s="476">
        <f t="shared" si="533"/>
        <v>0.0037227526029269885</v>
      </c>
      <c r="N1402" s="476">
        <f t="shared" si="533"/>
        <v>0.077683818478312849</v>
      </c>
      <c r="O1402" s="476">
        <f t="shared" si="533"/>
        <v>0.0026546895902129731</v>
      </c>
      <c r="P1402" s="476">
        <f t="shared" si="533"/>
        <v>0.0057790550310020871</v>
      </c>
      <c r="Q1402" s="476">
        <f t="shared" si="533"/>
        <v>0.00055573311775356416</v>
      </c>
      <c r="R1402" s="476">
        <f t="shared" si="528"/>
        <v>0.00030631033733226614</v>
      </c>
      <c r="S1402" s="476">
        <f t="shared" si="528"/>
        <v>0.00071529348134022569</v>
      </c>
      <c r="T1402" s="129"/>
      <c r="U1402" s="476">
        <f t="shared" si="529"/>
        <v>1</v>
      </c>
    </row>
    <row r="1403" spans="2:21" ht="13.5" customHeight="1">
      <c r="B1403" s="17">
        <f t="shared" si="511"/>
        <v>85</v>
      </c>
      <c r="D1403" s="67" t="s">
        <v>798</v>
      </c>
      <c r="G1403" s="17">
        <f t="shared" si="512"/>
        <v>85</v>
      </c>
      <c r="H1403" s="67" t="s">
        <v>859</v>
      </c>
      <c r="J1403" s="476">
        <v>0.85022093908636065</v>
      </c>
      <c r="K1403" s="476">
        <v>0.079438391473687447</v>
      </c>
      <c r="L1403" s="476">
        <v>0.053124538459892526</v>
      </c>
      <c r="M1403" s="476">
        <v>0.00080917929231647597</v>
      </c>
      <c r="N1403" s="476">
        <v>0.0018678185663983666</v>
      </c>
      <c r="O1403" s="476">
        <v>3.392238245764008E-05</v>
      </c>
      <c r="P1403" s="476">
        <v>7.3846417196247246E-05</v>
      </c>
      <c r="Q1403" s="476">
        <v>0.014406053005549179</v>
      </c>
      <c r="R1403" s="476">
        <v>1.2786128772495106E-05</v>
      </c>
      <c r="S1403" s="476">
        <v>1.2525187368974798E-05</v>
      </c>
      <c r="T1403" s="129"/>
      <c r="U1403" s="476">
        <v>1</v>
      </c>
    </row>
    <row r="1404" spans="2:21" ht="14.25">
      <c r="B1404" s="17">
        <f t="shared" si="511"/>
        <v>86</v>
      </c>
      <c r="D1404" s="67" t="s">
        <v>799</v>
      </c>
      <c r="G1404" s="17">
        <f t="shared" si="512"/>
        <v>86</v>
      </c>
      <c r="H1404" s="67" t="s">
        <v>860</v>
      </c>
      <c r="J1404" s="476">
        <f t="shared" si="534" ref="J1404:Q1404">J1297/$U1297</f>
        <v>0</v>
      </c>
      <c r="K1404" s="476">
        <f t="shared" si="534"/>
        <v>0</v>
      </c>
      <c r="L1404" s="476">
        <f t="shared" si="534"/>
        <v>0</v>
      </c>
      <c r="M1404" s="476">
        <f t="shared" si="534"/>
        <v>0</v>
      </c>
      <c r="N1404" s="476">
        <f t="shared" si="534"/>
        <v>0</v>
      </c>
      <c r="O1404" s="476">
        <f t="shared" si="534"/>
        <v>0</v>
      </c>
      <c r="P1404" s="476">
        <f t="shared" si="534"/>
        <v>0</v>
      </c>
      <c r="Q1404" s="476">
        <f t="shared" si="534"/>
        <v>0</v>
      </c>
      <c r="R1404" s="476">
        <f t="shared" si="528"/>
        <v>0</v>
      </c>
      <c r="S1404" s="476">
        <f t="shared" si="528"/>
        <v>0</v>
      </c>
      <c r="T1404" s="129"/>
      <c r="U1404" s="476">
        <f t="shared" si="529"/>
        <v>0</v>
      </c>
    </row>
    <row r="1405" spans="2:21" ht="14.25">
      <c r="B1405" s="17">
        <f t="shared" si="511"/>
        <v>87</v>
      </c>
      <c r="D1405" s="47" t="s">
        <v>800</v>
      </c>
      <c r="G1405" s="17">
        <f t="shared" si="512"/>
        <v>87</v>
      </c>
      <c r="H1405" s="67" t="s">
        <v>861</v>
      </c>
      <c r="J1405" s="476">
        <f t="shared" si="535" ref="J1405:Q1405">J1298/$U1298</f>
        <v>0.54482033322821644</v>
      </c>
      <c r="K1405" s="476">
        <f t="shared" si="535"/>
        <v>0.015260295277945927</v>
      </c>
      <c r="L1405" s="476">
        <f t="shared" si="535"/>
        <v>0.3482578575295453</v>
      </c>
      <c r="M1405" s="476">
        <f t="shared" si="535"/>
        <v>0.00026528042730361687</v>
      </c>
      <c r="N1405" s="476">
        <f t="shared" si="535"/>
        <v>0.071782475958224887</v>
      </c>
      <c r="O1405" s="476">
        <f t="shared" si="535"/>
        <v>0.0088150546658403647</v>
      </c>
      <c r="P1405" s="476">
        <f t="shared" si="535"/>
        <v>0.00025372197025059373</v>
      </c>
      <c r="Q1405" s="476">
        <f t="shared" si="535"/>
        <v>0.0057144041419998261</v>
      </c>
      <c r="R1405" s="476">
        <f t="shared" si="528"/>
        <v>0.0010479646878753029</v>
      </c>
      <c r="S1405" s="476">
        <f t="shared" si="528"/>
        <v>0.0037826121127977471</v>
      </c>
      <c r="T1405" s="129"/>
      <c r="U1405" s="476">
        <f t="shared" si="529"/>
        <v>1</v>
      </c>
    </row>
    <row r="1406" spans="2:21" ht="14.25">
      <c r="B1406" s="17">
        <f t="shared" si="511"/>
        <v>88</v>
      </c>
      <c r="D1406" s="67" t="s">
        <v>713</v>
      </c>
      <c r="G1406" s="17">
        <f t="shared" si="512"/>
        <v>88</v>
      </c>
      <c r="H1406" s="67" t="s">
        <v>862</v>
      </c>
      <c r="J1406" s="476">
        <f t="shared" si="536" ref="J1406:Q1406">J1299/$U1299</f>
        <v>0.54119844853795107</v>
      </c>
      <c r="K1406" s="476">
        <f t="shared" si="536"/>
        <v>0.015050005782476164</v>
      </c>
      <c r="L1406" s="476">
        <f t="shared" si="536"/>
        <v>0.34598913931692188</v>
      </c>
      <c r="M1406" s="476">
        <f t="shared" si="536"/>
        <v>0.00025463917689052775</v>
      </c>
      <c r="N1406" s="476">
        <f t="shared" si="536"/>
        <v>0.070752286964454861</v>
      </c>
      <c r="O1406" s="476">
        <f t="shared" si="536"/>
        <v>0.0079213888855121286</v>
      </c>
      <c r="P1406" s="476">
        <f t="shared" si="536"/>
        <v>0.00024335434175774091</v>
      </c>
      <c r="Q1406" s="476">
        <f t="shared" si="536"/>
        <v>0.013912429594082868</v>
      </c>
      <c r="R1406" s="476">
        <f t="shared" si="528"/>
        <v>0.00094161223055123271</v>
      </c>
      <c r="S1406" s="476">
        <f t="shared" si="528"/>
        <v>0.0037366951694013523</v>
      </c>
      <c r="T1406" s="129"/>
      <c r="U1406" s="476">
        <f t="shared" si="529"/>
        <v>1</v>
      </c>
    </row>
    <row r="1407" spans="2:21" ht="14.25">
      <c r="B1407" s="17">
        <f t="shared" si="511"/>
        <v>89</v>
      </c>
      <c r="D1407" s="67"/>
      <c r="G1407" s="17">
        <f t="shared" si="512"/>
        <v>89</v>
      </c>
      <c r="H1407" s="67"/>
      <c r="J1407" s="480"/>
      <c r="K1407" s="480"/>
      <c r="L1407" s="480"/>
      <c r="M1407" s="480"/>
      <c r="N1407" s="480"/>
      <c r="O1407" s="480"/>
      <c r="P1407" s="480"/>
      <c r="Q1407" s="480"/>
      <c r="R1407" s="480"/>
      <c r="S1407" s="480"/>
      <c r="T1407" s="129"/>
      <c r="U1407" s="476"/>
    </row>
    <row r="1408" spans="2:21" ht="14.25">
      <c r="B1408" s="17">
        <f t="shared" si="511"/>
        <v>90</v>
      </c>
      <c r="G1408" s="17">
        <f t="shared" si="512"/>
        <v>90</v>
      </c>
      <c r="J1408" s="480"/>
      <c r="K1408" s="480"/>
      <c r="L1408" s="480"/>
      <c r="M1408" s="480"/>
      <c r="N1408" s="480"/>
      <c r="O1408" s="480"/>
      <c r="P1408" s="480"/>
      <c r="Q1408" s="480"/>
      <c r="R1408" s="480"/>
      <c r="S1408" s="480"/>
      <c r="T1408" s="129"/>
      <c r="U1408" s="476"/>
    </row>
    <row r="1409" spans="2:21" ht="14.25">
      <c r="B1409" s="17">
        <f t="shared" si="511"/>
        <v>91</v>
      </c>
      <c r="D1409" s="67" t="s">
        <v>801</v>
      </c>
      <c r="G1409" s="17">
        <f t="shared" si="512"/>
        <v>91</v>
      </c>
      <c r="H1409" s="67" t="s">
        <v>863</v>
      </c>
      <c r="J1409" s="476">
        <f t="shared" si="537" ref="J1409:Q1409">J1302/$U1302</f>
        <v>0.55633921906537087</v>
      </c>
      <c r="K1409" s="476">
        <f t="shared" si="537"/>
        <v>0.018064482358591882</v>
      </c>
      <c r="L1409" s="476">
        <f t="shared" si="537"/>
        <v>0.35389053355105882</v>
      </c>
      <c r="M1409" s="476">
        <f t="shared" si="537"/>
        <v>0.00012867827503237574</v>
      </c>
      <c r="N1409" s="476">
        <f t="shared" si="537"/>
        <v>0.054722581154217985</v>
      </c>
      <c r="O1409" s="476">
        <f t="shared" si="537"/>
        <v>0.0055003538811015922</v>
      </c>
      <c r="P1409" s="476">
        <f t="shared" si="537"/>
        <v>0.0017410884989744989</v>
      </c>
      <c r="Q1409" s="476">
        <f t="shared" si="537"/>
        <v>0.0060186712575938861</v>
      </c>
      <c r="R1409" s="476">
        <f>R1302/$U1302</f>
        <v>0.00065617763368533422</v>
      </c>
      <c r="S1409" s="476">
        <f>S1302/$U1302</f>
        <v>0.0029382143243730317</v>
      </c>
      <c r="T1409" s="129"/>
      <c r="U1409" s="476">
        <f>ROUND(SUM(I1409:T1409),6)</f>
        <v>1</v>
      </c>
    </row>
    <row r="1410" spans="2:21" ht="14.25">
      <c r="B1410" s="17">
        <f t="shared" si="511"/>
        <v>92</v>
      </c>
      <c r="D1410" s="67" t="s">
        <v>802</v>
      </c>
      <c r="G1410" s="17">
        <f t="shared" si="512"/>
        <v>92</v>
      </c>
      <c r="H1410" s="67" t="s">
        <v>864</v>
      </c>
      <c r="J1410" s="476">
        <f t="shared" si="538" ref="J1410:Q1410">J1303/$U1303</f>
        <v>0.52818908804804821</v>
      </c>
      <c r="K1410" s="476">
        <f t="shared" si="538"/>
        <v>0.018331881669923607</v>
      </c>
      <c r="L1410" s="476">
        <f t="shared" si="538"/>
        <v>0.35375167028528381</v>
      </c>
      <c r="M1410" s="476">
        <f t="shared" si="538"/>
        <v>0.00013357247397521871</v>
      </c>
      <c r="N1410" s="476">
        <f t="shared" si="538"/>
        <v>0.057740472587040154</v>
      </c>
      <c r="O1410" s="476">
        <f t="shared" si="538"/>
        <v>0.0057536572722769793</v>
      </c>
      <c r="P1410" s="476">
        <f t="shared" si="538"/>
        <v>0.010485752201184482</v>
      </c>
      <c r="Q1410" s="476">
        <f t="shared" si="538"/>
        <v>0.025613905462267671</v>
      </c>
      <c r="R1410" s="18">
        <v>0</v>
      </c>
      <c r="S1410" s="18">
        <v>0</v>
      </c>
      <c r="T1410" s="159" t="s">
        <v>0</v>
      </c>
      <c r="U1410" s="476">
        <f>ROUND(SUM(I1410:T1410),6)</f>
        <v>1</v>
      </c>
    </row>
    <row r="1411" spans="2:21" ht="14.25">
      <c r="B1411" s="17">
        <f t="shared" si="511"/>
        <v>93</v>
      </c>
      <c r="G1411" s="17">
        <f t="shared" si="512"/>
        <v>93</v>
      </c>
      <c r="J1411" s="129"/>
      <c r="K1411" s="129"/>
      <c r="L1411" s="129"/>
      <c r="M1411" s="129"/>
      <c r="N1411" s="129"/>
      <c r="O1411" s="129"/>
      <c r="P1411" s="129"/>
      <c r="Q1411" s="129"/>
      <c r="R1411" s="129"/>
      <c r="S1411" s="129"/>
      <c r="T1411" s="129"/>
      <c r="U1411" s="233"/>
    </row>
    <row r="1412" spans="2:21" ht="14.25">
      <c r="B1412" s="17">
        <f t="shared" si="511"/>
        <v>94</v>
      </c>
      <c r="G1412" s="17">
        <f t="shared" si="512"/>
        <v>94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233"/>
    </row>
  </sheetData>
  <pageMargins left="0.5" right="0.5" top="1.75" bottom="0.75" header="1.5" footer="0.5"/>
  <pageSetup fitToWidth="2" orientation="landscape" pageOrder="overThenDown" scale="45" r:id="rId1"/>
  <headerFooter alignWithMargins="0">
    <oddHeader xml:space="preserve">&amp;RSchedules II-I-1-DIST and II-I-2-DIST
Page &amp;P of &amp;N
</oddHeader>
  </headerFooter>
  <rowBreaks count="36" manualBreakCount="36">
    <brk id="40" max="16383" man="1"/>
    <brk id="90" max="16383" man="1"/>
    <brk id="118" max="16383" man="1"/>
    <brk id="164" max="16383" man="1"/>
    <brk id="195" max="16383" man="1"/>
    <brk id="219" max="16383" man="1"/>
    <brk id="238" max="16383" man="1"/>
    <brk id="267" max="16383" man="1"/>
    <brk id="316" max="16383" man="1"/>
    <brk id="355" max="16383" man="1"/>
    <brk id="375" max="16383" man="1"/>
    <brk id="400" max="16383" man="1"/>
    <brk id="422" max="16383" man="1"/>
    <brk id="442" max="16383" man="1"/>
    <brk id="465" max="16383" man="1"/>
    <brk id="488" min="1" max="20" man="1"/>
    <brk id="552" min="1" max="20" man="1"/>
    <brk id="600" max="16383" man="1"/>
    <brk id="641" max="16383" man="1"/>
    <brk id="687" max="16383" man="1"/>
    <brk id="731" max="16383" man="1"/>
    <brk id="765" max="16383" man="1"/>
    <brk id="805" max="16383" man="1"/>
    <brk id="852" max="16383" man="1"/>
    <brk id="902" max="16383" man="1"/>
    <brk id="935" max="16383" man="1"/>
    <brk id="956" max="16383" man="1"/>
    <brk id="1005" max="16383" man="1"/>
    <brk id="1041" max="16383" man="1"/>
    <brk id="1073" max="16383" man="1"/>
    <brk id="1131" max="16383" man="1"/>
    <brk id="1158" max="16383" man="1"/>
    <brk id="1198" max="16383" man="1"/>
    <brk id="1249" max="16383" man="1"/>
    <brk id="1305" max="16383" man="1"/>
    <brk id="1356" max="16383" man="1"/>
  </rowBreaks>
  <colBreaks count="1" manualBreakCount="1">
    <brk id="12" min="1" max="141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3"/>
  <dimension ref="A1:Y1413"/>
  <sheetViews>
    <sheetView view="pageBreakPreview" zoomScale="65" zoomScaleNormal="75" zoomScaleSheetLayoutView="65" workbookViewId="0" topLeftCell="D341">
      <selection pane="topLeft" activeCell="U91" sqref="U91"/>
    </sheetView>
  </sheetViews>
  <sheetFormatPr defaultRowHeight="18" customHeight="1"/>
  <cols>
    <col min="1" max="1" width="1.5" customWidth="1"/>
    <col min="2" max="2" width="5.125" customWidth="1"/>
    <col min="3" max="3" width="7.875" customWidth="1"/>
    <col min="4" max="4" width="47" customWidth="1"/>
    <col min="5" max="5" width="9.75" customWidth="1"/>
    <col min="6" max="6" width="18" customWidth="1"/>
    <col min="7" max="7" width="6.5" customWidth="1"/>
    <col min="8" max="8" width="16" customWidth="1"/>
    <col min="9" max="9" width="2" customWidth="1"/>
    <col min="10" max="10" width="20.625" customWidth="1"/>
    <col min="11" max="11" width="17.75" customWidth="1"/>
    <col min="12" max="12" width="17.375" customWidth="1"/>
    <col min="13" max="13" width="15.5" customWidth="1"/>
    <col min="14" max="14" width="16.25" customWidth="1"/>
    <col min="15" max="15" width="14.5" customWidth="1"/>
    <col min="16" max="16" width="17.5" customWidth="1"/>
    <col min="17" max="17" width="17.625" customWidth="1"/>
    <col min="18" max="18" width="15.375" customWidth="1"/>
    <col min="19" max="19" width="14.25" customWidth="1"/>
    <col min="20" max="20" width="1.375" customWidth="1"/>
    <col min="21" max="21" width="19.375" customWidth="1"/>
    <col min="22" max="22" width="1.625" customWidth="1"/>
    <col min="23" max="23" width="14" customWidth="1"/>
  </cols>
  <sheetData>
    <row r="1" spans="1:21" ht="18" customHeight="1">
      <c r="A1" s="159" t="s">
        <v>0</v>
      </c>
      <c r="J1" s="129" t="s">
        <v>0</v>
      </c>
      <c r="U1" s="233"/>
    </row>
    <row r="2" spans="1:21" ht="18" customHeight="1">
      <c r="A2" s="386"/>
      <c r="B2" s="1245"/>
      <c r="H2" s="134"/>
      <c r="U2" s="134"/>
    </row>
    <row r="3" spans="1:22" ht="18" customHeight="1" thickBot="1">
      <c r="A3" s="47"/>
      <c r="B3" s="124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29"/>
    </row>
    <row r="4" spans="1:23" ht="18" customHeight="1">
      <c r="A4" s="47"/>
      <c r="B4" s="920" t="str">
        <f>'WP II-I-1.1'!B3</f>
        <v>2022 RATE CASE</v>
      </c>
      <c r="C4" s="964"/>
      <c r="D4" s="965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167"/>
      <c r="V4" s="167"/>
      <c r="W4" s="167"/>
    </row>
    <row r="5" spans="1:23" ht="18" customHeight="1">
      <c r="A5" s="47"/>
      <c r="B5" s="917" t="str">
        <f>'WP II-I-1.1'!B4</f>
        <v>ONCOR ELECTRIC DELIVERY COMPANY LLC</v>
      </c>
      <c r="C5" s="840"/>
      <c r="D5" s="9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34"/>
      <c r="V5" s="67"/>
      <c r="W5" s="167"/>
    </row>
    <row r="6" spans="1:23" ht="18" customHeight="1">
      <c r="A6" s="47"/>
      <c r="B6" s="406" t="str">
        <f>"II-I-1-MET:  CLASS REVENUE REQUIREMENT"</f>
        <v>II-I-1-MET:  CLASS REVENUE REQUIREMENT</v>
      </c>
      <c r="C6" s="840"/>
      <c r="D6" s="921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167"/>
    </row>
    <row r="7" spans="1:23" ht="18" customHeight="1">
      <c r="A7" s="47"/>
      <c r="B7" s="406" t="str">
        <f>'WP II-I-1.1'!B6</f>
        <v>TEST YEAR ENDING 12/31/2021</v>
      </c>
      <c r="C7" s="840"/>
      <c r="D7" s="921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167"/>
    </row>
    <row r="8" spans="1:23" ht="18" customHeight="1">
      <c r="A8" s="47"/>
      <c r="B8" s="406" t="str">
        <f>'WP II-I-2.2'!$B$7</f>
        <v>SPONSOR:  MATTHEW A. TROXLE</v>
      </c>
      <c r="C8" s="840"/>
      <c r="D8" s="921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167"/>
    </row>
    <row r="9" spans="1:23" ht="18" customHeight="1" thickBot="1">
      <c r="A9" s="47"/>
      <c r="B9" s="410"/>
      <c r="C9" s="840"/>
      <c r="D9" s="921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167"/>
    </row>
    <row r="10" spans="1:23" ht="18" customHeight="1" thickBot="1">
      <c r="A10" s="47"/>
      <c r="B10" s="235"/>
      <c r="C10" s="236"/>
      <c r="D10" s="237"/>
      <c r="E10" s="238"/>
      <c r="F10" s="238"/>
      <c r="G10" s="238"/>
      <c r="H10" s="238"/>
      <c r="I10" s="471"/>
      <c r="J10" s="14"/>
      <c r="K10" s="238"/>
      <c r="L10" s="14"/>
      <c r="M10" s="238"/>
      <c r="N10" s="238"/>
      <c r="O10" s="238"/>
      <c r="P10" s="238"/>
      <c r="Q10" s="14"/>
      <c r="R10" s="393" t="str">
        <f>" "</f>
        <v xml:space="preserve"> </v>
      </c>
      <c r="S10" s="394"/>
      <c r="T10" s="238"/>
      <c r="U10" s="13"/>
      <c r="V10" s="67"/>
      <c r="W10" s="167"/>
    </row>
    <row r="11" spans="1:23" ht="18" customHeight="1">
      <c r="A11" s="47"/>
      <c r="B11" s="235" t="s">
        <v>2</v>
      </c>
      <c r="C11" s="240"/>
      <c r="D11" s="241" t="s">
        <v>729</v>
      </c>
      <c r="E11" s="242" t="s">
        <v>371</v>
      </c>
      <c r="F11" s="287" t="s">
        <v>8</v>
      </c>
      <c r="G11" s="242"/>
      <c r="H11" s="242"/>
      <c r="I11" s="395"/>
      <c r="J11" s="15" t="s">
        <v>730</v>
      </c>
      <c r="K11" s="242" t="s">
        <v>409</v>
      </c>
      <c r="L11" s="15" t="s">
        <v>409</v>
      </c>
      <c r="M11" s="242" t="s">
        <v>410</v>
      </c>
      <c r="N11" s="242" t="s">
        <v>410</v>
      </c>
      <c r="O11" s="242" t="s">
        <v>410</v>
      </c>
      <c r="P11" s="242" t="s">
        <v>411</v>
      </c>
      <c r="Q11" s="15" t="s">
        <v>412</v>
      </c>
      <c r="R11" s="396" t="s">
        <v>407</v>
      </c>
      <c r="S11" s="13" t="s">
        <v>407</v>
      </c>
      <c r="T11" s="242"/>
      <c r="U11" s="15" t="s">
        <v>10</v>
      </c>
      <c r="V11" s="67"/>
      <c r="W11" s="167"/>
    </row>
    <row r="12" spans="1:22" ht="18" customHeight="1">
      <c r="A12" s="47"/>
      <c r="B12" s="235"/>
      <c r="C12" s="240"/>
      <c r="D12" s="242"/>
      <c r="E12" s="242"/>
      <c r="F12" s="242"/>
      <c r="G12" s="242"/>
      <c r="H12" s="242"/>
      <c r="I12" s="395"/>
      <c r="J12" s="15"/>
      <c r="K12" s="242" t="s">
        <v>731</v>
      </c>
      <c r="L12" s="15" t="s">
        <v>732</v>
      </c>
      <c r="M12" s="242" t="s">
        <v>731</v>
      </c>
      <c r="N12" s="242" t="s">
        <v>732</v>
      </c>
      <c r="O12" s="242" t="s">
        <v>414</v>
      </c>
      <c r="P12" s="242"/>
      <c r="Q12" s="15"/>
      <c r="R12" s="235" t="s">
        <v>458</v>
      </c>
      <c r="S12" s="15" t="s">
        <v>415</v>
      </c>
      <c r="T12" s="242"/>
      <c r="U12" s="15"/>
      <c r="V12" s="67"/>
    </row>
    <row r="13" spans="1:22" ht="18" customHeight="1" thickBot="1">
      <c r="A13" s="47"/>
      <c r="B13" s="243"/>
      <c r="C13" s="243"/>
      <c r="D13" s="245"/>
      <c r="E13" s="245"/>
      <c r="F13" s="16" t="s">
        <v>13</v>
      </c>
      <c r="G13" s="16" t="s">
        <v>14</v>
      </c>
      <c r="H13" s="16" t="s">
        <v>15</v>
      </c>
      <c r="I13" s="243"/>
      <c r="J13" s="16" t="s">
        <v>16</v>
      </c>
      <c r="K13" s="243" t="s">
        <v>17</v>
      </c>
      <c r="L13" s="16" t="s">
        <v>18</v>
      </c>
      <c r="M13" s="16" t="s">
        <v>19</v>
      </c>
      <c r="N13" s="16" t="s">
        <v>20</v>
      </c>
      <c r="O13" s="16" t="s">
        <v>21</v>
      </c>
      <c r="P13" s="16" t="s">
        <v>22</v>
      </c>
      <c r="Q13" s="16" t="s">
        <v>418</v>
      </c>
      <c r="R13" s="243" t="s">
        <v>419</v>
      </c>
      <c r="S13" s="16" t="s">
        <v>733</v>
      </c>
      <c r="T13" s="16"/>
      <c r="U13" s="16" t="s">
        <v>734</v>
      </c>
      <c r="V13" s="67"/>
    </row>
    <row r="14" spans="1:22" ht="18" customHeight="1">
      <c r="A14" s="47"/>
      <c r="B14" s="67"/>
      <c r="C14" s="12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12"/>
      <c r="V14" s="67"/>
    </row>
    <row r="15" spans="1:23" ht="18" customHeight="1">
      <c r="A15" s="47"/>
      <c r="B15" s="17">
        <f t="shared" si="0" ref="B15:B24">B14+1</f>
        <v>1</v>
      </c>
      <c r="C15" s="12"/>
      <c r="D15" s="247" t="s">
        <v>642</v>
      </c>
      <c r="E15" s="58" t="s">
        <v>253</v>
      </c>
      <c r="F15" s="121">
        <f>F638+F686</f>
        <v>50235235.630000003</v>
      </c>
      <c r="G15" s="246"/>
      <c r="H15" s="246"/>
      <c r="I15" s="246"/>
      <c r="J15" s="121">
        <f t="shared" si="1" ref="J15:Q15">J638+J686</f>
        <v>27996970.292232618</v>
      </c>
      <c r="K15" s="121">
        <f t="shared" si="1"/>
        <v>4316260.126092514</v>
      </c>
      <c r="L15" s="121">
        <f t="shared" si="1"/>
        <v>13314318.34623347</v>
      </c>
      <c r="M15" s="121">
        <f t="shared" si="1"/>
        <v>186943.10138544402</v>
      </c>
      <c r="N15" s="121">
        <f t="shared" si="1"/>
        <v>3901170.1737016481</v>
      </c>
      <c r="O15" s="121">
        <f>O638+O686</f>
        <v>133373.69225700485</v>
      </c>
      <c r="P15" s="121">
        <f t="shared" si="1"/>
        <v>290202.47287889355</v>
      </c>
      <c r="Q15" s="121">
        <f t="shared" si="1"/>
        <v>44680.300323830445</v>
      </c>
      <c r="R15" s="121">
        <f>R638+R686</f>
        <v>15389.092093397696</v>
      </c>
      <c r="S15" s="121">
        <f>S638+S686</f>
        <v>35928.032801185196</v>
      </c>
      <c r="T15" s="246"/>
      <c r="U15" s="121">
        <f>SUM(I15:T15)</f>
        <v>50235235.630000018</v>
      </c>
      <c r="V15" s="67"/>
      <c r="W15" s="370">
        <f>U15-F15</f>
        <v>0</v>
      </c>
    </row>
    <row r="16" spans="1:23" ht="18" customHeight="1">
      <c r="A16" s="47"/>
      <c r="B16" s="17">
        <f t="shared" si="0"/>
        <v>2</v>
      </c>
      <c r="C16" s="12"/>
      <c r="D16" s="247" t="s">
        <v>643</v>
      </c>
      <c r="E16" s="58" t="s">
        <v>253</v>
      </c>
      <c r="F16" s="121">
        <f>F706+F716+F726</f>
        <v>8799722.5300000012</v>
      </c>
      <c r="G16" s="246"/>
      <c r="H16" s="246"/>
      <c r="I16" s="246"/>
      <c r="J16" s="121">
        <f t="shared" si="2" ref="J16:Q16">J706+J716+J726</f>
        <v>4937125.131742564</v>
      </c>
      <c r="K16" s="121">
        <f t="shared" si="2"/>
        <v>755666.43296546908</v>
      </c>
      <c r="L16" s="121">
        <f t="shared" si="2"/>
        <v>2310400.1933370936</v>
      </c>
      <c r="M16" s="121">
        <f t="shared" si="2"/>
        <v>32448.274250509534</v>
      </c>
      <c r="N16" s="121">
        <f t="shared" si="2"/>
        <v>675505.48831007059</v>
      </c>
      <c r="O16" s="121">
        <f>O706+O716+O726</f>
        <v>23080.861609944604</v>
      </c>
      <c r="P16" s="121">
        <f t="shared" si="2"/>
        <v>50245.260273956337</v>
      </c>
      <c r="Q16" s="121">
        <f t="shared" si="2"/>
        <v>6368.3215858737649</v>
      </c>
      <c r="R16" s="121">
        <f>R706+R716+R726</f>
        <v>2663.1763396089932</v>
      </c>
      <c r="S16" s="121">
        <f>S706+S716+S726</f>
        <v>6219.3895849110986</v>
      </c>
      <c r="T16" s="246"/>
      <c r="U16" s="121">
        <f>SUM(I16:T16)</f>
        <v>8799722.5300000031</v>
      </c>
      <c r="V16" s="67"/>
      <c r="W16" s="370">
        <f t="shared" si="3" ref="W16:W29">U16-F16</f>
        <v>0</v>
      </c>
    </row>
    <row r="17" spans="1:23" ht="18" customHeight="1">
      <c r="A17" s="47"/>
      <c r="B17" s="17">
        <f t="shared" si="0"/>
        <v>3</v>
      </c>
      <c r="C17" s="12"/>
      <c r="D17" s="632" t="s">
        <v>644</v>
      </c>
      <c r="E17" s="58" t="s">
        <v>253</v>
      </c>
      <c r="F17" s="265">
        <f>F760</f>
        <v>50135758.619999997</v>
      </c>
      <c r="G17" s="246"/>
      <c r="H17" s="246"/>
      <c r="I17" s="246"/>
      <c r="J17" s="265">
        <f t="shared" si="4" ref="J17:Q17">J760</f>
        <v>27963843.720347583</v>
      </c>
      <c r="K17" s="265">
        <f t="shared" si="4"/>
        <v>4306829.3778009275</v>
      </c>
      <c r="L17" s="265">
        <f t="shared" si="4"/>
        <v>13276534.776028531</v>
      </c>
      <c r="M17" s="265">
        <f t="shared" si="4"/>
        <v>186341.23502252414</v>
      </c>
      <c r="N17" s="265">
        <f t="shared" si="4"/>
        <v>3888500.7438906259</v>
      </c>
      <c r="O17" s="265">
        <f>O760</f>
        <v>133007.13318478517</v>
      </c>
      <c r="P17" s="265">
        <f t="shared" si="4"/>
        <v>289638.31379071868</v>
      </c>
      <c r="Q17" s="265">
        <f t="shared" si="4"/>
        <v>39921.963388072931</v>
      </c>
      <c r="R17" s="265">
        <f>R760</f>
        <v>15334.540504436483</v>
      </c>
      <c r="S17" s="265">
        <f>S760</f>
        <v>35806.816041802049</v>
      </c>
      <c r="T17" s="246"/>
      <c r="U17" s="265">
        <f>SUM(I17:T17)</f>
        <v>50135758.619999997</v>
      </c>
      <c r="V17" s="67"/>
      <c r="W17" s="370">
        <f t="shared" si="3"/>
        <v>0</v>
      </c>
    </row>
    <row r="18" spans="1:25" ht="18" customHeight="1">
      <c r="A18" s="290"/>
      <c r="B18" s="17">
        <f t="shared" si="0"/>
        <v>4</v>
      </c>
      <c r="C18" s="167"/>
      <c r="D18" s="247" t="s">
        <v>506</v>
      </c>
      <c r="E18" s="58"/>
      <c r="F18" s="896">
        <f>SUM(F15:F17)</f>
        <v>109170716.78</v>
      </c>
      <c r="G18" s="58"/>
      <c r="H18" s="20"/>
      <c r="I18" s="58"/>
      <c r="J18" s="53">
        <f t="shared" si="5" ref="J18:Q18">SUM(J15:J17)</f>
        <v>60897939.144322768</v>
      </c>
      <c r="K18" s="53">
        <f t="shared" si="5"/>
        <v>9378755.9368589111</v>
      </c>
      <c r="L18" s="53">
        <f t="shared" si="5"/>
        <v>28901253.315599095</v>
      </c>
      <c r="M18" s="53">
        <f t="shared" si="5"/>
        <v>405732.6106584777</v>
      </c>
      <c r="N18" s="53">
        <f t="shared" si="5"/>
        <v>8465176.4059023447</v>
      </c>
      <c r="O18" s="53">
        <f>SUM(O15:O17)</f>
        <v>289461.68705173465</v>
      </c>
      <c r="P18" s="53">
        <f t="shared" si="5"/>
        <v>630086.04694356862</v>
      </c>
      <c r="Q18" s="53">
        <f t="shared" si="5"/>
        <v>90970.585297777143</v>
      </c>
      <c r="R18" s="53">
        <f>SUM(R15:R17)</f>
        <v>33386.808937443173</v>
      </c>
      <c r="S18" s="53">
        <f>SUM(S15:S17)</f>
        <v>77954.238427898352</v>
      </c>
      <c r="T18" s="50"/>
      <c r="U18" s="251">
        <f>SUM(I18:T18)</f>
        <v>109170716.78000002</v>
      </c>
      <c r="V18" s="67"/>
      <c r="W18" s="370">
        <f t="shared" si="3"/>
        <v>0</v>
      </c>
      <c r="X18" t="b">
        <f>'WP II-I-1.1'!$H$462=U18</f>
        <v>1</v>
      </c>
      <c r="Y18" s="664"/>
    </row>
    <row r="19" spans="1:23" ht="18" customHeight="1">
      <c r="A19" s="290"/>
      <c r="B19" s="17">
        <f t="shared" si="0"/>
        <v>5</v>
      </c>
      <c r="C19" s="167"/>
      <c r="D19" s="247"/>
      <c r="E19" s="58"/>
      <c r="F19" s="50"/>
      <c r="G19" s="58"/>
      <c r="H19" s="20"/>
      <c r="I19" s="58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121"/>
      <c r="V19" s="67"/>
      <c r="W19" s="370">
        <f t="shared" si="3"/>
        <v>0</v>
      </c>
    </row>
    <row r="20" spans="1:23" ht="18" customHeight="1">
      <c r="A20" s="290"/>
      <c r="B20" s="17">
        <f t="shared" si="0"/>
        <v>6</v>
      </c>
      <c r="C20" s="167"/>
      <c r="D20" s="214" t="s">
        <v>640</v>
      </c>
      <c r="E20" s="58" t="s">
        <v>297</v>
      </c>
      <c r="F20" s="50">
        <f>F1035</f>
        <v>30914363.670000002</v>
      </c>
      <c r="G20" s="58"/>
      <c r="H20" s="20"/>
      <c r="I20" s="58"/>
      <c r="J20" s="50">
        <f t="shared" si="6" ref="J20:Q20">J1035</f>
        <v>17234906.590482756</v>
      </c>
      <c r="K20" s="50">
        <f t="shared" si="6"/>
        <v>2657178.748814621</v>
      </c>
      <c r="L20" s="50">
        <f t="shared" si="6"/>
        <v>8196159.771166523</v>
      </c>
      <c r="M20" s="50">
        <f t="shared" si="6"/>
        <v>115086.52782032405</v>
      </c>
      <c r="N20" s="50">
        <f t="shared" si="6"/>
        <v>2401545.8157128291</v>
      </c>
      <c r="O20" s="50">
        <f>O1035</f>
        <v>82068.039422807109</v>
      </c>
      <c r="P20" s="50">
        <f t="shared" si="6"/>
        <v>178655.8088973416</v>
      </c>
      <c r="Q20" s="50">
        <f t="shared" si="6"/>
        <v>17180.135705696608</v>
      </c>
      <c r="R20" s="50">
        <f>R1035</f>
        <v>9469.389164170052</v>
      </c>
      <c r="S20" s="50">
        <f>S1035</f>
        <v>22112.842812932093</v>
      </c>
      <c r="T20" s="50"/>
      <c r="U20" s="121">
        <f>SUM(I20:T20)</f>
        <v>30914363.669999998</v>
      </c>
      <c r="V20" s="67"/>
      <c r="W20" s="370">
        <f t="shared" si="3"/>
        <v>0</v>
      </c>
    </row>
    <row r="21" spans="1:23" ht="18" customHeight="1">
      <c r="A21" s="290"/>
      <c r="B21" s="17">
        <f t="shared" si="0"/>
        <v>7</v>
      </c>
      <c r="C21" s="167"/>
      <c r="D21" s="633" t="s">
        <v>641</v>
      </c>
      <c r="E21" s="58" t="s">
        <v>330</v>
      </c>
      <c r="F21" s="630">
        <f>F1037+F1038</f>
        <v>25459958.16</v>
      </c>
      <c r="G21" s="58"/>
      <c r="H21" s="20"/>
      <c r="I21" s="58"/>
      <c r="J21" s="630">
        <f t="shared" si="7" ref="J21:Q21">J1037+J1038</f>
        <v>14194049.25714259</v>
      </c>
      <c r="K21" s="630">
        <f t="shared" si="7"/>
        <v>2188356.8586634742</v>
      </c>
      <c r="L21" s="630">
        <f t="shared" si="7"/>
        <v>6750062.4329226213</v>
      </c>
      <c r="M21" s="630">
        <f t="shared" si="7"/>
        <v>94781.125510552272</v>
      </c>
      <c r="N21" s="630">
        <f t="shared" si="7"/>
        <v>1977826.7681668801</v>
      </c>
      <c r="O21" s="630">
        <f>O1037+O1038</f>
        <v>67588.285894609857</v>
      </c>
      <c r="P21" s="630">
        <f t="shared" si="7"/>
        <v>147134.49929365068</v>
      </c>
      <c r="Q21" s="630">
        <f t="shared" si="7"/>
        <v>14148.941926132096</v>
      </c>
      <c r="R21" s="630">
        <f>R1037+R1038</f>
        <v>7798.6483724549862</v>
      </c>
      <c r="S21" s="630">
        <f>S1037+S1038</f>
        <v>18211.342107042892</v>
      </c>
      <c r="T21" s="50"/>
      <c r="U21" s="265">
        <f>SUM(I21:T21)</f>
        <v>25459958.160000011</v>
      </c>
      <c r="V21" s="67"/>
      <c r="W21" s="370">
        <f t="shared" si="3"/>
        <v>0</v>
      </c>
    </row>
    <row r="22" spans="1:25" ht="18" customHeight="1">
      <c r="A22" s="290"/>
      <c r="B22" s="17">
        <f t="shared" si="0"/>
        <v>8</v>
      </c>
      <c r="C22" s="167"/>
      <c r="D22" s="12" t="s">
        <v>507</v>
      </c>
      <c r="E22" s="58"/>
      <c r="F22" s="53">
        <f>SUM(F20:F21)</f>
        <v>56374321.829999998</v>
      </c>
      <c r="G22" s="58"/>
      <c r="H22" s="58"/>
      <c r="I22" s="58"/>
      <c r="J22" s="53">
        <f t="shared" si="8" ref="J22:Q22">SUM(J20:J21)</f>
        <v>31428955.847625345</v>
      </c>
      <c r="K22" s="53">
        <f t="shared" si="8"/>
        <v>4845535.6074780952</v>
      </c>
      <c r="L22" s="53">
        <f t="shared" si="8"/>
        <v>14946222.204089144</v>
      </c>
      <c r="M22" s="53">
        <f t="shared" si="8"/>
        <v>209867.65333087632</v>
      </c>
      <c r="N22" s="53">
        <f t="shared" si="8"/>
        <v>4379372.5838797092</v>
      </c>
      <c r="O22" s="53">
        <f>SUM(O20:O21)</f>
        <v>149656.32531741698</v>
      </c>
      <c r="P22" s="53">
        <f t="shared" si="8"/>
        <v>325790.30819099228</v>
      </c>
      <c r="Q22" s="53">
        <f t="shared" si="8"/>
        <v>31329.077631828703</v>
      </c>
      <c r="R22" s="53">
        <f>SUM(R20:R21)</f>
        <v>17268.037536625037</v>
      </c>
      <c r="S22" s="53">
        <f>SUM(S20:S21)</f>
        <v>40324.184919974985</v>
      </c>
      <c r="T22" s="50"/>
      <c r="U22" s="251">
        <f>SUM(I22:T22)</f>
        <v>56374321.830000021</v>
      </c>
      <c r="V22" s="67"/>
      <c r="W22" s="370">
        <f t="shared" si="3"/>
        <v>0</v>
      </c>
      <c r="X22" t="b">
        <f>'WP II-I-1.1'!$H$463=U22</f>
        <v>1</v>
      </c>
      <c r="Y22" s="664"/>
    </row>
    <row r="23" spans="1:23" ht="18" customHeight="1">
      <c r="A23" s="290"/>
      <c r="B23" s="17">
        <f t="shared" si="0"/>
        <v>9</v>
      </c>
      <c r="C23" s="167"/>
      <c r="D23" s="12"/>
      <c r="E23" s="58"/>
      <c r="F23" s="50"/>
      <c r="G23" s="58"/>
      <c r="H23" s="58"/>
      <c r="I23" s="58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121"/>
      <c r="V23" s="67"/>
      <c r="W23" s="370">
        <f t="shared" si="3"/>
        <v>0</v>
      </c>
    </row>
    <row r="24" spans="1:24" ht="18" customHeight="1">
      <c r="A24" s="290"/>
      <c r="B24" s="17">
        <f t="shared" si="0"/>
        <v>10</v>
      </c>
      <c r="C24" s="167"/>
      <c r="D24" s="12" t="s">
        <v>364</v>
      </c>
      <c r="E24" s="58" t="s">
        <v>305</v>
      </c>
      <c r="F24" s="50">
        <f>+F1072</f>
        <v>8538460.3599999994</v>
      </c>
      <c r="G24" s="58"/>
      <c r="H24" s="58"/>
      <c r="I24" s="58"/>
      <c r="J24" s="50">
        <f t="shared" si="9" ref="J24:Q24">+J1072</f>
        <v>4759243.0661896737</v>
      </c>
      <c r="K24" s="50">
        <f t="shared" si="9"/>
        <v>733334.03999625531</v>
      </c>
      <c r="L24" s="50">
        <f t="shared" si="9"/>
        <v>2264727.2851111302</v>
      </c>
      <c r="M24" s="50">
        <f t="shared" si="9"/>
        <v>31752.473308456865</v>
      </c>
      <c r="N24" s="50">
        <f t="shared" si="9"/>
        <v>663072.54557320138</v>
      </c>
      <c r="O24" s="50">
        <f>+O1072</f>
        <v>22694.899186695864</v>
      </c>
      <c r="P24" s="50">
        <f t="shared" si="9"/>
        <v>49877.894932900817</v>
      </c>
      <c r="Q24" s="50">
        <f t="shared" si="9"/>
        <v>5042.902098304653</v>
      </c>
      <c r="R24" s="50">
        <f>+R1072</f>
        <v>2613.2350533705448</v>
      </c>
      <c r="S24" s="50">
        <f>+S1072</f>
        <v>6102.0185500126681</v>
      </c>
      <c r="T24" s="50"/>
      <c r="U24" s="121">
        <f>SUM(I24:T24)</f>
        <v>8538460.3600000013</v>
      </c>
      <c r="V24" s="67"/>
      <c r="W24" s="370">
        <f t="shared" si="3"/>
        <v>0</v>
      </c>
      <c r="X24" t="b">
        <f>'WP II-I-1.1'!$H$464=U24</f>
        <v>1</v>
      </c>
    </row>
    <row r="25" spans="1:24" ht="18" customHeight="1">
      <c r="A25" s="290"/>
      <c r="B25" s="17">
        <f t="shared" si="10" ref="B25:B30">B24+1</f>
        <v>11</v>
      </c>
      <c r="C25" s="167"/>
      <c r="D25" s="247" t="s">
        <v>508</v>
      </c>
      <c r="E25" s="58" t="s">
        <v>316</v>
      </c>
      <c r="F25" s="50">
        <f>+F1130</f>
        <v>1649124.5175090355</v>
      </c>
      <c r="G25" s="58"/>
      <c r="H25" s="58"/>
      <c r="I25" s="58"/>
      <c r="J25" s="50">
        <f t="shared" si="11" ref="J25:Q25">+J1130</f>
        <v>917265.0636780028</v>
      </c>
      <c r="K25" s="50">
        <f t="shared" si="11"/>
        <v>140880.77113301569</v>
      </c>
      <c r="L25" s="50">
        <f t="shared" si="11"/>
        <v>439447.32750832138</v>
      </c>
      <c r="M25" s="50">
        <f t="shared" si="11"/>
        <v>6093.5195527160749</v>
      </c>
      <c r="N25" s="50">
        <f t="shared" si="11"/>
        <v>127971.60224352805</v>
      </c>
      <c r="O25" s="50">
        <f>+O1130</f>
        <v>4429.4797167988772</v>
      </c>
      <c r="P25" s="50">
        <f t="shared" si="11"/>
        <v>10409.50779687761</v>
      </c>
      <c r="Q25" s="50">
        <f t="shared" si="11"/>
        <v>952.0261633819166</v>
      </c>
      <c r="R25" s="50">
        <f>+R1130</f>
        <v>502.41415431693935</v>
      </c>
      <c r="S25" s="50">
        <f>+S1130</f>
        <v>1172.8055620769426</v>
      </c>
      <c r="T25" s="50"/>
      <c r="U25" s="121">
        <f>SUM(I25:T25)</f>
        <v>1649124.5175090362</v>
      </c>
      <c r="V25" s="67"/>
      <c r="W25" s="370">
        <f t="shared" si="3"/>
        <v>0</v>
      </c>
      <c r="X25" t="b">
        <f>'WP II-I-1.1'!$H$465=U25</f>
        <v>1</v>
      </c>
    </row>
    <row r="26" spans="1:23" ht="18" customHeight="1">
      <c r="A26" s="290"/>
      <c r="B26" s="17">
        <f t="shared" si="10"/>
        <v>12</v>
      </c>
      <c r="C26" s="167"/>
      <c r="D26" s="151"/>
      <c r="E26" s="248"/>
      <c r="F26" s="50"/>
      <c r="G26" s="248"/>
      <c r="H26" s="248"/>
      <c r="I26" s="248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67"/>
      <c r="W26" s="370">
        <f t="shared" si="3"/>
        <v>0</v>
      </c>
    </row>
    <row r="27" spans="1:24" ht="18" customHeight="1">
      <c r="A27" s="290"/>
      <c r="B27" s="17">
        <f t="shared" si="10"/>
        <v>13</v>
      </c>
      <c r="C27" s="167"/>
      <c r="D27" s="12" t="s">
        <v>509</v>
      </c>
      <c r="E27" s="58" t="s">
        <v>510</v>
      </c>
      <c r="F27" s="50">
        <f>+F83</f>
        <v>29703069.880629227</v>
      </c>
      <c r="G27" s="58"/>
      <c r="H27" s="58"/>
      <c r="I27" s="58"/>
      <c r="J27" s="50">
        <f t="shared" si="12" ref="J27:Q27">+J83</f>
        <v>16524775.281618822</v>
      </c>
      <c r="K27" s="50">
        <f t="shared" si="12"/>
        <v>2538756.3984703976</v>
      </c>
      <c r="L27" s="50">
        <f t="shared" si="12"/>
        <v>7911329.3463404151</v>
      </c>
      <c r="M27" s="50">
        <f t="shared" si="12"/>
        <v>109817.97924730454</v>
      </c>
      <c r="N27" s="50">
        <f t="shared" si="12"/>
        <v>2305042.2615415901</v>
      </c>
      <c r="O27" s="50">
        <f>+O83</f>
        <v>79699.057490767154</v>
      </c>
      <c r="P27" s="50">
        <f t="shared" si="12"/>
        <v>186137.8254757566</v>
      </c>
      <c r="Q27" s="50">
        <f t="shared" si="12"/>
        <v>17325.576260752845</v>
      </c>
      <c r="R27" s="50">
        <f>+R83</f>
        <v>9052.9455012492162</v>
      </c>
      <c r="S27" s="50">
        <f>+S83</f>
        <v>21133.208682178622</v>
      </c>
      <c r="T27" s="50"/>
      <c r="U27" s="121">
        <f>SUM(I27:T27)</f>
        <v>29703069.880629234</v>
      </c>
      <c r="V27" s="67"/>
      <c r="W27" s="370">
        <f t="shared" si="3"/>
        <v>0</v>
      </c>
      <c r="X27" t="b">
        <f>'WP II-I-1.1'!$H$461=U27</f>
        <v>1</v>
      </c>
    </row>
    <row r="28" spans="1:23" ht="18" customHeight="1">
      <c r="A28" s="290"/>
      <c r="B28" s="17">
        <f t="shared" si="10"/>
        <v>14</v>
      </c>
      <c r="C28" s="167"/>
      <c r="D28" s="247"/>
      <c r="E28" s="248"/>
      <c r="F28" s="12"/>
      <c r="G28" s="248"/>
      <c r="H28" s="248"/>
      <c r="I28" s="24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1"/>
      <c r="V28" s="67"/>
      <c r="W28" s="370">
        <f t="shared" si="3"/>
        <v>0</v>
      </c>
    </row>
    <row r="29" spans="1:24" ht="18" customHeight="1">
      <c r="A29" s="290"/>
      <c r="B29" s="17">
        <f t="shared" si="10"/>
        <v>15</v>
      </c>
      <c r="C29" s="249"/>
      <c r="D29" s="250" t="s">
        <v>511</v>
      </c>
      <c r="E29" s="248"/>
      <c r="F29" s="53">
        <f>+F18+F22+F24+F25+F27</f>
        <v>205435693.36813831</v>
      </c>
      <c r="G29" s="248"/>
      <c r="H29" s="248"/>
      <c r="I29" s="248"/>
      <c r="J29" s="53">
        <f t="shared" si="13" ref="J29:Q29">+J18+J22+J24+J25+J27</f>
        <v>114528178.4034346</v>
      </c>
      <c r="K29" s="53">
        <f t="shared" si="13"/>
        <v>17637262.753936674</v>
      </c>
      <c r="L29" s="53">
        <f t="shared" si="13"/>
        <v>54462979.478648111</v>
      </c>
      <c r="M29" s="53">
        <f t="shared" si="13"/>
        <v>763264.2360978314</v>
      </c>
      <c r="N29" s="53">
        <f t="shared" si="13"/>
        <v>15940635.399140373</v>
      </c>
      <c r="O29" s="53">
        <f>+O18+O22+O24+O25+O27</f>
        <v>545941.44876341359</v>
      </c>
      <c r="P29" s="53">
        <f t="shared" si="13"/>
        <v>1202301.5833400961</v>
      </c>
      <c r="Q29" s="53">
        <f t="shared" si="13"/>
        <v>145620.16745204525</v>
      </c>
      <c r="R29" s="53">
        <f>+R18+R22+R24+R25+R27</f>
        <v>62823.441183004914</v>
      </c>
      <c r="S29" s="53">
        <f>+S18+S22+S24+S25+S27</f>
        <v>146686.45614214157</v>
      </c>
      <c r="T29" s="53"/>
      <c r="U29" s="251">
        <f>SUM(I29:T29)</f>
        <v>205435693.36813831</v>
      </c>
      <c r="V29" s="133"/>
      <c r="W29" s="370">
        <f t="shared" si="3"/>
        <v>0</v>
      </c>
      <c r="X29" t="b">
        <f>'WP II-I-1.1'!$H$476=U29</f>
        <v>1</v>
      </c>
    </row>
    <row r="30" spans="1:22" ht="18" customHeight="1">
      <c r="A30" s="290"/>
      <c r="B30" s="17">
        <f t="shared" si="10"/>
        <v>16</v>
      </c>
      <c r="C30" s="167"/>
      <c r="D30" s="12"/>
      <c r="E30" s="58"/>
      <c r="F30" s="12"/>
      <c r="G30" s="58"/>
      <c r="H30" s="58"/>
      <c r="I30" s="5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67"/>
    </row>
    <row r="31" spans="1:24" ht="18" customHeight="1">
      <c r="A31" s="290"/>
      <c r="B31" s="17">
        <f>B30+1</f>
        <v>17</v>
      </c>
      <c r="C31" s="167"/>
      <c r="D31" s="12" t="s">
        <v>512</v>
      </c>
      <c r="E31" s="58" t="s">
        <v>335</v>
      </c>
      <c r="F31" s="50">
        <f>+F1186</f>
        <v>5094630.9699999997</v>
      </c>
      <c r="G31" s="58"/>
      <c r="H31" s="58"/>
      <c r="I31" s="58"/>
      <c r="J31" s="50">
        <f t="shared" si="14" ref="J31:Q31">+J1186</f>
        <v>2843185.9046486132</v>
      </c>
      <c r="K31" s="50">
        <f t="shared" si="14"/>
        <v>438346.046443525</v>
      </c>
      <c r="L31" s="50">
        <f t="shared" si="14"/>
        <v>1352093.5440692713</v>
      </c>
      <c r="M31" s="50">
        <f t="shared" si="14"/>
        <v>18985.446308968392</v>
      </c>
      <c r="N31" s="50">
        <f t="shared" si="14"/>
        <v>396175.12150446291</v>
      </c>
      <c r="O31" s="50">
        <f>+O1186</f>
        <v>13538.494780001949</v>
      </c>
      <c r="P31" s="50">
        <f t="shared" si="14"/>
        <v>29472.261713388856</v>
      </c>
      <c r="Q31" s="50">
        <f t="shared" si="14"/>
        <v>2834.1505317679116</v>
      </c>
      <c r="R31" s="50">
        <f>+R1186</f>
        <v>0</v>
      </c>
      <c r="S31" s="50">
        <f>+S1186</f>
        <v>0</v>
      </c>
      <c r="T31" s="50"/>
      <c r="U31" s="121">
        <f>SUM(I31:T31)</f>
        <v>5094630.9700000007</v>
      </c>
      <c r="V31" s="67"/>
      <c r="X31" t="b">
        <f>'WP II-I-1.1'!$H$466=-U31</f>
        <v>1</v>
      </c>
    </row>
    <row r="32" spans="1:23" ht="18" customHeight="1" thickBot="1">
      <c r="A32" s="290"/>
      <c r="B32" s="17">
        <f>B31+1</f>
        <v>18</v>
      </c>
      <c r="C32" s="167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67"/>
      <c r="W32" s="167"/>
    </row>
    <row r="33" spans="1:24" ht="18" customHeight="1" thickBot="1">
      <c r="A33" s="290"/>
      <c r="B33" s="17">
        <f>B32+1</f>
        <v>19</v>
      </c>
      <c r="C33" s="167"/>
      <c r="D33" s="253" t="s">
        <v>358</v>
      </c>
      <c r="E33" s="254"/>
      <c r="F33" s="255">
        <f>+F29-F31</f>
        <v>200341062.39813831</v>
      </c>
      <c r="G33" s="254"/>
      <c r="H33" s="397"/>
      <c r="I33" s="616"/>
      <c r="J33" s="446">
        <f t="shared" si="15" ref="J33:Q33">+J29-J31</f>
        <v>111684992.49878599</v>
      </c>
      <c r="K33" s="903">
        <f t="shared" si="15"/>
        <v>17198916.707493149</v>
      </c>
      <c r="L33" s="903">
        <f t="shared" si="15"/>
        <v>53110885.934578843</v>
      </c>
      <c r="M33" s="903">
        <f t="shared" si="15"/>
        <v>744278.78978886304</v>
      </c>
      <c r="N33" s="903">
        <f t="shared" si="15"/>
        <v>15544460.27763591</v>
      </c>
      <c r="O33" s="903">
        <f>+O29-O31</f>
        <v>532402.95398341166</v>
      </c>
      <c r="P33" s="903">
        <f t="shared" si="15"/>
        <v>1172829.3216267072</v>
      </c>
      <c r="Q33" s="903">
        <f t="shared" si="15"/>
        <v>142786.01692027733</v>
      </c>
      <c r="R33" s="903">
        <f>+R29-R31</f>
        <v>62823.441183004914</v>
      </c>
      <c r="S33" s="380">
        <f>+S29-S31</f>
        <v>146686.45614214157</v>
      </c>
      <c r="T33" s="1011"/>
      <c r="U33" s="256">
        <f>SUM(I33:T33)</f>
        <v>200341062.39813826</v>
      </c>
      <c r="V33" s="67"/>
      <c r="W33" s="258" t="b">
        <f>IF(ROUND(U33-'WP II-I-1.1'!H467,2)=0,TRUE,U33-'WP II-I-1.1'!H467)</f>
        <v>1</v>
      </c>
      <c r="X33" t="b">
        <f>'WP II-I-1.1'!$H$467=U33</f>
        <v>1</v>
      </c>
    </row>
    <row r="34" spans="1:23" ht="18" customHeight="1">
      <c r="A34" s="47"/>
      <c r="B34" s="17"/>
      <c r="C34" s="167"/>
      <c r="D34" s="12"/>
      <c r="E34" s="150"/>
      <c r="F34" s="121"/>
      <c r="G34" s="150"/>
      <c r="H34" s="150"/>
      <c r="I34" s="150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7"/>
      <c r="W34" s="167"/>
    </row>
    <row r="35" spans="1:23" ht="18" customHeight="1">
      <c r="A35" s="47"/>
      <c r="B35" s="1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67"/>
      <c r="W35" s="167"/>
    </row>
    <row r="36" spans="1:23" ht="18" customHeight="1">
      <c r="A36" s="47"/>
      <c r="B36" s="1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67"/>
      <c r="W36" s="167"/>
    </row>
    <row r="37" spans="1:23" ht="18" customHeight="1">
      <c r="A37" s="47"/>
      <c r="B37" s="1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67"/>
      <c r="W37" s="167"/>
    </row>
    <row r="38" spans="1:23" ht="18" customHeight="1">
      <c r="A38" s="47"/>
      <c r="B38" s="1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67"/>
      <c r="W38" s="167"/>
    </row>
    <row r="39" spans="1:23" ht="18" customHeight="1">
      <c r="A39" s="47"/>
      <c r="B39" s="1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67"/>
      <c r="W39" s="167"/>
    </row>
    <row r="40" spans="1:23" ht="18" customHeight="1">
      <c r="A40" s="47"/>
      <c r="B40" s="67"/>
      <c r="C40" s="67"/>
      <c r="D40" s="67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67"/>
      <c r="V40" s="67"/>
      <c r="W40" s="167"/>
    </row>
    <row r="41" spans="1:23" ht="18" customHeight="1" thickBot="1">
      <c r="A41" s="47"/>
      <c r="B41" s="67"/>
      <c r="C41" s="67"/>
      <c r="D41" s="67"/>
      <c r="E41" s="150"/>
      <c r="F41" s="150"/>
      <c r="G41" s="150"/>
      <c r="H41" s="134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34"/>
      <c r="V41" s="134"/>
      <c r="W41" s="167"/>
    </row>
    <row r="42" spans="1:23" ht="18" customHeight="1">
      <c r="A42" s="47"/>
      <c r="B42" s="920" t="str">
        <f>+$B$4</f>
        <v>2022 RATE CASE</v>
      </c>
      <c r="C42" s="964"/>
      <c r="D42" s="965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134"/>
      <c r="V42" s="167"/>
      <c r="W42" s="167"/>
    </row>
    <row r="43" spans="1:23" ht="18" customHeight="1">
      <c r="A43" s="290"/>
      <c r="B43" s="917" t="str">
        <f>+$B$5</f>
        <v>ONCOR ELECTRIC DELIVERY COMPANY LLC</v>
      </c>
      <c r="C43" s="840"/>
      <c r="D43" s="9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134"/>
      <c r="V43" s="67"/>
      <c r="W43" s="167"/>
    </row>
    <row r="44" spans="1:23" ht="18" customHeight="1">
      <c r="A44" s="47"/>
      <c r="B44" s="917" t="str">
        <f>+$B$6</f>
        <v>II-I-1-MET:  CLASS REVENUE REQUIREMENT</v>
      </c>
      <c r="C44" s="840"/>
      <c r="D44" s="921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167"/>
    </row>
    <row r="45" spans="1:23" ht="18" customHeight="1">
      <c r="A45" s="47"/>
      <c r="B45" s="406" t="str">
        <f>+$B$7</f>
        <v>TEST YEAR ENDING 12/31/2021</v>
      </c>
      <c r="C45" s="840"/>
      <c r="D45" s="921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167"/>
    </row>
    <row r="46" spans="1:23" ht="18" customHeight="1">
      <c r="A46" s="47"/>
      <c r="B46" s="406" t="str">
        <f>+$B$8</f>
        <v>SPONSOR:  MATTHEW A. TROXLE</v>
      </c>
      <c r="C46" s="840"/>
      <c r="D46" s="921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167"/>
    </row>
    <row r="47" spans="1:23" ht="18" customHeight="1" thickBot="1">
      <c r="A47" s="47"/>
      <c r="B47" s="410"/>
      <c r="C47" s="840"/>
      <c r="D47" s="92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167"/>
    </row>
    <row r="48" spans="1:23" ht="18" customHeight="1" thickBot="1">
      <c r="A48" s="47"/>
      <c r="B48" s="235"/>
      <c r="C48" s="236"/>
      <c r="D48" s="259"/>
      <c r="E48" s="238"/>
      <c r="F48" s="14"/>
      <c r="G48" s="238"/>
      <c r="H48" s="238"/>
      <c r="I48" s="238"/>
      <c r="J48" s="238"/>
      <c r="K48" s="238"/>
      <c r="L48" s="14"/>
      <c r="M48" s="238"/>
      <c r="N48" s="238"/>
      <c r="O48" s="238"/>
      <c r="P48" s="238"/>
      <c r="Q48" s="14"/>
      <c r="R48" s="393" t="str">
        <f>R$10</f>
        <v xml:space="preserve"> </v>
      </c>
      <c r="S48" s="394"/>
      <c r="T48" s="238"/>
      <c r="U48" s="13"/>
      <c r="V48" s="67"/>
      <c r="W48" s="167"/>
    </row>
    <row r="49" spans="1:23" ht="18" customHeight="1">
      <c r="A49" s="47"/>
      <c r="B49" s="235" t="s">
        <v>2</v>
      </c>
      <c r="C49" s="240"/>
      <c r="D49" s="241" t="s">
        <v>738</v>
      </c>
      <c r="E49" s="242" t="s">
        <v>371</v>
      </c>
      <c r="F49" s="287" t="str">
        <f>F$11</f>
        <v>MET</v>
      </c>
      <c r="G49" s="242"/>
      <c r="H49" s="242"/>
      <c r="I49" s="242"/>
      <c r="J49" s="242" t="s">
        <v>730</v>
      </c>
      <c r="K49" s="242" t="s">
        <v>409</v>
      </c>
      <c r="L49" s="15" t="s">
        <v>409</v>
      </c>
      <c r="M49" s="242" t="s">
        <v>410</v>
      </c>
      <c r="N49" s="242" t="s">
        <v>410</v>
      </c>
      <c r="O49" s="242" t="s">
        <v>410</v>
      </c>
      <c r="P49" s="242" t="s">
        <v>411</v>
      </c>
      <c r="Q49" s="15" t="s">
        <v>412</v>
      </c>
      <c r="R49" s="396" t="str">
        <f>R$11</f>
        <v>Wholesale</v>
      </c>
      <c r="S49" s="13" t="str">
        <f>S$11</f>
        <v>Wholesale</v>
      </c>
      <c r="T49" s="242"/>
      <c r="U49" s="15" t="s">
        <v>10</v>
      </c>
      <c r="V49" s="67"/>
      <c r="W49" s="167"/>
    </row>
    <row r="50" spans="1:23" ht="18" customHeight="1">
      <c r="A50" s="47"/>
      <c r="B50" s="235"/>
      <c r="C50" s="240"/>
      <c r="D50" s="242"/>
      <c r="E50" s="242"/>
      <c r="F50" s="15"/>
      <c r="G50" s="242"/>
      <c r="H50" s="242"/>
      <c r="I50" s="242"/>
      <c r="J50" s="242"/>
      <c r="K50" s="242" t="s">
        <v>731</v>
      </c>
      <c r="L50" s="15" t="s">
        <v>732</v>
      </c>
      <c r="M50" s="242" t="s">
        <v>731</v>
      </c>
      <c r="N50" s="242" t="s">
        <v>732</v>
      </c>
      <c r="O50" s="242" t="s">
        <v>414</v>
      </c>
      <c r="P50" s="242"/>
      <c r="Q50" s="15"/>
      <c r="R50" s="235" t="str">
        <f>R$12</f>
        <v>XFMR</v>
      </c>
      <c r="S50" s="15" t="str">
        <f>S$12</f>
        <v>DLS</v>
      </c>
      <c r="T50" s="242"/>
      <c r="U50" s="15"/>
      <c r="V50" s="67"/>
      <c r="W50" s="167"/>
    </row>
    <row r="51" spans="1:23" ht="18" customHeight="1" thickBot="1">
      <c r="A51" s="47"/>
      <c r="B51" s="243"/>
      <c r="C51" s="243"/>
      <c r="D51" s="245"/>
      <c r="E51" s="245"/>
      <c r="F51" s="16" t="s">
        <v>13</v>
      </c>
      <c r="G51" s="16" t="s">
        <v>14</v>
      </c>
      <c r="H51" s="16" t="s">
        <v>15</v>
      </c>
      <c r="I51" s="16"/>
      <c r="J51" s="243" t="str">
        <f t="shared" si="16" ref="J51:Q51">J$13</f>
        <v>(d)</v>
      </c>
      <c r="K51" s="243" t="str">
        <f t="shared" si="16"/>
        <v>(e)</v>
      </c>
      <c r="L51" s="16" t="str">
        <f t="shared" si="16"/>
        <v>(f)</v>
      </c>
      <c r="M51" s="243" t="str">
        <f t="shared" si="16"/>
        <v>(g)</v>
      </c>
      <c r="N51" s="243" t="str">
        <f t="shared" si="16"/>
        <v>(h)</v>
      </c>
      <c r="O51" s="243" t="str">
        <f>O$13</f>
        <v>(i)</v>
      </c>
      <c r="P51" s="243" t="str">
        <f t="shared" si="16"/>
        <v>(j)</v>
      </c>
      <c r="Q51" s="243" t="str">
        <f t="shared" si="16"/>
        <v>(k)</v>
      </c>
      <c r="R51" s="243" t="str">
        <f>R$13</f>
        <v>(l)</v>
      </c>
      <c r="S51" s="16" t="str">
        <f>S$13</f>
        <v>(m)</v>
      </c>
      <c r="T51" s="16"/>
      <c r="U51" s="16" t="s">
        <v>734</v>
      </c>
      <c r="V51" s="67"/>
      <c r="W51" s="167"/>
    </row>
    <row r="52" spans="1:23" ht="18" customHeight="1">
      <c r="A52" s="47"/>
      <c r="B52" s="6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1"/>
      <c r="V52" s="67"/>
      <c r="W52" s="167"/>
    </row>
    <row r="53" spans="1:23" ht="18" customHeight="1">
      <c r="A53" s="47"/>
      <c r="B53" s="17">
        <f t="shared" si="17" ref="B53:B58">B52+1</f>
        <v>1</v>
      </c>
      <c r="C53" s="12"/>
      <c r="D53" s="260" t="s">
        <v>646</v>
      </c>
      <c r="E53" s="261" t="s">
        <v>24</v>
      </c>
      <c r="F53" s="121">
        <f>F106</f>
        <v>185301712.96000001</v>
      </c>
      <c r="G53" s="12"/>
      <c r="H53" s="12"/>
      <c r="I53" s="12"/>
      <c r="J53" s="121">
        <f t="shared" si="18" ref="J53:Q53">J106</f>
        <v>103306597.153777</v>
      </c>
      <c r="K53" s="121">
        <f t="shared" si="18"/>
        <v>15927216.844966976</v>
      </c>
      <c r="L53" s="121">
        <f t="shared" si="18"/>
        <v>49128051.332489185</v>
      </c>
      <c r="M53" s="121">
        <f t="shared" si="18"/>
        <v>689832.43424867012</v>
      </c>
      <c r="N53" s="121">
        <f t="shared" si="18"/>
        <v>14394944.633305073</v>
      </c>
      <c r="O53" s="121">
        <f>O106</f>
        <v>491918.52844354458</v>
      </c>
      <c r="P53" s="121">
        <f t="shared" si="18"/>
        <v>1070868.796534793</v>
      </c>
      <c r="Q53" s="121">
        <f t="shared" si="18"/>
        <v>102978.29866833684</v>
      </c>
      <c r="R53" s="121">
        <f>R106</f>
        <v>56759.830205024387</v>
      </c>
      <c r="S53" s="121">
        <f>S106</f>
        <v>132545.10736146566</v>
      </c>
      <c r="T53" s="12"/>
      <c r="U53" s="121">
        <f>SUM(I53:T53)</f>
        <v>185301712.96000007</v>
      </c>
      <c r="V53" s="67"/>
      <c r="W53" s="726">
        <f>U53-F53</f>
        <v>0</v>
      </c>
    </row>
    <row r="54" spans="1:23" ht="18" customHeight="1">
      <c r="A54" s="47"/>
      <c r="B54" s="17">
        <f t="shared" si="17"/>
        <v>2</v>
      </c>
      <c r="C54" s="12"/>
      <c r="D54" s="260" t="s">
        <v>647</v>
      </c>
      <c r="E54" s="261" t="s">
        <v>24</v>
      </c>
      <c r="F54" s="121">
        <f>F118</f>
        <v>0</v>
      </c>
      <c r="G54" s="12"/>
      <c r="H54" s="12"/>
      <c r="I54" s="12"/>
      <c r="J54" s="121">
        <f t="shared" si="19" ref="J54:Q54">J118</f>
        <v>0</v>
      </c>
      <c r="K54" s="121">
        <f t="shared" si="19"/>
        <v>0</v>
      </c>
      <c r="L54" s="121">
        <f t="shared" si="19"/>
        <v>0</v>
      </c>
      <c r="M54" s="121">
        <f t="shared" si="19"/>
        <v>0</v>
      </c>
      <c r="N54" s="121">
        <f t="shared" si="19"/>
        <v>0</v>
      </c>
      <c r="O54" s="121">
        <f>O118</f>
        <v>0</v>
      </c>
      <c r="P54" s="121">
        <f t="shared" si="19"/>
        <v>0</v>
      </c>
      <c r="Q54" s="121">
        <f t="shared" si="19"/>
        <v>0</v>
      </c>
      <c r="R54" s="121">
        <f>R118</f>
        <v>0</v>
      </c>
      <c r="S54" s="121">
        <f>S118</f>
        <v>0</v>
      </c>
      <c r="T54" s="12"/>
      <c r="U54" s="121">
        <f>SUM(I54:T54)</f>
        <v>0</v>
      </c>
      <c r="V54" s="67"/>
      <c r="W54" s="726">
        <f t="shared" si="20" ref="W54:W82">U54-F54</f>
        <v>0</v>
      </c>
    </row>
    <row r="55" spans="1:23" ht="18" customHeight="1">
      <c r="A55" s="47"/>
      <c r="B55" s="17">
        <f t="shared" si="17"/>
        <v>3</v>
      </c>
      <c r="C55" s="12"/>
      <c r="D55" s="631" t="s">
        <v>645</v>
      </c>
      <c r="E55" s="261" t="s">
        <v>24</v>
      </c>
      <c r="F55" s="265">
        <f>F154</f>
        <v>574147483.07000005</v>
      </c>
      <c r="G55" s="12"/>
      <c r="H55" s="12"/>
      <c r="I55" s="12"/>
      <c r="J55" s="265">
        <f t="shared" si="21" ref="J55:Q55">J154</f>
        <v>320089986.17930245</v>
      </c>
      <c r="K55" s="265">
        <f t="shared" si="21"/>
        <v>49349632.649223678</v>
      </c>
      <c r="L55" s="265">
        <f t="shared" si="21"/>
        <v>152220649.0706929</v>
      </c>
      <c r="M55" s="265">
        <f t="shared" si="21"/>
        <v>2137409.0370628219</v>
      </c>
      <c r="N55" s="265">
        <f t="shared" si="21"/>
        <v>44601968.854590081</v>
      </c>
      <c r="O55" s="265">
        <f>O154</f>
        <v>1524183.3465529084</v>
      </c>
      <c r="P55" s="265">
        <f t="shared" si="21"/>
        <v>3318029.9005728695</v>
      </c>
      <c r="Q55" s="265">
        <f t="shared" si="21"/>
        <v>319072.7708168528</v>
      </c>
      <c r="R55" s="265">
        <f>R154</f>
        <v>175867.30921764328</v>
      </c>
      <c r="S55" s="265">
        <f>S154</f>
        <v>410683.9519678686</v>
      </c>
      <c r="T55" s="12"/>
      <c r="U55" s="265">
        <f>SUM(I55:T55)</f>
        <v>574147483.07000017</v>
      </c>
      <c r="V55" s="67"/>
      <c r="W55" s="726">
        <f t="shared" si="20"/>
        <v>0</v>
      </c>
    </row>
    <row r="56" spans="1:23" ht="18" customHeight="1">
      <c r="A56" s="290"/>
      <c r="B56" s="17">
        <f t="shared" si="17"/>
        <v>4</v>
      </c>
      <c r="C56" s="167"/>
      <c r="D56" s="260" t="s">
        <v>515</v>
      </c>
      <c r="E56" s="261"/>
      <c r="F56" s="269">
        <f>SUM(F53:F55)</f>
        <v>759449196.03000009</v>
      </c>
      <c r="G56" s="261"/>
      <c r="H56" s="261"/>
      <c r="I56" s="261"/>
      <c r="J56" s="269">
        <f t="shared" si="22" ref="J56:Q56">SUM(J53:J55)</f>
        <v>423396583.33307946</v>
      </c>
      <c r="K56" s="269">
        <f t="shared" si="22"/>
        <v>65276849.494190656</v>
      </c>
      <c r="L56" s="269">
        <f t="shared" si="22"/>
        <v>201348700.40318209</v>
      </c>
      <c r="M56" s="269">
        <f t="shared" si="22"/>
        <v>2827241.4713114919</v>
      </c>
      <c r="N56" s="269">
        <f t="shared" si="22"/>
        <v>58996913.487895153</v>
      </c>
      <c r="O56" s="269">
        <f>SUM(O53:O55)</f>
        <v>2016101.8749964531</v>
      </c>
      <c r="P56" s="269">
        <f t="shared" si="22"/>
        <v>4388898.6971076624</v>
      </c>
      <c r="Q56" s="269">
        <f t="shared" si="22"/>
        <v>422051.06948518963</v>
      </c>
      <c r="R56" s="269">
        <f>SUM(R53:R55)</f>
        <v>232627.13942266768</v>
      </c>
      <c r="S56" s="269">
        <f>SUM(S53:S55)</f>
        <v>543229.0593293343</v>
      </c>
      <c r="T56" s="262"/>
      <c r="U56" s="251">
        <f>SUM(I56:T56)</f>
        <v>759449196.03000009</v>
      </c>
      <c r="V56" s="67"/>
      <c r="W56" s="726">
        <f t="shared" si="20"/>
        <v>0</v>
      </c>
    </row>
    <row r="57" spans="1:23" ht="18" customHeight="1">
      <c r="A57" s="290"/>
      <c r="B57" s="17">
        <f t="shared" si="17"/>
        <v>5</v>
      </c>
      <c r="C57" s="167"/>
      <c r="D57" s="260"/>
      <c r="E57" s="261"/>
      <c r="F57" s="262"/>
      <c r="G57" s="261"/>
      <c r="H57" s="261"/>
      <c r="I57" s="261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121"/>
      <c r="V57" s="67"/>
      <c r="W57" s="726">
        <f t="shared" si="20"/>
        <v>0</v>
      </c>
    </row>
    <row r="58" spans="1:23" ht="18" customHeight="1">
      <c r="A58" s="290"/>
      <c r="B58" s="17">
        <f t="shared" si="17"/>
        <v>6</v>
      </c>
      <c r="C58" s="167"/>
      <c r="D58" s="260" t="s">
        <v>516</v>
      </c>
      <c r="E58" s="261" t="s">
        <v>90</v>
      </c>
      <c r="F58" s="262">
        <f>+F194</f>
        <v>104726621.60999998</v>
      </c>
      <c r="G58" s="261"/>
      <c r="H58" s="261"/>
      <c r="I58" s="261"/>
      <c r="J58" s="262">
        <f t="shared" si="23" ref="J58:Q58">+J194</f>
        <v>58385595.778468207</v>
      </c>
      <c r="K58" s="262">
        <f t="shared" si="23"/>
        <v>9001555.2753327005</v>
      </c>
      <c r="L58" s="262">
        <f t="shared" si="23"/>
        <v>27765608.639812604</v>
      </c>
      <c r="M58" s="262">
        <f t="shared" si="23"/>
        <v>389871.30319437745</v>
      </c>
      <c r="N58" s="262">
        <f t="shared" si="23"/>
        <v>8135563.8629981941</v>
      </c>
      <c r="O58" s="262">
        <f>+O194</f>
        <v>278016.67220624001</v>
      </c>
      <c r="P58" s="262">
        <f t="shared" si="23"/>
        <v>605220.90949512238</v>
      </c>
      <c r="Q58" s="262">
        <f t="shared" si="23"/>
        <v>58200.051939123063</v>
      </c>
      <c r="R58" s="262">
        <f>+R194</f>
        <v>32078.8467930277</v>
      </c>
      <c r="S58" s="262">
        <f>+S194</f>
        <v>74910.269760417417</v>
      </c>
      <c r="T58" s="262"/>
      <c r="U58" s="121">
        <f>SUM(I58:T58)</f>
        <v>104726621.61</v>
      </c>
      <c r="V58" s="67"/>
      <c r="W58" s="726">
        <f t="shared" si="20"/>
        <v>0</v>
      </c>
    </row>
    <row r="59" spans="1:23" ht="18" customHeight="1">
      <c r="A59" s="290"/>
      <c r="B59" s="17">
        <f t="shared" si="24" ref="B59:B83">B58+1</f>
        <v>7</v>
      </c>
      <c r="C59" s="167"/>
      <c r="D59" s="260" t="s">
        <v>517</v>
      </c>
      <c r="E59" s="261" t="s">
        <v>109</v>
      </c>
      <c r="F59" s="264">
        <f>+F212</f>
        <v>45688861.039999999</v>
      </c>
      <c r="G59" s="261"/>
      <c r="H59" s="261"/>
      <c r="I59" s="261"/>
      <c r="J59" s="264">
        <f t="shared" si="25" ref="J59:Q59">+J212</f>
        <v>25471760.009542089</v>
      </c>
      <c r="K59" s="264">
        <f t="shared" si="25"/>
        <v>3927089.4238345576</v>
      </c>
      <c r="L59" s="264">
        <f t="shared" si="25"/>
        <v>12113243.178602535</v>
      </c>
      <c r="M59" s="264">
        <f t="shared" si="25"/>
        <v>170088.3263614295</v>
      </c>
      <c r="N59" s="264">
        <f t="shared" si="25"/>
        <v>3549285.1875122194</v>
      </c>
      <c r="O59" s="264">
        <f>+O212</f>
        <v>121289.74379157509</v>
      </c>
      <c r="P59" s="264">
        <f t="shared" si="25"/>
        <v>264038.44225396722</v>
      </c>
      <c r="Q59" s="264">
        <f t="shared" si="25"/>
        <v>25390.813192368543</v>
      </c>
      <c r="R59" s="264">
        <f>+R212</f>
        <v>13994.970437489434</v>
      </c>
      <c r="S59" s="264">
        <f>+S212</f>
        <v>32680.9444717714</v>
      </c>
      <c r="T59" s="264"/>
      <c r="U59" s="265">
        <f>SUM(I59:T59)</f>
        <v>45688861.040000007</v>
      </c>
      <c r="V59" s="67"/>
      <c r="W59" s="726">
        <f t="shared" si="20"/>
        <v>0</v>
      </c>
    </row>
    <row r="60" spans="1:23" ht="18" customHeight="1">
      <c r="A60" s="290"/>
      <c r="B60" s="17">
        <f t="shared" si="24"/>
        <v>8</v>
      </c>
      <c r="C60" s="249"/>
      <c r="D60" s="268" t="s">
        <v>518</v>
      </c>
      <c r="E60" s="261"/>
      <c r="F60" s="269">
        <f>+F56+F58+F59</f>
        <v>909864678.68000007</v>
      </c>
      <c r="G60" s="261"/>
      <c r="H60" s="261"/>
      <c r="I60" s="261"/>
      <c r="J60" s="269">
        <f t="shared" si="26" ref="J60:Q60">+J56+J58+J59</f>
        <v>507253939.12108976</v>
      </c>
      <c r="K60" s="269">
        <f t="shared" si="26"/>
        <v>78205494.193357915</v>
      </c>
      <c r="L60" s="269">
        <f t="shared" si="26"/>
        <v>241227552.22159722</v>
      </c>
      <c r="M60" s="269">
        <f t="shared" si="26"/>
        <v>3387201.1008672989</v>
      </c>
      <c r="N60" s="269">
        <f t="shared" si="26"/>
        <v>70681762.538405567</v>
      </c>
      <c r="O60" s="269">
        <f>+O56+O58+O59</f>
        <v>2415408.2909942684</v>
      </c>
      <c r="P60" s="269">
        <f t="shared" si="26"/>
        <v>5258158.048856752</v>
      </c>
      <c r="Q60" s="269">
        <f t="shared" si="26"/>
        <v>505641.93461668125</v>
      </c>
      <c r="R60" s="269">
        <f>+R56+R58+R59</f>
        <v>278700.95665318484</v>
      </c>
      <c r="S60" s="269">
        <f>+S56+S58+S59</f>
        <v>650820.27356152306</v>
      </c>
      <c r="T60" s="269"/>
      <c r="U60" s="251">
        <f>SUM(I60:T60)</f>
        <v>909864678.68000007</v>
      </c>
      <c r="V60" s="133"/>
      <c r="W60" s="726">
        <f t="shared" si="20"/>
        <v>0</v>
      </c>
    </row>
    <row r="61" spans="1:23" ht="18" customHeight="1">
      <c r="A61" s="290"/>
      <c r="B61" s="17">
        <f t="shared" si="24"/>
        <v>9</v>
      </c>
      <c r="C61" s="167"/>
      <c r="D61" s="260"/>
      <c r="E61" s="261"/>
      <c r="F61" s="262"/>
      <c r="G61" s="261"/>
      <c r="H61" s="261"/>
      <c r="I61" s="261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67"/>
      <c r="W61" s="726">
        <f t="shared" si="20"/>
        <v>0</v>
      </c>
    </row>
    <row r="62" spans="1:23" ht="18" customHeight="1">
      <c r="A62" s="290"/>
      <c r="B62" s="17">
        <f t="shared" si="24"/>
        <v>10</v>
      </c>
      <c r="C62" s="167"/>
      <c r="D62" s="270" t="s">
        <v>519</v>
      </c>
      <c r="E62" s="261" t="s">
        <v>36</v>
      </c>
      <c r="F62" s="262">
        <f>+F349+F308</f>
        <v>575025967.10000002</v>
      </c>
      <c r="G62" s="261"/>
      <c r="H62" s="261"/>
      <c r="I62" s="261"/>
      <c r="J62" s="262">
        <f t="shared" si="27" ref="J62:Q62">+J349+J308</f>
        <v>320579745.25569493</v>
      </c>
      <c r="K62" s="262">
        <f t="shared" si="27"/>
        <v>49425140.886126325</v>
      </c>
      <c r="L62" s="262">
        <f t="shared" si="27"/>
        <v>152453556.83949441</v>
      </c>
      <c r="M62" s="262">
        <f t="shared" si="27"/>
        <v>2140679.4157721344</v>
      </c>
      <c r="N62" s="262">
        <f t="shared" si="27"/>
        <v>44670212.848512694</v>
      </c>
      <c r="O62" s="262">
        <f>+O349+O308</f>
        <v>1526515.4489625178</v>
      </c>
      <c r="P62" s="262">
        <f t="shared" si="27"/>
        <v>3323106.7081260961</v>
      </c>
      <c r="Q62" s="262">
        <f t="shared" si="27"/>
        <v>319560.97348574142</v>
      </c>
      <c r="R62" s="262">
        <f>+R349+R308</f>
        <v>176136.3979572136</v>
      </c>
      <c r="S62" s="262">
        <f>+S349+S308</f>
        <v>411312.3258679891</v>
      </c>
      <c r="T62" s="262"/>
      <c r="U62" s="121">
        <f>SUM(I62:T62)</f>
        <v>575025967.10000002</v>
      </c>
      <c r="V62" s="67"/>
      <c r="W62" s="726">
        <f t="shared" si="20"/>
        <v>0</v>
      </c>
    </row>
    <row r="63" spans="1:23" ht="18" customHeight="1">
      <c r="A63" s="290"/>
      <c r="B63" s="17">
        <f t="shared" si="24"/>
        <v>11</v>
      </c>
      <c r="C63" s="167"/>
      <c r="D63" s="260"/>
      <c r="E63" s="261"/>
      <c r="F63" s="271"/>
      <c r="G63" s="261"/>
      <c r="H63" s="261"/>
      <c r="I63" s="26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62"/>
      <c r="V63" s="67"/>
      <c r="W63" s="726">
        <f t="shared" si="20"/>
        <v>0</v>
      </c>
    </row>
    <row r="64" spans="1:23" ht="18" customHeight="1">
      <c r="A64" s="290"/>
      <c r="B64" s="17">
        <f t="shared" si="24"/>
        <v>12</v>
      </c>
      <c r="C64" s="249"/>
      <c r="D64" s="273" t="s">
        <v>520</v>
      </c>
      <c r="E64" s="58"/>
      <c r="F64" s="269">
        <f>+F60-F62</f>
        <v>334838711.58000004</v>
      </c>
      <c r="G64" s="58"/>
      <c r="H64" s="58"/>
      <c r="I64" s="58"/>
      <c r="J64" s="269">
        <f t="shared" si="28" ref="J64:Q64">+J60-J62</f>
        <v>186674193.86539483</v>
      </c>
      <c r="K64" s="269">
        <f t="shared" si="28"/>
        <v>28780353.30723159</v>
      </c>
      <c r="L64" s="269">
        <f t="shared" si="28"/>
        <v>88773995.382102817</v>
      </c>
      <c r="M64" s="269">
        <f t="shared" si="28"/>
        <v>1246521.6850951645</v>
      </c>
      <c r="N64" s="269">
        <f t="shared" si="28"/>
        <v>26011549.689892873</v>
      </c>
      <c r="O64" s="269">
        <f>+O60-O62</f>
        <v>888892.8420317506</v>
      </c>
      <c r="P64" s="269">
        <f t="shared" si="28"/>
        <v>1935051.3407306559</v>
      </c>
      <c r="Q64" s="269">
        <f t="shared" si="28"/>
        <v>186080.96113093983</v>
      </c>
      <c r="R64" s="269">
        <f>+R60-R62</f>
        <v>102564.55869597124</v>
      </c>
      <c r="S64" s="269">
        <f>+S60-S62</f>
        <v>239507.94769353396</v>
      </c>
      <c r="T64" s="269"/>
      <c r="U64" s="251">
        <f>SUM(I64:T64)</f>
        <v>334838711.58000016</v>
      </c>
      <c r="V64" s="133"/>
      <c r="W64" s="726">
        <f t="shared" si="20"/>
        <v>0</v>
      </c>
    </row>
    <row r="65" spans="1:23" ht="18" customHeight="1">
      <c r="A65" s="290"/>
      <c r="B65" s="17">
        <f t="shared" si="24"/>
        <v>13</v>
      </c>
      <c r="C65" s="167"/>
      <c r="D65" s="260"/>
      <c r="E65" s="261"/>
      <c r="F65" s="12"/>
      <c r="G65" s="261"/>
      <c r="H65" s="261"/>
      <c r="I65" s="26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7"/>
      <c r="W65" s="726">
        <f t="shared" si="20"/>
        <v>0</v>
      </c>
    </row>
    <row r="66" spans="1:23" ht="18" customHeight="1">
      <c r="A66" s="290"/>
      <c r="B66" s="17">
        <f t="shared" si="24"/>
        <v>14</v>
      </c>
      <c r="C66" s="167"/>
      <c r="D66" s="274" t="s">
        <v>521</v>
      </c>
      <c r="E66" s="275"/>
      <c r="F66" s="12"/>
      <c r="G66" s="275"/>
      <c r="H66" s="275"/>
      <c r="I66" s="27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7"/>
      <c r="W66" s="726">
        <f t="shared" si="20"/>
        <v>0</v>
      </c>
    </row>
    <row r="67" spans="1:23" ht="18" customHeight="1">
      <c r="A67" s="290"/>
      <c r="B67" s="17">
        <f t="shared" si="24"/>
        <v>15</v>
      </c>
      <c r="C67" s="167"/>
      <c r="D67" s="41"/>
      <c r="E67" s="261"/>
      <c r="F67" s="12"/>
      <c r="G67" s="261"/>
      <c r="H67" s="261"/>
      <c r="I67" s="26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7"/>
      <c r="W67" s="726">
        <f t="shared" si="20"/>
        <v>0</v>
      </c>
    </row>
    <row r="68" spans="1:23" ht="18" customHeight="1">
      <c r="A68" s="290"/>
      <c r="B68" s="17">
        <f t="shared" si="24"/>
        <v>16</v>
      </c>
      <c r="C68" s="167"/>
      <c r="D68" s="41" t="s">
        <v>116</v>
      </c>
      <c r="E68" s="261" t="s">
        <v>117</v>
      </c>
      <c r="F68" s="262">
        <f>+F237</f>
        <v>0</v>
      </c>
      <c r="G68" s="261"/>
      <c r="H68" s="261"/>
      <c r="I68" s="261"/>
      <c r="J68" s="262">
        <f t="shared" si="29" ref="J68:Q68">+J237</f>
        <v>0</v>
      </c>
      <c r="K68" s="262">
        <f t="shared" si="29"/>
        <v>0</v>
      </c>
      <c r="L68" s="262">
        <f t="shared" si="29"/>
        <v>0</v>
      </c>
      <c r="M68" s="262">
        <f t="shared" si="29"/>
        <v>0</v>
      </c>
      <c r="N68" s="262">
        <f t="shared" si="29"/>
        <v>0</v>
      </c>
      <c r="O68" s="262">
        <f>+O237</f>
        <v>0</v>
      </c>
      <c r="P68" s="262">
        <f t="shared" si="29"/>
        <v>0</v>
      </c>
      <c r="Q68" s="262">
        <f t="shared" si="29"/>
        <v>0</v>
      </c>
      <c r="R68" s="262">
        <f>+R237</f>
        <v>0</v>
      </c>
      <c r="S68" s="262">
        <f>+S237</f>
        <v>0</v>
      </c>
      <c r="T68" s="262"/>
      <c r="U68" s="121">
        <f t="shared" si="30" ref="U68:U77">SUM(I68:T68)</f>
        <v>0</v>
      </c>
      <c r="V68" s="67"/>
      <c r="W68" s="726">
        <f t="shared" si="20"/>
        <v>0</v>
      </c>
    </row>
    <row r="69" spans="1:23" ht="18" customHeight="1">
      <c r="A69" s="290"/>
      <c r="B69" s="17">
        <f t="shared" si="24"/>
        <v>17</v>
      </c>
      <c r="C69" s="167"/>
      <c r="D69" s="41" t="s">
        <v>118</v>
      </c>
      <c r="E69" s="261" t="s">
        <v>119</v>
      </c>
      <c r="F69" s="262">
        <f>+F374</f>
        <v>0</v>
      </c>
      <c r="G69" s="261"/>
      <c r="H69" s="261"/>
      <c r="I69" s="261"/>
      <c r="J69" s="262">
        <f t="shared" si="31" ref="J69:Q69">+J374</f>
        <v>0</v>
      </c>
      <c r="K69" s="262">
        <f t="shared" si="31"/>
        <v>0</v>
      </c>
      <c r="L69" s="262">
        <f t="shared" si="31"/>
        <v>0</v>
      </c>
      <c r="M69" s="262">
        <f t="shared" si="31"/>
        <v>0</v>
      </c>
      <c r="N69" s="262">
        <f t="shared" si="31"/>
        <v>0</v>
      </c>
      <c r="O69" s="262">
        <f>+O374</f>
        <v>0</v>
      </c>
      <c r="P69" s="262">
        <f t="shared" si="31"/>
        <v>0</v>
      </c>
      <c r="Q69" s="262">
        <f t="shared" si="31"/>
        <v>0</v>
      </c>
      <c r="R69" s="262">
        <f>+R374</f>
        <v>0</v>
      </c>
      <c r="S69" s="262">
        <f>+S374</f>
        <v>0</v>
      </c>
      <c r="T69" s="262"/>
      <c r="U69" s="121">
        <f t="shared" si="30"/>
        <v>0</v>
      </c>
      <c r="V69" s="67"/>
      <c r="W69" s="726">
        <f t="shared" si="20"/>
        <v>0</v>
      </c>
    </row>
    <row r="70" spans="1:23" ht="18" customHeight="1">
      <c r="A70" s="290"/>
      <c r="B70" s="17">
        <f t="shared" si="24"/>
        <v>18</v>
      </c>
      <c r="C70" s="167"/>
      <c r="D70" s="42" t="s">
        <v>522</v>
      </c>
      <c r="E70" s="261" t="s">
        <v>523</v>
      </c>
      <c r="F70" s="121">
        <f>F395</f>
        <v>0</v>
      </c>
      <c r="G70" s="261"/>
      <c r="H70" s="415"/>
      <c r="I70" s="261"/>
      <c r="J70" s="121">
        <f t="shared" si="32" ref="J70:Q70">J395</f>
        <v>0</v>
      </c>
      <c r="K70" s="121">
        <f t="shared" si="32"/>
        <v>0</v>
      </c>
      <c r="L70" s="121">
        <f t="shared" si="32"/>
        <v>0</v>
      </c>
      <c r="M70" s="121">
        <f t="shared" si="32"/>
        <v>0</v>
      </c>
      <c r="N70" s="121">
        <f t="shared" si="32"/>
        <v>0</v>
      </c>
      <c r="O70" s="121">
        <f>O395</f>
        <v>0</v>
      </c>
      <c r="P70" s="121">
        <f t="shared" si="32"/>
        <v>0</v>
      </c>
      <c r="Q70" s="121">
        <f t="shared" si="32"/>
        <v>0</v>
      </c>
      <c r="R70" s="121">
        <f>R395</f>
        <v>0</v>
      </c>
      <c r="S70" s="121">
        <f>S395</f>
        <v>0</v>
      </c>
      <c r="T70" s="121"/>
      <c r="U70" s="121">
        <f t="shared" si="30"/>
        <v>0</v>
      </c>
      <c r="V70" s="67"/>
      <c r="W70" s="726">
        <f t="shared" si="20"/>
        <v>0</v>
      </c>
    </row>
    <row r="71" spans="1:23" ht="18" customHeight="1">
      <c r="A71" s="290"/>
      <c r="B71" s="17">
        <f t="shared" si="24"/>
        <v>19</v>
      </c>
      <c r="C71" s="167"/>
      <c r="D71" s="41" t="s">
        <v>524</v>
      </c>
      <c r="E71" s="261" t="s">
        <v>121</v>
      </c>
      <c r="F71" s="262">
        <f>+F421</f>
        <v>105783.33</v>
      </c>
      <c r="G71" s="261"/>
      <c r="H71" s="261"/>
      <c r="I71" s="261"/>
      <c r="J71" s="262">
        <f t="shared" si="33" ref="J71:Q71">+J421</f>
        <v>58974.715793663709</v>
      </c>
      <c r="K71" s="262">
        <f t="shared" si="33"/>
        <v>9092.382410174454</v>
      </c>
      <c r="L71" s="262">
        <f t="shared" si="33"/>
        <v>28045.768079237743</v>
      </c>
      <c r="M71" s="262">
        <f t="shared" si="33"/>
        <v>393.8051671037847</v>
      </c>
      <c r="N71" s="262">
        <f t="shared" si="33"/>
        <v>8217.6530057514665</v>
      </c>
      <c r="O71" s="262">
        <f>+O421</f>
        <v>280.82190496906372</v>
      </c>
      <c r="P71" s="262">
        <f t="shared" si="33"/>
        <v>611.32768543265411</v>
      </c>
      <c r="Q71" s="262">
        <f t="shared" si="33"/>
        <v>58.787299787254135</v>
      </c>
      <c r="R71" s="262">
        <f>+R421</f>
        <v>32.402527496430444</v>
      </c>
      <c r="S71" s="262">
        <f>+S421</f>
        <v>75.666126383461929</v>
      </c>
      <c r="T71" s="262"/>
      <c r="U71" s="121">
        <f t="shared" si="30"/>
        <v>105783.33000000003</v>
      </c>
      <c r="V71" s="67"/>
      <c r="W71" s="726">
        <f t="shared" si="20"/>
        <v>0</v>
      </c>
    </row>
    <row r="72" spans="1:23" ht="18" customHeight="1">
      <c r="A72" s="290"/>
      <c r="B72" s="17">
        <f t="shared" si="24"/>
        <v>20</v>
      </c>
      <c r="C72" s="167"/>
      <c r="D72" s="41" t="s">
        <v>123</v>
      </c>
      <c r="E72" s="261" t="s">
        <v>124</v>
      </c>
      <c r="F72" s="262">
        <f>+F441</f>
        <v>273938.61000000028</v>
      </c>
      <c r="G72" s="261"/>
      <c r="H72" s="415"/>
      <c r="I72" s="261"/>
      <c r="J72" s="262">
        <f t="shared" si="34" ref="J72:Q72">+J441</f>
        <v>152823.35421665569</v>
      </c>
      <c r="K72" s="262">
        <f t="shared" si="34"/>
        <v>23535.148578318702</v>
      </c>
      <c r="L72" s="262">
        <f t="shared" si="34"/>
        <v>72503.035688967677</v>
      </c>
      <c r="M72" s="262">
        <f t="shared" si="34"/>
        <v>1018.0369455808731</v>
      </c>
      <c r="N72" s="262">
        <f t="shared" si="34"/>
        <v>21237.046799870568</v>
      </c>
      <c r="O72" s="262">
        <f>+O441</f>
        <v>725.99260421805457</v>
      </c>
      <c r="P72" s="262">
        <f t="shared" si="34"/>
        <v>1579.7720825816316</v>
      </c>
      <c r="Q72" s="262">
        <f t="shared" si="34"/>
        <v>236.87979062268769</v>
      </c>
      <c r="R72" s="262">
        <f>+R441</f>
        <v>83.767541741656316</v>
      </c>
      <c r="S72" s="262">
        <f>+S441</f>
        <v>195.57575144269592</v>
      </c>
      <c r="T72" s="262"/>
      <c r="U72" s="121">
        <f t="shared" si="30"/>
        <v>273938.61000000028</v>
      </c>
      <c r="V72" s="67"/>
      <c r="W72" s="726">
        <f t="shared" si="20"/>
        <v>0</v>
      </c>
    </row>
    <row r="73" spans="1:23" ht="18" customHeight="1">
      <c r="A73" s="290"/>
      <c r="B73" s="17">
        <f t="shared" si="24"/>
        <v>21</v>
      </c>
      <c r="C73" s="167"/>
      <c r="D73" s="41" t="s">
        <v>125</v>
      </c>
      <c r="E73" s="261" t="s">
        <v>126</v>
      </c>
      <c r="F73" s="262">
        <f>+F462</f>
        <v>3524809.17076923</v>
      </c>
      <c r="G73" s="261"/>
      <c r="H73" s="261"/>
      <c r="I73" s="261"/>
      <c r="J73" s="262">
        <f t="shared" si="35" ref="J73:S73">+J462</f>
        <v>1415512.1393603901</v>
      </c>
      <c r="K73" s="262">
        <f t="shared" si="35"/>
        <v>50564.832231956992</v>
      </c>
      <c r="L73" s="262">
        <f t="shared" si="35"/>
        <v>1482026.8026879092</v>
      </c>
      <c r="M73" s="262">
        <f t="shared" si="35"/>
        <v>25.580207519257815</v>
      </c>
      <c r="N73" s="262">
        <f t="shared" si="35"/>
        <v>238298.90569087377</v>
      </c>
      <c r="O73" s="262">
        <f>+O462</f>
        <v>37494.731197597321</v>
      </c>
      <c r="P73" s="262">
        <f t="shared" si="35"/>
        <v>280861.60704210901</v>
      </c>
      <c r="Q73" s="262">
        <f t="shared" si="35"/>
        <v>12902.847525350106</v>
      </c>
      <c r="R73" s="262">
        <f t="shared" si="35"/>
        <v>2860.9341590346071</v>
      </c>
      <c r="S73" s="262">
        <f t="shared" si="35"/>
        <v>4260.7906664885459</v>
      </c>
      <c r="T73" s="262"/>
      <c r="U73" s="121">
        <f t="shared" si="30"/>
        <v>3524809.1707692295</v>
      </c>
      <c r="V73" s="67"/>
      <c r="W73" s="726">
        <f t="shared" si="20"/>
        <v>0</v>
      </c>
    </row>
    <row r="74" spans="1:23" ht="18" customHeight="1">
      <c r="A74" s="290"/>
      <c r="B74" s="17">
        <f t="shared" si="24"/>
        <v>22</v>
      </c>
      <c r="C74" s="167"/>
      <c r="D74" s="42" t="s">
        <v>525</v>
      </c>
      <c r="E74" s="261" t="s">
        <v>128</v>
      </c>
      <c r="F74" s="262">
        <f>F483</f>
        <v>-668323.90000000002</v>
      </c>
      <c r="G74" s="261"/>
      <c r="H74" s="261"/>
      <c r="I74" s="261"/>
      <c r="J74" s="262">
        <f t="shared" si="36" ref="J74:Q74">J483</f>
        <v>-320780.65430635645</v>
      </c>
      <c r="K74" s="262">
        <f t="shared" si="36"/>
        <v>-7833.5327659951217</v>
      </c>
      <c r="L74" s="262">
        <f t="shared" si="36"/>
        <v>-206541.78916840095</v>
      </c>
      <c r="M74" s="262">
        <f t="shared" si="36"/>
        <v>-116.76658682289218</v>
      </c>
      <c r="N74" s="262">
        <f t="shared" si="36"/>
        <v>-49421.498210048201</v>
      </c>
      <c r="O74" s="262">
        <f>O483</f>
        <v>-17872.530105878624</v>
      </c>
      <c r="P74" s="262">
        <f t="shared" si="36"/>
        <v>-58848.988023777885</v>
      </c>
      <c r="Q74" s="262">
        <f t="shared" si="36"/>
        <v>-2083.270230979545</v>
      </c>
      <c r="R74" s="262">
        <f>R483</f>
        <v>-2142.1345952160727</v>
      </c>
      <c r="S74" s="262">
        <f>S483</f>
        <v>-2682.736006524261</v>
      </c>
      <c r="T74" s="262"/>
      <c r="U74" s="121">
        <f t="shared" si="30"/>
        <v>-668323.89999999991</v>
      </c>
      <c r="V74" s="67"/>
      <c r="W74" s="726">
        <f t="shared" si="20"/>
        <v>0</v>
      </c>
    </row>
    <row r="75" spans="1:23" ht="18" customHeight="1">
      <c r="A75" s="290"/>
      <c r="B75" s="17">
        <f t="shared" si="24"/>
        <v>23</v>
      </c>
      <c r="C75" s="167"/>
      <c r="D75" s="42" t="s">
        <v>526</v>
      </c>
      <c r="E75" s="261" t="s">
        <v>132</v>
      </c>
      <c r="F75" s="262">
        <f>F591</f>
        <v>119901695.55999999</v>
      </c>
      <c r="G75" s="261"/>
      <c r="H75" s="261"/>
      <c r="I75" s="261"/>
      <c r="J75" s="262">
        <f t="shared" si="37" ref="J75:Q75">J591</f>
        <v>66849413.063035995</v>
      </c>
      <c r="K75" s="262">
        <f t="shared" si="37"/>
        <v>10305746.634127412</v>
      </c>
      <c r="L75" s="262">
        <f t="shared" si="37"/>
        <v>31785943.138779249</v>
      </c>
      <c r="M75" s="262">
        <f t="shared" si="37"/>
        <v>446322.47720873047</v>
      </c>
      <c r="N75" s="262">
        <f t="shared" si="37"/>
        <v>9313368.0061119907</v>
      </c>
      <c r="O75" s="262">
        <f>O591</f>
        <v>318272.78781541483</v>
      </c>
      <c r="P75" s="262">
        <f t="shared" si="37"/>
        <v>692837.56575506087</v>
      </c>
      <c r="Q75" s="262">
        <f t="shared" si="37"/>
        <v>68927.865939750496</v>
      </c>
      <c r="R75" s="262">
        <f>R591</f>
        <v>36239.303134390146</v>
      </c>
      <c r="S75" s="262">
        <f>S591</f>
        <v>84624.718091981209</v>
      </c>
      <c r="T75" s="262"/>
      <c r="U75" s="121">
        <f t="shared" si="30"/>
        <v>119901695.55999999</v>
      </c>
      <c r="V75" s="67"/>
      <c r="W75" s="726">
        <f t="shared" si="20"/>
        <v>0</v>
      </c>
    </row>
    <row r="76" spans="1:23" ht="18" customHeight="1">
      <c r="A76" s="290"/>
      <c r="B76" s="17">
        <f t="shared" si="24"/>
        <v>24</v>
      </c>
      <c r="C76" s="167"/>
      <c r="D76" s="42" t="s">
        <v>527</v>
      </c>
      <c r="E76" s="261" t="s">
        <v>528</v>
      </c>
      <c r="F76" s="264">
        <f>+F399</f>
        <v>-36656474.20000001</v>
      </c>
      <c r="G76" s="261"/>
      <c r="H76" s="261"/>
      <c r="I76" s="261"/>
      <c r="J76" s="264">
        <f t="shared" si="38" ref="J76:Q76">+J399</f>
        <v>-20436160.857696261</v>
      </c>
      <c r="K76" s="264">
        <f t="shared" si="38"/>
        <v>-3150729.7154957568</v>
      </c>
      <c r="L76" s="264">
        <f t="shared" si="38"/>
        <v>-9718534.8014262952</v>
      </c>
      <c r="M76" s="264">
        <f t="shared" si="38"/>
        <v>-136462.98474217608</v>
      </c>
      <c r="N76" s="264">
        <f t="shared" si="38"/>
        <v>-2847614.887807759</v>
      </c>
      <c r="O76" s="264">
        <f>+O399</f>
        <v>-97311.560472650453</v>
      </c>
      <c r="P76" s="264">
        <f t="shared" si="38"/>
        <v>-211839.78164430827</v>
      </c>
      <c r="Q76" s="264">
        <f t="shared" si="38"/>
        <v>-20371.216693019091</v>
      </c>
      <c r="R76" s="264">
        <f>+R399</f>
        <v>-11228.256977613517</v>
      </c>
      <c r="S76" s="264">
        <f>+S399</f>
        <v>-26220.137044176172</v>
      </c>
      <c r="T76" s="264"/>
      <c r="U76" s="265">
        <f t="shared" si="30"/>
        <v>-36656474.200000018</v>
      </c>
      <c r="V76" s="67"/>
      <c r="W76" s="726">
        <f t="shared" si="20"/>
        <v>0</v>
      </c>
    </row>
    <row r="77" spans="1:23" ht="18" customHeight="1">
      <c r="A77" s="290"/>
      <c r="B77" s="17">
        <f t="shared" si="24"/>
        <v>25</v>
      </c>
      <c r="C77" s="249"/>
      <c r="D77" s="213" t="s">
        <v>491</v>
      </c>
      <c r="E77" s="213"/>
      <c r="F77" s="269">
        <f>SUM(F68:F76)</f>
        <v>86481428.570769221</v>
      </c>
      <c r="G77" s="213"/>
      <c r="H77" s="213"/>
      <c r="I77" s="213"/>
      <c r="J77" s="269">
        <f t="shared" si="39" ref="J77:Q77">SUM(J68:J76)</f>
        <v>47719781.76040408</v>
      </c>
      <c r="K77" s="269">
        <f t="shared" si="39"/>
        <v>7230375.7490861109</v>
      </c>
      <c r="L77" s="269">
        <f t="shared" si="39"/>
        <v>23443442.154640667</v>
      </c>
      <c r="M77" s="269">
        <f t="shared" si="39"/>
        <v>311180.14819993544</v>
      </c>
      <c r="N77" s="269">
        <f t="shared" si="39"/>
        <v>6684085.2255906798</v>
      </c>
      <c r="O77" s="269">
        <f>SUM(O68:O76)</f>
        <v>241590.24294367019</v>
      </c>
      <c r="P77" s="269">
        <f t="shared" si="39"/>
        <v>705201.50289709796</v>
      </c>
      <c r="Q77" s="269">
        <f t="shared" si="39"/>
        <v>59671.893631511906</v>
      </c>
      <c r="R77" s="269">
        <f>SUM(R68:R76)</f>
        <v>25846.015789833251</v>
      </c>
      <c r="S77" s="269">
        <f>SUM(S68:S76)</f>
        <v>60253.877585595488</v>
      </c>
      <c r="T77" s="269"/>
      <c r="U77" s="251">
        <f t="shared" si="30"/>
        <v>86481428.570769191</v>
      </c>
      <c r="V77" s="133"/>
      <c r="W77" s="726">
        <f t="shared" si="20"/>
        <v>0</v>
      </c>
    </row>
    <row r="78" spans="1:23" ht="18" customHeight="1" thickBot="1">
      <c r="A78" s="290"/>
      <c r="B78" s="17">
        <f t="shared" si="24"/>
        <v>26</v>
      </c>
      <c r="C78" s="167"/>
      <c r="D78" s="41"/>
      <c r="E78" s="41"/>
      <c r="F78" s="12"/>
      <c r="G78" s="41"/>
      <c r="H78" s="41"/>
      <c r="I78" s="4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7"/>
      <c r="W78" s="726">
        <f t="shared" si="20"/>
        <v>0</v>
      </c>
    </row>
    <row r="79" spans="1:23" ht="18" customHeight="1" thickBot="1">
      <c r="A79" s="290"/>
      <c r="B79" s="17">
        <f t="shared" si="24"/>
        <v>27</v>
      </c>
      <c r="C79" s="249"/>
      <c r="D79" s="276" t="s">
        <v>529</v>
      </c>
      <c r="E79" s="277"/>
      <c r="F79" s="278">
        <f>+F64+F77</f>
        <v>421320140.15076923</v>
      </c>
      <c r="G79" s="277"/>
      <c r="H79" s="277"/>
      <c r="I79" s="1002"/>
      <c r="J79" s="356">
        <f t="shared" si="40" ref="J79:Q79">+J64+J77</f>
        <v>234393975.62579891</v>
      </c>
      <c r="K79" s="905">
        <f t="shared" si="40"/>
        <v>36010729.056317702</v>
      </c>
      <c r="L79" s="905">
        <f t="shared" si="40"/>
        <v>112217437.53674349</v>
      </c>
      <c r="M79" s="905">
        <f t="shared" si="40"/>
        <v>1557701.8332950999</v>
      </c>
      <c r="N79" s="905">
        <f t="shared" si="40"/>
        <v>32695634.915483553</v>
      </c>
      <c r="O79" s="905">
        <f>+O64+O77</f>
        <v>1130483.0849754207</v>
      </c>
      <c r="P79" s="905">
        <f t="shared" si="40"/>
        <v>2640252.8436277537</v>
      </c>
      <c r="Q79" s="905">
        <f t="shared" si="40"/>
        <v>245752.85476245172</v>
      </c>
      <c r="R79" s="905">
        <f>+R64+R77</f>
        <v>128410.57448580449</v>
      </c>
      <c r="S79" s="279">
        <f>+S64+S77</f>
        <v>299761.82527912944</v>
      </c>
      <c r="T79" s="1004"/>
      <c r="U79" s="279">
        <f>SUM(I79:T79)</f>
        <v>421320140.15076929</v>
      </c>
      <c r="V79" s="133"/>
      <c r="W79" s="726">
        <f t="shared" si="20"/>
        <v>0</v>
      </c>
    </row>
    <row r="80" spans="1:23" ht="18" customHeight="1">
      <c r="A80" s="290"/>
      <c r="B80" s="17">
        <f t="shared" si="24"/>
        <v>28</v>
      </c>
      <c r="C80" s="167"/>
      <c r="D80" s="281"/>
      <c r="E80" s="281"/>
      <c r="F80" s="262"/>
      <c r="G80" s="281"/>
      <c r="H80" s="281"/>
      <c r="I80" s="281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67"/>
      <c r="W80" s="726">
        <f t="shared" si="20"/>
        <v>0</v>
      </c>
    </row>
    <row r="81" spans="1:23" ht="18" customHeight="1">
      <c r="A81" s="47"/>
      <c r="B81" s="17">
        <f t="shared" si="24"/>
        <v>29</v>
      </c>
      <c r="C81" s="167"/>
      <c r="D81" s="48" t="s">
        <v>530</v>
      </c>
      <c r="E81" s="281"/>
      <c r="F81" s="282">
        <f>F597</f>
        <v>0.070499999999999993</v>
      </c>
      <c r="G81" s="281"/>
      <c r="H81" s="281"/>
      <c r="I81" s="281"/>
      <c r="J81" s="282">
        <f t="shared" si="41" ref="J81:Q81">J597</f>
        <v>0.070499999999999993</v>
      </c>
      <c r="K81" s="282">
        <f t="shared" si="41"/>
        <v>0.070499999999999993</v>
      </c>
      <c r="L81" s="282">
        <f t="shared" si="41"/>
        <v>0.070499999999999993</v>
      </c>
      <c r="M81" s="282">
        <f t="shared" si="41"/>
        <v>0.070499999999999993</v>
      </c>
      <c r="N81" s="282">
        <f t="shared" si="41"/>
        <v>0.070499999999999993</v>
      </c>
      <c r="O81" s="282">
        <f>O597</f>
        <v>0.070499999999999993</v>
      </c>
      <c r="P81" s="282">
        <f t="shared" si="41"/>
        <v>0.070499999999999993</v>
      </c>
      <c r="Q81" s="282">
        <f t="shared" si="41"/>
        <v>0.070499999999999993</v>
      </c>
      <c r="R81" s="282">
        <f>R597</f>
        <v>0.070499999999999993</v>
      </c>
      <c r="S81" s="282">
        <f>S597</f>
        <v>0.070499999999999993</v>
      </c>
      <c r="T81" s="282"/>
      <c r="U81" s="282">
        <f>U83/U79</f>
        <v>0.070499999999999993</v>
      </c>
      <c r="V81" s="67"/>
      <c r="W81" s="726">
        <f t="shared" si="20"/>
        <v>0</v>
      </c>
    </row>
    <row r="82" spans="1:23" ht="18" customHeight="1" thickBot="1">
      <c r="A82" s="611"/>
      <c r="B82" s="17">
        <f t="shared" si="24"/>
        <v>30</v>
      </c>
      <c r="C82" s="167"/>
      <c r="D82" s="1"/>
      <c r="E82" s="1"/>
      <c r="F82" s="262"/>
      <c r="G82" s="1"/>
      <c r="H82" s="1"/>
      <c r="I82" s="1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67"/>
      <c r="W82" s="726">
        <f t="shared" si="20"/>
        <v>0</v>
      </c>
    </row>
    <row r="83" spans="1:23" ht="18" customHeight="1" thickBot="1">
      <c r="A83" s="147"/>
      <c r="B83" s="17">
        <f t="shared" si="24"/>
        <v>31</v>
      </c>
      <c r="C83" s="249"/>
      <c r="D83" s="284" t="s">
        <v>531</v>
      </c>
      <c r="E83" s="285"/>
      <c r="F83" s="278">
        <f>+F79*F81</f>
        <v>29703069.880629227</v>
      </c>
      <c r="G83" s="285"/>
      <c r="H83" s="285"/>
      <c r="I83" s="1003"/>
      <c r="J83" s="356">
        <f t="shared" si="42" ref="J83:Q83">+J79*J81</f>
        <v>16524775.281618822</v>
      </c>
      <c r="K83" s="905">
        <f t="shared" si="42"/>
        <v>2538756.3984703976</v>
      </c>
      <c r="L83" s="905">
        <f t="shared" si="42"/>
        <v>7911329.3463404151</v>
      </c>
      <c r="M83" s="905">
        <f t="shared" si="42"/>
        <v>109817.97924730454</v>
      </c>
      <c r="N83" s="905">
        <f t="shared" si="42"/>
        <v>2305042.2615415901</v>
      </c>
      <c r="O83" s="905">
        <f>+O79*O81</f>
        <v>79699.057490767154</v>
      </c>
      <c r="P83" s="905">
        <f t="shared" si="42"/>
        <v>186137.8254757566</v>
      </c>
      <c r="Q83" s="905">
        <f t="shared" si="42"/>
        <v>17325.576260752845</v>
      </c>
      <c r="R83" s="905">
        <f>+R79*R81</f>
        <v>9052.9455012492162</v>
      </c>
      <c r="S83" s="279">
        <f>+S79*S81</f>
        <v>21133.208682178622</v>
      </c>
      <c r="T83" s="278"/>
      <c r="U83" s="1004">
        <f>SUM(I83:T83)</f>
        <v>29703069.880629234</v>
      </c>
      <c r="V83" s="133"/>
      <c r="W83" s="258" t="b">
        <f>IF(ROUND(U83-'WP II-I-1.1'!H461,2)=0,TRUE,U83-'WP II-I-1.1'!H461)</f>
        <v>1</v>
      </c>
    </row>
    <row r="84" spans="1:23" ht="18" customHeight="1">
      <c r="A84" s="147"/>
      <c r="B84" s="17"/>
      <c r="C84" s="249"/>
      <c r="V84" s="133"/>
      <c r="W84" s="249"/>
    </row>
    <row r="85" spans="1:23" ht="18" customHeight="1">
      <c r="A85" s="147"/>
      <c r="B85" s="17"/>
      <c r="C85" s="249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33"/>
      <c r="W85" s="249"/>
    </row>
    <row r="86" spans="1:23" ht="18" customHeight="1">
      <c r="A86" s="147"/>
      <c r="B86" s="17"/>
      <c r="C86" s="249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33"/>
      <c r="W86" s="370">
        <f t="shared" si="43" ref="W86:W149">U86-F86</f>
        <v>0</v>
      </c>
    </row>
    <row r="87" spans="1:23" ht="18" customHeight="1">
      <c r="A87" s="147"/>
      <c r="B87" s="17"/>
      <c r="C87" s="249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33"/>
      <c r="W87" s="370">
        <f t="shared" si="43"/>
        <v>0</v>
      </c>
    </row>
    <row r="88" spans="1:23" ht="18" customHeight="1">
      <c r="A88" s="147"/>
      <c r="B88" s="17"/>
      <c r="C88" s="249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33"/>
      <c r="W88" s="370">
        <f t="shared" si="43"/>
        <v>0</v>
      </c>
    </row>
    <row r="89" spans="1:23" ht="18" customHeight="1">
      <c r="A89" s="147"/>
      <c r="B89" s="17"/>
      <c r="C89" s="249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33"/>
      <c r="W89" s="370">
        <f t="shared" si="43"/>
        <v>0</v>
      </c>
    </row>
    <row r="90" spans="1:23" ht="18" customHeight="1" thickBot="1">
      <c r="A90" s="147"/>
      <c r="B90" s="133"/>
      <c r="C90" s="17"/>
      <c r="V90" s="133"/>
      <c r="W90" s="370">
        <f t="shared" si="43"/>
        <v>0</v>
      </c>
    </row>
    <row r="91" spans="1:23" ht="18" customHeight="1">
      <c r="A91" s="47"/>
      <c r="B91" s="920" t="str">
        <f>+$B$4</f>
        <v>2022 RATE CASE</v>
      </c>
      <c r="C91" s="935"/>
      <c r="D91" s="401"/>
      <c r="V91" s="134">
        <f>$H$2</f>
        <v>0</v>
      </c>
      <c r="W91" s="370"/>
    </row>
    <row r="92" spans="1:23" ht="18" customHeight="1">
      <c r="A92" s="290"/>
      <c r="B92" s="917" t="str">
        <f>+$B$5</f>
        <v>ONCOR ELECTRIC DELIVERY COMPANY LLC</v>
      </c>
      <c r="C92" s="8"/>
      <c r="D92" s="405"/>
      <c r="V92" s="67"/>
      <c r="W92" s="370">
        <f t="shared" si="43"/>
        <v>0</v>
      </c>
    </row>
    <row r="93" spans="1:23" ht="18" customHeight="1">
      <c r="A93" s="47"/>
      <c r="B93" s="917" t="str">
        <f>+$B$6</f>
        <v>II-I-1-MET:  CLASS REVENUE REQUIREMENT</v>
      </c>
      <c r="C93" s="85"/>
      <c r="D93" s="405"/>
      <c r="V93" s="67"/>
      <c r="W93" s="370">
        <f t="shared" si="43"/>
        <v>0</v>
      </c>
    </row>
    <row r="94" spans="1:23" ht="18" customHeight="1">
      <c r="A94" s="47"/>
      <c r="B94" s="406" t="str">
        <f>+$B$7</f>
        <v>TEST YEAR ENDING 12/31/2021</v>
      </c>
      <c r="C94" s="85"/>
      <c r="D94" s="405"/>
      <c r="V94" s="67"/>
      <c r="W94" s="370">
        <f t="shared" si="43"/>
        <v>0</v>
      </c>
    </row>
    <row r="95" spans="1:23" ht="18" customHeight="1">
      <c r="A95" s="47"/>
      <c r="B95" s="406" t="str">
        <f>+$B$8</f>
        <v>SPONSOR:  MATTHEW A. TROXLE</v>
      </c>
      <c r="C95" s="85"/>
      <c r="D95" s="405"/>
      <c r="V95" s="67"/>
      <c r="W95" s="370">
        <f t="shared" si="43"/>
        <v>0</v>
      </c>
    </row>
    <row r="96" spans="1:23" ht="18" customHeight="1" thickBot="1">
      <c r="A96" s="47"/>
      <c r="B96" s="410"/>
      <c r="C96" s="934"/>
      <c r="D96" s="93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12"/>
      <c r="V96" s="67"/>
      <c r="W96" s="370">
        <f t="shared" si="43"/>
        <v>0</v>
      </c>
    </row>
    <row r="97" spans="1:23" ht="18" customHeight="1" thickBot="1">
      <c r="A97" s="47"/>
      <c r="B97" s="13"/>
      <c r="C97" s="14"/>
      <c r="D97" s="14"/>
      <c r="E97" s="14"/>
      <c r="F97" s="14"/>
      <c r="G97" s="14"/>
      <c r="H97" s="14"/>
      <c r="I97" s="14"/>
      <c r="J97" s="238"/>
      <c r="K97" s="238"/>
      <c r="L97" s="14"/>
      <c r="M97" s="238"/>
      <c r="N97" s="238"/>
      <c r="O97" s="238"/>
      <c r="P97" s="238"/>
      <c r="Q97" s="14"/>
      <c r="R97" s="393" t="str">
        <f>R$10</f>
        <v xml:space="preserve"> </v>
      </c>
      <c r="S97" s="394"/>
      <c r="T97" s="238"/>
      <c r="U97" s="13"/>
      <c r="V97" s="67"/>
      <c r="W97" s="370">
        <f t="shared" si="43"/>
        <v>0</v>
      </c>
    </row>
    <row r="98" spans="1:23" ht="18" customHeight="1">
      <c r="A98" s="47"/>
      <c r="B98" s="15" t="s">
        <v>2</v>
      </c>
      <c r="C98" s="15" t="s">
        <v>370</v>
      </c>
      <c r="D98" s="287" t="s">
        <v>532</v>
      </c>
      <c r="E98" s="15" t="s">
        <v>371</v>
      </c>
      <c r="F98" s="287" t="str">
        <f>F$11</f>
        <v>MET</v>
      </c>
      <c r="G98" s="242" t="s">
        <v>741</v>
      </c>
      <c r="H98" s="242" t="s">
        <v>376</v>
      </c>
      <c r="I98" s="15"/>
      <c r="J98" s="242" t="s">
        <v>730</v>
      </c>
      <c r="K98" s="242" t="s">
        <v>409</v>
      </c>
      <c r="L98" s="15" t="s">
        <v>409</v>
      </c>
      <c r="M98" s="242" t="s">
        <v>410</v>
      </c>
      <c r="N98" s="242" t="s">
        <v>410</v>
      </c>
      <c r="O98" s="242" t="s">
        <v>410</v>
      </c>
      <c r="P98" s="242" t="s">
        <v>411</v>
      </c>
      <c r="Q98" s="15" t="s">
        <v>412</v>
      </c>
      <c r="R98" s="396" t="str">
        <f>R$11</f>
        <v>Wholesale</v>
      </c>
      <c r="S98" s="13" t="str">
        <f>S$11</f>
        <v>Wholesale</v>
      </c>
      <c r="T98" s="242"/>
      <c r="U98" s="15" t="s">
        <v>10</v>
      </c>
      <c r="V98" s="67"/>
      <c r="W98" s="370"/>
    </row>
    <row r="99" spans="1:23" ht="18" customHeight="1">
      <c r="A99" s="47"/>
      <c r="B99" s="15"/>
      <c r="C99" s="15"/>
      <c r="D99" s="15"/>
      <c r="E99" s="15"/>
      <c r="F99" s="15"/>
      <c r="G99" s="242" t="s">
        <v>742</v>
      </c>
      <c r="H99" s="242" t="s">
        <v>743</v>
      </c>
      <c r="I99" s="15"/>
      <c r="J99" s="242"/>
      <c r="K99" s="242" t="s">
        <v>731</v>
      </c>
      <c r="L99" s="15" t="s">
        <v>732</v>
      </c>
      <c r="M99" s="242" t="s">
        <v>731</v>
      </c>
      <c r="N99" s="242" t="s">
        <v>732</v>
      </c>
      <c r="O99" s="242" t="s">
        <v>414</v>
      </c>
      <c r="P99" s="242"/>
      <c r="Q99" s="15"/>
      <c r="R99" s="235" t="str">
        <f>R$12</f>
        <v>XFMR</v>
      </c>
      <c r="S99" s="15" t="str">
        <f>S$12</f>
        <v>DLS</v>
      </c>
      <c r="T99" s="242"/>
      <c r="U99" s="15"/>
      <c r="V99" s="67"/>
      <c r="W99" s="370">
        <f t="shared" si="43"/>
        <v>0</v>
      </c>
    </row>
    <row r="100" spans="1:23" ht="18" customHeight="1" thickBot="1">
      <c r="A100" s="47"/>
      <c r="B100" s="16"/>
      <c r="C100" s="16"/>
      <c r="D100" s="16"/>
      <c r="E100" s="16"/>
      <c r="F100" s="16" t="s">
        <v>13</v>
      </c>
      <c r="G100" s="16" t="s">
        <v>14</v>
      </c>
      <c r="H100" s="16" t="s">
        <v>15</v>
      </c>
      <c r="I100" s="16"/>
      <c r="J100" s="243" t="str">
        <f t="shared" si="44" ref="J100:Q100">J$13</f>
        <v>(d)</v>
      </c>
      <c r="K100" s="243" t="str">
        <f t="shared" si="44"/>
        <v>(e)</v>
      </c>
      <c r="L100" s="16" t="str">
        <f t="shared" si="44"/>
        <v>(f)</v>
      </c>
      <c r="M100" s="243" t="str">
        <f t="shared" si="44"/>
        <v>(g)</v>
      </c>
      <c r="N100" s="243" t="str">
        <f t="shared" si="44"/>
        <v>(h)</v>
      </c>
      <c r="O100" s="243" t="str">
        <f>O$13</f>
        <v>(i)</v>
      </c>
      <c r="P100" s="243" t="str">
        <f t="shared" si="44"/>
        <v>(j)</v>
      </c>
      <c r="Q100" s="243" t="str">
        <f t="shared" si="44"/>
        <v>(k)</v>
      </c>
      <c r="R100" s="243" t="str">
        <f>R$13</f>
        <v>(l)</v>
      </c>
      <c r="S100" s="16" t="str">
        <f>S$13</f>
        <v>(m)</v>
      </c>
      <c r="T100" s="16"/>
      <c r="U100" s="16" t="s">
        <v>734</v>
      </c>
      <c r="V100" s="67"/>
      <c r="W100" s="370"/>
    </row>
    <row r="101" spans="1:23" ht="18" customHeight="1">
      <c r="A101" s="47"/>
      <c r="B101" s="67"/>
      <c r="C101" s="67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67"/>
      <c r="W101" s="370">
        <f t="shared" si="43"/>
        <v>0</v>
      </c>
    </row>
    <row r="102" spans="1:23" ht="18" customHeight="1">
      <c r="A102" s="47"/>
      <c r="B102" s="17">
        <f t="shared" si="45" ref="B102:B118">B101+1</f>
        <v>1</v>
      </c>
      <c r="C102" s="8" t="s">
        <v>533</v>
      </c>
      <c r="D102" s="8"/>
      <c r="E102" s="20" t="s">
        <v>24</v>
      </c>
      <c r="F102" s="20"/>
      <c r="G102" s="20"/>
      <c r="H102" s="20"/>
      <c r="I102" s="101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1010"/>
      <c r="U102" s="8"/>
      <c r="V102" s="67"/>
      <c r="W102" s="370">
        <f t="shared" si="43"/>
        <v>0</v>
      </c>
    </row>
    <row r="103" spans="1:23" ht="18" customHeight="1">
      <c r="A103" s="47"/>
      <c r="B103" s="17">
        <f t="shared" si="45"/>
        <v>2</v>
      </c>
      <c r="C103" s="1" t="s">
        <v>25</v>
      </c>
      <c r="D103" s="1" t="s">
        <v>26</v>
      </c>
      <c r="E103" s="17"/>
      <c r="F103" s="118">
        <f>' WP II-I-1.4'!H103</f>
        <v>0</v>
      </c>
      <c r="G103" s="17">
        <v>65</v>
      </c>
      <c r="H103" s="47" t="str">
        <f>VLOOKUP(G103,FactorTable,2)</f>
        <v>PLT_N XINT</v>
      </c>
      <c r="I103" s="17"/>
      <c r="J103" s="434">
        <f t="shared" si="46" ref="J103:S105">$F103*HLOOKUP(J$1318,FactorTable,$G103+1)</f>
        <v>0</v>
      </c>
      <c r="K103" s="434">
        <f t="shared" si="46"/>
        <v>0</v>
      </c>
      <c r="L103" s="434">
        <f t="shared" si="46"/>
        <v>0</v>
      </c>
      <c r="M103" s="434">
        <f t="shared" si="46"/>
        <v>0</v>
      </c>
      <c r="N103" s="434">
        <f t="shared" si="46"/>
        <v>0</v>
      </c>
      <c r="O103" s="434">
        <f t="shared" si="46"/>
        <v>0</v>
      </c>
      <c r="P103" s="434">
        <f t="shared" si="46"/>
        <v>0</v>
      </c>
      <c r="Q103" s="434">
        <f t="shared" si="46"/>
        <v>0</v>
      </c>
      <c r="R103" s="434">
        <f t="shared" si="46"/>
        <v>0</v>
      </c>
      <c r="S103" s="434">
        <f t="shared" si="46"/>
        <v>0</v>
      </c>
      <c r="T103" s="17"/>
      <c r="U103" s="118">
        <f>SUM(I103:T103)</f>
        <v>0</v>
      </c>
      <c r="V103" s="67"/>
      <c r="W103" s="370">
        <f t="shared" si="43"/>
        <v>0</v>
      </c>
    </row>
    <row r="104" spans="1:23" ht="18" customHeight="1">
      <c r="A104" s="47"/>
      <c r="B104" s="17">
        <f t="shared" si="45"/>
        <v>3</v>
      </c>
      <c r="C104" s="1" t="s">
        <v>27</v>
      </c>
      <c r="D104" s="1" t="s">
        <v>28</v>
      </c>
      <c r="E104" s="17"/>
      <c r="F104" s="118">
        <f>' WP II-I-1.4'!H104</f>
        <v>0</v>
      </c>
      <c r="G104" s="17">
        <v>65</v>
      </c>
      <c r="H104" s="47" t="str">
        <f>VLOOKUP(G104,FactorTable,2)</f>
        <v>PLT_N XINT</v>
      </c>
      <c r="I104" s="17"/>
      <c r="J104" s="434">
        <f t="shared" si="46"/>
        <v>0</v>
      </c>
      <c r="K104" s="434">
        <f t="shared" si="46"/>
        <v>0</v>
      </c>
      <c r="L104" s="434">
        <f t="shared" si="46"/>
        <v>0</v>
      </c>
      <c r="M104" s="434">
        <f t="shared" si="46"/>
        <v>0</v>
      </c>
      <c r="N104" s="434">
        <f t="shared" si="46"/>
        <v>0</v>
      </c>
      <c r="O104" s="434">
        <f t="shared" si="46"/>
        <v>0</v>
      </c>
      <c r="P104" s="434">
        <f t="shared" si="46"/>
        <v>0</v>
      </c>
      <c r="Q104" s="434">
        <f t="shared" si="46"/>
        <v>0</v>
      </c>
      <c r="R104" s="434">
        <f t="shared" si="46"/>
        <v>0</v>
      </c>
      <c r="S104" s="434">
        <f t="shared" si="46"/>
        <v>0</v>
      </c>
      <c r="T104" s="17"/>
      <c r="U104" s="118">
        <f>SUM(I104:T104)</f>
        <v>0</v>
      </c>
      <c r="V104" s="67"/>
      <c r="W104" s="370">
        <f t="shared" si="43"/>
        <v>0</v>
      </c>
    </row>
    <row r="105" spans="1:23" ht="18" customHeight="1">
      <c r="A105" s="47"/>
      <c r="B105" s="17">
        <f t="shared" si="45"/>
        <v>4</v>
      </c>
      <c r="C105" s="1" t="s">
        <v>29</v>
      </c>
      <c r="D105" s="1" t="s">
        <v>34</v>
      </c>
      <c r="E105" s="17"/>
      <c r="F105" s="118">
        <f>' WP II-I-1.4'!H105</f>
        <v>185301712.96000001</v>
      </c>
      <c r="G105" s="17">
        <v>65</v>
      </c>
      <c r="H105" s="47" t="str">
        <f>VLOOKUP(G105,FactorTable,2)</f>
        <v>PLT_N XINT</v>
      </c>
      <c r="I105" s="17"/>
      <c r="J105" s="435">
        <f t="shared" si="46"/>
        <v>103306597.153777</v>
      </c>
      <c r="K105" s="435">
        <f t="shared" si="46"/>
        <v>15927216.844966976</v>
      </c>
      <c r="L105" s="435">
        <f t="shared" si="46"/>
        <v>49128051.332489185</v>
      </c>
      <c r="M105" s="435">
        <f t="shared" si="46"/>
        <v>689832.43424867012</v>
      </c>
      <c r="N105" s="435">
        <f t="shared" si="46"/>
        <v>14394944.633305073</v>
      </c>
      <c r="O105" s="435">
        <f t="shared" si="46"/>
        <v>491918.52844354458</v>
      </c>
      <c r="P105" s="435">
        <f t="shared" si="46"/>
        <v>1070868.796534793</v>
      </c>
      <c r="Q105" s="435">
        <f t="shared" si="46"/>
        <v>102978.29866833684</v>
      </c>
      <c r="R105" s="435">
        <f t="shared" si="46"/>
        <v>56759.830205024387</v>
      </c>
      <c r="S105" s="435">
        <f t="shared" si="46"/>
        <v>132545.10736146566</v>
      </c>
      <c r="T105" s="17"/>
      <c r="U105" s="118">
        <f>SUM(I105:T105)</f>
        <v>185301712.96000007</v>
      </c>
      <c r="V105" s="67"/>
      <c r="W105" s="370">
        <f t="shared" si="43"/>
        <v>0</v>
      </c>
    </row>
    <row r="106" spans="1:23" ht="18" customHeight="1">
      <c r="A106" s="47"/>
      <c r="B106" s="17">
        <f t="shared" si="45"/>
        <v>5</v>
      </c>
      <c r="C106" s="8"/>
      <c r="D106" s="297" t="s">
        <v>491</v>
      </c>
      <c r="E106" s="20"/>
      <c r="F106" s="298">
        <f>SUM(F103:F105)</f>
        <v>185301712.96000001</v>
      </c>
      <c r="G106" s="17"/>
      <c r="H106" s="20"/>
      <c r="I106" s="1010"/>
      <c r="J106" s="907">
        <f t="shared" si="47" ref="J106:Q106">SUM(J103:J105)</f>
        <v>103306597.153777</v>
      </c>
      <c r="K106" s="907">
        <f t="shared" si="47"/>
        <v>15927216.844966976</v>
      </c>
      <c r="L106" s="907">
        <f t="shared" si="47"/>
        <v>49128051.332489185</v>
      </c>
      <c r="M106" s="907">
        <f t="shared" si="47"/>
        <v>689832.43424867012</v>
      </c>
      <c r="N106" s="907">
        <f t="shared" si="47"/>
        <v>14394944.633305073</v>
      </c>
      <c r="O106" s="907">
        <f>SUM(O103:O105)</f>
        <v>491918.52844354458</v>
      </c>
      <c r="P106" s="907">
        <f t="shared" si="47"/>
        <v>1070868.796534793</v>
      </c>
      <c r="Q106" s="907">
        <f t="shared" si="47"/>
        <v>102978.29866833684</v>
      </c>
      <c r="R106" s="907">
        <f>SUM(R103:R105)</f>
        <v>56759.830205024387</v>
      </c>
      <c r="S106" s="907">
        <f>SUM(S103:S105)</f>
        <v>132545.10736146566</v>
      </c>
      <c r="T106" s="1010"/>
      <c r="U106" s="299">
        <f>SUM(I106:T106)</f>
        <v>185301712.96000007</v>
      </c>
      <c r="V106" s="67"/>
      <c r="W106" s="370">
        <f t="shared" si="43"/>
        <v>0</v>
      </c>
    </row>
    <row r="107" spans="1:23" ht="18" customHeight="1">
      <c r="A107" s="47"/>
      <c r="B107" s="17">
        <f t="shared" si="45"/>
        <v>6</v>
      </c>
      <c r="C107" s="8" t="s">
        <v>566</v>
      </c>
      <c r="D107" s="8"/>
      <c r="E107" s="20" t="s">
        <v>24</v>
      </c>
      <c r="F107" s="20"/>
      <c r="G107" s="17"/>
      <c r="H107" s="17"/>
      <c r="I107" s="1010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10"/>
      <c r="U107" s="8"/>
      <c r="V107" s="67"/>
      <c r="W107" s="370">
        <f t="shared" si="43"/>
        <v>0</v>
      </c>
    </row>
    <row r="108" spans="1:23" ht="18" customHeight="1">
      <c r="A108" s="47"/>
      <c r="B108" s="17">
        <f t="shared" si="45"/>
        <v>7</v>
      </c>
      <c r="C108" s="1" t="s">
        <v>39</v>
      </c>
      <c r="D108" s="1" t="s">
        <v>40</v>
      </c>
      <c r="E108" s="20"/>
      <c r="F108" s="118">
        <f>' WP II-I-1.4'!H108</f>
        <v>0</v>
      </c>
      <c r="G108" s="17">
        <v>28</v>
      </c>
      <c r="H108" s="28" t="str">
        <f t="shared" si="48" ref="H108:H117">VLOOKUP(G108,FactorTable,2)</f>
        <v>NCP XHV</v>
      </c>
      <c r="I108" s="1010"/>
      <c r="J108" s="19">
        <f t="shared" si="49" ref="J108:S117">$F108*HLOOKUP(J$1318,FactorTable,$G108+1)</f>
        <v>0</v>
      </c>
      <c r="K108" s="19">
        <f t="shared" si="49"/>
        <v>0</v>
      </c>
      <c r="L108" s="19">
        <f t="shared" si="49"/>
        <v>0</v>
      </c>
      <c r="M108" s="19">
        <f t="shared" si="49"/>
        <v>0</v>
      </c>
      <c r="N108" s="19">
        <f t="shared" si="49"/>
        <v>0</v>
      </c>
      <c r="O108" s="19">
        <f t="shared" si="49"/>
        <v>0</v>
      </c>
      <c r="P108" s="19">
        <f t="shared" si="49"/>
        <v>0</v>
      </c>
      <c r="Q108" s="19">
        <f t="shared" si="49"/>
        <v>0</v>
      </c>
      <c r="R108" s="19">
        <f t="shared" si="49"/>
        <v>0</v>
      </c>
      <c r="S108" s="19">
        <f t="shared" si="49"/>
        <v>0</v>
      </c>
      <c r="T108" s="1010"/>
      <c r="U108" s="118">
        <f t="shared" si="50" ref="U108:U118">SUM(I108:T108)</f>
        <v>0</v>
      </c>
      <c r="V108" s="67"/>
      <c r="W108" s="370">
        <f t="shared" si="43"/>
        <v>0</v>
      </c>
    </row>
    <row r="109" spans="1:23" ht="18" customHeight="1">
      <c r="A109" s="47"/>
      <c r="B109" s="17">
        <f t="shared" si="45"/>
        <v>8</v>
      </c>
      <c r="C109" s="1" t="s">
        <v>41</v>
      </c>
      <c r="D109" s="1" t="s">
        <v>42</v>
      </c>
      <c r="E109" s="17"/>
      <c r="F109" s="118">
        <f>' WP II-I-1.4'!H109</f>
        <v>0</v>
      </c>
      <c r="G109" s="17">
        <v>28</v>
      </c>
      <c r="H109" s="28" t="str">
        <f t="shared" si="48"/>
        <v>NCP XHV</v>
      </c>
      <c r="I109" s="17"/>
      <c r="J109" s="19">
        <f t="shared" si="49"/>
        <v>0</v>
      </c>
      <c r="K109" s="19">
        <f t="shared" si="49"/>
        <v>0</v>
      </c>
      <c r="L109" s="19">
        <f t="shared" si="49"/>
        <v>0</v>
      </c>
      <c r="M109" s="19">
        <f t="shared" si="49"/>
        <v>0</v>
      </c>
      <c r="N109" s="19">
        <f t="shared" si="49"/>
        <v>0</v>
      </c>
      <c r="O109" s="19">
        <f t="shared" si="49"/>
        <v>0</v>
      </c>
      <c r="P109" s="19">
        <f t="shared" si="49"/>
        <v>0</v>
      </c>
      <c r="Q109" s="19">
        <f t="shared" si="49"/>
        <v>0</v>
      </c>
      <c r="R109" s="19">
        <f t="shared" si="49"/>
        <v>0</v>
      </c>
      <c r="S109" s="19">
        <f t="shared" si="49"/>
        <v>0</v>
      </c>
      <c r="T109" s="17"/>
      <c r="U109" s="118">
        <f t="shared" si="50"/>
        <v>0</v>
      </c>
      <c r="V109" s="67"/>
      <c r="W109" s="370">
        <f t="shared" si="43"/>
        <v>0</v>
      </c>
    </row>
    <row r="110" spans="1:23" ht="18" customHeight="1">
      <c r="A110" s="47"/>
      <c r="B110" s="17">
        <f t="shared" si="45"/>
        <v>9</v>
      </c>
      <c r="C110" s="1" t="s">
        <v>43</v>
      </c>
      <c r="D110" s="1" t="s">
        <v>44</v>
      </c>
      <c r="E110" s="17"/>
      <c r="F110" s="118">
        <f>' WP II-I-1.4'!H110</f>
        <v>0</v>
      </c>
      <c r="G110" s="17">
        <v>28</v>
      </c>
      <c r="H110" s="28" t="str">
        <f t="shared" si="48"/>
        <v>NCP XHV</v>
      </c>
      <c r="I110" s="17"/>
      <c r="J110" s="19">
        <f t="shared" si="49"/>
        <v>0</v>
      </c>
      <c r="K110" s="19">
        <f t="shared" si="49"/>
        <v>0</v>
      </c>
      <c r="L110" s="19">
        <f t="shared" si="49"/>
        <v>0</v>
      </c>
      <c r="M110" s="19">
        <f t="shared" si="49"/>
        <v>0</v>
      </c>
      <c r="N110" s="19">
        <f t="shared" si="49"/>
        <v>0</v>
      </c>
      <c r="O110" s="19">
        <f t="shared" si="49"/>
        <v>0</v>
      </c>
      <c r="P110" s="19">
        <f t="shared" si="49"/>
        <v>0</v>
      </c>
      <c r="Q110" s="19">
        <f t="shared" si="49"/>
        <v>0</v>
      </c>
      <c r="R110" s="19">
        <f t="shared" si="49"/>
        <v>0</v>
      </c>
      <c r="S110" s="19">
        <f t="shared" si="49"/>
        <v>0</v>
      </c>
      <c r="T110" s="17"/>
      <c r="U110" s="118">
        <f t="shared" si="50"/>
        <v>0</v>
      </c>
      <c r="V110" s="67"/>
      <c r="W110" s="370">
        <f t="shared" si="43"/>
        <v>0</v>
      </c>
    </row>
    <row r="111" spans="1:23" ht="18" customHeight="1">
      <c r="A111" s="47"/>
      <c r="B111" s="17">
        <f t="shared" si="45"/>
        <v>10</v>
      </c>
      <c r="C111" s="1" t="s">
        <v>45</v>
      </c>
      <c r="D111" s="1" t="s">
        <v>46</v>
      </c>
      <c r="E111" s="17"/>
      <c r="F111" s="118">
        <f>' WP II-I-1.4'!H111</f>
        <v>0</v>
      </c>
      <c r="G111" s="17">
        <v>28</v>
      </c>
      <c r="H111" s="28" t="str">
        <f t="shared" si="48"/>
        <v>NCP XHV</v>
      </c>
      <c r="I111" s="17"/>
      <c r="J111" s="19">
        <f t="shared" si="49"/>
        <v>0</v>
      </c>
      <c r="K111" s="19">
        <f t="shared" si="49"/>
        <v>0</v>
      </c>
      <c r="L111" s="19">
        <f t="shared" si="49"/>
        <v>0</v>
      </c>
      <c r="M111" s="19">
        <f t="shared" si="49"/>
        <v>0</v>
      </c>
      <c r="N111" s="19">
        <f t="shared" si="49"/>
        <v>0</v>
      </c>
      <c r="O111" s="19">
        <f t="shared" si="49"/>
        <v>0</v>
      </c>
      <c r="P111" s="19">
        <f t="shared" si="49"/>
        <v>0</v>
      </c>
      <c r="Q111" s="19">
        <f t="shared" si="49"/>
        <v>0</v>
      </c>
      <c r="R111" s="19">
        <f t="shared" si="49"/>
        <v>0</v>
      </c>
      <c r="S111" s="19">
        <f t="shared" si="49"/>
        <v>0</v>
      </c>
      <c r="T111" s="17"/>
      <c r="U111" s="118">
        <f t="shared" si="50"/>
        <v>0</v>
      </c>
      <c r="V111" s="67"/>
      <c r="W111" s="370">
        <f t="shared" si="43"/>
        <v>0</v>
      </c>
    </row>
    <row r="112" spans="1:23" ht="18" customHeight="1">
      <c r="A112" s="47"/>
      <c r="B112" s="17">
        <f t="shared" si="45"/>
        <v>11</v>
      </c>
      <c r="C112" s="1" t="s">
        <v>47</v>
      </c>
      <c r="D112" s="1" t="s">
        <v>48</v>
      </c>
      <c r="E112" s="17"/>
      <c r="F112" s="118">
        <f>' WP II-I-1.4'!H112</f>
        <v>0</v>
      </c>
      <c r="G112" s="17">
        <v>28</v>
      </c>
      <c r="H112" s="28" t="str">
        <f t="shared" si="48"/>
        <v>NCP XHV</v>
      </c>
      <c r="I112" s="17"/>
      <c r="J112" s="19">
        <f t="shared" si="49"/>
        <v>0</v>
      </c>
      <c r="K112" s="19">
        <f t="shared" si="49"/>
        <v>0</v>
      </c>
      <c r="L112" s="19">
        <f t="shared" si="49"/>
        <v>0</v>
      </c>
      <c r="M112" s="19">
        <f t="shared" si="49"/>
        <v>0</v>
      </c>
      <c r="N112" s="19">
        <f t="shared" si="49"/>
        <v>0</v>
      </c>
      <c r="O112" s="19">
        <f t="shared" si="49"/>
        <v>0</v>
      </c>
      <c r="P112" s="19">
        <f t="shared" si="49"/>
        <v>0</v>
      </c>
      <c r="Q112" s="19">
        <f t="shared" si="49"/>
        <v>0</v>
      </c>
      <c r="R112" s="19">
        <f t="shared" si="49"/>
        <v>0</v>
      </c>
      <c r="S112" s="19">
        <f t="shared" si="49"/>
        <v>0</v>
      </c>
      <c r="T112" s="17"/>
      <c r="U112" s="118">
        <f t="shared" si="50"/>
        <v>0</v>
      </c>
      <c r="V112" s="67"/>
      <c r="W112" s="370">
        <f t="shared" si="43"/>
        <v>0</v>
      </c>
    </row>
    <row r="113" spans="1:23" ht="18" customHeight="1">
      <c r="A113" s="47"/>
      <c r="B113" s="17">
        <f t="shared" si="45"/>
        <v>12</v>
      </c>
      <c r="C113" s="1" t="s">
        <v>49</v>
      </c>
      <c r="D113" s="1" t="s">
        <v>50</v>
      </c>
      <c r="E113" s="17"/>
      <c r="F113" s="118">
        <f>' WP II-I-1.4'!H113</f>
        <v>0</v>
      </c>
      <c r="G113" s="17">
        <v>28</v>
      </c>
      <c r="H113" s="28" t="str">
        <f t="shared" si="48"/>
        <v>NCP XHV</v>
      </c>
      <c r="I113" s="17"/>
      <c r="J113" s="19">
        <f t="shared" si="49"/>
        <v>0</v>
      </c>
      <c r="K113" s="19">
        <f t="shared" si="49"/>
        <v>0</v>
      </c>
      <c r="L113" s="19">
        <f t="shared" si="49"/>
        <v>0</v>
      </c>
      <c r="M113" s="19">
        <f t="shared" si="49"/>
        <v>0</v>
      </c>
      <c r="N113" s="19">
        <f t="shared" si="49"/>
        <v>0</v>
      </c>
      <c r="O113" s="19">
        <f t="shared" si="49"/>
        <v>0</v>
      </c>
      <c r="P113" s="19">
        <f t="shared" si="49"/>
        <v>0</v>
      </c>
      <c r="Q113" s="19">
        <f t="shared" si="49"/>
        <v>0</v>
      </c>
      <c r="R113" s="19">
        <f t="shared" si="49"/>
        <v>0</v>
      </c>
      <c r="S113" s="19">
        <f t="shared" si="49"/>
        <v>0</v>
      </c>
      <c r="T113" s="17"/>
      <c r="U113" s="118">
        <f t="shared" si="50"/>
        <v>0</v>
      </c>
      <c r="V113" s="67"/>
      <c r="W113" s="370">
        <f t="shared" si="43"/>
        <v>0</v>
      </c>
    </row>
    <row r="114" spans="1:23" ht="18" customHeight="1">
      <c r="A114" s="47"/>
      <c r="B114" s="17">
        <f t="shared" si="45"/>
        <v>13</v>
      </c>
      <c r="C114" s="1" t="s">
        <v>51</v>
      </c>
      <c r="D114" s="1" t="s">
        <v>534</v>
      </c>
      <c r="E114" s="17"/>
      <c r="F114" s="118">
        <f>' WP II-I-1.4'!H114</f>
        <v>0</v>
      </c>
      <c r="G114" s="17">
        <v>28</v>
      </c>
      <c r="H114" s="28" t="str">
        <f t="shared" si="48"/>
        <v>NCP XHV</v>
      </c>
      <c r="I114" s="17"/>
      <c r="J114" s="19">
        <f t="shared" si="49"/>
        <v>0</v>
      </c>
      <c r="K114" s="19">
        <f t="shared" si="49"/>
        <v>0</v>
      </c>
      <c r="L114" s="19">
        <f t="shared" si="49"/>
        <v>0</v>
      </c>
      <c r="M114" s="19">
        <f t="shared" si="49"/>
        <v>0</v>
      </c>
      <c r="N114" s="19">
        <f t="shared" si="49"/>
        <v>0</v>
      </c>
      <c r="O114" s="19">
        <f t="shared" si="49"/>
        <v>0</v>
      </c>
      <c r="P114" s="19">
        <f t="shared" si="49"/>
        <v>0</v>
      </c>
      <c r="Q114" s="19">
        <f t="shared" si="49"/>
        <v>0</v>
      </c>
      <c r="R114" s="19">
        <f t="shared" si="49"/>
        <v>0</v>
      </c>
      <c r="S114" s="19">
        <f t="shared" si="49"/>
        <v>0</v>
      </c>
      <c r="T114" s="17"/>
      <c r="U114" s="118">
        <f t="shared" si="50"/>
        <v>0</v>
      </c>
      <c r="V114" s="67"/>
      <c r="W114" s="370">
        <f t="shared" si="43"/>
        <v>0</v>
      </c>
    </row>
    <row r="115" spans="1:23" ht="18" customHeight="1">
      <c r="A115" s="47"/>
      <c r="B115" s="17">
        <f t="shared" si="45"/>
        <v>14</v>
      </c>
      <c r="C115" s="1" t="s">
        <v>53</v>
      </c>
      <c r="D115" s="1" t="s">
        <v>54</v>
      </c>
      <c r="E115" s="17"/>
      <c r="F115" s="118">
        <f>' WP II-I-1.4'!H115</f>
        <v>0</v>
      </c>
      <c r="G115" s="17">
        <v>28</v>
      </c>
      <c r="H115" s="28" t="str">
        <f t="shared" si="48"/>
        <v>NCP XHV</v>
      </c>
      <c r="I115" s="17"/>
      <c r="J115" s="19">
        <f t="shared" si="49"/>
        <v>0</v>
      </c>
      <c r="K115" s="19">
        <f t="shared" si="49"/>
        <v>0</v>
      </c>
      <c r="L115" s="19">
        <f t="shared" si="49"/>
        <v>0</v>
      </c>
      <c r="M115" s="19">
        <f t="shared" si="49"/>
        <v>0</v>
      </c>
      <c r="N115" s="19">
        <f t="shared" si="49"/>
        <v>0</v>
      </c>
      <c r="O115" s="19">
        <f t="shared" si="49"/>
        <v>0</v>
      </c>
      <c r="P115" s="19">
        <f t="shared" si="49"/>
        <v>0</v>
      </c>
      <c r="Q115" s="19">
        <f t="shared" si="49"/>
        <v>0</v>
      </c>
      <c r="R115" s="19">
        <f t="shared" si="49"/>
        <v>0</v>
      </c>
      <c r="S115" s="19">
        <f t="shared" si="49"/>
        <v>0</v>
      </c>
      <c r="T115" s="17"/>
      <c r="U115" s="118">
        <f t="shared" si="50"/>
        <v>0</v>
      </c>
      <c r="V115" s="67"/>
      <c r="W115" s="370">
        <f t="shared" si="43"/>
        <v>0</v>
      </c>
    </row>
    <row r="116" spans="1:23" ht="18" customHeight="1">
      <c r="A116" s="47"/>
      <c r="B116" s="17">
        <f t="shared" si="45"/>
        <v>15</v>
      </c>
      <c r="C116" s="1" t="s">
        <v>55</v>
      </c>
      <c r="D116" s="31" t="s">
        <v>535</v>
      </c>
      <c r="E116" s="17"/>
      <c r="F116" s="118">
        <f>' WP II-I-1.4'!H116</f>
        <v>0</v>
      </c>
      <c r="G116" s="17">
        <v>28</v>
      </c>
      <c r="H116" s="28" t="str">
        <f t="shared" si="48"/>
        <v>NCP XHV</v>
      </c>
      <c r="I116" s="17"/>
      <c r="J116" s="19">
        <f t="shared" si="49"/>
        <v>0</v>
      </c>
      <c r="K116" s="19">
        <f t="shared" si="49"/>
        <v>0</v>
      </c>
      <c r="L116" s="19">
        <f t="shared" si="49"/>
        <v>0</v>
      </c>
      <c r="M116" s="19">
        <f t="shared" si="49"/>
        <v>0</v>
      </c>
      <c r="N116" s="19">
        <f t="shared" si="49"/>
        <v>0</v>
      </c>
      <c r="O116" s="19">
        <f t="shared" si="49"/>
        <v>0</v>
      </c>
      <c r="P116" s="19">
        <f t="shared" si="49"/>
        <v>0</v>
      </c>
      <c r="Q116" s="19">
        <f t="shared" si="49"/>
        <v>0</v>
      </c>
      <c r="R116" s="19">
        <f t="shared" si="49"/>
        <v>0</v>
      </c>
      <c r="S116" s="19">
        <f t="shared" si="49"/>
        <v>0</v>
      </c>
      <c r="T116" s="17"/>
      <c r="U116" s="118">
        <f t="shared" si="50"/>
        <v>0</v>
      </c>
      <c r="V116" s="67"/>
      <c r="W116" s="370">
        <f t="shared" si="43"/>
        <v>0</v>
      </c>
    </row>
    <row r="117" spans="1:23" ht="18" customHeight="1">
      <c r="A117" s="47"/>
      <c r="B117" s="17">
        <f t="shared" si="45"/>
        <v>16</v>
      </c>
      <c r="C117" s="1" t="s">
        <v>57</v>
      </c>
      <c r="D117" s="1" t="s">
        <v>58</v>
      </c>
      <c r="E117" s="17"/>
      <c r="F117" s="118">
        <f>' WP II-I-1.4'!H117</f>
        <v>0</v>
      </c>
      <c r="G117" s="17">
        <v>28</v>
      </c>
      <c r="H117" s="28" t="str">
        <f t="shared" si="48"/>
        <v>NCP XHV</v>
      </c>
      <c r="I117" s="17"/>
      <c r="J117" s="83">
        <f t="shared" si="49"/>
        <v>0</v>
      </c>
      <c r="K117" s="83">
        <f t="shared" si="49"/>
        <v>0</v>
      </c>
      <c r="L117" s="83">
        <f t="shared" si="49"/>
        <v>0</v>
      </c>
      <c r="M117" s="83">
        <f t="shared" si="49"/>
        <v>0</v>
      </c>
      <c r="N117" s="83">
        <f t="shared" si="49"/>
        <v>0</v>
      </c>
      <c r="O117" s="83">
        <f t="shared" si="49"/>
        <v>0</v>
      </c>
      <c r="P117" s="83">
        <f t="shared" si="49"/>
        <v>0</v>
      </c>
      <c r="Q117" s="83">
        <f t="shared" si="49"/>
        <v>0</v>
      </c>
      <c r="R117" s="83">
        <f t="shared" si="49"/>
        <v>0</v>
      </c>
      <c r="S117" s="83">
        <f t="shared" si="49"/>
        <v>0</v>
      </c>
      <c r="T117" s="17"/>
      <c r="U117" s="118">
        <f t="shared" si="50"/>
        <v>0</v>
      </c>
      <c r="V117" s="67"/>
      <c r="W117" s="370">
        <f t="shared" si="43"/>
        <v>0</v>
      </c>
    </row>
    <row r="118" spans="1:23" ht="18" customHeight="1">
      <c r="A118" s="47"/>
      <c r="B118" s="17">
        <f t="shared" si="45"/>
        <v>17</v>
      </c>
      <c r="C118" s="8"/>
      <c r="D118" s="297" t="s">
        <v>491</v>
      </c>
      <c r="E118" s="20"/>
      <c r="F118" s="22">
        <f>SUM(F108:F117)</f>
        <v>0</v>
      </c>
      <c r="G118" s="17"/>
      <c r="H118" s="20"/>
      <c r="I118" s="1010"/>
      <c r="J118" s="22">
        <f t="shared" si="51" ref="J118:Q118">SUM(J108:J117)</f>
        <v>0</v>
      </c>
      <c r="K118" s="22">
        <f t="shared" si="51"/>
        <v>0</v>
      </c>
      <c r="L118" s="22">
        <f t="shared" si="51"/>
        <v>0</v>
      </c>
      <c r="M118" s="22">
        <f t="shared" si="51"/>
        <v>0</v>
      </c>
      <c r="N118" s="22">
        <f t="shared" si="51"/>
        <v>0</v>
      </c>
      <c r="O118" s="22">
        <f>SUM(O108:O117)</f>
        <v>0</v>
      </c>
      <c r="P118" s="22">
        <f t="shared" si="51"/>
        <v>0</v>
      </c>
      <c r="Q118" s="22">
        <f t="shared" si="51"/>
        <v>0</v>
      </c>
      <c r="R118" s="22">
        <f>SUM(R108:R117)</f>
        <v>0</v>
      </c>
      <c r="S118" s="22">
        <f>SUM(S108:S117)</f>
        <v>0</v>
      </c>
      <c r="T118" s="20"/>
      <c r="U118" s="299">
        <f t="shared" si="50"/>
        <v>0</v>
      </c>
      <c r="V118" s="67"/>
      <c r="W118" s="370">
        <f t="shared" si="43"/>
        <v>0</v>
      </c>
    </row>
    <row r="119" spans="1:23" ht="18" customHeight="1">
      <c r="A119" s="47"/>
      <c r="B119" s="17"/>
      <c r="C119" s="1"/>
      <c r="D119" s="1"/>
      <c r="E119" s="17"/>
      <c r="F119" s="19"/>
      <c r="G119" s="17"/>
      <c r="H119" s="134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34"/>
      <c r="V119" s="134">
        <f>$H$2</f>
        <v>0</v>
      </c>
      <c r="W119" s="370"/>
    </row>
    <row r="120" spans="1:23" ht="18" customHeight="1" thickBot="1">
      <c r="A120" s="47"/>
      <c r="B120" s="17"/>
      <c r="C120" s="1"/>
      <c r="D120" s="1"/>
      <c r="E120" s="17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"/>
      <c r="V120" s="134"/>
      <c r="W120" s="370">
        <f t="shared" si="43"/>
        <v>0</v>
      </c>
    </row>
    <row r="121" spans="1:23" ht="18" customHeight="1">
      <c r="A121" s="47"/>
      <c r="B121" s="920" t="str">
        <f>+$B$4</f>
        <v>2022 RATE CASE</v>
      </c>
      <c r="C121" s="935"/>
      <c r="D121" s="624"/>
      <c r="F121" s="67"/>
      <c r="I121" s="422"/>
      <c r="U121" s="134"/>
      <c r="W121" s="370">
        <f t="shared" si="43"/>
        <v>0</v>
      </c>
    </row>
    <row r="122" spans="1:23" ht="18" customHeight="1">
      <c r="A122" s="290"/>
      <c r="B122" s="917" t="str">
        <f>+$B$5</f>
        <v>ONCOR ELECTRIC DELIVERY COMPANY LLC</v>
      </c>
      <c r="C122" s="8"/>
      <c r="D122" s="967"/>
      <c r="F122" s="67"/>
      <c r="I122" s="422"/>
      <c r="U122" s="134"/>
      <c r="V122" s="67"/>
      <c r="W122" s="370">
        <f t="shared" si="43"/>
        <v>0</v>
      </c>
    </row>
    <row r="123" spans="1:23" ht="18" customHeight="1">
      <c r="A123" s="47"/>
      <c r="B123" s="917" t="str">
        <f>+$B$6</f>
        <v>II-I-1-MET:  CLASS REVENUE REQUIREMENT</v>
      </c>
      <c r="C123" s="85"/>
      <c r="D123" s="967"/>
      <c r="F123" s="12"/>
      <c r="I123" s="422"/>
      <c r="U123" s="12"/>
      <c r="V123" s="67"/>
      <c r="W123" s="370">
        <f t="shared" si="43"/>
        <v>0</v>
      </c>
    </row>
    <row r="124" spans="1:23" ht="18" customHeight="1">
      <c r="A124" s="47"/>
      <c r="B124" s="406" t="str">
        <f>+$B$7</f>
        <v>TEST YEAR ENDING 12/31/2021</v>
      </c>
      <c r="C124" s="85"/>
      <c r="D124" s="967"/>
      <c r="F124" s="12"/>
      <c r="I124" s="422"/>
      <c r="K124" s="129" t="s">
        <v>0</v>
      </c>
      <c r="U124" s="12"/>
      <c r="V124" s="67"/>
      <c r="W124" s="370">
        <f t="shared" si="43"/>
        <v>0</v>
      </c>
    </row>
    <row r="125" spans="1:23" ht="18" customHeight="1">
      <c r="A125" s="47"/>
      <c r="B125" s="406" t="str">
        <f>+$B$8</f>
        <v>SPONSOR:  MATTHEW A. TROXLE</v>
      </c>
      <c r="C125" s="85"/>
      <c r="D125" s="967"/>
      <c r="F125" s="12"/>
      <c r="I125" s="422"/>
      <c r="U125" s="12"/>
      <c r="V125" s="67"/>
      <c r="W125" s="370">
        <f t="shared" si="43"/>
        <v>0</v>
      </c>
    </row>
    <row r="126" spans="1:23" ht="18" customHeight="1" thickBot="1">
      <c r="A126" s="47"/>
      <c r="B126" s="410"/>
      <c r="C126" s="934"/>
      <c r="D126" s="968"/>
      <c r="F126" s="12"/>
      <c r="U126" s="12"/>
      <c r="V126" s="67"/>
      <c r="W126" s="370">
        <f t="shared" si="43"/>
        <v>0</v>
      </c>
    </row>
    <row r="127" spans="1:23" ht="18" customHeight="1" thickBot="1">
      <c r="A127" s="47"/>
      <c r="B127" s="13"/>
      <c r="C127" s="14"/>
      <c r="D127" s="14"/>
      <c r="E127" s="14"/>
      <c r="F127" s="13"/>
      <c r="G127" s="14"/>
      <c r="H127" s="14"/>
      <c r="I127" s="14"/>
      <c r="J127" s="238"/>
      <c r="K127" s="238"/>
      <c r="L127" s="14"/>
      <c r="M127" s="238"/>
      <c r="N127" s="238"/>
      <c r="O127" s="238"/>
      <c r="P127" s="238"/>
      <c r="Q127" s="14"/>
      <c r="R127" s="393" t="str">
        <f>R$10</f>
        <v xml:space="preserve"> </v>
      </c>
      <c r="S127" s="394"/>
      <c r="T127" s="238"/>
      <c r="U127" s="13"/>
      <c r="V127" s="67"/>
      <c r="W127" s="370">
        <f t="shared" si="43"/>
        <v>0</v>
      </c>
    </row>
    <row r="128" spans="1:23" ht="18" customHeight="1">
      <c r="A128" s="47"/>
      <c r="B128" s="15" t="s">
        <v>2</v>
      </c>
      <c r="C128" s="15" t="s">
        <v>370</v>
      </c>
      <c r="D128" s="287" t="s">
        <v>567</v>
      </c>
      <c r="E128" s="15" t="s">
        <v>371</v>
      </c>
      <c r="F128" s="287" t="str">
        <f>F$11</f>
        <v>MET</v>
      </c>
      <c r="G128" s="242" t="s">
        <v>741</v>
      </c>
      <c r="H128" s="242" t="s">
        <v>376</v>
      </c>
      <c r="I128" s="15"/>
      <c r="J128" s="242" t="s">
        <v>730</v>
      </c>
      <c r="K128" s="242" t="s">
        <v>409</v>
      </c>
      <c r="L128" s="15" t="s">
        <v>409</v>
      </c>
      <c r="M128" s="242" t="s">
        <v>410</v>
      </c>
      <c r="N128" s="242" t="s">
        <v>410</v>
      </c>
      <c r="O128" s="242" t="s">
        <v>410</v>
      </c>
      <c r="P128" s="242" t="s">
        <v>411</v>
      </c>
      <c r="Q128" s="15" t="s">
        <v>412</v>
      </c>
      <c r="R128" s="396" t="str">
        <f>R$11</f>
        <v>Wholesale</v>
      </c>
      <c r="S128" s="13" t="str">
        <f>S$11</f>
        <v>Wholesale</v>
      </c>
      <c r="T128" s="242"/>
      <c r="U128" s="15" t="s">
        <v>10</v>
      </c>
      <c r="V128" s="67"/>
      <c r="W128" s="370"/>
    </row>
    <row r="129" spans="1:23" ht="18" customHeight="1">
      <c r="A129" s="47"/>
      <c r="B129" s="15"/>
      <c r="C129" s="15"/>
      <c r="D129" s="15"/>
      <c r="E129" s="15"/>
      <c r="F129" s="15"/>
      <c r="G129" s="242" t="s">
        <v>742</v>
      </c>
      <c r="H129" s="242" t="s">
        <v>743</v>
      </c>
      <c r="I129" s="15"/>
      <c r="J129" s="242"/>
      <c r="K129" s="242" t="s">
        <v>731</v>
      </c>
      <c r="L129" s="15" t="s">
        <v>732</v>
      </c>
      <c r="M129" s="242" t="s">
        <v>731</v>
      </c>
      <c r="N129" s="242" t="s">
        <v>732</v>
      </c>
      <c r="O129" s="242" t="s">
        <v>414</v>
      </c>
      <c r="P129" s="242"/>
      <c r="Q129" s="15"/>
      <c r="R129" s="235" t="str">
        <f>R$12</f>
        <v>XFMR</v>
      </c>
      <c r="S129" s="15" t="str">
        <f>S$12</f>
        <v>DLS</v>
      </c>
      <c r="T129" s="242"/>
      <c r="U129" s="15"/>
      <c r="V129" s="67"/>
      <c r="W129" s="370">
        <f t="shared" si="43"/>
        <v>0</v>
      </c>
    </row>
    <row r="130" spans="1:23" ht="18" customHeight="1" thickBot="1">
      <c r="A130" s="47"/>
      <c r="B130" s="16"/>
      <c r="C130" s="16"/>
      <c r="D130" s="16"/>
      <c r="E130" s="16"/>
      <c r="F130" s="16" t="s">
        <v>13</v>
      </c>
      <c r="G130" s="16" t="s">
        <v>14</v>
      </c>
      <c r="H130" s="16" t="s">
        <v>15</v>
      </c>
      <c r="I130" s="16"/>
      <c r="J130" s="243" t="str">
        <f t="shared" si="52" ref="J130:Q130">J$13</f>
        <v>(d)</v>
      </c>
      <c r="K130" s="243" t="str">
        <f t="shared" si="52"/>
        <v>(e)</v>
      </c>
      <c r="L130" s="16" t="str">
        <f t="shared" si="52"/>
        <v>(f)</v>
      </c>
      <c r="M130" s="243" t="str">
        <f t="shared" si="52"/>
        <v>(g)</v>
      </c>
      <c r="N130" s="243" t="str">
        <f t="shared" si="52"/>
        <v>(h)</v>
      </c>
      <c r="O130" s="243" t="str">
        <f>O$13</f>
        <v>(i)</v>
      </c>
      <c r="P130" s="243" t="str">
        <f t="shared" si="52"/>
        <v>(j)</v>
      </c>
      <c r="Q130" s="243" t="str">
        <f t="shared" si="52"/>
        <v>(k)</v>
      </c>
      <c r="R130" s="243" t="str">
        <f>R$13</f>
        <v>(l)</v>
      </c>
      <c r="S130" s="16" t="str">
        <f>S$13</f>
        <v>(m)</v>
      </c>
      <c r="T130" s="16"/>
      <c r="U130" s="16" t="s">
        <v>734</v>
      </c>
      <c r="V130" s="67"/>
      <c r="W130" s="370"/>
    </row>
    <row r="131" spans="1:23" ht="18" customHeight="1">
      <c r="A131" s="47"/>
      <c r="B131" s="67"/>
      <c r="C131" s="67"/>
      <c r="D131" s="100"/>
      <c r="E131" s="100"/>
      <c r="F131" s="288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67"/>
      <c r="W131" s="370">
        <f t="shared" si="43"/>
        <v>0</v>
      </c>
    </row>
    <row r="132" spans="1:23" ht="18" customHeight="1">
      <c r="A132" s="47"/>
      <c r="B132" s="17">
        <v>1</v>
      </c>
      <c r="C132" s="8" t="s">
        <v>567</v>
      </c>
      <c r="D132" s="8"/>
      <c r="E132" s="20" t="s">
        <v>24</v>
      </c>
      <c r="F132" s="22"/>
      <c r="G132" s="20"/>
      <c r="H132" s="20"/>
      <c r="I132" s="101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1010"/>
      <c r="U132" s="8"/>
      <c r="V132" s="67"/>
      <c r="W132" s="370">
        <f t="shared" si="43"/>
        <v>0</v>
      </c>
    </row>
    <row r="133" spans="1:23" ht="18" customHeight="1">
      <c r="A133" s="47"/>
      <c r="B133" s="17">
        <f t="shared" si="53" ref="B133:B163">B132+1</f>
        <v>2</v>
      </c>
      <c r="C133" s="1" t="s">
        <v>61</v>
      </c>
      <c r="D133" s="1" t="s">
        <v>42</v>
      </c>
      <c r="E133" s="17"/>
      <c r="F133" s="118">
        <f>' WP II-I-1.4'!H133</f>
        <v>0</v>
      </c>
      <c r="G133" s="17">
        <v>54</v>
      </c>
      <c r="H133" s="28" t="str">
        <f t="shared" si="54" ref="H133:H153">VLOOKUP(G133,FactorTable,2)</f>
        <v>PLT 362-373</v>
      </c>
      <c r="I133" s="17"/>
      <c r="J133" s="121">
        <f t="shared" si="55" ref="J133:S142">$F133*HLOOKUP(J$1318,FactorTable,$G133+1)</f>
        <v>0</v>
      </c>
      <c r="K133" s="121">
        <f t="shared" si="55"/>
        <v>0</v>
      </c>
      <c r="L133" s="121">
        <f t="shared" si="55"/>
        <v>0</v>
      </c>
      <c r="M133" s="121">
        <f t="shared" si="55"/>
        <v>0</v>
      </c>
      <c r="N133" s="121">
        <f t="shared" si="55"/>
        <v>0</v>
      </c>
      <c r="O133" s="121">
        <f t="shared" si="55"/>
        <v>0</v>
      </c>
      <c r="P133" s="121">
        <f t="shared" si="55"/>
        <v>0</v>
      </c>
      <c r="Q133" s="121">
        <f t="shared" si="55"/>
        <v>0</v>
      </c>
      <c r="R133" s="121">
        <f t="shared" si="55"/>
        <v>0</v>
      </c>
      <c r="S133" s="121">
        <f t="shared" si="55"/>
        <v>0</v>
      </c>
      <c r="T133" s="17"/>
      <c r="U133" s="118">
        <f t="shared" si="56" ref="U133:U154">SUM(I133:T133)</f>
        <v>0</v>
      </c>
      <c r="V133" s="67"/>
      <c r="W133" s="370">
        <f t="shared" si="43"/>
        <v>0</v>
      </c>
    </row>
    <row r="134" spans="1:23" ht="18" customHeight="1">
      <c r="A134" s="47"/>
      <c r="B134" s="17">
        <f t="shared" si="53"/>
        <v>3</v>
      </c>
      <c r="C134" s="1" t="s">
        <v>62</v>
      </c>
      <c r="D134" s="31" t="s">
        <v>44</v>
      </c>
      <c r="E134" s="17"/>
      <c r="F134" s="118">
        <f>' WP II-I-1.4'!H134</f>
        <v>0</v>
      </c>
      <c r="G134" s="17">
        <v>54</v>
      </c>
      <c r="H134" s="28" t="str">
        <f t="shared" si="54"/>
        <v>PLT 362-373</v>
      </c>
      <c r="I134" s="17"/>
      <c r="J134" s="121">
        <f t="shared" si="55"/>
        <v>0</v>
      </c>
      <c r="K134" s="121">
        <f t="shared" si="55"/>
        <v>0</v>
      </c>
      <c r="L134" s="121">
        <f t="shared" si="55"/>
        <v>0</v>
      </c>
      <c r="M134" s="121">
        <f t="shared" si="55"/>
        <v>0</v>
      </c>
      <c r="N134" s="121">
        <f t="shared" si="55"/>
        <v>0</v>
      </c>
      <c r="O134" s="121">
        <f t="shared" si="55"/>
        <v>0</v>
      </c>
      <c r="P134" s="121">
        <f t="shared" si="55"/>
        <v>0</v>
      </c>
      <c r="Q134" s="121">
        <f t="shared" si="55"/>
        <v>0</v>
      </c>
      <c r="R134" s="121">
        <f t="shared" si="55"/>
        <v>0</v>
      </c>
      <c r="S134" s="121">
        <f t="shared" si="55"/>
        <v>0</v>
      </c>
      <c r="T134" s="17"/>
      <c r="U134" s="118">
        <f t="shared" si="56"/>
        <v>0</v>
      </c>
      <c r="V134" s="67"/>
      <c r="W134" s="370">
        <f t="shared" si="43"/>
        <v>0</v>
      </c>
    </row>
    <row r="135" spans="1:23" ht="18" customHeight="1">
      <c r="A135" s="47"/>
      <c r="B135" s="17">
        <f t="shared" si="53"/>
        <v>4</v>
      </c>
      <c r="C135" s="1" t="s">
        <v>63</v>
      </c>
      <c r="D135" s="1" t="s">
        <v>46</v>
      </c>
      <c r="E135" s="17"/>
      <c r="F135" s="118">
        <f>' WP II-I-1.4'!H135</f>
        <v>0</v>
      </c>
      <c r="G135" s="17">
        <v>28</v>
      </c>
      <c r="H135" s="28" t="str">
        <f t="shared" si="54"/>
        <v>NCP XHV</v>
      </c>
      <c r="I135" s="17"/>
      <c r="J135" s="121">
        <f t="shared" si="55"/>
        <v>0</v>
      </c>
      <c r="K135" s="121">
        <f t="shared" si="55"/>
        <v>0</v>
      </c>
      <c r="L135" s="121">
        <f t="shared" si="55"/>
        <v>0</v>
      </c>
      <c r="M135" s="121">
        <f t="shared" si="55"/>
        <v>0</v>
      </c>
      <c r="N135" s="121">
        <f t="shared" si="55"/>
        <v>0</v>
      </c>
      <c r="O135" s="121">
        <f t="shared" si="55"/>
        <v>0</v>
      </c>
      <c r="P135" s="121">
        <f t="shared" si="55"/>
        <v>0</v>
      </c>
      <c r="Q135" s="121">
        <f t="shared" si="55"/>
        <v>0</v>
      </c>
      <c r="R135" s="121">
        <f t="shared" si="55"/>
        <v>0</v>
      </c>
      <c r="S135" s="121">
        <f t="shared" si="55"/>
        <v>0</v>
      </c>
      <c r="T135" s="17"/>
      <c r="U135" s="118">
        <f t="shared" si="56"/>
        <v>0</v>
      </c>
      <c r="V135" s="67"/>
      <c r="W135" s="370">
        <f t="shared" si="43"/>
        <v>0</v>
      </c>
    </row>
    <row r="136" spans="1:23" ht="18" customHeight="1">
      <c r="A136" s="47"/>
      <c r="B136" s="17">
        <f t="shared" si="53"/>
        <v>5</v>
      </c>
      <c r="C136" s="1" t="s">
        <v>64</v>
      </c>
      <c r="D136" s="1" t="s">
        <v>65</v>
      </c>
      <c r="E136" s="17"/>
      <c r="F136" s="118">
        <f>' WP II-I-1.4'!H136</f>
        <v>0</v>
      </c>
      <c r="G136" s="17">
        <v>28</v>
      </c>
      <c r="H136" s="28" t="str">
        <f t="shared" si="54"/>
        <v>NCP XHV</v>
      </c>
      <c r="I136" s="17"/>
      <c r="J136" s="121">
        <f t="shared" si="55"/>
        <v>0</v>
      </c>
      <c r="K136" s="121">
        <f t="shared" si="55"/>
        <v>0</v>
      </c>
      <c r="L136" s="121">
        <f t="shared" si="55"/>
        <v>0</v>
      </c>
      <c r="M136" s="121">
        <f t="shared" si="55"/>
        <v>0</v>
      </c>
      <c r="N136" s="121">
        <f t="shared" si="55"/>
        <v>0</v>
      </c>
      <c r="O136" s="121">
        <f t="shared" si="55"/>
        <v>0</v>
      </c>
      <c r="P136" s="121">
        <f t="shared" si="55"/>
        <v>0</v>
      </c>
      <c r="Q136" s="121">
        <f t="shared" si="55"/>
        <v>0</v>
      </c>
      <c r="R136" s="121">
        <f t="shared" si="55"/>
        <v>0</v>
      </c>
      <c r="S136" s="121">
        <f t="shared" si="55"/>
        <v>0</v>
      </c>
      <c r="T136" s="17"/>
      <c r="U136" s="118">
        <f t="shared" si="56"/>
        <v>0</v>
      </c>
      <c r="V136" s="67"/>
      <c r="W136" s="370">
        <f t="shared" si="43"/>
        <v>0</v>
      </c>
    </row>
    <row r="137" spans="1:23" ht="18" customHeight="1">
      <c r="A137" s="47"/>
      <c r="B137" s="17">
        <f t="shared" si="53"/>
        <v>6</v>
      </c>
      <c r="C137" s="1" t="s">
        <v>380</v>
      </c>
      <c r="D137" s="31" t="s">
        <v>537</v>
      </c>
      <c r="E137" s="17"/>
      <c r="F137" s="118">
        <f>' WP II-I-1.4'!H137</f>
        <v>0</v>
      </c>
      <c r="G137" s="17">
        <v>30</v>
      </c>
      <c r="H137" s="28" t="str">
        <f t="shared" si="54"/>
        <v>NCP XSS</v>
      </c>
      <c r="I137" s="17"/>
      <c r="J137" s="121">
        <f t="shared" si="55"/>
        <v>0</v>
      </c>
      <c r="K137" s="121">
        <f t="shared" si="55"/>
        <v>0</v>
      </c>
      <c r="L137" s="121">
        <f t="shared" si="55"/>
        <v>0</v>
      </c>
      <c r="M137" s="121">
        <f t="shared" si="55"/>
        <v>0</v>
      </c>
      <c r="N137" s="121">
        <f t="shared" si="55"/>
        <v>0</v>
      </c>
      <c r="O137" s="121">
        <f t="shared" si="55"/>
        <v>0</v>
      </c>
      <c r="P137" s="121">
        <f t="shared" si="55"/>
        <v>0</v>
      </c>
      <c r="Q137" s="121">
        <f t="shared" si="55"/>
        <v>0</v>
      </c>
      <c r="R137" s="121">
        <f t="shared" si="55"/>
        <v>0</v>
      </c>
      <c r="S137" s="121">
        <f t="shared" si="55"/>
        <v>0</v>
      </c>
      <c r="T137" s="17"/>
      <c r="U137" s="118">
        <f t="shared" si="56"/>
        <v>0</v>
      </c>
      <c r="V137" s="67"/>
      <c r="W137" s="370">
        <f t="shared" si="43"/>
        <v>0</v>
      </c>
    </row>
    <row r="138" spans="1:23" ht="18" customHeight="1">
      <c r="A138" s="47"/>
      <c r="B138" s="17">
        <f t="shared" si="53"/>
        <v>7</v>
      </c>
      <c r="C138" s="1" t="s">
        <v>382</v>
      </c>
      <c r="D138" s="31" t="s">
        <v>538</v>
      </c>
      <c r="E138" s="17"/>
      <c r="F138" s="118">
        <f>' WP II-I-1.4'!H138</f>
        <v>0</v>
      </c>
      <c r="G138" s="17">
        <v>32</v>
      </c>
      <c r="H138" s="28" t="str">
        <f t="shared" si="54"/>
        <v>NCP SEC</v>
      </c>
      <c r="I138" s="17"/>
      <c r="J138" s="121">
        <f t="shared" si="55"/>
        <v>0</v>
      </c>
      <c r="K138" s="121">
        <f t="shared" si="55"/>
        <v>0</v>
      </c>
      <c r="L138" s="121">
        <f t="shared" si="55"/>
        <v>0</v>
      </c>
      <c r="M138" s="121">
        <f t="shared" si="55"/>
        <v>0</v>
      </c>
      <c r="N138" s="121">
        <f t="shared" si="55"/>
        <v>0</v>
      </c>
      <c r="O138" s="121">
        <f t="shared" si="55"/>
        <v>0</v>
      </c>
      <c r="P138" s="121">
        <f t="shared" si="55"/>
        <v>0</v>
      </c>
      <c r="Q138" s="121">
        <f t="shared" si="55"/>
        <v>0</v>
      </c>
      <c r="R138" s="121">
        <f t="shared" si="55"/>
        <v>0</v>
      </c>
      <c r="S138" s="121">
        <f t="shared" si="55"/>
        <v>0</v>
      </c>
      <c r="T138" s="17"/>
      <c r="U138" s="118">
        <f t="shared" si="56"/>
        <v>0</v>
      </c>
      <c r="V138" s="67"/>
      <c r="W138" s="370">
        <f t="shared" si="43"/>
        <v>0</v>
      </c>
    </row>
    <row r="139" spans="1:23" ht="18" customHeight="1">
      <c r="A139" s="47"/>
      <c r="B139" s="17">
        <f t="shared" si="53"/>
        <v>8</v>
      </c>
      <c r="C139" s="1" t="s">
        <v>385</v>
      </c>
      <c r="D139" s="1" t="s">
        <v>539</v>
      </c>
      <c r="E139" s="17"/>
      <c r="F139" s="118">
        <f>' WP II-I-1.4'!H139</f>
        <v>0</v>
      </c>
      <c r="G139" s="17">
        <v>30</v>
      </c>
      <c r="H139" s="28" t="str">
        <f t="shared" si="54"/>
        <v>NCP XSS</v>
      </c>
      <c r="I139" s="17"/>
      <c r="J139" s="121">
        <f t="shared" si="55"/>
        <v>0</v>
      </c>
      <c r="K139" s="121">
        <f t="shared" si="55"/>
        <v>0</v>
      </c>
      <c r="L139" s="121">
        <f t="shared" si="55"/>
        <v>0</v>
      </c>
      <c r="M139" s="121">
        <f t="shared" si="55"/>
        <v>0</v>
      </c>
      <c r="N139" s="121">
        <f t="shared" si="55"/>
        <v>0</v>
      </c>
      <c r="O139" s="121">
        <f t="shared" si="55"/>
        <v>0</v>
      </c>
      <c r="P139" s="121">
        <f t="shared" si="55"/>
        <v>0</v>
      </c>
      <c r="Q139" s="121">
        <f t="shared" si="55"/>
        <v>0</v>
      </c>
      <c r="R139" s="121">
        <f t="shared" si="55"/>
        <v>0</v>
      </c>
      <c r="S139" s="121">
        <f t="shared" si="55"/>
        <v>0</v>
      </c>
      <c r="T139" s="17"/>
      <c r="U139" s="118">
        <f t="shared" si="56"/>
        <v>0</v>
      </c>
      <c r="V139" s="67"/>
      <c r="W139" s="370">
        <f t="shared" si="43"/>
        <v>0</v>
      </c>
    </row>
    <row r="140" spans="1:23" ht="18" customHeight="1">
      <c r="A140" s="47"/>
      <c r="B140" s="17">
        <f t="shared" si="53"/>
        <v>9</v>
      </c>
      <c r="C140" s="1" t="s">
        <v>387</v>
      </c>
      <c r="D140" s="1" t="s">
        <v>540</v>
      </c>
      <c r="E140" s="17"/>
      <c r="F140" s="118">
        <f>' WP II-I-1.4'!H140</f>
        <v>0</v>
      </c>
      <c r="G140" s="17">
        <v>32</v>
      </c>
      <c r="H140" s="28" t="str">
        <f t="shared" si="54"/>
        <v>NCP SEC</v>
      </c>
      <c r="I140" s="17"/>
      <c r="J140" s="121">
        <f t="shared" si="55"/>
        <v>0</v>
      </c>
      <c r="K140" s="121">
        <f t="shared" si="55"/>
        <v>0</v>
      </c>
      <c r="L140" s="121">
        <f t="shared" si="55"/>
        <v>0</v>
      </c>
      <c r="M140" s="121">
        <f t="shared" si="55"/>
        <v>0</v>
      </c>
      <c r="N140" s="121">
        <f t="shared" si="55"/>
        <v>0</v>
      </c>
      <c r="O140" s="121">
        <f t="shared" si="55"/>
        <v>0</v>
      </c>
      <c r="P140" s="121">
        <f t="shared" si="55"/>
        <v>0</v>
      </c>
      <c r="Q140" s="121">
        <f t="shared" si="55"/>
        <v>0</v>
      </c>
      <c r="R140" s="121">
        <f t="shared" si="55"/>
        <v>0</v>
      </c>
      <c r="S140" s="121">
        <f t="shared" si="55"/>
        <v>0</v>
      </c>
      <c r="T140" s="17"/>
      <c r="U140" s="118">
        <f t="shared" si="56"/>
        <v>0</v>
      </c>
      <c r="V140" s="67"/>
      <c r="W140" s="370">
        <f t="shared" si="43"/>
        <v>0</v>
      </c>
    </row>
    <row r="141" spans="1:23" ht="18" customHeight="1">
      <c r="A141" s="47"/>
      <c r="B141" s="17">
        <f t="shared" si="53"/>
        <v>10</v>
      </c>
      <c r="C141" s="1" t="s">
        <v>390</v>
      </c>
      <c r="D141" s="1" t="s">
        <v>391</v>
      </c>
      <c r="E141" s="17"/>
      <c r="F141" s="118">
        <f>' WP II-I-1.4'!H141</f>
        <v>0</v>
      </c>
      <c r="G141" s="17">
        <v>30</v>
      </c>
      <c r="H141" s="28" t="str">
        <f t="shared" si="54"/>
        <v>NCP XSS</v>
      </c>
      <c r="I141" s="17"/>
      <c r="J141" s="121">
        <f t="shared" si="55"/>
        <v>0</v>
      </c>
      <c r="K141" s="121">
        <f t="shared" si="55"/>
        <v>0</v>
      </c>
      <c r="L141" s="121">
        <f t="shared" si="55"/>
        <v>0</v>
      </c>
      <c r="M141" s="121">
        <f t="shared" si="55"/>
        <v>0</v>
      </c>
      <c r="N141" s="121">
        <f t="shared" si="55"/>
        <v>0</v>
      </c>
      <c r="O141" s="121">
        <f t="shared" si="55"/>
        <v>0</v>
      </c>
      <c r="P141" s="121">
        <f t="shared" si="55"/>
        <v>0</v>
      </c>
      <c r="Q141" s="121">
        <f t="shared" si="55"/>
        <v>0</v>
      </c>
      <c r="R141" s="121">
        <f t="shared" si="55"/>
        <v>0</v>
      </c>
      <c r="S141" s="121">
        <f t="shared" si="55"/>
        <v>0</v>
      </c>
      <c r="T141" s="17"/>
      <c r="U141" s="118">
        <f t="shared" si="56"/>
        <v>0</v>
      </c>
      <c r="V141" s="67"/>
      <c r="W141" s="370">
        <f t="shared" si="43"/>
        <v>0</v>
      </c>
    </row>
    <row r="142" spans="1:23" ht="18" customHeight="1">
      <c r="A142" s="47"/>
      <c r="B142" s="17">
        <f t="shared" si="53"/>
        <v>11</v>
      </c>
      <c r="C142" s="1" t="s">
        <v>392</v>
      </c>
      <c r="D142" s="1" t="s">
        <v>393</v>
      </c>
      <c r="E142" s="17"/>
      <c r="F142" s="118">
        <f>' WP II-I-1.4'!H142</f>
        <v>0</v>
      </c>
      <c r="G142" s="17">
        <v>32</v>
      </c>
      <c r="H142" s="28" t="str">
        <f t="shared" si="54"/>
        <v>NCP SEC</v>
      </c>
      <c r="I142" s="17"/>
      <c r="J142" s="121">
        <f t="shared" si="55"/>
        <v>0</v>
      </c>
      <c r="K142" s="121">
        <f t="shared" si="55"/>
        <v>0</v>
      </c>
      <c r="L142" s="121">
        <f t="shared" si="55"/>
        <v>0</v>
      </c>
      <c r="M142" s="121">
        <f t="shared" si="55"/>
        <v>0</v>
      </c>
      <c r="N142" s="121">
        <f t="shared" si="55"/>
        <v>0</v>
      </c>
      <c r="O142" s="121">
        <f t="shared" si="55"/>
        <v>0</v>
      </c>
      <c r="P142" s="121">
        <f t="shared" si="55"/>
        <v>0</v>
      </c>
      <c r="Q142" s="121">
        <f t="shared" si="55"/>
        <v>0</v>
      </c>
      <c r="R142" s="121">
        <f t="shared" si="55"/>
        <v>0</v>
      </c>
      <c r="S142" s="121">
        <f t="shared" si="55"/>
        <v>0</v>
      </c>
      <c r="T142" s="17"/>
      <c r="U142" s="118">
        <f t="shared" si="56"/>
        <v>0</v>
      </c>
      <c r="V142" s="67"/>
      <c r="W142" s="370">
        <f t="shared" si="43"/>
        <v>0</v>
      </c>
    </row>
    <row r="143" spans="1:23" ht="18" customHeight="1">
      <c r="A143" s="47"/>
      <c r="B143" s="17">
        <f t="shared" si="53"/>
        <v>12</v>
      </c>
      <c r="C143" s="1" t="s">
        <v>395</v>
      </c>
      <c r="D143" s="31" t="s">
        <v>541</v>
      </c>
      <c r="E143" s="30"/>
      <c r="F143" s="118">
        <f>' WP II-I-1.4'!H143</f>
        <v>0</v>
      </c>
      <c r="G143" s="17">
        <v>30</v>
      </c>
      <c r="H143" s="28" t="str">
        <f t="shared" si="54"/>
        <v>NCP XSS</v>
      </c>
      <c r="I143" s="30"/>
      <c r="J143" s="121">
        <f t="shared" si="57" ref="J143:S153">$F143*HLOOKUP(J$1318,FactorTable,$G143+1)</f>
        <v>0</v>
      </c>
      <c r="K143" s="121">
        <f t="shared" si="57"/>
        <v>0</v>
      </c>
      <c r="L143" s="121">
        <f t="shared" si="57"/>
        <v>0</v>
      </c>
      <c r="M143" s="121">
        <f t="shared" si="57"/>
        <v>0</v>
      </c>
      <c r="N143" s="121">
        <f t="shared" si="57"/>
        <v>0</v>
      </c>
      <c r="O143" s="121">
        <f t="shared" si="57"/>
        <v>0</v>
      </c>
      <c r="P143" s="121">
        <f t="shared" si="57"/>
        <v>0</v>
      </c>
      <c r="Q143" s="121">
        <f t="shared" si="57"/>
        <v>0</v>
      </c>
      <c r="R143" s="121">
        <f t="shared" si="57"/>
        <v>0</v>
      </c>
      <c r="S143" s="121">
        <f t="shared" si="57"/>
        <v>0</v>
      </c>
      <c r="T143" s="30"/>
      <c r="U143" s="118">
        <f t="shared" si="56"/>
        <v>0</v>
      </c>
      <c r="V143" s="67"/>
      <c r="W143" s="370">
        <f t="shared" si="43"/>
        <v>0</v>
      </c>
    </row>
    <row r="144" spans="1:23" ht="18" customHeight="1">
      <c r="A144" s="47"/>
      <c r="B144" s="17">
        <f t="shared" si="53"/>
        <v>13</v>
      </c>
      <c r="C144" s="1" t="s">
        <v>397</v>
      </c>
      <c r="D144" s="31" t="s">
        <v>542</v>
      </c>
      <c r="E144" s="30"/>
      <c r="F144" s="118">
        <f>' WP II-I-1.4'!H144</f>
        <v>0</v>
      </c>
      <c r="G144" s="17">
        <v>32</v>
      </c>
      <c r="H144" s="28" t="str">
        <f t="shared" si="54"/>
        <v>NCP SEC</v>
      </c>
      <c r="I144" s="30"/>
      <c r="J144" s="121">
        <f t="shared" si="57"/>
        <v>0</v>
      </c>
      <c r="K144" s="121">
        <f t="shared" si="57"/>
        <v>0</v>
      </c>
      <c r="L144" s="121">
        <f t="shared" si="57"/>
        <v>0</v>
      </c>
      <c r="M144" s="121">
        <f t="shared" si="57"/>
        <v>0</v>
      </c>
      <c r="N144" s="121">
        <f t="shared" si="57"/>
        <v>0</v>
      </c>
      <c r="O144" s="121">
        <f t="shared" si="57"/>
        <v>0</v>
      </c>
      <c r="P144" s="121">
        <f t="shared" si="57"/>
        <v>0</v>
      </c>
      <c r="Q144" s="121">
        <f t="shared" si="57"/>
        <v>0</v>
      </c>
      <c r="R144" s="121">
        <f t="shared" si="57"/>
        <v>0</v>
      </c>
      <c r="S144" s="121">
        <f t="shared" si="57"/>
        <v>0</v>
      </c>
      <c r="T144" s="30"/>
      <c r="U144" s="118">
        <f t="shared" si="56"/>
        <v>0</v>
      </c>
      <c r="V144" s="67"/>
      <c r="W144" s="370">
        <f t="shared" si="43"/>
        <v>0</v>
      </c>
    </row>
    <row r="145" spans="1:23" ht="18" customHeight="1">
      <c r="A145" s="47"/>
      <c r="B145" s="17">
        <f t="shared" si="53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18">
        <f>' WP II-I-1.4'!H145</f>
        <v>0</v>
      </c>
      <c r="G145" s="17">
        <v>30</v>
      </c>
      <c r="H145" s="28" t="str">
        <f t="shared" si="54"/>
        <v>NCP XSS</v>
      </c>
      <c r="I145" s="17"/>
      <c r="J145" s="121">
        <f t="shared" si="57"/>
        <v>0</v>
      </c>
      <c r="K145" s="121">
        <f t="shared" si="57"/>
        <v>0</v>
      </c>
      <c r="L145" s="121">
        <f t="shared" si="57"/>
        <v>0</v>
      </c>
      <c r="M145" s="121">
        <f t="shared" si="57"/>
        <v>0</v>
      </c>
      <c r="N145" s="121">
        <f t="shared" si="57"/>
        <v>0</v>
      </c>
      <c r="O145" s="121">
        <f t="shared" si="57"/>
        <v>0</v>
      </c>
      <c r="P145" s="121">
        <f t="shared" si="57"/>
        <v>0</v>
      </c>
      <c r="Q145" s="121">
        <f t="shared" si="57"/>
        <v>0</v>
      </c>
      <c r="R145" s="121">
        <f t="shared" si="57"/>
        <v>0</v>
      </c>
      <c r="S145" s="121">
        <f t="shared" si="57"/>
        <v>0</v>
      </c>
      <c r="T145" s="17"/>
      <c r="U145" s="118">
        <f t="shared" si="56"/>
        <v>0</v>
      </c>
      <c r="V145" s="67"/>
      <c r="W145" s="370">
        <f t="shared" si="43"/>
        <v>0</v>
      </c>
    </row>
    <row r="146" spans="1:23" ht="18" customHeight="1">
      <c r="A146" s="47"/>
      <c r="B146" s="17">
        <f t="shared" si="53"/>
        <v>15</v>
      </c>
      <c r="C146" s="1" t="s">
        <v>402</v>
      </c>
      <c r="D146" s="1" t="str">
        <f>'WP II-I-1.2'!D40</f>
        <v>Secondary Transformers</v>
      </c>
      <c r="E146" s="17"/>
      <c r="F146" s="118">
        <f>' WP II-I-1.4'!H146</f>
        <v>0</v>
      </c>
      <c r="G146" s="17">
        <v>32</v>
      </c>
      <c r="H146" s="28" t="str">
        <f t="shared" si="54"/>
        <v>NCP SEC</v>
      </c>
      <c r="I146" s="17"/>
      <c r="J146" s="121">
        <f t="shared" si="57"/>
        <v>0</v>
      </c>
      <c r="K146" s="121">
        <f t="shared" si="57"/>
        <v>0</v>
      </c>
      <c r="L146" s="121">
        <f t="shared" si="57"/>
        <v>0</v>
      </c>
      <c r="M146" s="121">
        <f t="shared" si="57"/>
        <v>0</v>
      </c>
      <c r="N146" s="121">
        <f t="shared" si="57"/>
        <v>0</v>
      </c>
      <c r="O146" s="121">
        <f t="shared" si="57"/>
        <v>0</v>
      </c>
      <c r="P146" s="121">
        <f t="shared" si="57"/>
        <v>0</v>
      </c>
      <c r="Q146" s="121">
        <f t="shared" si="57"/>
        <v>0</v>
      </c>
      <c r="R146" s="121">
        <f t="shared" si="57"/>
        <v>0</v>
      </c>
      <c r="S146" s="121">
        <f t="shared" si="57"/>
        <v>0</v>
      </c>
      <c r="T146" s="17"/>
      <c r="U146" s="118">
        <f t="shared" si="56"/>
        <v>0</v>
      </c>
      <c r="V146" s="67"/>
      <c r="W146" s="370">
        <f t="shared" si="43"/>
        <v>0</v>
      </c>
    </row>
    <row r="147" spans="1:23" ht="18" customHeight="1">
      <c r="A147" s="47"/>
      <c r="B147" s="17">
        <f t="shared" si="53"/>
        <v>16</v>
      </c>
      <c r="C147" s="1" t="s">
        <v>404</v>
      </c>
      <c r="D147" s="1" t="str">
        <f>'WP II-I-1.2'!D41</f>
        <v>Capacitors</v>
      </c>
      <c r="E147" s="17"/>
      <c r="F147" s="118">
        <f>' WP II-I-1.4'!H147</f>
        <v>0</v>
      </c>
      <c r="G147" s="17">
        <v>26</v>
      </c>
      <c r="H147" s="28" t="str">
        <f t="shared" si="54"/>
        <v>NCP ALL</v>
      </c>
      <c r="I147" s="17"/>
      <c r="J147" s="121">
        <f t="shared" si="57"/>
        <v>0</v>
      </c>
      <c r="K147" s="121">
        <f t="shared" si="57"/>
        <v>0</v>
      </c>
      <c r="L147" s="121">
        <f t="shared" si="57"/>
        <v>0</v>
      </c>
      <c r="M147" s="121">
        <f t="shared" si="57"/>
        <v>0</v>
      </c>
      <c r="N147" s="121">
        <f t="shared" si="57"/>
        <v>0</v>
      </c>
      <c r="O147" s="121">
        <f t="shared" si="57"/>
        <v>0</v>
      </c>
      <c r="P147" s="121">
        <f t="shared" si="57"/>
        <v>0</v>
      </c>
      <c r="Q147" s="121">
        <f t="shared" si="57"/>
        <v>0</v>
      </c>
      <c r="R147" s="121">
        <f t="shared" si="57"/>
        <v>0</v>
      </c>
      <c r="S147" s="121">
        <f t="shared" si="57"/>
        <v>0</v>
      </c>
      <c r="T147" s="17"/>
      <c r="U147" s="118">
        <f t="shared" si="56"/>
        <v>0</v>
      </c>
      <c r="V147" s="67"/>
      <c r="W147" s="370">
        <f t="shared" si="43"/>
        <v>0</v>
      </c>
    </row>
    <row r="148" spans="1:23" ht="18" customHeight="1">
      <c r="A148" s="47"/>
      <c r="B148" s="17">
        <f t="shared" si="53"/>
        <v>17</v>
      </c>
      <c r="C148" s="1" t="s">
        <v>76</v>
      </c>
      <c r="D148" s="31" t="s">
        <v>77</v>
      </c>
      <c r="E148" s="30"/>
      <c r="F148" s="118">
        <f>' WP II-I-1.4'!H148</f>
        <v>0</v>
      </c>
      <c r="G148" s="17">
        <v>7</v>
      </c>
      <c r="H148" s="28" t="str">
        <f t="shared" si="54"/>
        <v>CUS W SEC</v>
      </c>
      <c r="I148" s="30"/>
      <c r="J148" s="121">
        <f t="shared" si="57"/>
        <v>0</v>
      </c>
      <c r="K148" s="121">
        <f t="shared" si="57"/>
        <v>0</v>
      </c>
      <c r="L148" s="121">
        <f t="shared" si="57"/>
        <v>0</v>
      </c>
      <c r="M148" s="121">
        <f t="shared" si="57"/>
        <v>0</v>
      </c>
      <c r="N148" s="121">
        <f t="shared" si="57"/>
        <v>0</v>
      </c>
      <c r="O148" s="121">
        <f t="shared" si="57"/>
        <v>0</v>
      </c>
      <c r="P148" s="121">
        <f t="shared" si="57"/>
        <v>0</v>
      </c>
      <c r="Q148" s="121">
        <f t="shared" si="57"/>
        <v>0</v>
      </c>
      <c r="R148" s="121">
        <f t="shared" si="57"/>
        <v>0</v>
      </c>
      <c r="S148" s="121">
        <f t="shared" si="57"/>
        <v>0</v>
      </c>
      <c r="T148" s="30"/>
      <c r="U148" s="118">
        <f t="shared" si="56"/>
        <v>0</v>
      </c>
      <c r="V148" s="67"/>
      <c r="W148" s="370">
        <f t="shared" si="43"/>
        <v>0</v>
      </c>
    </row>
    <row r="149" spans="1:23" ht="18" customHeight="1">
      <c r="A149" s="47"/>
      <c r="B149" s="17">
        <f t="shared" si="53"/>
        <v>18</v>
      </c>
      <c r="C149" s="1" t="s">
        <v>78</v>
      </c>
      <c r="D149" s="1" t="s">
        <v>79</v>
      </c>
      <c r="E149" s="17"/>
      <c r="F149" s="118">
        <f>' WP II-I-1.4'!H149</f>
        <v>574147483.07000005</v>
      </c>
      <c r="G149" s="17">
        <v>6</v>
      </c>
      <c r="H149" s="28" t="str">
        <f t="shared" si="54"/>
        <v>CUS W ALL</v>
      </c>
      <c r="I149" s="17"/>
      <c r="J149" s="121">
        <f t="shared" si="57"/>
        <v>320089986.17930245</v>
      </c>
      <c r="K149" s="121">
        <f t="shared" si="57"/>
        <v>49349632.649223678</v>
      </c>
      <c r="L149" s="121">
        <f t="shared" si="57"/>
        <v>152220649.0706929</v>
      </c>
      <c r="M149" s="121">
        <f t="shared" si="57"/>
        <v>2137409.0370628219</v>
      </c>
      <c r="N149" s="121">
        <f t="shared" si="57"/>
        <v>44601968.854590081</v>
      </c>
      <c r="O149" s="121">
        <f t="shared" si="57"/>
        <v>1524183.3465529084</v>
      </c>
      <c r="P149" s="121">
        <f t="shared" si="57"/>
        <v>3318029.9005728695</v>
      </c>
      <c r="Q149" s="121">
        <f t="shared" si="57"/>
        <v>319072.7708168528</v>
      </c>
      <c r="R149" s="121">
        <f t="shared" si="57"/>
        <v>175867.30921764328</v>
      </c>
      <c r="S149" s="121">
        <f t="shared" si="57"/>
        <v>410683.9519678686</v>
      </c>
      <c r="T149" s="17"/>
      <c r="U149" s="118">
        <f t="shared" si="56"/>
        <v>574147483.07000017</v>
      </c>
      <c r="V149" s="67"/>
      <c r="W149" s="370">
        <f t="shared" si="43"/>
        <v>0</v>
      </c>
    </row>
    <row r="150" spans="1:23" ht="18" customHeight="1">
      <c r="A150" s="47"/>
      <c r="B150" s="17">
        <f t="shared" si="53"/>
        <v>19</v>
      </c>
      <c r="C150" s="1" t="s">
        <v>80</v>
      </c>
      <c r="D150" s="1" t="s">
        <v>543</v>
      </c>
      <c r="E150" s="17"/>
      <c r="F150" s="118">
        <f>' WP II-I-1.4'!H150</f>
        <v>0</v>
      </c>
      <c r="G150" s="17">
        <v>33</v>
      </c>
      <c r="H150" s="28" t="str">
        <f t="shared" si="54"/>
        <v>NCP LGT</v>
      </c>
      <c r="I150" s="17"/>
      <c r="J150" s="121">
        <f t="shared" si="57"/>
        <v>0</v>
      </c>
      <c r="K150" s="121">
        <f t="shared" si="57"/>
        <v>0</v>
      </c>
      <c r="L150" s="121">
        <f t="shared" si="57"/>
        <v>0</v>
      </c>
      <c r="M150" s="121">
        <f t="shared" si="57"/>
        <v>0</v>
      </c>
      <c r="N150" s="121">
        <f t="shared" si="57"/>
        <v>0</v>
      </c>
      <c r="O150" s="121">
        <f t="shared" si="57"/>
        <v>0</v>
      </c>
      <c r="P150" s="121">
        <f t="shared" si="57"/>
        <v>0</v>
      </c>
      <c r="Q150" s="121">
        <f t="shared" si="57"/>
        <v>0</v>
      </c>
      <c r="R150" s="121">
        <f t="shared" si="57"/>
        <v>0</v>
      </c>
      <c r="S150" s="121">
        <f t="shared" si="57"/>
        <v>0</v>
      </c>
      <c r="T150" s="17"/>
      <c r="U150" s="118">
        <f t="shared" si="56"/>
        <v>0</v>
      </c>
      <c r="V150" s="67"/>
      <c r="W150" s="370">
        <f t="shared" si="58" ref="W150:W161">U150-F150</f>
        <v>0</v>
      </c>
    </row>
    <row r="151" spans="1:23" ht="18" customHeight="1">
      <c r="A151" s="47"/>
      <c r="B151" s="17">
        <f t="shared" si="53"/>
        <v>20</v>
      </c>
      <c r="C151" s="1" t="s">
        <v>82</v>
      </c>
      <c r="D151" s="1" t="s">
        <v>544</v>
      </c>
      <c r="E151" s="17"/>
      <c r="F151" s="118">
        <f>' WP II-I-1.4'!H151</f>
        <v>0</v>
      </c>
      <c r="G151" s="17">
        <v>6</v>
      </c>
      <c r="H151" s="28" t="str">
        <f t="shared" si="54"/>
        <v>CUS W ALL</v>
      </c>
      <c r="I151" s="17"/>
      <c r="J151" s="121">
        <f t="shared" si="57"/>
        <v>0</v>
      </c>
      <c r="K151" s="121">
        <f t="shared" si="57"/>
        <v>0</v>
      </c>
      <c r="L151" s="121">
        <f t="shared" si="57"/>
        <v>0</v>
      </c>
      <c r="M151" s="121">
        <f t="shared" si="57"/>
        <v>0</v>
      </c>
      <c r="N151" s="121">
        <f t="shared" si="57"/>
        <v>0</v>
      </c>
      <c r="O151" s="121">
        <f t="shared" si="57"/>
        <v>0</v>
      </c>
      <c r="P151" s="121">
        <f t="shared" si="57"/>
        <v>0</v>
      </c>
      <c r="Q151" s="121">
        <f t="shared" si="57"/>
        <v>0</v>
      </c>
      <c r="R151" s="121">
        <f t="shared" si="57"/>
        <v>0</v>
      </c>
      <c r="S151" s="121">
        <f t="shared" si="57"/>
        <v>0</v>
      </c>
      <c r="T151" s="17"/>
      <c r="U151" s="118">
        <f t="shared" si="56"/>
        <v>0</v>
      </c>
      <c r="V151" s="67"/>
      <c r="W151" s="370">
        <f t="shared" si="58"/>
        <v>0</v>
      </c>
    </row>
    <row r="152" spans="1:23" ht="18" customHeight="1">
      <c r="A152" s="47"/>
      <c r="B152" s="17">
        <f t="shared" si="53"/>
        <v>21</v>
      </c>
      <c r="C152" s="1" t="s">
        <v>84</v>
      </c>
      <c r="D152" s="1" t="s">
        <v>88</v>
      </c>
      <c r="E152" s="17"/>
      <c r="F152" s="118">
        <f>' WP II-I-1.4'!H152</f>
        <v>0</v>
      </c>
      <c r="G152" s="17">
        <v>33</v>
      </c>
      <c r="H152" s="28" t="str">
        <f t="shared" si="54"/>
        <v>NCP LGT</v>
      </c>
      <c r="I152" s="17"/>
      <c r="J152" s="121">
        <f t="shared" si="57"/>
        <v>0</v>
      </c>
      <c r="K152" s="121">
        <f t="shared" si="57"/>
        <v>0</v>
      </c>
      <c r="L152" s="121">
        <f t="shared" si="57"/>
        <v>0</v>
      </c>
      <c r="M152" s="121">
        <f t="shared" si="57"/>
        <v>0</v>
      </c>
      <c r="N152" s="121">
        <f t="shared" si="57"/>
        <v>0</v>
      </c>
      <c r="O152" s="121">
        <f t="shared" si="57"/>
        <v>0</v>
      </c>
      <c r="P152" s="121">
        <f t="shared" si="57"/>
        <v>0</v>
      </c>
      <c r="Q152" s="121">
        <f t="shared" si="57"/>
        <v>0</v>
      </c>
      <c r="R152" s="121">
        <f t="shared" si="57"/>
        <v>0</v>
      </c>
      <c r="S152" s="121">
        <f t="shared" si="57"/>
        <v>0</v>
      </c>
      <c r="T152" s="17"/>
      <c r="U152" s="118">
        <f t="shared" si="56"/>
        <v>0</v>
      </c>
      <c r="V152" s="67"/>
      <c r="W152" s="370">
        <f t="shared" si="58"/>
        <v>0</v>
      </c>
    </row>
    <row r="153" spans="1:23" ht="18" customHeight="1">
      <c r="A153" s="47"/>
      <c r="B153" s="17">
        <f t="shared" si="53"/>
        <v>22</v>
      </c>
      <c r="C153" s="1" t="s">
        <v>86</v>
      </c>
      <c r="D153" s="1" t="s">
        <v>40</v>
      </c>
      <c r="E153" s="17"/>
      <c r="F153" s="118">
        <f>' WP II-I-1.4'!H153</f>
        <v>0</v>
      </c>
      <c r="G153" s="17">
        <v>54</v>
      </c>
      <c r="H153" s="28" t="str">
        <f t="shared" si="54"/>
        <v>PLT 362-373</v>
      </c>
      <c r="I153" s="17"/>
      <c r="J153" s="201">
        <f t="shared" si="57"/>
        <v>0</v>
      </c>
      <c r="K153" s="201">
        <f t="shared" si="57"/>
        <v>0</v>
      </c>
      <c r="L153" s="201">
        <f t="shared" si="57"/>
        <v>0</v>
      </c>
      <c r="M153" s="201">
        <f t="shared" si="57"/>
        <v>0</v>
      </c>
      <c r="N153" s="201">
        <f t="shared" si="57"/>
        <v>0</v>
      </c>
      <c r="O153" s="201">
        <f t="shared" si="57"/>
        <v>0</v>
      </c>
      <c r="P153" s="201">
        <f t="shared" si="57"/>
        <v>0</v>
      </c>
      <c r="Q153" s="201">
        <f t="shared" si="57"/>
        <v>0</v>
      </c>
      <c r="R153" s="201">
        <f t="shared" si="57"/>
        <v>0</v>
      </c>
      <c r="S153" s="201">
        <f t="shared" si="57"/>
        <v>0</v>
      </c>
      <c r="T153" s="17"/>
      <c r="U153" s="118">
        <f t="shared" si="56"/>
        <v>0</v>
      </c>
      <c r="V153" s="67"/>
      <c r="W153" s="370">
        <f t="shared" si="58"/>
        <v>0</v>
      </c>
    </row>
    <row r="154" spans="1:23" ht="18" customHeight="1">
      <c r="A154" s="47"/>
      <c r="B154" s="17">
        <f t="shared" si="53"/>
        <v>23</v>
      </c>
      <c r="C154" s="67"/>
      <c r="D154" s="297" t="s">
        <v>491</v>
      </c>
      <c r="E154" s="150"/>
      <c r="F154" s="22">
        <f>SUM(F133:F153)</f>
        <v>574147483.07000005</v>
      </c>
      <c r="G154" s="150"/>
      <c r="H154" s="150"/>
      <c r="I154" s="150"/>
      <c r="J154" s="22">
        <f t="shared" si="59" ref="J154:Q154">SUM(J133:J153)</f>
        <v>320089986.17930245</v>
      </c>
      <c r="K154" s="22">
        <f t="shared" si="59"/>
        <v>49349632.649223678</v>
      </c>
      <c r="L154" s="22">
        <f t="shared" si="59"/>
        <v>152220649.0706929</v>
      </c>
      <c r="M154" s="22">
        <f t="shared" si="59"/>
        <v>2137409.0370628219</v>
      </c>
      <c r="N154" s="22">
        <f t="shared" si="59"/>
        <v>44601968.854590081</v>
      </c>
      <c r="O154" s="22">
        <f>SUM(O133:O153)</f>
        <v>1524183.3465529084</v>
      </c>
      <c r="P154" s="22">
        <f t="shared" si="59"/>
        <v>3318029.9005728695</v>
      </c>
      <c r="Q154" s="22">
        <f t="shared" si="59"/>
        <v>319072.7708168528</v>
      </c>
      <c r="R154" s="22">
        <f>SUM(R133:R153)</f>
        <v>175867.30921764328</v>
      </c>
      <c r="S154" s="22">
        <f>SUM(S133:S153)</f>
        <v>410683.9519678686</v>
      </c>
      <c r="T154" s="150"/>
      <c r="U154" s="299">
        <f t="shared" si="56"/>
        <v>574147483.07000017</v>
      </c>
      <c r="V154" s="67"/>
      <c r="W154" s="370">
        <f t="shared" si="58"/>
        <v>0</v>
      </c>
    </row>
    <row r="155" spans="1:23" ht="18" customHeight="1">
      <c r="A155" s="47"/>
      <c r="B155" s="17">
        <f t="shared" si="53"/>
        <v>24</v>
      </c>
      <c r="C155" s="67"/>
      <c r="D155" s="1"/>
      <c r="E155" s="17"/>
      <c r="F155" s="19"/>
      <c r="G155" s="17"/>
      <c r="H155" s="17"/>
      <c r="I155" s="17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7"/>
      <c r="U155" s="1"/>
      <c r="V155" s="67"/>
      <c r="W155" s="370">
        <f t="shared" si="58"/>
        <v>0</v>
      </c>
    </row>
    <row r="156" spans="1:23" ht="18" customHeight="1">
      <c r="A156" s="47"/>
      <c r="B156" s="17">
        <f t="shared" si="53"/>
        <v>25</v>
      </c>
      <c r="C156" s="67"/>
      <c r="D156" s="297" t="s">
        <v>568</v>
      </c>
      <c r="E156" s="17"/>
      <c r="F156" s="22">
        <f>SUM(F137:F138)</f>
        <v>0</v>
      </c>
      <c r="G156" s="17"/>
      <c r="H156" s="17"/>
      <c r="I156" s="17"/>
      <c r="J156" s="22">
        <f t="shared" si="60" ref="J156:Q156">SUM(J137:J138)</f>
        <v>0</v>
      </c>
      <c r="K156" s="22">
        <f t="shared" si="60"/>
        <v>0</v>
      </c>
      <c r="L156" s="22">
        <f t="shared" si="60"/>
        <v>0</v>
      </c>
      <c r="M156" s="22">
        <f t="shared" si="60"/>
        <v>0</v>
      </c>
      <c r="N156" s="22">
        <f t="shared" si="60"/>
        <v>0</v>
      </c>
      <c r="O156" s="22">
        <f>SUM(O137:O138)</f>
        <v>0</v>
      </c>
      <c r="P156" s="22">
        <f t="shared" si="60"/>
        <v>0</v>
      </c>
      <c r="Q156" s="22">
        <f t="shared" si="60"/>
        <v>0</v>
      </c>
      <c r="R156" s="22">
        <f>SUM(R137:R138)</f>
        <v>0</v>
      </c>
      <c r="S156" s="22">
        <f>SUM(S137:S138)</f>
        <v>0</v>
      </c>
      <c r="T156" s="17"/>
      <c r="U156" s="299">
        <f>SUM(I156:T156)</f>
        <v>0</v>
      </c>
      <c r="V156" s="67"/>
      <c r="W156" s="370">
        <f t="shared" si="58"/>
        <v>0</v>
      </c>
    </row>
    <row r="157" spans="1:23" ht="18" customHeight="1">
      <c r="A157" s="47"/>
      <c r="B157" s="17">
        <f t="shared" si="53"/>
        <v>26</v>
      </c>
      <c r="C157" s="67"/>
      <c r="D157" s="297" t="s">
        <v>569</v>
      </c>
      <c r="E157" s="17"/>
      <c r="F157" s="22">
        <f>SUM(F139:F140)</f>
        <v>0</v>
      </c>
      <c r="G157" s="17"/>
      <c r="H157" s="17"/>
      <c r="I157" s="17"/>
      <c r="J157" s="22">
        <f t="shared" si="61" ref="J157:Q157">SUM(J139:J140)</f>
        <v>0</v>
      </c>
      <c r="K157" s="22">
        <f t="shared" si="61"/>
        <v>0</v>
      </c>
      <c r="L157" s="22">
        <f t="shared" si="61"/>
        <v>0</v>
      </c>
      <c r="M157" s="22">
        <f t="shared" si="61"/>
        <v>0</v>
      </c>
      <c r="N157" s="22">
        <f t="shared" si="61"/>
        <v>0</v>
      </c>
      <c r="O157" s="22">
        <f>SUM(O139:O140)</f>
        <v>0</v>
      </c>
      <c r="P157" s="22">
        <f t="shared" si="61"/>
        <v>0</v>
      </c>
      <c r="Q157" s="22">
        <f t="shared" si="61"/>
        <v>0</v>
      </c>
      <c r="R157" s="22">
        <f>SUM(R139:R140)</f>
        <v>0</v>
      </c>
      <c r="S157" s="22">
        <f>SUM(S139:S140)</f>
        <v>0</v>
      </c>
      <c r="T157" s="17"/>
      <c r="U157" s="299">
        <f>SUM(I157:T157)</f>
        <v>0</v>
      </c>
      <c r="V157" s="67"/>
      <c r="W157" s="370">
        <f t="shared" si="58"/>
        <v>0</v>
      </c>
    </row>
    <row r="158" spans="1:23" ht="18" customHeight="1">
      <c r="A158" s="47"/>
      <c r="B158" s="17">
        <f t="shared" si="53"/>
        <v>27</v>
      </c>
      <c r="C158" s="67"/>
      <c r="D158" s="297" t="s">
        <v>570</v>
      </c>
      <c r="E158" s="17"/>
      <c r="F158" s="22">
        <f>SUM(F141:F142)</f>
        <v>0</v>
      </c>
      <c r="G158" s="17"/>
      <c r="H158" s="17"/>
      <c r="I158" s="17"/>
      <c r="J158" s="22">
        <f t="shared" si="62" ref="J158:Q158">SUM(J141:J142)</f>
        <v>0</v>
      </c>
      <c r="K158" s="22">
        <f t="shared" si="62"/>
        <v>0</v>
      </c>
      <c r="L158" s="22">
        <f t="shared" si="62"/>
        <v>0</v>
      </c>
      <c r="M158" s="22">
        <f t="shared" si="62"/>
        <v>0</v>
      </c>
      <c r="N158" s="22">
        <f t="shared" si="62"/>
        <v>0</v>
      </c>
      <c r="O158" s="22">
        <f>SUM(O141:O142)</f>
        <v>0</v>
      </c>
      <c r="P158" s="22">
        <f t="shared" si="62"/>
        <v>0</v>
      </c>
      <c r="Q158" s="22">
        <f t="shared" si="62"/>
        <v>0</v>
      </c>
      <c r="R158" s="22">
        <f>SUM(R141:R142)</f>
        <v>0</v>
      </c>
      <c r="S158" s="22">
        <f>SUM(S141:S142)</f>
        <v>0</v>
      </c>
      <c r="T158" s="17"/>
      <c r="U158" s="299">
        <f>SUM(I158:T158)</f>
        <v>0</v>
      </c>
      <c r="V158" s="67"/>
      <c r="W158" s="370">
        <f t="shared" si="58"/>
        <v>0</v>
      </c>
    </row>
    <row r="159" spans="1:23" ht="18" customHeight="1">
      <c r="A159" s="47"/>
      <c r="B159" s="17">
        <f t="shared" si="53"/>
        <v>28</v>
      </c>
      <c r="C159" s="67"/>
      <c r="D159" s="297" t="s">
        <v>571</v>
      </c>
      <c r="E159" s="17"/>
      <c r="F159" s="22">
        <f>SUM(F143:F144)</f>
        <v>0</v>
      </c>
      <c r="G159" s="17"/>
      <c r="H159" s="17"/>
      <c r="I159" s="17"/>
      <c r="J159" s="22">
        <f t="shared" si="63" ref="J159:Q159">SUM(J143:J144)</f>
        <v>0</v>
      </c>
      <c r="K159" s="22">
        <f t="shared" si="63"/>
        <v>0</v>
      </c>
      <c r="L159" s="22">
        <f t="shared" si="63"/>
        <v>0</v>
      </c>
      <c r="M159" s="22">
        <f t="shared" si="63"/>
        <v>0</v>
      </c>
      <c r="N159" s="22">
        <f t="shared" si="63"/>
        <v>0</v>
      </c>
      <c r="O159" s="22">
        <f>SUM(O143:O144)</f>
        <v>0</v>
      </c>
      <c r="P159" s="22">
        <f t="shared" si="63"/>
        <v>0</v>
      </c>
      <c r="Q159" s="22">
        <f t="shared" si="63"/>
        <v>0</v>
      </c>
      <c r="R159" s="22">
        <f>SUM(R143:R144)</f>
        <v>0</v>
      </c>
      <c r="S159" s="22">
        <f>SUM(S143:S144)</f>
        <v>0</v>
      </c>
      <c r="T159" s="17"/>
      <c r="U159" s="299">
        <f>SUM(I159:T159)</f>
        <v>0</v>
      </c>
      <c r="V159" s="67"/>
      <c r="W159" s="370">
        <f t="shared" si="58"/>
        <v>0</v>
      </c>
    </row>
    <row r="160" spans="1:23" ht="18" customHeight="1">
      <c r="A160" s="47"/>
      <c r="B160" s="17">
        <f t="shared" si="53"/>
        <v>29</v>
      </c>
      <c r="C160" s="67"/>
      <c r="D160" s="297" t="s">
        <v>572</v>
      </c>
      <c r="E160" s="17"/>
      <c r="F160" s="22">
        <f>SUM(F145:F147)</f>
        <v>0</v>
      </c>
      <c r="G160" s="17"/>
      <c r="H160" s="17"/>
      <c r="I160" s="17"/>
      <c r="J160" s="22">
        <f t="shared" si="64" ref="J160:Q160">SUM(J145:J147)</f>
        <v>0</v>
      </c>
      <c r="K160" s="22">
        <f t="shared" si="64"/>
        <v>0</v>
      </c>
      <c r="L160" s="22">
        <f t="shared" si="64"/>
        <v>0</v>
      </c>
      <c r="M160" s="22">
        <f t="shared" si="64"/>
        <v>0</v>
      </c>
      <c r="N160" s="22">
        <f t="shared" si="64"/>
        <v>0</v>
      </c>
      <c r="O160" s="22">
        <f>SUM(O145:O147)</f>
        <v>0</v>
      </c>
      <c r="P160" s="22">
        <f t="shared" si="64"/>
        <v>0</v>
      </c>
      <c r="Q160" s="22">
        <f t="shared" si="64"/>
        <v>0</v>
      </c>
      <c r="R160" s="22">
        <f>SUM(R145:R147)</f>
        <v>0</v>
      </c>
      <c r="S160" s="22">
        <f>SUM(S145:S147)</f>
        <v>0</v>
      </c>
      <c r="T160" s="17"/>
      <c r="U160" s="299">
        <f>SUM(I160:T160)</f>
        <v>0</v>
      </c>
      <c r="V160" s="67"/>
      <c r="W160" s="370">
        <f t="shared" si="58"/>
        <v>0</v>
      </c>
    </row>
    <row r="161" spans="1:23" ht="18" customHeight="1" thickBot="1">
      <c r="A161" s="47"/>
      <c r="B161" s="17">
        <f t="shared" si="53"/>
        <v>30</v>
      </c>
      <c r="C161" s="67"/>
      <c r="D161" s="1"/>
      <c r="E161" s="17"/>
      <c r="F161" s="19"/>
      <c r="G161" s="17"/>
      <c r="H161" s="17"/>
      <c r="I161" s="17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7"/>
      <c r="U161" s="1"/>
      <c r="V161" s="67"/>
      <c r="W161" s="370">
        <f t="shared" si="58"/>
        <v>0</v>
      </c>
    </row>
    <row r="162" spans="1:22" ht="18" customHeight="1">
      <c r="A162" s="47"/>
      <c r="B162" s="17">
        <f t="shared" si="53"/>
        <v>31</v>
      </c>
      <c r="C162" s="303" t="s">
        <v>545</v>
      </c>
      <c r="D162" s="304"/>
      <c r="E162" s="305" t="s">
        <v>24</v>
      </c>
      <c r="F162" s="306">
        <f>F106+F118+F154</f>
        <v>759449196.03000009</v>
      </c>
      <c r="G162" s="305"/>
      <c r="H162" s="437"/>
      <c r="I162" s="438"/>
      <c r="J162" s="439">
        <f t="shared" si="65" ref="J162:Q162">J106+J118+J154</f>
        <v>423396583.33307946</v>
      </c>
      <c r="K162" s="908">
        <f t="shared" si="65"/>
        <v>65276849.494190656</v>
      </c>
      <c r="L162" s="908">
        <f t="shared" si="65"/>
        <v>201348700.40318209</v>
      </c>
      <c r="M162" s="908">
        <f t="shared" si="65"/>
        <v>2827241.4713114919</v>
      </c>
      <c r="N162" s="908">
        <f t="shared" si="65"/>
        <v>58996913.487895153</v>
      </c>
      <c r="O162" s="908">
        <f>O106+O118+O154</f>
        <v>2016101.8749964531</v>
      </c>
      <c r="P162" s="908">
        <f t="shared" si="65"/>
        <v>4388898.6971076624</v>
      </c>
      <c r="Q162" s="908">
        <f t="shared" si="65"/>
        <v>422051.06948518963</v>
      </c>
      <c r="R162" s="908">
        <f>R106+R118+R154</f>
        <v>232627.13942266768</v>
      </c>
      <c r="S162" s="641">
        <f>S106+S118+S154</f>
        <v>543229.0593293343</v>
      </c>
      <c r="T162" s="438"/>
      <c r="U162" s="307">
        <f>SUM(I162:T162)</f>
        <v>759449196.03000009</v>
      </c>
      <c r="V162" s="67"/>
    </row>
    <row r="163" spans="1:22" ht="18" customHeight="1" thickBot="1">
      <c r="A163" s="47"/>
      <c r="B163" s="17">
        <f t="shared" si="53"/>
        <v>32</v>
      </c>
      <c r="C163" s="309" t="s">
        <v>546</v>
      </c>
      <c r="D163" s="310"/>
      <c r="E163" s="311" t="s">
        <v>24</v>
      </c>
      <c r="F163" s="312">
        <f>F118+F154</f>
        <v>574147483.07000005</v>
      </c>
      <c r="G163" s="311"/>
      <c r="H163" s="440"/>
      <c r="I163" s="441"/>
      <c r="J163" s="442">
        <f t="shared" si="66" ref="J163:Q163">J118+J154</f>
        <v>320089986.17930245</v>
      </c>
      <c r="K163" s="312">
        <f t="shared" si="66"/>
        <v>49349632.649223678</v>
      </c>
      <c r="L163" s="312">
        <f t="shared" si="66"/>
        <v>152220649.0706929</v>
      </c>
      <c r="M163" s="312">
        <f t="shared" si="66"/>
        <v>2137409.0370628219</v>
      </c>
      <c r="N163" s="312">
        <f t="shared" si="66"/>
        <v>44601968.854590081</v>
      </c>
      <c r="O163" s="312">
        <f>O118+O154</f>
        <v>1524183.3465529084</v>
      </c>
      <c r="P163" s="312">
        <f t="shared" si="66"/>
        <v>3318029.9005728695</v>
      </c>
      <c r="Q163" s="312">
        <f t="shared" si="66"/>
        <v>319072.7708168528</v>
      </c>
      <c r="R163" s="312">
        <f>R118+R154</f>
        <v>175867.30921764328</v>
      </c>
      <c r="S163" s="443">
        <f>S118+S154</f>
        <v>410683.9519678686</v>
      </c>
      <c r="T163" s="441"/>
      <c r="U163" s="313">
        <f>SUM(I163:T163)</f>
        <v>574147483.07000017</v>
      </c>
      <c r="V163" s="67"/>
    </row>
    <row r="164" spans="1:21" ht="18" customHeight="1">
      <c r="A164" s="4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 spans="1:22" ht="18" customHeight="1">
      <c r="A165" s="47"/>
      <c r="B165" s="67"/>
      <c r="C165" s="67"/>
      <c r="D165" s="67"/>
      <c r="E165" s="67"/>
      <c r="F165" s="67"/>
      <c r="G165" s="67"/>
      <c r="H165" s="134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134"/>
      <c r="V165" s="134">
        <f>$H$2</f>
        <v>0</v>
      </c>
    </row>
    <row r="166" spans="1:22" ht="18" customHeight="1" thickBot="1">
      <c r="A166" s="4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134"/>
    </row>
    <row r="167" spans="1:21" ht="18" customHeight="1">
      <c r="A167" s="47"/>
      <c r="B167" s="920" t="str">
        <f>+$B$4</f>
        <v>2022 RATE CASE</v>
      </c>
      <c r="C167" s="935"/>
      <c r="D167" s="624"/>
      <c r="F167" s="12"/>
      <c r="U167" s="134"/>
    </row>
    <row r="168" spans="1:22" ht="18" customHeight="1">
      <c r="A168" s="290"/>
      <c r="B168" s="917" t="str">
        <f>+$B$5</f>
        <v>ONCOR ELECTRIC DELIVERY COMPANY LLC</v>
      </c>
      <c r="C168" s="8"/>
      <c r="D168" s="967"/>
      <c r="F168" s="12"/>
      <c r="U168" s="134"/>
      <c r="V168" s="67"/>
    </row>
    <row r="169" spans="1:22" ht="18" customHeight="1">
      <c r="A169" s="47"/>
      <c r="B169" s="917" t="str">
        <f>+$B$6</f>
        <v>II-I-1-MET:  CLASS REVENUE REQUIREMENT</v>
      </c>
      <c r="C169" s="85"/>
      <c r="D169" s="967"/>
      <c r="F169" s="12"/>
      <c r="U169" s="12"/>
      <c r="V169" s="67"/>
    </row>
    <row r="170" spans="1:22" ht="18" customHeight="1">
      <c r="A170" s="47"/>
      <c r="B170" s="406" t="str">
        <f>+$B$7</f>
        <v>TEST YEAR ENDING 12/31/2021</v>
      </c>
      <c r="C170" s="85"/>
      <c r="D170" s="967"/>
      <c r="F170" s="12"/>
      <c r="U170" s="12"/>
      <c r="V170" s="67"/>
    </row>
    <row r="171" spans="1:22" ht="18" customHeight="1">
      <c r="A171" s="47"/>
      <c r="B171" s="406" t="str">
        <f>+$B$8</f>
        <v>SPONSOR:  MATTHEW A. TROXLE</v>
      </c>
      <c r="C171" s="85"/>
      <c r="D171" s="967"/>
      <c r="F171" s="12"/>
      <c r="U171" s="12"/>
      <c r="V171" s="67"/>
    </row>
    <row r="172" spans="1:22" ht="18" customHeight="1" thickBot="1">
      <c r="A172" s="47"/>
      <c r="B172" s="410"/>
      <c r="C172" s="934"/>
      <c r="D172" s="968"/>
      <c r="F172" s="12"/>
      <c r="U172" s="12"/>
      <c r="V172" s="67"/>
    </row>
    <row r="173" spans="1:22" ht="18" customHeight="1" thickBot="1">
      <c r="A173" s="47"/>
      <c r="B173" s="13"/>
      <c r="C173" s="14"/>
      <c r="D173" s="14"/>
      <c r="E173" s="14"/>
      <c r="F173" s="13"/>
      <c r="G173" s="14"/>
      <c r="H173" s="14"/>
      <c r="I173" s="14"/>
      <c r="J173" s="238"/>
      <c r="K173" s="238"/>
      <c r="L173" s="14"/>
      <c r="M173" s="238"/>
      <c r="N173" s="238"/>
      <c r="O173" s="238"/>
      <c r="P173" s="238"/>
      <c r="Q173" s="14"/>
      <c r="R173" s="393" t="str">
        <f>R$10</f>
        <v xml:space="preserve"> </v>
      </c>
      <c r="S173" s="394"/>
      <c r="T173" s="238"/>
      <c r="U173" s="13"/>
      <c r="V173" s="67"/>
    </row>
    <row r="174" spans="1:22" ht="18" customHeight="1">
      <c r="A174" s="47"/>
      <c r="B174" s="15" t="s">
        <v>2</v>
      </c>
      <c r="C174" s="15" t="s">
        <v>370</v>
      </c>
      <c r="D174" s="287" t="s">
        <v>547</v>
      </c>
      <c r="E174" s="15" t="s">
        <v>371</v>
      </c>
      <c r="F174" s="287" t="str">
        <f>F$11</f>
        <v>MET</v>
      </c>
      <c r="G174" s="242" t="s">
        <v>741</v>
      </c>
      <c r="H174" s="242" t="s">
        <v>376</v>
      </c>
      <c r="I174" s="15"/>
      <c r="J174" s="242" t="s">
        <v>730</v>
      </c>
      <c r="K174" s="242" t="s">
        <v>409</v>
      </c>
      <c r="L174" s="15" t="s">
        <v>409</v>
      </c>
      <c r="M174" s="242" t="s">
        <v>410</v>
      </c>
      <c r="N174" s="242" t="s">
        <v>410</v>
      </c>
      <c r="O174" s="242" t="s">
        <v>410</v>
      </c>
      <c r="P174" s="242" t="s">
        <v>411</v>
      </c>
      <c r="Q174" s="15" t="s">
        <v>412</v>
      </c>
      <c r="R174" s="396" t="str">
        <f>R$11</f>
        <v>Wholesale</v>
      </c>
      <c r="S174" s="13" t="str">
        <f>S$11</f>
        <v>Wholesale</v>
      </c>
      <c r="T174" s="242"/>
      <c r="U174" s="15" t="s">
        <v>10</v>
      </c>
      <c r="V174" s="67"/>
    </row>
    <row r="175" spans="1:22" ht="18" customHeight="1">
      <c r="A175" s="47"/>
      <c r="B175" s="15"/>
      <c r="C175" s="15"/>
      <c r="D175" s="15"/>
      <c r="E175" s="15"/>
      <c r="F175" s="15"/>
      <c r="G175" s="242" t="s">
        <v>742</v>
      </c>
      <c r="H175" s="242" t="s">
        <v>743</v>
      </c>
      <c r="I175" s="15"/>
      <c r="J175" s="242"/>
      <c r="K175" s="242" t="s">
        <v>731</v>
      </c>
      <c r="L175" s="15" t="s">
        <v>732</v>
      </c>
      <c r="M175" s="242" t="s">
        <v>731</v>
      </c>
      <c r="N175" s="242" t="s">
        <v>732</v>
      </c>
      <c r="O175" s="242" t="s">
        <v>414</v>
      </c>
      <c r="P175" s="242"/>
      <c r="Q175" s="15"/>
      <c r="R175" s="235" t="str">
        <f>R$12</f>
        <v>XFMR</v>
      </c>
      <c r="S175" s="15" t="str">
        <f>S$12</f>
        <v>DLS</v>
      </c>
      <c r="T175" s="242"/>
      <c r="U175" s="15"/>
      <c r="V175" s="67"/>
    </row>
    <row r="176" spans="1:22" ht="18" customHeight="1" thickBot="1">
      <c r="A176" s="47"/>
      <c r="B176" s="16"/>
      <c r="C176" s="16"/>
      <c r="D176" s="16"/>
      <c r="E176" s="16"/>
      <c r="F176" s="16" t="s">
        <v>13</v>
      </c>
      <c r="G176" s="16" t="s">
        <v>14</v>
      </c>
      <c r="H176" s="16" t="s">
        <v>15</v>
      </c>
      <c r="I176" s="16"/>
      <c r="J176" s="243" t="str">
        <f t="shared" si="67" ref="J176:Q176">J$13</f>
        <v>(d)</v>
      </c>
      <c r="K176" s="243" t="str">
        <f t="shared" si="67"/>
        <v>(e)</v>
      </c>
      <c r="L176" s="16" t="str">
        <f t="shared" si="67"/>
        <v>(f)</v>
      </c>
      <c r="M176" s="243" t="str">
        <f t="shared" si="67"/>
        <v>(g)</v>
      </c>
      <c r="N176" s="243" t="str">
        <f t="shared" si="67"/>
        <v>(h)</v>
      </c>
      <c r="O176" s="243" t="str">
        <f>O$13</f>
        <v>(i)</v>
      </c>
      <c r="P176" s="243" t="str">
        <f t="shared" si="67"/>
        <v>(j)</v>
      </c>
      <c r="Q176" s="243" t="str">
        <f t="shared" si="67"/>
        <v>(k)</v>
      </c>
      <c r="R176" s="243" t="str">
        <f>R$13</f>
        <v>(l)</v>
      </c>
      <c r="S176" s="16" t="str">
        <f>S$13</f>
        <v>(m)</v>
      </c>
      <c r="T176" s="16"/>
      <c r="U176" s="16" t="s">
        <v>734</v>
      </c>
      <c r="V176" s="67"/>
    </row>
    <row r="177" spans="1:22" ht="18" customHeight="1">
      <c r="A177" s="47"/>
      <c r="B177" s="67"/>
      <c r="C177" s="100"/>
      <c r="D177" s="100"/>
      <c r="E177" s="315"/>
      <c r="F177" s="100"/>
      <c r="G177" s="315"/>
      <c r="H177" s="315"/>
      <c r="I177" s="17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1"/>
      <c r="V177" s="67"/>
    </row>
    <row r="178" spans="1:22" ht="18" customHeight="1">
      <c r="A178" s="47"/>
      <c r="B178" s="17">
        <f t="shared" si="68" ref="B178:B194">B177+1</f>
        <v>1</v>
      </c>
      <c r="C178" s="49" t="s">
        <v>547</v>
      </c>
      <c r="D178" s="49"/>
      <c r="E178" s="58" t="s">
        <v>90</v>
      </c>
      <c r="F178" s="49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49"/>
      <c r="V178" s="67"/>
    </row>
    <row r="179" spans="1:23" ht="18" customHeight="1">
      <c r="A179" s="47"/>
      <c r="B179" s="17">
        <f t="shared" si="68"/>
        <v>2</v>
      </c>
      <c r="C179" s="12" t="s">
        <v>91</v>
      </c>
      <c r="D179" s="12" t="s">
        <v>40</v>
      </c>
      <c r="E179" s="11"/>
      <c r="F179" s="118">
        <f>' WP II-I-1.4'!H179</f>
        <v>3908190.4500000002</v>
      </c>
      <c r="G179" s="11">
        <v>61</v>
      </c>
      <c r="H179" s="47" t="str">
        <f t="shared" si="69" ref="H179:H187">VLOOKUP(G179,FactorTable,2)</f>
        <v>PLTOPER_N</v>
      </c>
      <c r="I179" s="11"/>
      <c r="J179" s="434">
        <f t="shared" si="70" ref="J179:S187">$F179*HLOOKUP(J$1318,FactorTable,$G179+1)</f>
        <v>2178834.9927749545</v>
      </c>
      <c r="K179" s="434">
        <f t="shared" si="70"/>
        <v>335920.2447416978</v>
      </c>
      <c r="L179" s="434">
        <f t="shared" si="70"/>
        <v>1036157.6154786563</v>
      </c>
      <c r="M179" s="434">
        <f t="shared" si="70"/>
        <v>14549.226170471902</v>
      </c>
      <c r="N179" s="434">
        <f t="shared" si="70"/>
        <v>303603.15749647579</v>
      </c>
      <c r="O179" s="434">
        <f t="shared" si="70"/>
        <v>10375.032504184757</v>
      </c>
      <c r="P179" s="434">
        <f t="shared" si="70"/>
        <v>22585.647682186813</v>
      </c>
      <c r="Q179" s="434">
        <f t="shared" si="70"/>
        <v>2171.9108635532048</v>
      </c>
      <c r="R179" s="434">
        <f t="shared" si="70"/>
        <v>1197.1191350982413</v>
      </c>
      <c r="S179" s="434">
        <f t="shared" si="70"/>
        <v>2795.5031527211231</v>
      </c>
      <c r="T179" s="11"/>
      <c r="U179" s="118">
        <f t="shared" si="71" ref="U179:U188">SUM(I179:T179)</f>
        <v>3908190.4499999997</v>
      </c>
      <c r="V179" s="67"/>
      <c r="W179" s="370">
        <f>U179-F179</f>
        <v>0</v>
      </c>
    </row>
    <row r="180" spans="1:23" ht="18" customHeight="1">
      <c r="A180" s="47"/>
      <c r="B180" s="17">
        <f t="shared" si="68"/>
        <v>3</v>
      </c>
      <c r="C180" s="12" t="s">
        <v>92</v>
      </c>
      <c r="D180" s="12" t="s">
        <v>42</v>
      </c>
      <c r="E180" s="11"/>
      <c r="F180" s="118">
        <f>' WP II-I-1.4'!H180</f>
        <v>3342.98</v>
      </c>
      <c r="G180" s="11">
        <v>61</v>
      </c>
      <c r="H180" s="47" t="str">
        <f t="shared" si="69"/>
        <v>PLTOPER_N</v>
      </c>
      <c r="I180" s="11"/>
      <c r="J180" s="434">
        <f t="shared" si="70"/>
        <v>1863.7274455616198</v>
      </c>
      <c r="K180" s="434">
        <f t="shared" si="70"/>
        <v>287.33877586917515</v>
      </c>
      <c r="L180" s="434">
        <f t="shared" si="70"/>
        <v>886.30639415047904</v>
      </c>
      <c r="M180" s="434">
        <f t="shared" si="70"/>
        <v>12.445087496532867</v>
      </c>
      <c r="N180" s="434">
        <f t="shared" si="70"/>
        <v>259.69545149663026</v>
      </c>
      <c r="O180" s="434">
        <f t="shared" si="70"/>
        <v>8.8745742062901662</v>
      </c>
      <c r="P180" s="434">
        <f t="shared" si="70"/>
        <v>19.319265387539357</v>
      </c>
      <c r="Q180" s="434">
        <f t="shared" si="70"/>
        <v>1.8578046979878096</v>
      </c>
      <c r="R180" s="434">
        <f t="shared" si="70"/>
        <v>1.0239893314950193</v>
      </c>
      <c r="S180" s="434">
        <f t="shared" si="70"/>
        <v>2.3912118022507474</v>
      </c>
      <c r="T180" s="11"/>
      <c r="U180" s="118">
        <f t="shared" si="71"/>
        <v>3342.98</v>
      </c>
      <c r="V180" s="67"/>
      <c r="W180" s="370">
        <f t="shared" si="72" ref="W180:W194">U180-F180</f>
        <v>0</v>
      </c>
    </row>
    <row r="181" spans="1:23" ht="18" customHeight="1">
      <c r="A181" s="47"/>
      <c r="B181" s="17">
        <f t="shared" si="68"/>
        <v>4</v>
      </c>
      <c r="C181" s="12" t="s">
        <v>93</v>
      </c>
      <c r="D181" s="12" t="s">
        <v>44</v>
      </c>
      <c r="E181" s="11"/>
      <c r="F181" s="118">
        <f>' WP II-I-1.4'!H181</f>
        <v>24868885.27</v>
      </c>
      <c r="G181" s="11">
        <v>61</v>
      </c>
      <c r="H181" s="47" t="str">
        <f t="shared" si="69"/>
        <v>PLTOPER_N</v>
      </c>
      <c r="I181" s="11"/>
      <c r="J181" s="434">
        <f t="shared" si="70"/>
        <v>13864523.275108464</v>
      </c>
      <c r="K181" s="434">
        <f t="shared" si="70"/>
        <v>2137552.4384569339</v>
      </c>
      <c r="L181" s="434">
        <f t="shared" si="70"/>
        <v>6593354.4413055601</v>
      </c>
      <c r="M181" s="434">
        <f t="shared" si="70"/>
        <v>92580.707370785167</v>
      </c>
      <c r="N181" s="434">
        <f t="shared" si="70"/>
        <v>1931909.9690726679</v>
      </c>
      <c r="O181" s="434">
        <f t="shared" si="70"/>
        <v>66019.170846469759</v>
      </c>
      <c r="P181" s="434">
        <f t="shared" si="70"/>
        <v>143718.65653500721</v>
      </c>
      <c r="Q181" s="434">
        <f t="shared" si="70"/>
        <v>13820.463146152784</v>
      </c>
      <c r="R181" s="434">
        <f t="shared" si="70"/>
        <v>7617.5966361311257</v>
      </c>
      <c r="S181" s="434">
        <f t="shared" si="70"/>
        <v>17788.551521828955</v>
      </c>
      <c r="T181" s="11"/>
      <c r="U181" s="118">
        <f t="shared" si="71"/>
        <v>24868885.27</v>
      </c>
      <c r="V181" s="67"/>
      <c r="W181" s="370">
        <f t="shared" si="72"/>
        <v>0</v>
      </c>
    </row>
    <row r="182" spans="1:23" ht="18" customHeight="1">
      <c r="A182" s="47"/>
      <c r="B182" s="17">
        <f t="shared" si="68"/>
        <v>5</v>
      </c>
      <c r="C182" s="12" t="s">
        <v>94</v>
      </c>
      <c r="D182" s="12" t="s">
        <v>95</v>
      </c>
      <c r="E182" s="11"/>
      <c r="F182" s="118">
        <f>' WP II-I-1.4'!H182</f>
        <v>66950477.740000002</v>
      </c>
      <c r="G182" s="11">
        <v>61</v>
      </c>
      <c r="H182" s="47" t="str">
        <f t="shared" si="69"/>
        <v>PLTOPER_N</v>
      </c>
      <c r="I182" s="11"/>
      <c r="J182" s="434">
        <f t="shared" si="70"/>
        <v>37325213.6888346</v>
      </c>
      <c r="K182" s="434">
        <f t="shared" si="70"/>
        <v>5754586.7213288927</v>
      </c>
      <c r="L182" s="434">
        <f t="shared" si="70"/>
        <v>17750221.811794061</v>
      </c>
      <c r="M182" s="434">
        <f t="shared" si="70"/>
        <v>249240.06527379048</v>
      </c>
      <c r="N182" s="434">
        <f t="shared" si="70"/>
        <v>5200968.7597904839</v>
      </c>
      <c r="O182" s="434">
        <f t="shared" si="70"/>
        <v>177732.73631616341</v>
      </c>
      <c r="P182" s="434">
        <f t="shared" si="70"/>
        <v>386910.49521134025</v>
      </c>
      <c r="Q182" s="434">
        <f t="shared" si="70"/>
        <v>37206.597729540787</v>
      </c>
      <c r="R182" s="434">
        <f t="shared" si="70"/>
        <v>20507.623421095781</v>
      </c>
      <c r="S182" s="434">
        <f t="shared" si="70"/>
        <v>47889.240300035883</v>
      </c>
      <c r="T182" s="11"/>
      <c r="U182" s="118">
        <f t="shared" si="71"/>
        <v>66950477.740000002</v>
      </c>
      <c r="V182" s="67"/>
      <c r="W182" s="370">
        <f t="shared" si="72"/>
        <v>0</v>
      </c>
    </row>
    <row r="183" spans="1:23" ht="18" customHeight="1">
      <c r="A183" s="47"/>
      <c r="B183" s="17">
        <f t="shared" si="68"/>
        <v>6</v>
      </c>
      <c r="C183" s="12" t="s">
        <v>96</v>
      </c>
      <c r="D183" s="12" t="s">
        <v>98</v>
      </c>
      <c r="E183" s="11"/>
      <c r="F183" s="118">
        <f>' WP II-I-1.4'!H183</f>
        <v>0</v>
      </c>
      <c r="G183" s="11">
        <v>61</v>
      </c>
      <c r="H183" s="47" t="str">
        <f t="shared" si="69"/>
        <v>PLTOPER_N</v>
      </c>
      <c r="I183" s="11"/>
      <c r="J183" s="434">
        <f t="shared" si="70"/>
        <v>0</v>
      </c>
      <c r="K183" s="434">
        <f t="shared" si="70"/>
        <v>0</v>
      </c>
      <c r="L183" s="434">
        <f t="shared" si="70"/>
        <v>0</v>
      </c>
      <c r="M183" s="434">
        <f t="shared" si="70"/>
        <v>0</v>
      </c>
      <c r="N183" s="434">
        <f t="shared" si="70"/>
        <v>0</v>
      </c>
      <c r="O183" s="434">
        <f t="shared" si="70"/>
        <v>0</v>
      </c>
      <c r="P183" s="434">
        <f t="shared" si="70"/>
        <v>0</v>
      </c>
      <c r="Q183" s="434">
        <f t="shared" si="70"/>
        <v>0</v>
      </c>
      <c r="R183" s="434">
        <f t="shared" si="70"/>
        <v>0</v>
      </c>
      <c r="S183" s="434">
        <f t="shared" si="70"/>
        <v>0</v>
      </c>
      <c r="T183" s="11"/>
      <c r="U183" s="118">
        <f t="shared" si="71"/>
        <v>0</v>
      </c>
      <c r="V183" s="67"/>
      <c r="W183" s="370">
        <f t="shared" si="72"/>
        <v>0</v>
      </c>
    </row>
    <row r="184" spans="1:23" ht="18" customHeight="1">
      <c r="A184" s="47"/>
      <c r="B184" s="17">
        <f t="shared" si="68"/>
        <v>7</v>
      </c>
      <c r="C184" s="12" t="s">
        <v>99</v>
      </c>
      <c r="D184" s="12" t="s">
        <v>548</v>
      </c>
      <c r="E184" s="11"/>
      <c r="F184" s="118">
        <f>' WP II-I-1.4'!H184</f>
        <v>575148.54000000004</v>
      </c>
      <c r="G184" s="11">
        <v>61</v>
      </c>
      <c r="H184" s="47" t="str">
        <f t="shared" si="69"/>
        <v>PLTOPER_N</v>
      </c>
      <c r="I184" s="11"/>
      <c r="J184" s="434">
        <f t="shared" si="70"/>
        <v>320648.08023760095</v>
      </c>
      <c r="K184" s="434">
        <f t="shared" si="70"/>
        <v>49435.676380517783</v>
      </c>
      <c r="L184" s="434">
        <f t="shared" si="70"/>
        <v>152486.05393640182</v>
      </c>
      <c r="M184" s="434">
        <f t="shared" si="70"/>
        <v>2141.1357243546577</v>
      </c>
      <c r="N184" s="434">
        <f t="shared" si="70"/>
        <v>44679.734779426653</v>
      </c>
      <c r="O184" s="434">
        <f t="shared" si="70"/>
        <v>1526.8408419641901</v>
      </c>
      <c r="P184" s="434">
        <f t="shared" si="70"/>
        <v>3323.8150636605055</v>
      </c>
      <c r="Q184" s="434">
        <f t="shared" si="70"/>
        <v>319.62909130561047</v>
      </c>
      <c r="R184" s="434">
        <f t="shared" si="70"/>
        <v>176.17394330356041</v>
      </c>
      <c r="S184" s="434">
        <f t="shared" si="70"/>
        <v>411.40000146434801</v>
      </c>
      <c r="T184" s="11"/>
      <c r="U184" s="118">
        <f t="shared" si="71"/>
        <v>575148.54000000004</v>
      </c>
      <c r="V184" s="67"/>
      <c r="W184" s="370">
        <f t="shared" si="72"/>
        <v>0</v>
      </c>
    </row>
    <row r="185" spans="1:23" ht="18" customHeight="1">
      <c r="A185" s="47"/>
      <c r="B185" s="17">
        <f t="shared" si="68"/>
        <v>8</v>
      </c>
      <c r="C185" s="12" t="s">
        <v>101</v>
      </c>
      <c r="D185" s="12" t="s">
        <v>549</v>
      </c>
      <c r="E185" s="11"/>
      <c r="F185" s="118">
        <f>' WP II-I-1.4'!H185</f>
        <v>2568972.02</v>
      </c>
      <c r="G185" s="11">
        <v>61</v>
      </c>
      <c r="H185" s="47" t="str">
        <f t="shared" si="69"/>
        <v>PLTOPER_N</v>
      </c>
      <c r="I185" s="11"/>
      <c r="J185" s="434">
        <f t="shared" si="70"/>
        <v>1432214.2700685838</v>
      </c>
      <c r="K185" s="434">
        <f t="shared" si="70"/>
        <v>220810.55688905175</v>
      </c>
      <c r="L185" s="434">
        <f t="shared" si="70"/>
        <v>681097.80127900024</v>
      </c>
      <c r="M185" s="434">
        <f t="shared" si="70"/>
        <v>9563.6472743016056</v>
      </c>
      <c r="N185" s="434">
        <f t="shared" si="70"/>
        <v>199567.55607754467</v>
      </c>
      <c r="O185" s="434">
        <f t="shared" si="70"/>
        <v>6819.8232790423954</v>
      </c>
      <c r="P185" s="434">
        <f t="shared" si="70"/>
        <v>14846.230676684594</v>
      </c>
      <c r="Q185" s="434">
        <f t="shared" si="70"/>
        <v>1427.6628300962714</v>
      </c>
      <c r="R185" s="434">
        <f t="shared" si="70"/>
        <v>786.90268604335324</v>
      </c>
      <c r="S185" s="434">
        <f t="shared" si="70"/>
        <v>1837.5689396514317</v>
      </c>
      <c r="T185" s="11"/>
      <c r="U185" s="118">
        <f t="shared" si="71"/>
        <v>2568972.0199999991</v>
      </c>
      <c r="V185" s="67"/>
      <c r="W185" s="370">
        <f t="shared" si="72"/>
        <v>0</v>
      </c>
    </row>
    <row r="186" spans="1:23" ht="18" customHeight="1">
      <c r="A186" s="47"/>
      <c r="B186" s="17">
        <f t="shared" si="68"/>
        <v>9</v>
      </c>
      <c r="C186" s="12" t="s">
        <v>103</v>
      </c>
      <c r="D186" s="12" t="s">
        <v>104</v>
      </c>
      <c r="E186" s="11"/>
      <c r="F186" s="118">
        <f>' WP II-I-1.4'!H186</f>
        <v>3737188.5699999998</v>
      </c>
      <c r="G186" s="11">
        <v>61</v>
      </c>
      <c r="H186" s="47" t="str">
        <f t="shared" si="69"/>
        <v>PLTOPER_N</v>
      </c>
      <c r="I186" s="11"/>
      <c r="J186" s="434">
        <f t="shared" si="70"/>
        <v>2083500.6213462786</v>
      </c>
      <c r="K186" s="434">
        <f t="shared" si="70"/>
        <v>321222.13979625161</v>
      </c>
      <c r="L186" s="434">
        <f t="shared" si="70"/>
        <v>990820.80231921375</v>
      </c>
      <c r="M186" s="434">
        <f t="shared" si="70"/>
        <v>13912.628476596492</v>
      </c>
      <c r="N186" s="434">
        <f t="shared" si="70"/>
        <v>290319.07849110552</v>
      </c>
      <c r="O186" s="434">
        <f t="shared" si="70"/>
        <v>9921.0755934419085</v>
      </c>
      <c r="P186" s="434">
        <f t="shared" si="70"/>
        <v>21597.418407261994</v>
      </c>
      <c r="Q186" s="434">
        <f t="shared" si="70"/>
        <v>2076.8794556390835</v>
      </c>
      <c r="R186" s="434">
        <f t="shared" si="70"/>
        <v>1144.7394915509894</v>
      </c>
      <c r="S186" s="434">
        <f t="shared" si="70"/>
        <v>2673.1866226601992</v>
      </c>
      <c r="T186" s="11"/>
      <c r="U186" s="118">
        <f t="shared" si="71"/>
        <v>3737188.5699999998</v>
      </c>
      <c r="V186" s="67"/>
      <c r="W186" s="370">
        <f t="shared" si="72"/>
        <v>0</v>
      </c>
    </row>
    <row r="187" spans="1:23" ht="18" customHeight="1">
      <c r="A187" s="47"/>
      <c r="B187" s="17">
        <f t="shared" si="68"/>
        <v>10</v>
      </c>
      <c r="C187" s="12" t="s">
        <v>105</v>
      </c>
      <c r="D187" s="12" t="s">
        <v>106</v>
      </c>
      <c r="E187" s="11"/>
      <c r="F187" s="118">
        <f>' WP II-I-1.4'!H187</f>
        <v>930590.34999999998</v>
      </c>
      <c r="G187" s="11">
        <v>61</v>
      </c>
      <c r="H187" s="47" t="str">
        <f t="shared" si="69"/>
        <v>PLTOPER_N</v>
      </c>
      <c r="I187" s="11"/>
      <c r="J187" s="435">
        <f t="shared" si="70"/>
        <v>518808.6006705974</v>
      </c>
      <c r="K187" s="435">
        <f t="shared" si="70"/>
        <v>79986.925439179191</v>
      </c>
      <c r="L187" s="435">
        <f t="shared" si="70"/>
        <v>246722.43852482882</v>
      </c>
      <c r="M187" s="435">
        <f t="shared" si="70"/>
        <v>3464.3576477212378</v>
      </c>
      <c r="N187" s="435">
        <f t="shared" si="70"/>
        <v>72291.811827069614</v>
      </c>
      <c r="O187" s="435">
        <f t="shared" si="70"/>
        <v>2470.4285148976473</v>
      </c>
      <c r="P187" s="435">
        <f t="shared" si="70"/>
        <v>5377.9328439694928</v>
      </c>
      <c r="Q187" s="435">
        <f t="shared" si="70"/>
        <v>517.15987655688036</v>
      </c>
      <c r="R187" s="435">
        <f t="shared" si="70"/>
        <v>285.04944402665166</v>
      </c>
      <c r="S187" s="435">
        <f t="shared" si="70"/>
        <v>665.64521115311902</v>
      </c>
      <c r="T187" s="11"/>
      <c r="U187" s="118">
        <f t="shared" si="71"/>
        <v>930590.34999999986</v>
      </c>
      <c r="V187" s="67"/>
      <c r="W187" s="370">
        <f t="shared" si="72"/>
        <v>0</v>
      </c>
    </row>
    <row r="188" spans="1:23" ht="18" customHeight="1">
      <c r="A188" s="47"/>
      <c r="B188" s="17">
        <f t="shared" si="68"/>
        <v>11</v>
      </c>
      <c r="C188" s="1"/>
      <c r="D188" s="297" t="s">
        <v>491</v>
      </c>
      <c r="E188" s="20"/>
      <c r="F188" s="21">
        <f>SUM(F179:F187)</f>
        <v>103542795.91999999</v>
      </c>
      <c r="G188" s="20"/>
      <c r="H188" s="20"/>
      <c r="I188" s="1010"/>
      <c r="J188" s="895">
        <f t="shared" si="73" ref="J188:Q188">SUM(J179:J187)</f>
        <v>57725607.256486647</v>
      </c>
      <c r="K188" s="895">
        <f t="shared" si="73"/>
        <v>8899802.0418083947</v>
      </c>
      <c r="L188" s="895">
        <f t="shared" si="73"/>
        <v>27451747.271031875</v>
      </c>
      <c r="M188" s="895">
        <f t="shared" si="73"/>
        <v>385464.21302551811</v>
      </c>
      <c r="N188" s="895">
        <f t="shared" si="73"/>
        <v>8043599.7629862707</v>
      </c>
      <c r="O188" s="895">
        <f>SUM(O179:O187)</f>
        <v>274873.98247037031</v>
      </c>
      <c r="P188" s="895">
        <f t="shared" si="73"/>
        <v>598379.51568549837</v>
      </c>
      <c r="Q188" s="895">
        <f t="shared" si="73"/>
        <v>57542.160797542601</v>
      </c>
      <c r="R188" s="895">
        <f>SUM(R179:R187)</f>
        <v>31716.228746581197</v>
      </c>
      <c r="S188" s="895">
        <f>SUM(S179:S187)</f>
        <v>74063.486961317321</v>
      </c>
      <c r="T188" s="1010"/>
      <c r="U188" s="299">
        <f t="shared" si="71"/>
        <v>103542795.92000002</v>
      </c>
      <c r="V188" s="67"/>
      <c r="W188" s="370">
        <f t="shared" si="72"/>
        <v>0</v>
      </c>
    </row>
    <row r="189" spans="1:23" ht="18" customHeight="1">
      <c r="A189" s="47"/>
      <c r="B189" s="17">
        <f t="shared" si="68"/>
        <v>12</v>
      </c>
      <c r="C189" s="8"/>
      <c r="D189" s="297"/>
      <c r="E189" s="20"/>
      <c r="F189" s="18"/>
      <c r="G189" s="20"/>
      <c r="H189" s="20"/>
      <c r="I189" s="1010"/>
      <c r="J189" s="1059"/>
      <c r="K189" s="1059"/>
      <c r="L189" s="1059"/>
      <c r="M189" s="1059"/>
      <c r="N189" s="1059"/>
      <c r="O189" s="1059"/>
      <c r="P189" s="1059"/>
      <c r="Q189" s="1059"/>
      <c r="R189" s="1059"/>
      <c r="S189" s="1059"/>
      <c r="T189" s="1010"/>
      <c r="U189" s="121"/>
      <c r="V189" s="67"/>
      <c r="W189" s="370">
        <f t="shared" si="72"/>
        <v>0</v>
      </c>
    </row>
    <row r="190" spans="1:23" ht="18" customHeight="1">
      <c r="A190" s="47"/>
      <c r="B190" s="17">
        <f t="shared" si="68"/>
        <v>13</v>
      </c>
      <c r="C190" s="1" t="s">
        <v>110</v>
      </c>
      <c r="D190" s="1" t="s">
        <v>550</v>
      </c>
      <c r="E190" s="17"/>
      <c r="F190" s="118">
        <f>' WP II-I-1.4'!H190</f>
        <v>1183825.6899999999</v>
      </c>
      <c r="G190" s="11">
        <v>61</v>
      </c>
      <c r="H190" s="47" t="str">
        <f>VLOOKUP(G190,FactorTable,2)</f>
        <v>PLTOPER_N</v>
      </c>
      <c r="I190" s="17"/>
      <c r="J190" s="434">
        <f t="shared" si="74" ref="J190:S191">$F190*HLOOKUP(J$1318,FactorTable,$G190+1)</f>
        <v>659988.52198156191</v>
      </c>
      <c r="K190" s="434">
        <f t="shared" si="74"/>
        <v>101753.23352430515</v>
      </c>
      <c r="L190" s="434">
        <f t="shared" si="74"/>
        <v>313861.36878072942</v>
      </c>
      <c r="M190" s="434">
        <f t="shared" si="74"/>
        <v>4407.0901688593385</v>
      </c>
      <c r="N190" s="434">
        <f t="shared" si="74"/>
        <v>91964.100011923438</v>
      </c>
      <c r="O190" s="434">
        <f t="shared" si="74"/>
        <v>3142.6897358696906</v>
      </c>
      <c r="P190" s="434">
        <f t="shared" si="74"/>
        <v>6841.3938096240172</v>
      </c>
      <c r="Q190" s="434">
        <f t="shared" si="74"/>
        <v>657.89114158046414</v>
      </c>
      <c r="R190" s="434">
        <f t="shared" si="74"/>
        <v>362.61804644650277</v>
      </c>
      <c r="S190" s="434">
        <f t="shared" si="74"/>
        <v>846.78279910009462</v>
      </c>
      <c r="T190" s="17"/>
      <c r="U190" s="118">
        <f>SUM(I190:T190)</f>
        <v>1183825.6899999997</v>
      </c>
      <c r="V190" s="67"/>
      <c r="W190" s="370">
        <f t="shared" si="72"/>
        <v>0</v>
      </c>
    </row>
    <row r="191" spans="1:23" ht="18" customHeight="1">
      <c r="A191" s="47"/>
      <c r="B191" s="17">
        <f t="shared" si="68"/>
        <v>14</v>
      </c>
      <c r="C191" s="1" t="s">
        <v>112</v>
      </c>
      <c r="D191" s="1" t="s">
        <v>551</v>
      </c>
      <c r="E191" s="17"/>
      <c r="F191" s="118">
        <f>' WP II-I-1.4'!H191</f>
        <v>0</v>
      </c>
      <c r="G191" s="11">
        <v>61</v>
      </c>
      <c r="H191" s="47" t="str">
        <f>VLOOKUP(G191,FactorTable,2)</f>
        <v>PLTOPER_N</v>
      </c>
      <c r="I191" s="17"/>
      <c r="J191" s="435">
        <f t="shared" si="74"/>
        <v>0</v>
      </c>
      <c r="K191" s="435">
        <f t="shared" si="74"/>
        <v>0</v>
      </c>
      <c r="L191" s="435">
        <f t="shared" si="74"/>
        <v>0</v>
      </c>
      <c r="M191" s="435">
        <f t="shared" si="74"/>
        <v>0</v>
      </c>
      <c r="N191" s="435">
        <f t="shared" si="74"/>
        <v>0</v>
      </c>
      <c r="O191" s="435">
        <f t="shared" si="74"/>
        <v>0</v>
      </c>
      <c r="P191" s="435">
        <f t="shared" si="74"/>
        <v>0</v>
      </c>
      <c r="Q191" s="435">
        <f t="shared" si="74"/>
        <v>0</v>
      </c>
      <c r="R191" s="435">
        <f t="shared" si="74"/>
        <v>0</v>
      </c>
      <c r="S191" s="435">
        <f t="shared" si="74"/>
        <v>0</v>
      </c>
      <c r="T191" s="17"/>
      <c r="U191" s="118">
        <f>SUM(I191:T191)</f>
        <v>0</v>
      </c>
      <c r="V191" s="67"/>
      <c r="W191" s="370">
        <f t="shared" si="72"/>
        <v>0</v>
      </c>
    </row>
    <row r="192" spans="1:23" ht="18" customHeight="1">
      <c r="A192" s="47"/>
      <c r="B192" s="17">
        <f t="shared" si="68"/>
        <v>15</v>
      </c>
      <c r="C192" s="8"/>
      <c r="D192" s="297" t="s">
        <v>491</v>
      </c>
      <c r="E192" s="20"/>
      <c r="F192" s="21">
        <f>+F191+F190</f>
        <v>1183825.6899999999</v>
      </c>
      <c r="G192" s="20"/>
      <c r="H192" s="20"/>
      <c r="I192" s="1010"/>
      <c r="J192" s="895">
        <f t="shared" si="75" ref="J192:Q192">+J191+J190</f>
        <v>659988.52198156191</v>
      </c>
      <c r="K192" s="895">
        <f t="shared" si="75"/>
        <v>101753.23352430515</v>
      </c>
      <c r="L192" s="895">
        <f t="shared" si="75"/>
        <v>313861.36878072942</v>
      </c>
      <c r="M192" s="895">
        <f t="shared" si="75"/>
        <v>4407.0901688593385</v>
      </c>
      <c r="N192" s="895">
        <f t="shared" si="75"/>
        <v>91964.100011923438</v>
      </c>
      <c r="O192" s="895">
        <f>+O191+O190</f>
        <v>3142.6897358696906</v>
      </c>
      <c r="P192" s="895">
        <f t="shared" si="75"/>
        <v>6841.3938096240172</v>
      </c>
      <c r="Q192" s="895">
        <f t="shared" si="75"/>
        <v>657.89114158046414</v>
      </c>
      <c r="R192" s="895">
        <f>+R191+R190</f>
        <v>362.61804644650277</v>
      </c>
      <c r="S192" s="895">
        <f>+S191+S190</f>
        <v>846.78279910009462</v>
      </c>
      <c r="T192" s="20"/>
      <c r="U192" s="21">
        <f>SUM(I192:T192)</f>
        <v>1183825.6899999997</v>
      </c>
      <c r="V192" s="67"/>
      <c r="W192" s="370">
        <f t="shared" si="72"/>
        <v>0</v>
      </c>
    </row>
    <row r="193" spans="1:23" ht="18" customHeight="1" thickBot="1">
      <c r="A193" s="47"/>
      <c r="B193" s="17">
        <f t="shared" si="68"/>
        <v>16</v>
      </c>
      <c r="C193" s="8"/>
      <c r="D193" s="297"/>
      <c r="E193" s="20"/>
      <c r="F193" s="22"/>
      <c r="G193" s="20"/>
      <c r="H193" s="20"/>
      <c r="I193" s="20"/>
      <c r="J193" s="896"/>
      <c r="K193" s="896"/>
      <c r="L193" s="896"/>
      <c r="M193" s="896"/>
      <c r="N193" s="896"/>
      <c r="O193" s="896"/>
      <c r="P193" s="896"/>
      <c r="Q193" s="896"/>
      <c r="R193" s="896"/>
      <c r="S193" s="896"/>
      <c r="T193" s="20"/>
      <c r="U193" s="8"/>
      <c r="V193" s="67"/>
      <c r="W193" s="370">
        <f t="shared" si="72"/>
        <v>0</v>
      </c>
    </row>
    <row r="194" spans="1:23" ht="18" customHeight="1" thickBot="1">
      <c r="A194" s="47"/>
      <c r="B194" s="17">
        <f t="shared" si="68"/>
        <v>17</v>
      </c>
      <c r="C194" s="284" t="s">
        <v>552</v>
      </c>
      <c r="D194" s="285"/>
      <c r="E194" s="316" t="s">
        <v>90</v>
      </c>
      <c r="F194" s="255">
        <f>+F192+F188</f>
        <v>104726621.60999998</v>
      </c>
      <c r="G194" s="316"/>
      <c r="H194" s="444"/>
      <c r="I194" s="1061"/>
      <c r="J194" s="446">
        <f t="shared" si="76" ref="J194:Q194">+J192+J188</f>
        <v>58385595.778468207</v>
      </c>
      <c r="K194" s="903">
        <f t="shared" si="76"/>
        <v>9001555.2753327005</v>
      </c>
      <c r="L194" s="903">
        <f t="shared" si="76"/>
        <v>27765608.639812604</v>
      </c>
      <c r="M194" s="903">
        <f t="shared" si="76"/>
        <v>389871.30319437745</v>
      </c>
      <c r="N194" s="903">
        <f t="shared" si="76"/>
        <v>8135563.8629981941</v>
      </c>
      <c r="O194" s="903">
        <f>+O192+O188</f>
        <v>278016.67220624001</v>
      </c>
      <c r="P194" s="903">
        <f t="shared" si="76"/>
        <v>605220.90949512238</v>
      </c>
      <c r="Q194" s="903">
        <f t="shared" si="76"/>
        <v>58200.051939123063</v>
      </c>
      <c r="R194" s="903">
        <f>+R192+R188</f>
        <v>32078.8467930277</v>
      </c>
      <c r="S194" s="380">
        <f>+S192+S188</f>
        <v>74910.269760417417</v>
      </c>
      <c r="T194" s="444"/>
      <c r="U194" s="256">
        <f>SUM(I194:T194)</f>
        <v>104726621.61</v>
      </c>
      <c r="V194" s="67"/>
      <c r="W194" s="370">
        <f t="shared" si="72"/>
        <v>0</v>
      </c>
    </row>
    <row r="195" spans="1:22" ht="18" customHeight="1">
      <c r="A195" s="4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</row>
    <row r="196" spans="1:22" ht="18" customHeight="1">
      <c r="A196" s="47"/>
      <c r="B196" s="67"/>
      <c r="C196" s="67"/>
      <c r="D196" s="67"/>
      <c r="E196" s="67"/>
      <c r="F196" s="67"/>
      <c r="G196" s="67"/>
      <c r="H196" s="134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134"/>
      <c r="V196" s="134"/>
    </row>
    <row r="197" spans="1:22" ht="18" customHeight="1" thickBot="1">
      <c r="A197" s="4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</row>
    <row r="198" spans="1:21" ht="18" customHeight="1">
      <c r="A198" s="47"/>
      <c r="B198" s="920" t="str">
        <f>+$B$4</f>
        <v>2022 RATE CASE</v>
      </c>
      <c r="C198" s="935"/>
      <c r="D198" s="620"/>
      <c r="F198" s="12"/>
      <c r="U198" s="134"/>
    </row>
    <row r="199" spans="1:22" ht="18" customHeight="1">
      <c r="A199" s="290"/>
      <c r="B199" s="917" t="str">
        <f>+$B$5</f>
        <v>ONCOR ELECTRIC DELIVERY COMPANY LLC</v>
      </c>
      <c r="C199" s="8"/>
      <c r="D199" s="621"/>
      <c r="F199" s="12"/>
      <c r="U199" s="134"/>
      <c r="V199" s="67"/>
    </row>
    <row r="200" spans="1:22" ht="18" customHeight="1">
      <c r="A200" s="47"/>
      <c r="B200" s="917" t="str">
        <f>+$B$6</f>
        <v>II-I-1-MET:  CLASS REVENUE REQUIREMENT</v>
      </c>
      <c r="C200" s="85"/>
      <c r="D200" s="621"/>
      <c r="F200" s="12"/>
      <c r="U200" s="12"/>
      <c r="V200" s="67"/>
    </row>
    <row r="201" spans="1:22" ht="18" customHeight="1">
      <c r="A201" s="47"/>
      <c r="B201" s="406" t="str">
        <f>+$B$7</f>
        <v>TEST YEAR ENDING 12/31/2021</v>
      </c>
      <c r="C201" s="85"/>
      <c r="D201" s="621"/>
      <c r="F201" s="12"/>
      <c r="U201" s="12"/>
      <c r="V201" s="67"/>
    </row>
    <row r="202" spans="1:22" ht="18" customHeight="1">
      <c r="A202" s="47"/>
      <c r="B202" s="406" t="str">
        <f>+$B$8</f>
        <v>SPONSOR:  MATTHEW A. TROXLE</v>
      </c>
      <c r="C202" s="85"/>
      <c r="D202" s="621"/>
      <c r="F202" s="12"/>
      <c r="U202" s="12"/>
      <c r="V202" s="67"/>
    </row>
    <row r="203" spans="1:22" ht="18" customHeight="1" thickBot="1">
      <c r="A203" s="47"/>
      <c r="B203" s="410"/>
      <c r="C203" s="934"/>
      <c r="D203" s="622"/>
      <c r="F203" s="12"/>
      <c r="U203" s="12"/>
      <c r="V203" s="67"/>
    </row>
    <row r="204" spans="1:22" ht="18" customHeight="1" thickBot="1">
      <c r="A204" s="47"/>
      <c r="B204" s="13"/>
      <c r="C204" s="14"/>
      <c r="D204" s="14"/>
      <c r="E204" s="14"/>
      <c r="F204" s="13"/>
      <c r="G204" s="14"/>
      <c r="H204" s="14"/>
      <c r="I204" s="14"/>
      <c r="J204" s="238"/>
      <c r="K204" s="238"/>
      <c r="L204" s="14"/>
      <c r="M204" s="238"/>
      <c r="N204" s="238"/>
      <c r="O204" s="238"/>
      <c r="P204" s="238"/>
      <c r="Q204" s="14"/>
      <c r="R204" s="393" t="str">
        <f>R$10</f>
        <v xml:space="preserve"> </v>
      </c>
      <c r="S204" s="394"/>
      <c r="T204" s="238"/>
      <c r="U204" s="13"/>
      <c r="V204" s="67"/>
    </row>
    <row r="205" spans="1:22" ht="18" customHeight="1">
      <c r="A205" s="47"/>
      <c r="B205" s="15" t="s">
        <v>2</v>
      </c>
      <c r="C205" s="15" t="s">
        <v>370</v>
      </c>
      <c r="D205" s="287" t="s">
        <v>108</v>
      </c>
      <c r="E205" s="15" t="s">
        <v>371</v>
      </c>
      <c r="F205" s="287" t="str">
        <f>F$11</f>
        <v>MET</v>
      </c>
      <c r="G205" s="242" t="s">
        <v>741</v>
      </c>
      <c r="H205" s="242" t="s">
        <v>376</v>
      </c>
      <c r="I205" s="15"/>
      <c r="J205" s="242" t="s">
        <v>730</v>
      </c>
      <c r="K205" s="242" t="s">
        <v>409</v>
      </c>
      <c r="L205" s="15" t="s">
        <v>409</v>
      </c>
      <c r="M205" s="242" t="s">
        <v>410</v>
      </c>
      <c r="N205" s="242" t="s">
        <v>410</v>
      </c>
      <c r="O205" s="242" t="s">
        <v>410</v>
      </c>
      <c r="P205" s="242" t="s">
        <v>411</v>
      </c>
      <c r="Q205" s="15" t="s">
        <v>412</v>
      </c>
      <c r="R205" s="396" t="str">
        <f>R$11</f>
        <v>Wholesale</v>
      </c>
      <c r="S205" s="13" t="str">
        <f>S$11</f>
        <v>Wholesale</v>
      </c>
      <c r="T205" s="242"/>
      <c r="U205" s="15" t="s">
        <v>10</v>
      </c>
      <c r="V205" s="67"/>
    </row>
    <row r="206" spans="1:22" ht="18" customHeight="1">
      <c r="A206" s="47"/>
      <c r="B206" s="15"/>
      <c r="C206" s="15"/>
      <c r="D206" s="15"/>
      <c r="E206" s="15"/>
      <c r="F206" s="15"/>
      <c r="G206" s="242" t="s">
        <v>742</v>
      </c>
      <c r="H206" s="242" t="s">
        <v>743</v>
      </c>
      <c r="I206" s="15"/>
      <c r="J206" s="242"/>
      <c r="K206" s="242" t="s">
        <v>731</v>
      </c>
      <c r="L206" s="15" t="s">
        <v>732</v>
      </c>
      <c r="M206" s="242" t="s">
        <v>731</v>
      </c>
      <c r="N206" s="242" t="s">
        <v>732</v>
      </c>
      <c r="O206" s="242" t="s">
        <v>414</v>
      </c>
      <c r="P206" s="242"/>
      <c r="Q206" s="15"/>
      <c r="R206" s="235" t="str">
        <f>R$12</f>
        <v>XFMR</v>
      </c>
      <c r="S206" s="15" t="str">
        <f>S$12</f>
        <v>DLS</v>
      </c>
      <c r="T206" s="242"/>
      <c r="U206" s="15"/>
      <c r="V206" s="67"/>
    </row>
    <row r="207" spans="1:22" ht="18" customHeight="1" thickBot="1">
      <c r="A207" s="47"/>
      <c r="B207" s="16"/>
      <c r="C207" s="16"/>
      <c r="D207" s="16"/>
      <c r="E207" s="16"/>
      <c r="F207" s="16" t="s">
        <v>13</v>
      </c>
      <c r="G207" s="16" t="s">
        <v>14</v>
      </c>
      <c r="H207" s="16" t="s">
        <v>15</v>
      </c>
      <c r="I207" s="16"/>
      <c r="J207" s="243" t="str">
        <f t="shared" si="77" ref="J207:Q207">J$13</f>
        <v>(d)</v>
      </c>
      <c r="K207" s="243" t="str">
        <f t="shared" si="77"/>
        <v>(e)</v>
      </c>
      <c r="L207" s="16" t="str">
        <f t="shared" si="77"/>
        <v>(f)</v>
      </c>
      <c r="M207" s="243" t="str">
        <f t="shared" si="77"/>
        <v>(g)</v>
      </c>
      <c r="N207" s="243" t="str">
        <f t="shared" si="77"/>
        <v>(h)</v>
      </c>
      <c r="O207" s="243" t="str">
        <f>O$13</f>
        <v>(i)</v>
      </c>
      <c r="P207" s="243" t="str">
        <f t="shared" si="77"/>
        <v>(j)</v>
      </c>
      <c r="Q207" s="243" t="str">
        <f t="shared" si="77"/>
        <v>(k)</v>
      </c>
      <c r="R207" s="243" t="str">
        <f>R$13</f>
        <v>(l)</v>
      </c>
      <c r="S207" s="16" t="str">
        <f>S$13</f>
        <v>(m)</v>
      </c>
      <c r="T207" s="16"/>
      <c r="U207" s="16" t="s">
        <v>734</v>
      </c>
      <c r="V207" s="67"/>
    </row>
    <row r="208" spans="1:23" ht="18" customHeight="1">
      <c r="A208" s="47"/>
      <c r="B208" s="67"/>
      <c r="C208" s="100"/>
      <c r="D208" s="100"/>
      <c r="E208" s="315"/>
      <c r="F208" s="100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1"/>
      <c r="V208" s="67"/>
      <c r="W208" s="370">
        <f t="shared" si="78" ref="W208:W218">U208-F208</f>
        <v>0</v>
      </c>
    </row>
    <row r="209" spans="1:23" ht="18" customHeight="1">
      <c r="A209" s="47"/>
      <c r="B209" s="17">
        <f t="shared" si="79" ref="B209:B218">B208+1</f>
        <v>1</v>
      </c>
      <c r="C209" s="1" t="s">
        <v>107</v>
      </c>
      <c r="D209" s="1" t="s">
        <v>553</v>
      </c>
      <c r="E209" s="20" t="s">
        <v>109</v>
      </c>
      <c r="F209" s="118">
        <f>' WP II-I-1.4'!H209</f>
        <v>45688861.039999999</v>
      </c>
      <c r="G209" s="17">
        <v>61</v>
      </c>
      <c r="H209" s="47" t="str">
        <f>VLOOKUP(G209,FactorTable,2)</f>
        <v>PLTOPER_N</v>
      </c>
      <c r="I209" s="1010"/>
      <c r="J209" s="435">
        <f t="shared" si="80" ref="J209:S209">$F209*HLOOKUP(J$1318,FactorTable,$G209+1)</f>
        <v>25471760.009542089</v>
      </c>
      <c r="K209" s="435">
        <f t="shared" si="80"/>
        <v>3927089.4238345576</v>
      </c>
      <c r="L209" s="435">
        <f t="shared" si="80"/>
        <v>12113243.178602535</v>
      </c>
      <c r="M209" s="435">
        <f t="shared" si="80"/>
        <v>170088.3263614295</v>
      </c>
      <c r="N209" s="435">
        <f t="shared" si="80"/>
        <v>3549285.1875122194</v>
      </c>
      <c r="O209" s="435">
        <f t="shared" si="80"/>
        <v>121289.74379157509</v>
      </c>
      <c r="P209" s="435">
        <f t="shared" si="80"/>
        <v>264038.44225396722</v>
      </c>
      <c r="Q209" s="435">
        <f t="shared" si="80"/>
        <v>25390.813192368543</v>
      </c>
      <c r="R209" s="435">
        <f t="shared" si="80"/>
        <v>13994.970437489434</v>
      </c>
      <c r="S209" s="435">
        <f t="shared" si="80"/>
        <v>32680.9444717714</v>
      </c>
      <c r="T209" s="1010"/>
      <c r="U209" s="118">
        <f>SUM(I209:T209)</f>
        <v>45688861.040000007</v>
      </c>
      <c r="V209" s="67"/>
      <c r="W209" s="370">
        <f t="shared" si="78"/>
        <v>0</v>
      </c>
    </row>
    <row r="210" spans="1:23" ht="18" customHeight="1">
      <c r="A210" s="47"/>
      <c r="B210" s="17">
        <f t="shared" si="79"/>
        <v>2</v>
      </c>
      <c r="C210" s="8"/>
      <c r="D210" s="297" t="s">
        <v>491</v>
      </c>
      <c r="E210" s="20"/>
      <c r="F210" s="22">
        <f>+F209</f>
        <v>45688861.039999999</v>
      </c>
      <c r="G210" s="20"/>
      <c r="H210" s="20"/>
      <c r="I210" s="20"/>
      <c r="J210" s="896">
        <f t="shared" si="81" ref="J210:Q210">+J209</f>
        <v>25471760.009542089</v>
      </c>
      <c r="K210" s="896">
        <f t="shared" si="81"/>
        <v>3927089.4238345576</v>
      </c>
      <c r="L210" s="896">
        <f t="shared" si="81"/>
        <v>12113243.178602535</v>
      </c>
      <c r="M210" s="896">
        <f t="shared" si="81"/>
        <v>170088.3263614295</v>
      </c>
      <c r="N210" s="896">
        <f t="shared" si="81"/>
        <v>3549285.1875122194</v>
      </c>
      <c r="O210" s="896">
        <f>+O209</f>
        <v>121289.74379157509</v>
      </c>
      <c r="P210" s="896">
        <f t="shared" si="81"/>
        <v>264038.44225396722</v>
      </c>
      <c r="Q210" s="896">
        <f t="shared" si="81"/>
        <v>25390.813192368543</v>
      </c>
      <c r="R210" s="896">
        <f>+R209</f>
        <v>13994.970437489434</v>
      </c>
      <c r="S210" s="896">
        <f>+S209</f>
        <v>32680.9444717714</v>
      </c>
      <c r="T210" s="20"/>
      <c r="U210" s="299">
        <f>SUM(I210:T210)</f>
        <v>45688861.040000007</v>
      </c>
      <c r="V210" s="67"/>
      <c r="W210" s="370">
        <f t="shared" si="78"/>
        <v>0</v>
      </c>
    </row>
    <row r="211" spans="1:23" ht="18" customHeight="1" thickBot="1">
      <c r="A211" s="47"/>
      <c r="B211" s="17">
        <f t="shared" si="79"/>
        <v>3</v>
      </c>
      <c r="C211" s="1"/>
      <c r="D211" s="297"/>
      <c r="E211" s="17"/>
      <c r="F211" s="19"/>
      <c r="G211" s="17"/>
      <c r="H211" s="17"/>
      <c r="I211" s="17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7"/>
      <c r="U211" s="1"/>
      <c r="V211" s="67"/>
      <c r="W211" s="370">
        <f t="shared" si="78"/>
        <v>0</v>
      </c>
    </row>
    <row r="212" spans="1:23" ht="18" customHeight="1" thickBot="1">
      <c r="A212" s="47"/>
      <c r="B212" s="17">
        <f t="shared" si="79"/>
        <v>4</v>
      </c>
      <c r="C212" s="284" t="s">
        <v>554</v>
      </c>
      <c r="D212" s="285"/>
      <c r="E212" s="316"/>
      <c r="F212" s="317">
        <f>+F210</f>
        <v>45688861.039999999</v>
      </c>
      <c r="G212" s="316"/>
      <c r="H212" s="444"/>
      <c r="I212" s="1061"/>
      <c r="J212" s="447">
        <f t="shared" si="82" ref="J212:Q212">+J210</f>
        <v>25471760.009542089</v>
      </c>
      <c r="K212" s="317">
        <f t="shared" si="82"/>
        <v>3927089.4238345576</v>
      </c>
      <c r="L212" s="317">
        <f t="shared" si="82"/>
        <v>12113243.178602535</v>
      </c>
      <c r="M212" s="317">
        <f t="shared" si="82"/>
        <v>170088.3263614295</v>
      </c>
      <c r="N212" s="317">
        <f t="shared" si="82"/>
        <v>3549285.1875122194</v>
      </c>
      <c r="O212" s="317">
        <f>+O210</f>
        <v>121289.74379157509</v>
      </c>
      <c r="P212" s="317">
        <f t="shared" si="82"/>
        <v>264038.44225396722</v>
      </c>
      <c r="Q212" s="317">
        <f t="shared" si="82"/>
        <v>25390.813192368543</v>
      </c>
      <c r="R212" s="317">
        <f>+R210</f>
        <v>13994.970437489434</v>
      </c>
      <c r="S212" s="256">
        <f>+S210</f>
        <v>32680.9444717714</v>
      </c>
      <c r="T212" s="444"/>
      <c r="U212" s="256">
        <f>SUM(I212:T212)</f>
        <v>45688861.040000007</v>
      </c>
      <c r="V212" s="67"/>
      <c r="W212" s="370">
        <f t="shared" si="78"/>
        <v>0</v>
      </c>
    </row>
    <row r="213" spans="1:23" ht="18" customHeight="1" thickBot="1">
      <c r="A213" s="47"/>
      <c r="B213" s="17">
        <f t="shared" si="79"/>
        <v>5</v>
      </c>
      <c r="C213" s="12"/>
      <c r="D213" s="12"/>
      <c r="E213" s="11"/>
      <c r="F213" s="12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U213" s="12"/>
      <c r="V213" s="67"/>
      <c r="W213" s="370">
        <f t="shared" si="78"/>
        <v>0</v>
      </c>
    </row>
    <row r="214" spans="1:23" ht="18" customHeight="1" thickBot="1">
      <c r="A214" s="47"/>
      <c r="B214" s="17">
        <f t="shared" si="79"/>
        <v>6</v>
      </c>
      <c r="C214" s="284" t="s">
        <v>555</v>
      </c>
      <c r="D214" s="285"/>
      <c r="E214" s="316" t="s">
        <v>556</v>
      </c>
      <c r="F214" s="317">
        <f>+F194+F212</f>
        <v>150415482.64999998</v>
      </c>
      <c r="G214" s="316"/>
      <c r="H214" s="444"/>
      <c r="I214" s="1061"/>
      <c r="J214" s="447">
        <f t="shared" si="83" ref="J214:Q214">+J194+J212</f>
        <v>83857355.788010299</v>
      </c>
      <c r="K214" s="317">
        <f t="shared" si="83"/>
        <v>12928644.699167259</v>
      </c>
      <c r="L214" s="317">
        <f t="shared" si="83"/>
        <v>39878851.818415135</v>
      </c>
      <c r="M214" s="317">
        <f t="shared" si="83"/>
        <v>559959.62955580698</v>
      </c>
      <c r="N214" s="317">
        <f t="shared" si="83"/>
        <v>11684849.050510414</v>
      </c>
      <c r="O214" s="317">
        <f>+O194+O212</f>
        <v>399306.41599781509</v>
      </c>
      <c r="P214" s="317">
        <f t="shared" si="83"/>
        <v>869259.35174908955</v>
      </c>
      <c r="Q214" s="317">
        <f t="shared" si="83"/>
        <v>83590.865131491606</v>
      </c>
      <c r="R214" s="317">
        <f>+R194+R212</f>
        <v>46073.817230517132</v>
      </c>
      <c r="S214" s="256">
        <f>+S194+S212</f>
        <v>107591.21423218882</v>
      </c>
      <c r="T214" s="444"/>
      <c r="U214" s="256">
        <f>SUM(I214:T214)</f>
        <v>150415482.65000001</v>
      </c>
      <c r="V214" s="67"/>
      <c r="W214" s="370">
        <f t="shared" si="78"/>
        <v>0</v>
      </c>
    </row>
    <row r="215" spans="1:23" ht="18" customHeight="1" thickBot="1">
      <c r="A215" s="47"/>
      <c r="B215" s="17">
        <f t="shared" si="79"/>
        <v>7</v>
      </c>
      <c r="C215" s="12"/>
      <c r="D215" s="12"/>
      <c r="E215" s="11"/>
      <c r="F215" s="12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U215" s="12"/>
      <c r="V215" s="67"/>
      <c r="W215" s="370">
        <f t="shared" si="78"/>
        <v>0</v>
      </c>
    </row>
    <row r="216" spans="1:23" ht="18" customHeight="1" thickBot="1">
      <c r="A216" s="47"/>
      <c r="B216" s="17">
        <f t="shared" si="79"/>
        <v>8</v>
      </c>
      <c r="C216" s="284" t="s">
        <v>557</v>
      </c>
      <c r="D216" s="285"/>
      <c r="E216" s="316" t="s">
        <v>558</v>
      </c>
      <c r="F216" s="255">
        <f>+F214+F162</f>
        <v>909864678.68000007</v>
      </c>
      <c r="G216" s="316"/>
      <c r="H216" s="444"/>
      <c r="I216" s="1061"/>
      <c r="J216" s="446">
        <f t="shared" si="84" ref="J216:Q216">+J214+J162</f>
        <v>507253939.12108976</v>
      </c>
      <c r="K216" s="903">
        <f t="shared" si="84"/>
        <v>78205494.193357915</v>
      </c>
      <c r="L216" s="903">
        <f t="shared" si="84"/>
        <v>241227552.22159722</v>
      </c>
      <c r="M216" s="903">
        <f t="shared" si="84"/>
        <v>3387201.1008672989</v>
      </c>
      <c r="N216" s="903">
        <f t="shared" si="84"/>
        <v>70681762.538405567</v>
      </c>
      <c r="O216" s="903">
        <f>+O214+O162</f>
        <v>2415408.2909942679</v>
      </c>
      <c r="P216" s="903">
        <f t="shared" si="84"/>
        <v>5258158.048856752</v>
      </c>
      <c r="Q216" s="903">
        <f t="shared" si="84"/>
        <v>505641.93461668125</v>
      </c>
      <c r="R216" s="903">
        <f>+R214+R162</f>
        <v>278700.95665318484</v>
      </c>
      <c r="S216" s="380">
        <f>+S214+S162</f>
        <v>650820.27356152306</v>
      </c>
      <c r="T216" s="444"/>
      <c r="U216" s="256">
        <f>SUM(I216:T216)</f>
        <v>909864678.68000007</v>
      </c>
      <c r="V216" s="67"/>
      <c r="W216" s="370">
        <f t="shared" si="78"/>
        <v>0</v>
      </c>
    </row>
    <row r="217" spans="1:23" ht="18" customHeight="1" thickBot="1">
      <c r="A217" s="47"/>
      <c r="B217" s="17">
        <f t="shared" si="79"/>
        <v>9</v>
      </c>
      <c r="C217" s="8"/>
      <c r="D217" s="1"/>
      <c r="E217" s="17"/>
      <c r="F217" s="1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7"/>
      <c r="U217" s="1"/>
      <c r="V217" s="67"/>
      <c r="W217" s="370">
        <f t="shared" si="78"/>
        <v>0</v>
      </c>
    </row>
    <row r="218" spans="1:23" ht="18" customHeight="1" thickBot="1">
      <c r="A218" s="47"/>
      <c r="B218" s="17">
        <f t="shared" si="79"/>
        <v>10</v>
      </c>
      <c r="C218" s="284" t="s">
        <v>559</v>
      </c>
      <c r="D218" s="285"/>
      <c r="E218" s="316" t="s">
        <v>558</v>
      </c>
      <c r="F218" s="255">
        <f>+F214+F163</f>
        <v>724562965.72000003</v>
      </c>
      <c r="G218" s="316"/>
      <c r="H218" s="444"/>
      <c r="I218" s="1061"/>
      <c r="J218" s="446">
        <f t="shared" si="85" ref="J218:Q218">+J214+J163</f>
        <v>403947341.96731275</v>
      </c>
      <c r="K218" s="903">
        <f t="shared" si="85"/>
        <v>62278277.348390937</v>
      </c>
      <c r="L218" s="903">
        <f t="shared" si="85"/>
        <v>192099500.88910803</v>
      </c>
      <c r="M218" s="903">
        <f t="shared" si="85"/>
        <v>2697368.6666186289</v>
      </c>
      <c r="N218" s="903">
        <f t="shared" si="85"/>
        <v>56286817.905100495</v>
      </c>
      <c r="O218" s="903">
        <f>+O214+O163</f>
        <v>1923489.7625507235</v>
      </c>
      <c r="P218" s="903">
        <f t="shared" si="85"/>
        <v>4187289.252321959</v>
      </c>
      <c r="Q218" s="903">
        <f t="shared" si="85"/>
        <v>402663.63594834442</v>
      </c>
      <c r="R218" s="903">
        <f>+R214+R163</f>
        <v>221941.12644816042</v>
      </c>
      <c r="S218" s="380">
        <f>+S214+S163</f>
        <v>518275.16620005743</v>
      </c>
      <c r="T218" s="444"/>
      <c r="U218" s="256">
        <f>SUM(I218:T218)</f>
        <v>724562965.71999991</v>
      </c>
      <c r="V218" s="67"/>
      <c r="W218" s="370">
        <f t="shared" si="78"/>
        <v>0</v>
      </c>
    </row>
    <row r="219" spans="1:22" ht="18" customHeight="1">
      <c r="A219" s="4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</row>
    <row r="220" spans="1:22" ht="18" customHeight="1">
      <c r="A220" s="47"/>
      <c r="B220" s="67"/>
      <c r="C220" s="67"/>
      <c r="D220" s="67"/>
      <c r="E220" s="67"/>
      <c r="F220" s="67"/>
      <c r="G220" s="67"/>
      <c r="H220" s="134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134"/>
      <c r="V220" s="134">
        <f>$H$2</f>
        <v>0</v>
      </c>
    </row>
    <row r="221" spans="1:22" ht="18" customHeight="1" thickBot="1">
      <c r="A221" s="4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</row>
    <row r="222" spans="1:21" ht="18" customHeight="1">
      <c r="A222" s="47"/>
      <c r="B222" s="920" t="str">
        <f>+$B$4</f>
        <v>2022 RATE CASE</v>
      </c>
      <c r="C222" s="935"/>
      <c r="D222" s="620"/>
      <c r="F222" s="12"/>
      <c r="U222" s="134"/>
    </row>
    <row r="223" spans="1:22" ht="18" customHeight="1">
      <c r="A223" s="47"/>
      <c r="B223" s="917" t="str">
        <f>+$B$5</f>
        <v>ONCOR ELECTRIC DELIVERY COMPANY LLC</v>
      </c>
      <c r="C223" s="8"/>
      <c r="D223" s="621"/>
      <c r="F223" s="12"/>
      <c r="U223" s="134"/>
      <c r="V223" s="67"/>
    </row>
    <row r="224" spans="1:22" ht="18" customHeight="1">
      <c r="A224" s="47"/>
      <c r="B224" s="917" t="str">
        <f>+$B$6</f>
        <v>II-I-1-MET:  CLASS REVENUE REQUIREMENT</v>
      </c>
      <c r="C224" s="85"/>
      <c r="D224" s="621"/>
      <c r="F224" s="12"/>
      <c r="U224" s="12"/>
      <c r="V224" s="67"/>
    </row>
    <row r="225" spans="1:22" ht="18" customHeight="1">
      <c r="A225" s="47"/>
      <c r="B225" s="406" t="str">
        <f>+$B$7</f>
        <v>TEST YEAR ENDING 12/31/2021</v>
      </c>
      <c r="C225" s="85"/>
      <c r="D225" s="621"/>
      <c r="F225" s="12"/>
      <c r="U225" s="12"/>
      <c r="V225" s="67"/>
    </row>
    <row r="226" spans="1:22" ht="18" customHeight="1">
      <c r="A226" s="47"/>
      <c r="B226" s="406" t="str">
        <f>+$B$8</f>
        <v>SPONSOR:  MATTHEW A. TROXLE</v>
      </c>
      <c r="C226" s="85"/>
      <c r="D226" s="621"/>
      <c r="F226" s="12"/>
      <c r="U226" s="12"/>
      <c r="V226" s="67"/>
    </row>
    <row r="227" spans="1:22" ht="18" customHeight="1" thickBot="1">
      <c r="A227" s="47"/>
      <c r="B227" s="410"/>
      <c r="C227" s="934"/>
      <c r="D227" s="622"/>
      <c r="F227" s="12"/>
      <c r="U227" s="12"/>
      <c r="V227" s="67"/>
    </row>
    <row r="228" spans="1:22" ht="18" customHeight="1" thickBot="1">
      <c r="A228" s="47"/>
      <c r="B228" s="13"/>
      <c r="C228" s="14"/>
      <c r="D228" s="14"/>
      <c r="E228" s="14"/>
      <c r="F228" s="13"/>
      <c r="G228" s="14"/>
      <c r="H228" s="14"/>
      <c r="I228" s="14"/>
      <c r="J228" s="238"/>
      <c r="K228" s="238"/>
      <c r="L228" s="14"/>
      <c r="M228" s="238"/>
      <c r="N228" s="238"/>
      <c r="O228" s="238"/>
      <c r="P228" s="238"/>
      <c r="Q228" s="14"/>
      <c r="R228" s="393" t="str">
        <f>R$10</f>
        <v xml:space="preserve"> </v>
      </c>
      <c r="S228" s="394"/>
      <c r="T228" s="238"/>
      <c r="U228" s="13"/>
      <c r="V228" s="67"/>
    </row>
    <row r="229" spans="1:22" ht="18" customHeight="1">
      <c r="A229" s="47"/>
      <c r="B229" s="15" t="s">
        <v>2</v>
      </c>
      <c r="C229" s="15" t="s">
        <v>370</v>
      </c>
      <c r="D229" s="287" t="s">
        <v>560</v>
      </c>
      <c r="E229" s="15" t="s">
        <v>371</v>
      </c>
      <c r="F229" s="287" t="str">
        <f>F$11</f>
        <v>MET</v>
      </c>
      <c r="G229" s="242" t="s">
        <v>741</v>
      </c>
      <c r="H229" s="242" t="s">
        <v>376</v>
      </c>
      <c r="I229" s="15"/>
      <c r="J229" s="242" t="s">
        <v>730</v>
      </c>
      <c r="K229" s="242" t="s">
        <v>409</v>
      </c>
      <c r="L229" s="15" t="s">
        <v>409</v>
      </c>
      <c r="M229" s="242" t="s">
        <v>410</v>
      </c>
      <c r="N229" s="242" t="s">
        <v>410</v>
      </c>
      <c r="O229" s="242" t="s">
        <v>410</v>
      </c>
      <c r="P229" s="242" t="s">
        <v>411</v>
      </c>
      <c r="Q229" s="15" t="s">
        <v>412</v>
      </c>
      <c r="R229" s="396" t="str">
        <f>R$11</f>
        <v>Wholesale</v>
      </c>
      <c r="S229" s="13" t="str">
        <f>S$11</f>
        <v>Wholesale</v>
      </c>
      <c r="T229" s="242"/>
      <c r="U229" s="15" t="s">
        <v>10</v>
      </c>
      <c r="V229" s="67"/>
    </row>
    <row r="230" spans="1:22" ht="18" customHeight="1">
      <c r="A230" s="47"/>
      <c r="B230" s="15"/>
      <c r="C230" s="15"/>
      <c r="D230" s="15"/>
      <c r="E230" s="15"/>
      <c r="F230" s="15"/>
      <c r="G230" s="242" t="s">
        <v>742</v>
      </c>
      <c r="H230" s="242" t="s">
        <v>743</v>
      </c>
      <c r="I230" s="15"/>
      <c r="J230" s="242"/>
      <c r="K230" s="242" t="s">
        <v>731</v>
      </c>
      <c r="L230" s="15" t="s">
        <v>732</v>
      </c>
      <c r="M230" s="242" t="s">
        <v>731</v>
      </c>
      <c r="N230" s="242" t="s">
        <v>732</v>
      </c>
      <c r="O230" s="242" t="s">
        <v>414</v>
      </c>
      <c r="P230" s="242"/>
      <c r="Q230" s="15"/>
      <c r="R230" s="235" t="str">
        <f>R$12</f>
        <v>XFMR</v>
      </c>
      <c r="S230" s="15" t="str">
        <f>S$12</f>
        <v>DLS</v>
      </c>
      <c r="T230" s="242"/>
      <c r="U230" s="15"/>
      <c r="V230" s="67"/>
    </row>
    <row r="231" spans="1:22" ht="18" customHeight="1" thickBot="1">
      <c r="A231" s="47"/>
      <c r="B231" s="16"/>
      <c r="C231" s="16"/>
      <c r="D231" s="16"/>
      <c r="E231" s="16"/>
      <c r="F231" s="16" t="s">
        <v>13</v>
      </c>
      <c r="G231" s="16" t="s">
        <v>14</v>
      </c>
      <c r="H231" s="16" t="s">
        <v>15</v>
      </c>
      <c r="I231" s="16"/>
      <c r="J231" s="243" t="str">
        <f t="shared" si="86" ref="J231:Q231">J$13</f>
        <v>(d)</v>
      </c>
      <c r="K231" s="243" t="str">
        <f t="shared" si="86"/>
        <v>(e)</v>
      </c>
      <c r="L231" s="16" t="str">
        <f t="shared" si="86"/>
        <v>(f)</v>
      </c>
      <c r="M231" s="243" t="str">
        <f t="shared" si="86"/>
        <v>(g)</v>
      </c>
      <c r="N231" s="243" t="str">
        <f t="shared" si="86"/>
        <v>(h)</v>
      </c>
      <c r="O231" s="243" t="str">
        <f>O$13</f>
        <v>(i)</v>
      </c>
      <c r="P231" s="243" t="str">
        <f t="shared" si="86"/>
        <v>(j)</v>
      </c>
      <c r="Q231" s="243" t="str">
        <f t="shared" si="86"/>
        <v>(k)</v>
      </c>
      <c r="R231" s="243" t="str">
        <f>R$13</f>
        <v>(l)</v>
      </c>
      <c r="S231" s="16" t="str">
        <f>S$13</f>
        <v>(m)</v>
      </c>
      <c r="T231" s="16"/>
      <c r="U231" s="16" t="s">
        <v>734</v>
      </c>
      <c r="V231" s="67"/>
    </row>
    <row r="232" spans="1:22" ht="18" customHeight="1">
      <c r="A232" s="47"/>
      <c r="B232" s="67"/>
      <c r="C232" s="100"/>
      <c r="D232" s="100"/>
      <c r="E232" s="315"/>
      <c r="F232" s="100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1"/>
      <c r="V232" s="67"/>
    </row>
    <row r="233" spans="1:22" ht="18" customHeight="1">
      <c r="A233" s="47"/>
      <c r="B233" s="17">
        <f>B232+1</f>
        <v>1</v>
      </c>
      <c r="C233" s="8"/>
      <c r="D233" s="8" t="s">
        <v>560</v>
      </c>
      <c r="E233" s="20"/>
      <c r="F233" s="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8"/>
      <c r="V233" s="67"/>
    </row>
    <row r="234" spans="1:23" ht="18" customHeight="1">
      <c r="A234" s="47"/>
      <c r="B234" s="17">
        <f>B233+1</f>
        <v>2</v>
      </c>
      <c r="C234" s="1" t="s">
        <v>561</v>
      </c>
      <c r="D234" s="1" t="s">
        <v>116</v>
      </c>
      <c r="E234" s="17"/>
      <c r="F234" s="118">
        <f>' WP II-I-1.4'!H234</f>
        <v>0</v>
      </c>
      <c r="G234" s="40">
        <v>28</v>
      </c>
      <c r="H234" s="47" t="str">
        <f>VLOOKUP(G234,FactorTable,2)</f>
        <v>NCP XHV</v>
      </c>
      <c r="I234" s="17"/>
      <c r="J234" s="435">
        <f t="shared" si="87" ref="J234:S234">$F234*HLOOKUP(J$1318,FactorTable,$G234+1)</f>
        <v>0</v>
      </c>
      <c r="K234" s="435">
        <f t="shared" si="87"/>
        <v>0</v>
      </c>
      <c r="L234" s="435">
        <f t="shared" si="87"/>
        <v>0</v>
      </c>
      <c r="M234" s="435">
        <f t="shared" si="87"/>
        <v>0</v>
      </c>
      <c r="N234" s="435">
        <f t="shared" si="87"/>
        <v>0</v>
      </c>
      <c r="O234" s="435">
        <f t="shared" si="87"/>
        <v>0</v>
      </c>
      <c r="P234" s="435">
        <f t="shared" si="87"/>
        <v>0</v>
      </c>
      <c r="Q234" s="435">
        <f t="shared" si="87"/>
        <v>0</v>
      </c>
      <c r="R234" s="435">
        <f t="shared" si="87"/>
        <v>0</v>
      </c>
      <c r="S234" s="435">
        <f t="shared" si="87"/>
        <v>0</v>
      </c>
      <c r="T234" s="17"/>
      <c r="U234" s="118">
        <f>SUM(I234:T234)</f>
        <v>0</v>
      </c>
      <c r="V234" s="67"/>
      <c r="W234" s="370">
        <f>U234-F234</f>
        <v>0</v>
      </c>
    </row>
    <row r="235" spans="1:23" ht="18" customHeight="1">
      <c r="A235" s="47"/>
      <c r="B235" s="17">
        <f>B234+1</f>
        <v>3</v>
      </c>
      <c r="C235" s="1"/>
      <c r="D235" s="297" t="s">
        <v>491</v>
      </c>
      <c r="E235" s="20"/>
      <c r="F235" s="22">
        <f>+F234</f>
        <v>0</v>
      </c>
      <c r="G235" s="20"/>
      <c r="H235" s="20"/>
      <c r="I235" s="20"/>
      <c r="J235" s="22">
        <f t="shared" si="88" ref="J235:Q235">+J234</f>
        <v>0</v>
      </c>
      <c r="K235" s="22">
        <f t="shared" si="88"/>
        <v>0</v>
      </c>
      <c r="L235" s="22">
        <f t="shared" si="88"/>
        <v>0</v>
      </c>
      <c r="M235" s="22">
        <f t="shared" si="88"/>
        <v>0</v>
      </c>
      <c r="N235" s="22">
        <f t="shared" si="88"/>
        <v>0</v>
      </c>
      <c r="O235" s="22">
        <f>+O234</f>
        <v>0</v>
      </c>
      <c r="P235" s="22">
        <f t="shared" si="88"/>
        <v>0</v>
      </c>
      <c r="Q235" s="22">
        <f t="shared" si="88"/>
        <v>0</v>
      </c>
      <c r="R235" s="22">
        <f>+R234</f>
        <v>0</v>
      </c>
      <c r="S235" s="22">
        <f>+S234</f>
        <v>0</v>
      </c>
      <c r="T235" s="20"/>
      <c r="U235" s="299">
        <f>SUM(I235:T235)</f>
        <v>0</v>
      </c>
      <c r="V235" s="67"/>
      <c r="W235" s="370">
        <f>U235-F235</f>
        <v>0</v>
      </c>
    </row>
    <row r="236" spans="1:22" ht="18" customHeight="1" thickBot="1">
      <c r="A236" s="47"/>
      <c r="B236" s="17">
        <f>B235+1</f>
        <v>4</v>
      </c>
      <c r="C236" s="1"/>
      <c r="D236" s="1"/>
      <c r="E236" s="20"/>
      <c r="F236" s="19"/>
      <c r="G236" s="20"/>
      <c r="H236" s="20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  <c r="U236" s="8"/>
      <c r="V236" s="67"/>
    </row>
    <row r="237" spans="1:22" ht="18" customHeight="1" thickBot="1">
      <c r="A237" s="47"/>
      <c r="B237" s="17">
        <f>B236+1</f>
        <v>5</v>
      </c>
      <c r="C237" s="284" t="s">
        <v>562</v>
      </c>
      <c r="D237" s="285"/>
      <c r="E237" s="316" t="s">
        <v>117</v>
      </c>
      <c r="F237" s="255">
        <f>+F235</f>
        <v>0</v>
      </c>
      <c r="G237" s="316"/>
      <c r="H237" s="444"/>
      <c r="I237" s="445"/>
      <c r="J237" s="446">
        <f t="shared" si="89" ref="J237:Q237">+J235</f>
        <v>0</v>
      </c>
      <c r="K237" s="903">
        <f t="shared" si="89"/>
        <v>0</v>
      </c>
      <c r="L237" s="903">
        <f t="shared" si="89"/>
        <v>0</v>
      </c>
      <c r="M237" s="903">
        <f t="shared" si="89"/>
        <v>0</v>
      </c>
      <c r="N237" s="903">
        <f t="shared" si="89"/>
        <v>0</v>
      </c>
      <c r="O237" s="903">
        <f>+O235</f>
        <v>0</v>
      </c>
      <c r="P237" s="903">
        <f t="shared" si="89"/>
        <v>0</v>
      </c>
      <c r="Q237" s="903">
        <f t="shared" si="89"/>
        <v>0</v>
      </c>
      <c r="R237" s="903">
        <f>+R235</f>
        <v>0</v>
      </c>
      <c r="S237" s="380">
        <f>+S235</f>
        <v>0</v>
      </c>
      <c r="T237" s="445"/>
      <c r="U237" s="256">
        <f>SUM(I237:T237)</f>
        <v>0</v>
      </c>
      <c r="V237" s="67"/>
    </row>
    <row r="238" spans="1:22" ht="18" customHeight="1" thickBot="1">
      <c r="A238" s="4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</row>
    <row r="239" spans="1:22" ht="18" customHeight="1">
      <c r="A239" s="47"/>
      <c r="B239" s="920" t="str">
        <f>+$B$4</f>
        <v>2022 RATE CASE</v>
      </c>
      <c r="C239" s="935"/>
      <c r="D239" s="965"/>
      <c r="E239" s="67"/>
      <c r="F239" s="67"/>
      <c r="G239" s="67"/>
      <c r="H239" s="134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134"/>
      <c r="V239" s="134">
        <f>$H$2</f>
        <v>0</v>
      </c>
    </row>
    <row r="240" spans="1:22" ht="18" customHeight="1">
      <c r="A240" s="290"/>
      <c r="B240" s="917" t="str">
        <f>+$B$5</f>
        <v>ONCOR ELECTRIC DELIVERY COMPANY LLC</v>
      </c>
      <c r="C240" s="8"/>
      <c r="D240" s="966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134"/>
      <c r="V240" s="67"/>
    </row>
    <row r="241" spans="1:22" ht="18" customHeight="1">
      <c r="A241" s="47"/>
      <c r="B241" s="917" t="str">
        <f>+$B$6</f>
        <v>II-I-1-MET:  CLASS REVENUE REQUIREMENT</v>
      </c>
      <c r="C241" s="85"/>
      <c r="D241" s="921"/>
      <c r="E241" s="67"/>
      <c r="F241" s="12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12"/>
      <c r="V241" s="67"/>
    </row>
    <row r="242" spans="1:22" ht="18" customHeight="1">
      <c r="A242" s="47"/>
      <c r="B242" s="406" t="str">
        <f>+$B$7</f>
        <v>TEST YEAR ENDING 12/31/2021</v>
      </c>
      <c r="C242" s="85"/>
      <c r="D242" s="921"/>
      <c r="E242" s="67"/>
      <c r="F242" s="12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12"/>
      <c r="V242" s="67"/>
    </row>
    <row r="243" spans="1:22" ht="18" customHeight="1">
      <c r="A243" s="47"/>
      <c r="B243" s="406" t="str">
        <f>+$B$8</f>
        <v>SPONSOR:  MATTHEW A. TROXLE</v>
      </c>
      <c r="C243" s="85"/>
      <c r="D243" s="921"/>
      <c r="E243" s="67"/>
      <c r="F243" s="12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12"/>
      <c r="V243" s="67"/>
    </row>
    <row r="244" spans="1:23" ht="18" customHeight="1" thickBot="1">
      <c r="A244" s="47"/>
      <c r="B244" s="410"/>
      <c r="C244" s="934"/>
      <c r="D244" s="930"/>
      <c r="E244" s="67"/>
      <c r="F244" s="12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12"/>
      <c r="V244" s="67"/>
      <c r="W244" s="129"/>
    </row>
    <row r="245" spans="1:23" ht="18" customHeight="1" thickBot="1">
      <c r="A245" s="47"/>
      <c r="B245" s="13"/>
      <c r="C245" s="14"/>
      <c r="D245" s="14"/>
      <c r="E245" s="14"/>
      <c r="F245" s="13"/>
      <c r="G245" s="14"/>
      <c r="H245" s="14"/>
      <c r="I245" s="14"/>
      <c r="J245" s="238"/>
      <c r="K245" s="238"/>
      <c r="L245" s="14"/>
      <c r="M245" s="238"/>
      <c r="N245" s="238"/>
      <c r="O245" s="238"/>
      <c r="P245" s="238"/>
      <c r="Q245" s="14"/>
      <c r="R245" s="393" t="str">
        <f>R$10</f>
        <v xml:space="preserve"> </v>
      </c>
      <c r="S245" s="394"/>
      <c r="T245" s="238"/>
      <c r="U245" s="13"/>
      <c r="V245" s="67"/>
      <c r="W245" s="129"/>
    </row>
    <row r="246" spans="1:23" ht="18" customHeight="1">
      <c r="A246" s="47"/>
      <c r="B246" s="15" t="s">
        <v>2</v>
      </c>
      <c r="C246" s="15" t="s">
        <v>370</v>
      </c>
      <c r="D246" s="287" t="s">
        <v>563</v>
      </c>
      <c r="E246" s="15" t="s">
        <v>371</v>
      </c>
      <c r="F246" s="287" t="str">
        <f>F$11</f>
        <v>MET</v>
      </c>
      <c r="G246" s="242" t="s">
        <v>741</v>
      </c>
      <c r="H246" s="242" t="s">
        <v>376</v>
      </c>
      <c r="I246" s="15"/>
      <c r="J246" s="242" t="s">
        <v>730</v>
      </c>
      <c r="K246" s="242" t="s">
        <v>409</v>
      </c>
      <c r="L246" s="15" t="s">
        <v>409</v>
      </c>
      <c r="M246" s="242" t="s">
        <v>410</v>
      </c>
      <c r="N246" s="242" t="s">
        <v>410</v>
      </c>
      <c r="O246" s="242" t="s">
        <v>410</v>
      </c>
      <c r="P246" s="242" t="s">
        <v>411</v>
      </c>
      <c r="Q246" s="15" t="s">
        <v>412</v>
      </c>
      <c r="R246" s="396" t="str">
        <f>R$11</f>
        <v>Wholesale</v>
      </c>
      <c r="S246" s="13" t="str">
        <f>S$11</f>
        <v>Wholesale</v>
      </c>
      <c r="T246" s="242"/>
      <c r="U246" s="15" t="s">
        <v>10</v>
      </c>
      <c r="V246" s="67"/>
      <c r="W246" s="129"/>
    </row>
    <row r="247" spans="1:23" ht="18" customHeight="1">
      <c r="A247" s="47"/>
      <c r="B247" s="15"/>
      <c r="C247" s="15"/>
      <c r="D247" s="15"/>
      <c r="E247" s="15"/>
      <c r="F247" s="15"/>
      <c r="G247" s="242" t="s">
        <v>742</v>
      </c>
      <c r="H247" s="242" t="s">
        <v>743</v>
      </c>
      <c r="I247" s="15"/>
      <c r="J247" s="242"/>
      <c r="K247" s="242" t="s">
        <v>731</v>
      </c>
      <c r="L247" s="15" t="s">
        <v>732</v>
      </c>
      <c r="M247" s="242" t="s">
        <v>731</v>
      </c>
      <c r="N247" s="242" t="s">
        <v>732</v>
      </c>
      <c r="O247" s="242" t="s">
        <v>414</v>
      </c>
      <c r="P247" s="242"/>
      <c r="Q247" s="15"/>
      <c r="R247" s="235" t="str">
        <f>R$12</f>
        <v>XFMR</v>
      </c>
      <c r="S247" s="15" t="str">
        <f>S$12</f>
        <v>DLS</v>
      </c>
      <c r="T247" s="242"/>
      <c r="U247" s="15"/>
      <c r="V247" s="67"/>
      <c r="W247" s="129"/>
    </row>
    <row r="248" spans="1:23" ht="18" customHeight="1" thickBot="1">
      <c r="A248" s="47"/>
      <c r="B248" s="16"/>
      <c r="C248" s="16"/>
      <c r="D248" s="16"/>
      <c r="E248" s="16"/>
      <c r="F248" s="16" t="s">
        <v>13</v>
      </c>
      <c r="G248" s="16" t="s">
        <v>14</v>
      </c>
      <c r="H248" s="16" t="s">
        <v>15</v>
      </c>
      <c r="I248" s="16"/>
      <c r="J248" s="243" t="str">
        <f t="shared" si="90" ref="J248:Q248">J$13</f>
        <v>(d)</v>
      </c>
      <c r="K248" s="243" t="str">
        <f t="shared" si="90"/>
        <v>(e)</v>
      </c>
      <c r="L248" s="16" t="str">
        <f t="shared" si="90"/>
        <v>(f)</v>
      </c>
      <c r="M248" s="243" t="str">
        <f t="shared" si="90"/>
        <v>(g)</v>
      </c>
      <c r="N248" s="243" t="str">
        <f t="shared" si="90"/>
        <v>(h)</v>
      </c>
      <c r="O248" s="243" t="str">
        <f>O$13</f>
        <v>(i)</v>
      </c>
      <c r="P248" s="243" t="str">
        <f t="shared" si="90"/>
        <v>(j)</v>
      </c>
      <c r="Q248" s="243" t="str">
        <f t="shared" si="90"/>
        <v>(k)</v>
      </c>
      <c r="R248" s="243" t="str">
        <f>R$13</f>
        <v>(l)</v>
      </c>
      <c r="S248" s="16" t="str">
        <f>S$13</f>
        <v>(m)</v>
      </c>
      <c r="T248" s="16"/>
      <c r="U248" s="16" t="s">
        <v>734</v>
      </c>
      <c r="V248" s="67"/>
      <c r="W248" s="129"/>
    </row>
    <row r="249" spans="1:23" ht="18" customHeight="1">
      <c r="A249" s="47"/>
      <c r="B249" s="67"/>
      <c r="C249" s="67"/>
      <c r="D249" s="100"/>
      <c r="E249" s="100"/>
      <c r="F249" s="288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67"/>
      <c r="W249" s="129"/>
    </row>
    <row r="250" spans="1:23" ht="18" customHeight="1">
      <c r="A250" s="47"/>
      <c r="B250" s="17">
        <f t="shared" si="91" ref="B250:B266">B249+1</f>
        <v>1</v>
      </c>
      <c r="C250" s="8" t="s">
        <v>564</v>
      </c>
      <c r="D250" s="8"/>
      <c r="E250" s="20" t="s">
        <v>24</v>
      </c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1010"/>
      <c r="U250" s="8"/>
      <c r="V250" s="67"/>
      <c r="W250" s="370">
        <f t="shared" si="92" ref="W250:W313">U250-F250</f>
        <v>0</v>
      </c>
    </row>
    <row r="251" spans="1:23" ht="18" customHeight="1">
      <c r="A251" s="47"/>
      <c r="B251" s="17">
        <f t="shared" si="91"/>
        <v>2</v>
      </c>
      <c r="C251" s="1" t="s">
        <v>25</v>
      </c>
      <c r="D251" s="1" t="s">
        <v>26</v>
      </c>
      <c r="E251" s="17"/>
      <c r="F251" s="118">
        <f>' WP II-I-1.4'!H251</f>
        <v>0</v>
      </c>
      <c r="G251" s="17">
        <v>65</v>
      </c>
      <c r="H251" s="47" t="str">
        <f>VLOOKUP(G251,FactorTable,2)</f>
        <v>PLT_N XINT</v>
      </c>
      <c r="I251" s="17"/>
      <c r="J251" s="434">
        <f t="shared" si="93" ref="J251:S253">$F251*HLOOKUP(J$1318,FactorTable,$G251+1)</f>
        <v>0</v>
      </c>
      <c r="K251" s="434">
        <f t="shared" si="93"/>
        <v>0</v>
      </c>
      <c r="L251" s="434">
        <f t="shared" si="93"/>
        <v>0</v>
      </c>
      <c r="M251" s="434">
        <f t="shared" si="93"/>
        <v>0</v>
      </c>
      <c r="N251" s="434">
        <f t="shared" si="93"/>
        <v>0</v>
      </c>
      <c r="O251" s="434">
        <f t="shared" si="93"/>
        <v>0</v>
      </c>
      <c r="P251" s="434">
        <f t="shared" si="93"/>
        <v>0</v>
      </c>
      <c r="Q251" s="434">
        <f t="shared" si="93"/>
        <v>0</v>
      </c>
      <c r="R251" s="434">
        <f t="shared" si="93"/>
        <v>0</v>
      </c>
      <c r="S251" s="434">
        <f t="shared" si="93"/>
        <v>0</v>
      </c>
      <c r="T251" s="17"/>
      <c r="U251" s="118">
        <f>SUM(I251:T251)</f>
        <v>0</v>
      </c>
      <c r="V251" s="67"/>
      <c r="W251" s="370">
        <f t="shared" si="92"/>
        <v>0</v>
      </c>
    </row>
    <row r="252" spans="1:23" ht="18" customHeight="1">
      <c r="A252" s="47"/>
      <c r="B252" s="17">
        <f t="shared" si="91"/>
        <v>3</v>
      </c>
      <c r="C252" s="1" t="s">
        <v>27</v>
      </c>
      <c r="D252" s="1" t="s">
        <v>28</v>
      </c>
      <c r="E252" s="17"/>
      <c r="F252" s="118">
        <f>' WP II-I-1.4'!H252</f>
        <v>0</v>
      </c>
      <c r="G252" s="17">
        <v>65</v>
      </c>
      <c r="H252" s="47" t="str">
        <f>VLOOKUP(G252,FactorTable,2)</f>
        <v>PLT_N XINT</v>
      </c>
      <c r="I252" s="17"/>
      <c r="J252" s="434">
        <f t="shared" si="93"/>
        <v>0</v>
      </c>
      <c r="K252" s="434">
        <f t="shared" si="93"/>
        <v>0</v>
      </c>
      <c r="L252" s="434">
        <f t="shared" si="93"/>
        <v>0</v>
      </c>
      <c r="M252" s="434">
        <f t="shared" si="93"/>
        <v>0</v>
      </c>
      <c r="N252" s="434">
        <f t="shared" si="93"/>
        <v>0</v>
      </c>
      <c r="O252" s="434">
        <f t="shared" si="93"/>
        <v>0</v>
      </c>
      <c r="P252" s="434">
        <f t="shared" si="93"/>
        <v>0</v>
      </c>
      <c r="Q252" s="434">
        <f t="shared" si="93"/>
        <v>0</v>
      </c>
      <c r="R252" s="434">
        <f t="shared" si="93"/>
        <v>0</v>
      </c>
      <c r="S252" s="434">
        <f t="shared" si="93"/>
        <v>0</v>
      </c>
      <c r="T252" s="17"/>
      <c r="U252" s="118">
        <f>SUM(I252:T252)</f>
        <v>0</v>
      </c>
      <c r="V252" s="67"/>
      <c r="W252" s="370">
        <f t="shared" si="92"/>
        <v>0</v>
      </c>
    </row>
    <row r="253" spans="1:23" ht="18" customHeight="1">
      <c r="A253" s="47"/>
      <c r="B253" s="17">
        <f t="shared" si="91"/>
        <v>4</v>
      </c>
      <c r="C253" s="1" t="s">
        <v>29</v>
      </c>
      <c r="D253" s="1" t="s">
        <v>34</v>
      </c>
      <c r="E253" s="17"/>
      <c r="F253" s="118">
        <f>' WP II-I-1.4'!H253</f>
        <v>155161422.72999999</v>
      </c>
      <c r="G253" s="17">
        <v>65</v>
      </c>
      <c r="H253" s="47" t="str">
        <f>VLOOKUP(G253,FactorTable,2)</f>
        <v>PLT_N XINT</v>
      </c>
      <c r="I253" s="17"/>
      <c r="J253" s="435">
        <f t="shared" si="93"/>
        <v>86503240.233052433</v>
      </c>
      <c r="K253" s="435">
        <f t="shared" si="93"/>
        <v>13336571.941608334</v>
      </c>
      <c r="L253" s="435">
        <f t="shared" si="93"/>
        <v>41137117.509253561</v>
      </c>
      <c r="M253" s="435">
        <f t="shared" si="93"/>
        <v>577627.59034196264</v>
      </c>
      <c r="N253" s="435">
        <f t="shared" si="93"/>
        <v>12053531.798194084</v>
      </c>
      <c r="O253" s="435">
        <f t="shared" si="93"/>
        <v>411905.4137239657</v>
      </c>
      <c r="P253" s="435">
        <f t="shared" si="93"/>
        <v>896686.40064524836</v>
      </c>
      <c r="Q253" s="435">
        <f t="shared" si="93"/>
        <v>86228.341208821628</v>
      </c>
      <c r="R253" s="435">
        <f t="shared" si="93"/>
        <v>47527.547737380672</v>
      </c>
      <c r="S253" s="435">
        <f t="shared" si="93"/>
        <v>110985.95423424416</v>
      </c>
      <c r="T253" s="17"/>
      <c r="U253" s="118">
        <f>SUM(I253:T253)</f>
        <v>155161422.73000005</v>
      </c>
      <c r="V253" s="67"/>
      <c r="W253" s="370">
        <f t="shared" si="92"/>
        <v>0</v>
      </c>
    </row>
    <row r="254" spans="1:23" ht="18" customHeight="1">
      <c r="A254" s="47"/>
      <c r="B254" s="17">
        <f t="shared" si="91"/>
        <v>5</v>
      </c>
      <c r="C254" s="8"/>
      <c r="D254" s="297" t="s">
        <v>491</v>
      </c>
      <c r="E254" s="20"/>
      <c r="F254" s="298">
        <f>SUM(F251:F253)</f>
        <v>155161422.72999999</v>
      </c>
      <c r="G254" s="17"/>
      <c r="H254" s="17"/>
      <c r="I254" s="1010"/>
      <c r="J254" s="907">
        <f t="shared" si="94" ref="J254:Q254">SUM(J251:J253)</f>
        <v>86503240.233052433</v>
      </c>
      <c r="K254" s="907">
        <f t="shared" si="94"/>
        <v>13336571.941608334</v>
      </c>
      <c r="L254" s="907">
        <f t="shared" si="94"/>
        <v>41137117.509253561</v>
      </c>
      <c r="M254" s="907">
        <f t="shared" si="94"/>
        <v>577627.59034196264</v>
      </c>
      <c r="N254" s="907">
        <f t="shared" si="94"/>
        <v>12053531.798194084</v>
      </c>
      <c r="O254" s="907">
        <f>SUM(O251:O253)</f>
        <v>411905.4137239657</v>
      </c>
      <c r="P254" s="907">
        <f t="shared" si="94"/>
        <v>896686.40064524836</v>
      </c>
      <c r="Q254" s="907">
        <f t="shared" si="94"/>
        <v>86228.341208821628</v>
      </c>
      <c r="R254" s="907">
        <f>SUM(R251:R253)</f>
        <v>47527.547737380672</v>
      </c>
      <c r="S254" s="907">
        <f>SUM(S251:S253)</f>
        <v>110985.95423424416</v>
      </c>
      <c r="T254" s="1010"/>
      <c r="U254" s="299">
        <f>SUM(I254:T254)</f>
        <v>155161422.73000005</v>
      </c>
      <c r="V254" s="67"/>
      <c r="W254" s="370">
        <f t="shared" si="92"/>
        <v>0</v>
      </c>
    </row>
    <row r="255" spans="1:23" ht="18" customHeight="1">
      <c r="A255" s="47"/>
      <c r="B255" s="17">
        <f t="shared" si="91"/>
        <v>6</v>
      </c>
      <c r="C255" s="8" t="s">
        <v>573</v>
      </c>
      <c r="D255" s="8"/>
      <c r="E255" s="20" t="s">
        <v>24</v>
      </c>
      <c r="F255" s="22"/>
      <c r="G255" s="20"/>
      <c r="H255" s="20"/>
      <c r="I255" s="1010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10"/>
      <c r="U255" s="8"/>
      <c r="V255" s="67"/>
      <c r="W255" s="370">
        <f t="shared" si="92"/>
        <v>0</v>
      </c>
    </row>
    <row r="256" spans="1:23" ht="18" customHeight="1">
      <c r="A256" s="47"/>
      <c r="B256" s="17">
        <f t="shared" si="91"/>
        <v>7</v>
      </c>
      <c r="C256" s="1" t="s">
        <v>39</v>
      </c>
      <c r="D256" s="1" t="s">
        <v>40</v>
      </c>
      <c r="E256" s="20"/>
      <c r="F256" s="118">
        <f>' WP II-I-1.4'!H256</f>
        <v>0</v>
      </c>
      <c r="G256" s="17">
        <v>28</v>
      </c>
      <c r="H256" s="28" t="str">
        <f t="shared" si="95" ref="H256:H265">VLOOKUP(G256,FactorTable,2)</f>
        <v>NCP XHV</v>
      </c>
      <c r="I256" s="1010"/>
      <c r="J256" s="434">
        <f t="shared" si="96" ref="J256:S265">$F256*HLOOKUP(J$1318,FactorTable,$G256+1)</f>
        <v>0</v>
      </c>
      <c r="K256" s="434">
        <f t="shared" si="96"/>
        <v>0</v>
      </c>
      <c r="L256" s="434">
        <f t="shared" si="96"/>
        <v>0</v>
      </c>
      <c r="M256" s="434">
        <f t="shared" si="96"/>
        <v>0</v>
      </c>
      <c r="N256" s="434">
        <f t="shared" si="96"/>
        <v>0</v>
      </c>
      <c r="O256" s="434">
        <f t="shared" si="96"/>
        <v>0</v>
      </c>
      <c r="P256" s="434">
        <f t="shared" si="96"/>
        <v>0</v>
      </c>
      <c r="Q256" s="434">
        <f t="shared" si="96"/>
        <v>0</v>
      </c>
      <c r="R256" s="434">
        <f t="shared" si="96"/>
        <v>0</v>
      </c>
      <c r="S256" s="434">
        <f t="shared" si="96"/>
        <v>0</v>
      </c>
      <c r="T256" s="1010"/>
      <c r="U256" s="118">
        <f t="shared" si="97" ref="U256:U266">SUM(I256:T256)</f>
        <v>0</v>
      </c>
      <c r="V256" s="67"/>
      <c r="W256" s="370">
        <f t="shared" si="92"/>
        <v>0</v>
      </c>
    </row>
    <row r="257" spans="1:23" ht="18" customHeight="1">
      <c r="A257" s="47"/>
      <c r="B257" s="17">
        <f t="shared" si="91"/>
        <v>8</v>
      </c>
      <c r="C257" s="1" t="s">
        <v>41</v>
      </c>
      <c r="D257" s="1" t="s">
        <v>42</v>
      </c>
      <c r="E257" s="17"/>
      <c r="F257" s="118">
        <f>' WP II-I-1.4'!H257</f>
        <v>0</v>
      </c>
      <c r="G257" s="17">
        <v>28</v>
      </c>
      <c r="H257" s="28" t="str">
        <f t="shared" si="95"/>
        <v>NCP XHV</v>
      </c>
      <c r="I257" s="17"/>
      <c r="J257" s="434">
        <f t="shared" si="96"/>
        <v>0</v>
      </c>
      <c r="K257" s="434">
        <f t="shared" si="96"/>
        <v>0</v>
      </c>
      <c r="L257" s="434">
        <f t="shared" si="96"/>
        <v>0</v>
      </c>
      <c r="M257" s="434">
        <f t="shared" si="96"/>
        <v>0</v>
      </c>
      <c r="N257" s="434">
        <f t="shared" si="96"/>
        <v>0</v>
      </c>
      <c r="O257" s="434">
        <f t="shared" si="96"/>
        <v>0</v>
      </c>
      <c r="P257" s="434">
        <f t="shared" si="96"/>
        <v>0</v>
      </c>
      <c r="Q257" s="434">
        <f t="shared" si="96"/>
        <v>0</v>
      </c>
      <c r="R257" s="434">
        <f t="shared" si="96"/>
        <v>0</v>
      </c>
      <c r="S257" s="434">
        <f t="shared" si="96"/>
        <v>0</v>
      </c>
      <c r="T257" s="17"/>
      <c r="U257" s="118">
        <f t="shared" si="97"/>
        <v>0</v>
      </c>
      <c r="V257" s="67"/>
      <c r="W257" s="370">
        <f t="shared" si="92"/>
        <v>0</v>
      </c>
    </row>
    <row r="258" spans="1:23" ht="18" customHeight="1">
      <c r="A258" s="47"/>
      <c r="B258" s="17">
        <f t="shared" si="91"/>
        <v>9</v>
      </c>
      <c r="C258" s="1" t="s">
        <v>43</v>
      </c>
      <c r="D258" s="1" t="s">
        <v>44</v>
      </c>
      <c r="E258" s="17"/>
      <c r="F258" s="118">
        <f>' WP II-I-1.4'!H258</f>
        <v>0</v>
      </c>
      <c r="G258" s="17">
        <v>28</v>
      </c>
      <c r="H258" s="28" t="str">
        <f t="shared" si="95"/>
        <v>NCP XHV</v>
      </c>
      <c r="I258" s="17"/>
      <c r="J258" s="434">
        <f t="shared" si="96"/>
        <v>0</v>
      </c>
      <c r="K258" s="434">
        <f t="shared" si="96"/>
        <v>0</v>
      </c>
      <c r="L258" s="434">
        <f t="shared" si="96"/>
        <v>0</v>
      </c>
      <c r="M258" s="434">
        <f t="shared" si="96"/>
        <v>0</v>
      </c>
      <c r="N258" s="434">
        <f t="shared" si="96"/>
        <v>0</v>
      </c>
      <c r="O258" s="434">
        <f t="shared" si="96"/>
        <v>0</v>
      </c>
      <c r="P258" s="434">
        <f t="shared" si="96"/>
        <v>0</v>
      </c>
      <c r="Q258" s="434">
        <f t="shared" si="96"/>
        <v>0</v>
      </c>
      <c r="R258" s="434">
        <f t="shared" si="96"/>
        <v>0</v>
      </c>
      <c r="S258" s="434">
        <f t="shared" si="96"/>
        <v>0</v>
      </c>
      <c r="T258" s="17"/>
      <c r="U258" s="118">
        <f t="shared" si="97"/>
        <v>0</v>
      </c>
      <c r="V258" s="67"/>
      <c r="W258" s="370">
        <f t="shared" si="92"/>
        <v>0</v>
      </c>
    </row>
    <row r="259" spans="1:23" ht="18" customHeight="1">
      <c r="A259" s="47"/>
      <c r="B259" s="17">
        <f t="shared" si="91"/>
        <v>10</v>
      </c>
      <c r="C259" s="1" t="s">
        <v>45</v>
      </c>
      <c r="D259" s="1" t="s">
        <v>46</v>
      </c>
      <c r="E259" s="17"/>
      <c r="F259" s="118">
        <f>' WP II-I-1.4'!H259</f>
        <v>0</v>
      </c>
      <c r="G259" s="17">
        <v>28</v>
      </c>
      <c r="H259" s="28" t="str">
        <f t="shared" si="95"/>
        <v>NCP XHV</v>
      </c>
      <c r="I259" s="17"/>
      <c r="J259" s="434">
        <f t="shared" si="96"/>
        <v>0</v>
      </c>
      <c r="K259" s="434">
        <f t="shared" si="96"/>
        <v>0</v>
      </c>
      <c r="L259" s="434">
        <f t="shared" si="96"/>
        <v>0</v>
      </c>
      <c r="M259" s="434">
        <f t="shared" si="96"/>
        <v>0</v>
      </c>
      <c r="N259" s="434">
        <f t="shared" si="96"/>
        <v>0</v>
      </c>
      <c r="O259" s="434">
        <f t="shared" si="96"/>
        <v>0</v>
      </c>
      <c r="P259" s="434">
        <f t="shared" si="96"/>
        <v>0</v>
      </c>
      <c r="Q259" s="434">
        <f t="shared" si="96"/>
        <v>0</v>
      </c>
      <c r="R259" s="434">
        <f t="shared" si="96"/>
        <v>0</v>
      </c>
      <c r="S259" s="434">
        <f t="shared" si="96"/>
        <v>0</v>
      </c>
      <c r="T259" s="17"/>
      <c r="U259" s="118">
        <f t="shared" si="97"/>
        <v>0</v>
      </c>
      <c r="V259" s="67"/>
      <c r="W259" s="370">
        <f t="shared" si="92"/>
        <v>0</v>
      </c>
    </row>
    <row r="260" spans="1:23" ht="18" customHeight="1">
      <c r="A260" s="47"/>
      <c r="B260" s="17">
        <f t="shared" si="91"/>
        <v>11</v>
      </c>
      <c r="C260" s="1" t="s">
        <v>47</v>
      </c>
      <c r="D260" s="1" t="s">
        <v>48</v>
      </c>
      <c r="E260" s="17"/>
      <c r="F260" s="118">
        <f>' WP II-I-1.4'!H260</f>
        <v>0</v>
      </c>
      <c r="G260" s="17">
        <v>28</v>
      </c>
      <c r="H260" s="28" t="str">
        <f t="shared" si="95"/>
        <v>NCP XHV</v>
      </c>
      <c r="I260" s="17"/>
      <c r="J260" s="434">
        <f t="shared" si="96"/>
        <v>0</v>
      </c>
      <c r="K260" s="434">
        <f t="shared" si="96"/>
        <v>0</v>
      </c>
      <c r="L260" s="434">
        <f t="shared" si="96"/>
        <v>0</v>
      </c>
      <c r="M260" s="434">
        <f t="shared" si="96"/>
        <v>0</v>
      </c>
      <c r="N260" s="434">
        <f t="shared" si="96"/>
        <v>0</v>
      </c>
      <c r="O260" s="434">
        <f t="shared" si="96"/>
        <v>0</v>
      </c>
      <c r="P260" s="434">
        <f t="shared" si="96"/>
        <v>0</v>
      </c>
      <c r="Q260" s="434">
        <f t="shared" si="96"/>
        <v>0</v>
      </c>
      <c r="R260" s="434">
        <f t="shared" si="96"/>
        <v>0</v>
      </c>
      <c r="S260" s="434">
        <f t="shared" si="96"/>
        <v>0</v>
      </c>
      <c r="T260" s="17"/>
      <c r="U260" s="118">
        <f t="shared" si="97"/>
        <v>0</v>
      </c>
      <c r="V260" s="67"/>
      <c r="W260" s="370">
        <f t="shared" si="92"/>
        <v>0</v>
      </c>
    </row>
    <row r="261" spans="1:23" ht="18" customHeight="1">
      <c r="A261" s="47"/>
      <c r="B261" s="17">
        <f t="shared" si="91"/>
        <v>12</v>
      </c>
      <c r="C261" s="1" t="s">
        <v>49</v>
      </c>
      <c r="D261" s="1" t="s">
        <v>50</v>
      </c>
      <c r="E261" s="17"/>
      <c r="F261" s="118">
        <f>' WP II-I-1.4'!H261</f>
        <v>0</v>
      </c>
      <c r="G261" s="17">
        <v>28</v>
      </c>
      <c r="H261" s="28" t="str">
        <f t="shared" si="95"/>
        <v>NCP XHV</v>
      </c>
      <c r="I261" s="17"/>
      <c r="J261" s="434">
        <f t="shared" si="96"/>
        <v>0</v>
      </c>
      <c r="K261" s="434">
        <f t="shared" si="96"/>
        <v>0</v>
      </c>
      <c r="L261" s="434">
        <f t="shared" si="96"/>
        <v>0</v>
      </c>
      <c r="M261" s="434">
        <f t="shared" si="96"/>
        <v>0</v>
      </c>
      <c r="N261" s="434">
        <f t="shared" si="96"/>
        <v>0</v>
      </c>
      <c r="O261" s="434">
        <f t="shared" si="96"/>
        <v>0</v>
      </c>
      <c r="P261" s="434">
        <f t="shared" si="96"/>
        <v>0</v>
      </c>
      <c r="Q261" s="434">
        <f t="shared" si="96"/>
        <v>0</v>
      </c>
      <c r="R261" s="434">
        <f t="shared" si="96"/>
        <v>0</v>
      </c>
      <c r="S261" s="434">
        <f t="shared" si="96"/>
        <v>0</v>
      </c>
      <c r="T261" s="17"/>
      <c r="U261" s="118">
        <f t="shared" si="97"/>
        <v>0</v>
      </c>
      <c r="V261" s="67"/>
      <c r="W261" s="370">
        <f t="shared" si="92"/>
        <v>0</v>
      </c>
    </row>
    <row r="262" spans="1:23" ht="18" customHeight="1">
      <c r="A262" s="47"/>
      <c r="B262" s="17">
        <f t="shared" si="91"/>
        <v>13</v>
      </c>
      <c r="C262" s="1" t="s">
        <v>51</v>
      </c>
      <c r="D262" s="1" t="s">
        <v>534</v>
      </c>
      <c r="E262" s="17"/>
      <c r="F262" s="118">
        <f>' WP II-I-1.4'!H262</f>
        <v>0</v>
      </c>
      <c r="G262" s="17">
        <v>28</v>
      </c>
      <c r="H262" s="28" t="str">
        <f t="shared" si="95"/>
        <v>NCP XHV</v>
      </c>
      <c r="I262" s="17"/>
      <c r="J262" s="434">
        <f t="shared" si="96"/>
        <v>0</v>
      </c>
      <c r="K262" s="434">
        <f t="shared" si="96"/>
        <v>0</v>
      </c>
      <c r="L262" s="434">
        <f t="shared" si="96"/>
        <v>0</v>
      </c>
      <c r="M262" s="434">
        <f t="shared" si="96"/>
        <v>0</v>
      </c>
      <c r="N262" s="434">
        <f t="shared" si="96"/>
        <v>0</v>
      </c>
      <c r="O262" s="434">
        <f t="shared" si="96"/>
        <v>0</v>
      </c>
      <c r="P262" s="434">
        <f t="shared" si="96"/>
        <v>0</v>
      </c>
      <c r="Q262" s="434">
        <f t="shared" si="96"/>
        <v>0</v>
      </c>
      <c r="R262" s="434">
        <f t="shared" si="96"/>
        <v>0</v>
      </c>
      <c r="S262" s="434">
        <f t="shared" si="96"/>
        <v>0</v>
      </c>
      <c r="T262" s="17"/>
      <c r="U262" s="118">
        <f t="shared" si="97"/>
        <v>0</v>
      </c>
      <c r="V262" s="67"/>
      <c r="W262" s="370">
        <f t="shared" si="92"/>
        <v>0</v>
      </c>
    </row>
    <row r="263" spans="1:23" ht="18" customHeight="1">
      <c r="A263" s="47"/>
      <c r="B263" s="17">
        <f t="shared" si="91"/>
        <v>14</v>
      </c>
      <c r="C263" s="1" t="s">
        <v>53</v>
      </c>
      <c r="D263" s="1" t="s">
        <v>54</v>
      </c>
      <c r="E263" s="17"/>
      <c r="F263" s="118">
        <f>' WP II-I-1.4'!H263</f>
        <v>0</v>
      </c>
      <c r="G263" s="17">
        <v>28</v>
      </c>
      <c r="H263" s="28" t="str">
        <f t="shared" si="95"/>
        <v>NCP XHV</v>
      </c>
      <c r="I263" s="17"/>
      <c r="J263" s="434">
        <f t="shared" si="96"/>
        <v>0</v>
      </c>
      <c r="K263" s="434">
        <f t="shared" si="96"/>
        <v>0</v>
      </c>
      <c r="L263" s="434">
        <f t="shared" si="96"/>
        <v>0</v>
      </c>
      <c r="M263" s="434">
        <f t="shared" si="96"/>
        <v>0</v>
      </c>
      <c r="N263" s="434">
        <f t="shared" si="96"/>
        <v>0</v>
      </c>
      <c r="O263" s="434">
        <f t="shared" si="96"/>
        <v>0</v>
      </c>
      <c r="P263" s="434">
        <f t="shared" si="96"/>
        <v>0</v>
      </c>
      <c r="Q263" s="434">
        <f t="shared" si="96"/>
        <v>0</v>
      </c>
      <c r="R263" s="434">
        <f t="shared" si="96"/>
        <v>0</v>
      </c>
      <c r="S263" s="434">
        <f t="shared" si="96"/>
        <v>0</v>
      </c>
      <c r="T263" s="17"/>
      <c r="U263" s="118">
        <f t="shared" si="97"/>
        <v>0</v>
      </c>
      <c r="V263" s="67"/>
      <c r="W263" s="370">
        <f t="shared" si="92"/>
        <v>0</v>
      </c>
    </row>
    <row r="264" spans="1:23" ht="18" customHeight="1">
      <c r="A264" s="47"/>
      <c r="B264" s="17">
        <f t="shared" si="91"/>
        <v>15</v>
      </c>
      <c r="C264" s="1" t="s">
        <v>55</v>
      </c>
      <c r="D264" s="31" t="s">
        <v>535</v>
      </c>
      <c r="E264" s="17"/>
      <c r="F264" s="118">
        <f>' WP II-I-1.4'!H264</f>
        <v>0</v>
      </c>
      <c r="G264" s="17">
        <v>28</v>
      </c>
      <c r="H264" s="28" t="str">
        <f t="shared" si="95"/>
        <v>NCP XHV</v>
      </c>
      <c r="I264" s="17"/>
      <c r="J264" s="434">
        <f t="shared" si="96"/>
        <v>0</v>
      </c>
      <c r="K264" s="434">
        <f t="shared" si="96"/>
        <v>0</v>
      </c>
      <c r="L264" s="434">
        <f t="shared" si="96"/>
        <v>0</v>
      </c>
      <c r="M264" s="434">
        <f t="shared" si="96"/>
        <v>0</v>
      </c>
      <c r="N264" s="434">
        <f t="shared" si="96"/>
        <v>0</v>
      </c>
      <c r="O264" s="434">
        <f t="shared" si="96"/>
        <v>0</v>
      </c>
      <c r="P264" s="434">
        <f t="shared" si="96"/>
        <v>0</v>
      </c>
      <c r="Q264" s="434">
        <f t="shared" si="96"/>
        <v>0</v>
      </c>
      <c r="R264" s="434">
        <f t="shared" si="96"/>
        <v>0</v>
      </c>
      <c r="S264" s="434">
        <f t="shared" si="96"/>
        <v>0</v>
      </c>
      <c r="T264" s="17"/>
      <c r="U264" s="118">
        <f t="shared" si="97"/>
        <v>0</v>
      </c>
      <c r="V264" s="67"/>
      <c r="W264" s="370">
        <f t="shared" si="92"/>
        <v>0</v>
      </c>
    </row>
    <row r="265" spans="1:23" ht="18" customHeight="1">
      <c r="A265" s="47"/>
      <c r="B265" s="17">
        <f t="shared" si="91"/>
        <v>16</v>
      </c>
      <c r="C265" s="1" t="s">
        <v>57</v>
      </c>
      <c r="D265" s="1" t="s">
        <v>58</v>
      </c>
      <c r="E265" s="17"/>
      <c r="F265" s="118">
        <f>' WP II-I-1.4'!H265</f>
        <v>0</v>
      </c>
      <c r="G265" s="17">
        <v>28</v>
      </c>
      <c r="H265" s="28" t="str">
        <f t="shared" si="95"/>
        <v>NCP XHV</v>
      </c>
      <c r="I265" s="17"/>
      <c r="J265" s="435">
        <f t="shared" si="96"/>
        <v>0</v>
      </c>
      <c r="K265" s="435">
        <f t="shared" si="96"/>
        <v>0</v>
      </c>
      <c r="L265" s="435">
        <f t="shared" si="96"/>
        <v>0</v>
      </c>
      <c r="M265" s="435">
        <f t="shared" si="96"/>
        <v>0</v>
      </c>
      <c r="N265" s="435">
        <f t="shared" si="96"/>
        <v>0</v>
      </c>
      <c r="O265" s="435">
        <f t="shared" si="96"/>
        <v>0</v>
      </c>
      <c r="P265" s="435">
        <f t="shared" si="96"/>
        <v>0</v>
      </c>
      <c r="Q265" s="435">
        <f t="shared" si="96"/>
        <v>0</v>
      </c>
      <c r="R265" s="435">
        <f t="shared" si="96"/>
        <v>0</v>
      </c>
      <c r="S265" s="435">
        <f t="shared" si="96"/>
        <v>0</v>
      </c>
      <c r="T265" s="17"/>
      <c r="U265" s="118">
        <f t="shared" si="97"/>
        <v>0</v>
      </c>
      <c r="V265" s="67"/>
      <c r="W265" s="370">
        <f t="shared" si="92"/>
        <v>0</v>
      </c>
    </row>
    <row r="266" spans="1:23" ht="18" customHeight="1">
      <c r="A266" s="47"/>
      <c r="B266" s="17">
        <f t="shared" si="91"/>
        <v>17</v>
      </c>
      <c r="C266" s="8"/>
      <c r="D266" s="297" t="s">
        <v>491</v>
      </c>
      <c r="E266" s="20"/>
      <c r="F266" s="22">
        <f>SUM(F256:F265)</f>
        <v>0</v>
      </c>
      <c r="G266" s="20"/>
      <c r="H266" s="20"/>
      <c r="I266" s="1010"/>
      <c r="J266" s="22">
        <f t="shared" si="98" ref="J266:Q266">SUM(J256:J265)</f>
        <v>0</v>
      </c>
      <c r="K266" s="22">
        <f t="shared" si="98"/>
        <v>0</v>
      </c>
      <c r="L266" s="22">
        <f t="shared" si="98"/>
        <v>0</v>
      </c>
      <c r="M266" s="22">
        <f t="shared" si="98"/>
        <v>0</v>
      </c>
      <c r="N266" s="22">
        <f t="shared" si="98"/>
        <v>0</v>
      </c>
      <c r="O266" s="22">
        <f>SUM(O256:O265)</f>
        <v>0</v>
      </c>
      <c r="P266" s="22">
        <f t="shared" si="98"/>
        <v>0</v>
      </c>
      <c r="Q266" s="22">
        <f t="shared" si="98"/>
        <v>0</v>
      </c>
      <c r="R266" s="22">
        <f>SUM(R256:R265)</f>
        <v>0</v>
      </c>
      <c r="S266" s="22">
        <f>SUM(S256:S265)</f>
        <v>0</v>
      </c>
      <c r="T266" s="20"/>
      <c r="U266" s="299">
        <f t="shared" si="97"/>
        <v>0</v>
      </c>
      <c r="V266" s="67"/>
      <c r="W266" s="370">
        <f t="shared" si="92"/>
        <v>0</v>
      </c>
    </row>
    <row r="267" spans="1:23" ht="18" customHeight="1" thickBot="1">
      <c r="A267" s="47"/>
      <c r="B267" s="17"/>
      <c r="C267" s="8"/>
      <c r="D267" s="297"/>
      <c r="E267" s="20"/>
      <c r="F267" s="22"/>
      <c r="G267" s="20"/>
      <c r="H267" s="13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134"/>
      <c r="V267" s="134">
        <f>$H$2</f>
        <v>0</v>
      </c>
      <c r="W267" s="370"/>
    </row>
    <row r="268" spans="1:23" ht="18" customHeight="1">
      <c r="A268" s="47"/>
      <c r="B268" s="920" t="str">
        <f>+$B$4</f>
        <v>2022 RATE CASE</v>
      </c>
      <c r="C268" s="935"/>
      <c r="D268" s="624"/>
      <c r="F268" s="67"/>
      <c r="H268" s="134"/>
      <c r="U268" s="134"/>
      <c r="V268" s="134">
        <f>$H$2</f>
        <v>0</v>
      </c>
      <c r="W268" s="370"/>
    </row>
    <row r="269" spans="1:23" ht="18" customHeight="1">
      <c r="A269" s="290"/>
      <c r="B269" s="917" t="str">
        <f>+$B$5</f>
        <v>ONCOR ELECTRIC DELIVERY COMPANY LLC</v>
      </c>
      <c r="C269" s="8"/>
      <c r="D269" s="967"/>
      <c r="F269" s="67"/>
      <c r="U269" s="134"/>
      <c r="V269" s="67"/>
      <c r="W269" s="370">
        <f t="shared" si="92"/>
        <v>0</v>
      </c>
    </row>
    <row r="270" spans="1:23" ht="18" customHeight="1">
      <c r="A270" s="47"/>
      <c r="B270" s="917" t="str">
        <f>+$B$6</f>
        <v>II-I-1-MET:  CLASS REVENUE REQUIREMENT</v>
      </c>
      <c r="C270" s="85"/>
      <c r="D270" s="967"/>
      <c r="F270" s="12"/>
      <c r="U270" s="12"/>
      <c r="V270" s="67"/>
      <c r="W270" s="370">
        <f t="shared" si="92"/>
        <v>0</v>
      </c>
    </row>
    <row r="271" spans="1:23" ht="18" customHeight="1">
      <c r="A271" s="47"/>
      <c r="B271" s="406" t="str">
        <f>+$B$7</f>
        <v>TEST YEAR ENDING 12/31/2021</v>
      </c>
      <c r="C271" s="85"/>
      <c r="D271" s="967"/>
      <c r="F271" s="12"/>
      <c r="U271" s="12"/>
      <c r="V271" s="67"/>
      <c r="W271" s="370">
        <f t="shared" si="92"/>
        <v>0</v>
      </c>
    </row>
    <row r="272" spans="1:23" ht="18" customHeight="1">
      <c r="A272" s="47"/>
      <c r="B272" s="406" t="str">
        <f>+$B$8</f>
        <v>SPONSOR:  MATTHEW A. TROXLE</v>
      </c>
      <c r="C272" s="85"/>
      <c r="D272" s="967"/>
      <c r="F272" s="12"/>
      <c r="U272" s="12"/>
      <c r="V272" s="67"/>
      <c r="W272" s="370">
        <f t="shared" si="92"/>
        <v>0</v>
      </c>
    </row>
    <row r="273" spans="1:23" ht="18" customHeight="1" thickBot="1">
      <c r="A273" s="47"/>
      <c r="B273" s="410"/>
      <c r="C273" s="934"/>
      <c r="D273" s="968"/>
      <c r="F273" s="12"/>
      <c r="U273" s="12"/>
      <c r="V273" s="67"/>
      <c r="W273" s="370">
        <f t="shared" si="92"/>
        <v>0</v>
      </c>
    </row>
    <row r="274" spans="1:23" ht="18" customHeight="1" thickBot="1">
      <c r="A274" s="47"/>
      <c r="B274" s="13"/>
      <c r="C274" s="14"/>
      <c r="D274" s="14"/>
      <c r="E274" s="14"/>
      <c r="F274" s="13"/>
      <c r="G274" s="14"/>
      <c r="H274" s="14"/>
      <c r="I274" s="14"/>
      <c r="J274" s="238"/>
      <c r="K274" s="238"/>
      <c r="L274" s="14"/>
      <c r="M274" s="238"/>
      <c r="N274" s="238"/>
      <c r="O274" s="238"/>
      <c r="P274" s="238"/>
      <c r="Q274" s="14"/>
      <c r="R274" s="393" t="str">
        <f>R$10</f>
        <v xml:space="preserve"> </v>
      </c>
      <c r="S274" s="394"/>
      <c r="T274" s="238"/>
      <c r="U274" s="13"/>
      <c r="V274" s="67"/>
      <c r="W274" s="370">
        <f t="shared" si="92"/>
        <v>0</v>
      </c>
    </row>
    <row r="275" spans="1:23" ht="18" customHeight="1">
      <c r="A275" s="47"/>
      <c r="B275" s="15" t="s">
        <v>2</v>
      </c>
      <c r="C275" s="15" t="s">
        <v>370</v>
      </c>
      <c r="D275" s="287" t="s">
        <v>574</v>
      </c>
      <c r="E275" s="15" t="s">
        <v>371</v>
      </c>
      <c r="F275" s="287" t="str">
        <f>F$11</f>
        <v>MET</v>
      </c>
      <c r="G275" s="242" t="s">
        <v>741</v>
      </c>
      <c r="H275" s="242" t="s">
        <v>376</v>
      </c>
      <c r="I275" s="15"/>
      <c r="J275" s="242" t="s">
        <v>730</v>
      </c>
      <c r="K275" s="242" t="s">
        <v>409</v>
      </c>
      <c r="L275" s="15" t="s">
        <v>409</v>
      </c>
      <c r="M275" s="242" t="s">
        <v>410</v>
      </c>
      <c r="N275" s="242" t="s">
        <v>410</v>
      </c>
      <c r="O275" s="242" t="s">
        <v>410</v>
      </c>
      <c r="P275" s="242" t="s">
        <v>411</v>
      </c>
      <c r="Q275" s="15" t="s">
        <v>412</v>
      </c>
      <c r="R275" s="396" t="str">
        <f>R$11</f>
        <v>Wholesale</v>
      </c>
      <c r="S275" s="13" t="str">
        <f>S$11</f>
        <v>Wholesale</v>
      </c>
      <c r="T275" s="242"/>
      <c r="U275" s="15" t="s">
        <v>10</v>
      </c>
      <c r="V275" s="67"/>
      <c r="W275" s="370"/>
    </row>
    <row r="276" spans="1:23" ht="18" customHeight="1">
      <c r="A276" s="47"/>
      <c r="B276" s="15"/>
      <c r="C276" s="15"/>
      <c r="D276" s="15"/>
      <c r="E276" s="15"/>
      <c r="F276" s="15"/>
      <c r="G276" s="242" t="s">
        <v>742</v>
      </c>
      <c r="H276" s="242" t="s">
        <v>743</v>
      </c>
      <c r="I276" s="15"/>
      <c r="J276" s="242"/>
      <c r="K276" s="242" t="s">
        <v>731</v>
      </c>
      <c r="L276" s="15" t="s">
        <v>732</v>
      </c>
      <c r="M276" s="242" t="s">
        <v>731</v>
      </c>
      <c r="N276" s="242" t="s">
        <v>732</v>
      </c>
      <c r="O276" s="242" t="s">
        <v>414</v>
      </c>
      <c r="P276" s="242"/>
      <c r="Q276" s="15"/>
      <c r="R276" s="235" t="str">
        <f>R$12</f>
        <v>XFMR</v>
      </c>
      <c r="S276" s="15" t="str">
        <f>S$12</f>
        <v>DLS</v>
      </c>
      <c r="T276" s="242"/>
      <c r="U276" s="15"/>
      <c r="V276" s="67"/>
      <c r="W276" s="370">
        <f t="shared" si="92"/>
        <v>0</v>
      </c>
    </row>
    <row r="277" spans="1:23" ht="18" customHeight="1" thickBot="1">
      <c r="A277" s="47"/>
      <c r="B277" s="16"/>
      <c r="C277" s="16"/>
      <c r="D277" s="16"/>
      <c r="E277" s="16"/>
      <c r="F277" s="16" t="s">
        <v>13</v>
      </c>
      <c r="G277" s="16" t="s">
        <v>14</v>
      </c>
      <c r="H277" s="16" t="s">
        <v>15</v>
      </c>
      <c r="I277" s="16"/>
      <c r="J277" s="243" t="str">
        <f t="shared" si="99" ref="J277:Q277">J$13</f>
        <v>(d)</v>
      </c>
      <c r="K277" s="243" t="str">
        <f t="shared" si="99"/>
        <v>(e)</v>
      </c>
      <c r="L277" s="16" t="str">
        <f t="shared" si="99"/>
        <v>(f)</v>
      </c>
      <c r="M277" s="243" t="str">
        <f t="shared" si="99"/>
        <v>(g)</v>
      </c>
      <c r="N277" s="243" t="str">
        <f t="shared" si="99"/>
        <v>(h)</v>
      </c>
      <c r="O277" s="243" t="str">
        <f>O$13</f>
        <v>(i)</v>
      </c>
      <c r="P277" s="243" t="str">
        <f t="shared" si="99"/>
        <v>(j)</v>
      </c>
      <c r="Q277" s="243" t="str">
        <f t="shared" si="99"/>
        <v>(k)</v>
      </c>
      <c r="R277" s="243" t="str">
        <f>R$13</f>
        <v>(l)</v>
      </c>
      <c r="S277" s="16" t="str">
        <f>S$13</f>
        <v>(m)</v>
      </c>
      <c r="T277" s="16"/>
      <c r="U277" s="16" t="s">
        <v>734</v>
      </c>
      <c r="V277" s="67"/>
      <c r="W277" s="370"/>
    </row>
    <row r="278" spans="1:23" ht="18" customHeight="1">
      <c r="A278" s="47"/>
      <c r="B278" s="67"/>
      <c r="C278" s="67"/>
      <c r="D278" s="100"/>
      <c r="E278" s="100"/>
      <c r="F278" s="288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67"/>
      <c r="W278" s="370">
        <f t="shared" si="92"/>
        <v>0</v>
      </c>
    </row>
    <row r="279" spans="1:23" ht="18" customHeight="1">
      <c r="A279" s="47"/>
      <c r="B279" s="17">
        <v>1</v>
      </c>
      <c r="C279" s="8" t="s">
        <v>574</v>
      </c>
      <c r="D279" s="8"/>
      <c r="E279" s="20" t="s">
        <v>24</v>
      </c>
      <c r="F279" s="22"/>
      <c r="G279" s="20"/>
      <c r="H279" s="20"/>
      <c r="I279" s="101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1010"/>
      <c r="U279" s="8"/>
      <c r="V279" s="67"/>
      <c r="W279" s="370">
        <f t="shared" si="92"/>
        <v>0</v>
      </c>
    </row>
    <row r="280" spans="1:23" ht="18" customHeight="1">
      <c r="A280" s="47"/>
      <c r="B280" s="17">
        <f t="shared" si="100" ref="B280:B315">B279+1</f>
        <v>2</v>
      </c>
      <c r="C280" s="1" t="s">
        <v>61</v>
      </c>
      <c r="D280" s="1" t="s">
        <v>42</v>
      </c>
      <c r="E280" s="17"/>
      <c r="F280" s="118">
        <f>' WP II-I-1.4'!H280</f>
        <v>0</v>
      </c>
      <c r="G280" s="17">
        <v>54</v>
      </c>
      <c r="H280" s="28" t="str">
        <f t="shared" si="101" ref="H280:H299">VLOOKUP(G280,FactorTable,2)</f>
        <v>PLT 362-373</v>
      </c>
      <c r="I280" s="17"/>
      <c r="J280" s="434">
        <f t="shared" si="102" ref="J280:S289">$F280*HLOOKUP(J$1318,FactorTable,$G280+1)</f>
        <v>0</v>
      </c>
      <c r="K280" s="434">
        <f t="shared" si="102"/>
        <v>0</v>
      </c>
      <c r="L280" s="434">
        <f t="shared" si="102"/>
        <v>0</v>
      </c>
      <c r="M280" s="434">
        <f t="shared" si="102"/>
        <v>0</v>
      </c>
      <c r="N280" s="434">
        <f t="shared" si="102"/>
        <v>0</v>
      </c>
      <c r="O280" s="434">
        <f t="shared" si="102"/>
        <v>0</v>
      </c>
      <c r="P280" s="434">
        <f t="shared" si="102"/>
        <v>0</v>
      </c>
      <c r="Q280" s="434">
        <f t="shared" si="102"/>
        <v>0</v>
      </c>
      <c r="R280" s="434">
        <f t="shared" si="102"/>
        <v>0</v>
      </c>
      <c r="S280" s="434">
        <f t="shared" si="102"/>
        <v>0</v>
      </c>
      <c r="T280" s="17"/>
      <c r="U280" s="118">
        <f t="shared" si="103" ref="U280:U300">SUM(I280:T280)</f>
        <v>0</v>
      </c>
      <c r="V280" s="67"/>
      <c r="W280" s="370">
        <f t="shared" si="92"/>
        <v>0</v>
      </c>
    </row>
    <row r="281" spans="1:23" ht="18" customHeight="1">
      <c r="A281" s="47"/>
      <c r="B281" s="17">
        <f t="shared" si="100"/>
        <v>3</v>
      </c>
      <c r="C281" s="1" t="s">
        <v>62</v>
      </c>
      <c r="D281" s="31" t="s">
        <v>44</v>
      </c>
      <c r="E281" s="17"/>
      <c r="F281" s="118">
        <f>' WP II-I-1.4'!H281</f>
        <v>0</v>
      </c>
      <c r="G281" s="17">
        <v>54</v>
      </c>
      <c r="H281" s="28" t="str">
        <f t="shared" si="101"/>
        <v>PLT 362-373</v>
      </c>
      <c r="I281" s="17"/>
      <c r="J281" s="434">
        <f t="shared" si="102"/>
        <v>0</v>
      </c>
      <c r="K281" s="434">
        <f t="shared" si="102"/>
        <v>0</v>
      </c>
      <c r="L281" s="434">
        <f t="shared" si="102"/>
        <v>0</v>
      </c>
      <c r="M281" s="434">
        <f t="shared" si="102"/>
        <v>0</v>
      </c>
      <c r="N281" s="434">
        <f t="shared" si="102"/>
        <v>0</v>
      </c>
      <c r="O281" s="434">
        <f t="shared" si="102"/>
        <v>0</v>
      </c>
      <c r="P281" s="434">
        <f t="shared" si="102"/>
        <v>0</v>
      </c>
      <c r="Q281" s="434">
        <f t="shared" si="102"/>
        <v>0</v>
      </c>
      <c r="R281" s="434">
        <f t="shared" si="102"/>
        <v>0</v>
      </c>
      <c r="S281" s="434">
        <f t="shared" si="102"/>
        <v>0</v>
      </c>
      <c r="T281" s="17"/>
      <c r="U281" s="118">
        <f t="shared" si="103"/>
        <v>0</v>
      </c>
      <c r="V281" s="67"/>
      <c r="W281" s="370">
        <f t="shared" si="92"/>
        <v>0</v>
      </c>
    </row>
    <row r="282" spans="1:23" ht="18" customHeight="1">
      <c r="A282" s="47"/>
      <c r="B282" s="17">
        <f t="shared" si="100"/>
        <v>4</v>
      </c>
      <c r="C282" s="1" t="s">
        <v>63</v>
      </c>
      <c r="D282" s="1" t="s">
        <v>46</v>
      </c>
      <c r="E282" s="17"/>
      <c r="F282" s="118">
        <f>' WP II-I-1.4'!H282</f>
        <v>0</v>
      </c>
      <c r="G282" s="17">
        <v>28</v>
      </c>
      <c r="H282" s="28" t="str">
        <f t="shared" si="101"/>
        <v>NCP XHV</v>
      </c>
      <c r="I282" s="17"/>
      <c r="J282" s="434">
        <f t="shared" si="102"/>
        <v>0</v>
      </c>
      <c r="K282" s="434">
        <f t="shared" si="102"/>
        <v>0</v>
      </c>
      <c r="L282" s="434">
        <f t="shared" si="102"/>
        <v>0</v>
      </c>
      <c r="M282" s="434">
        <f t="shared" si="102"/>
        <v>0</v>
      </c>
      <c r="N282" s="434">
        <f t="shared" si="102"/>
        <v>0</v>
      </c>
      <c r="O282" s="434">
        <f t="shared" si="102"/>
        <v>0</v>
      </c>
      <c r="P282" s="434">
        <f t="shared" si="102"/>
        <v>0</v>
      </c>
      <c r="Q282" s="434">
        <f t="shared" si="102"/>
        <v>0</v>
      </c>
      <c r="R282" s="434">
        <f t="shared" si="102"/>
        <v>0</v>
      </c>
      <c r="S282" s="434">
        <f t="shared" si="102"/>
        <v>0</v>
      </c>
      <c r="T282" s="17"/>
      <c r="U282" s="118">
        <f t="shared" si="103"/>
        <v>0</v>
      </c>
      <c r="V282" s="67"/>
      <c r="W282" s="370">
        <f t="shared" si="92"/>
        <v>0</v>
      </c>
    </row>
    <row r="283" spans="1:23" ht="18" customHeight="1">
      <c r="A283" s="47"/>
      <c r="B283" s="17">
        <f t="shared" si="100"/>
        <v>5</v>
      </c>
      <c r="C283" s="1" t="s">
        <v>64</v>
      </c>
      <c r="D283" s="1" t="s">
        <v>65</v>
      </c>
      <c r="E283" s="17"/>
      <c r="F283" s="118">
        <f>' WP II-I-1.4'!H283</f>
        <v>0</v>
      </c>
      <c r="G283" s="17">
        <v>28</v>
      </c>
      <c r="H283" s="28" t="str">
        <f t="shared" si="101"/>
        <v>NCP XHV</v>
      </c>
      <c r="I283" s="17"/>
      <c r="J283" s="434">
        <f t="shared" si="102"/>
        <v>0</v>
      </c>
      <c r="K283" s="434">
        <f t="shared" si="102"/>
        <v>0</v>
      </c>
      <c r="L283" s="434">
        <f t="shared" si="102"/>
        <v>0</v>
      </c>
      <c r="M283" s="434">
        <f t="shared" si="102"/>
        <v>0</v>
      </c>
      <c r="N283" s="434">
        <f t="shared" si="102"/>
        <v>0</v>
      </c>
      <c r="O283" s="434">
        <f t="shared" si="102"/>
        <v>0</v>
      </c>
      <c r="P283" s="434">
        <f t="shared" si="102"/>
        <v>0</v>
      </c>
      <c r="Q283" s="434">
        <f t="shared" si="102"/>
        <v>0</v>
      </c>
      <c r="R283" s="434">
        <f t="shared" si="102"/>
        <v>0</v>
      </c>
      <c r="S283" s="434">
        <f t="shared" si="102"/>
        <v>0</v>
      </c>
      <c r="T283" s="17"/>
      <c r="U283" s="118">
        <f t="shared" si="103"/>
        <v>0</v>
      </c>
      <c r="V283" s="67"/>
      <c r="W283" s="370">
        <f t="shared" si="92"/>
        <v>0</v>
      </c>
    </row>
    <row r="284" spans="1:23" ht="18" customHeight="1">
      <c r="A284" s="47"/>
      <c r="B284" s="17">
        <f t="shared" si="100"/>
        <v>6</v>
      </c>
      <c r="C284" s="1" t="s">
        <v>380</v>
      </c>
      <c r="D284" s="31" t="s">
        <v>537</v>
      </c>
      <c r="E284" s="17"/>
      <c r="F284" s="118">
        <f>' WP II-I-1.4'!H284</f>
        <v>0</v>
      </c>
      <c r="G284" s="17">
        <v>30</v>
      </c>
      <c r="H284" s="28" t="str">
        <f t="shared" si="101"/>
        <v>NCP XSS</v>
      </c>
      <c r="I284" s="17"/>
      <c r="J284" s="434">
        <f t="shared" si="102"/>
        <v>0</v>
      </c>
      <c r="K284" s="434">
        <f t="shared" si="102"/>
        <v>0</v>
      </c>
      <c r="L284" s="434">
        <f t="shared" si="102"/>
        <v>0</v>
      </c>
      <c r="M284" s="434">
        <f t="shared" si="102"/>
        <v>0</v>
      </c>
      <c r="N284" s="434">
        <f t="shared" si="102"/>
        <v>0</v>
      </c>
      <c r="O284" s="434">
        <f t="shared" si="102"/>
        <v>0</v>
      </c>
      <c r="P284" s="434">
        <f t="shared" si="102"/>
        <v>0</v>
      </c>
      <c r="Q284" s="434">
        <f t="shared" si="102"/>
        <v>0</v>
      </c>
      <c r="R284" s="434">
        <f t="shared" si="102"/>
        <v>0</v>
      </c>
      <c r="S284" s="434">
        <f t="shared" si="102"/>
        <v>0</v>
      </c>
      <c r="T284" s="17"/>
      <c r="U284" s="118">
        <f t="shared" si="103"/>
        <v>0</v>
      </c>
      <c r="V284" s="67"/>
      <c r="W284" s="370">
        <f t="shared" si="92"/>
        <v>0</v>
      </c>
    </row>
    <row r="285" spans="1:23" ht="18" customHeight="1">
      <c r="A285" s="47"/>
      <c r="B285" s="17">
        <f t="shared" si="100"/>
        <v>7</v>
      </c>
      <c r="C285" s="1" t="s">
        <v>382</v>
      </c>
      <c r="D285" s="31" t="s">
        <v>538</v>
      </c>
      <c r="E285" s="17"/>
      <c r="F285" s="118">
        <f>' WP II-I-1.4'!H285</f>
        <v>0</v>
      </c>
      <c r="G285" s="17">
        <v>32</v>
      </c>
      <c r="H285" s="28" t="str">
        <f t="shared" si="101"/>
        <v>NCP SEC</v>
      </c>
      <c r="I285" s="17"/>
      <c r="J285" s="434">
        <f t="shared" si="102"/>
        <v>0</v>
      </c>
      <c r="K285" s="434">
        <f t="shared" si="102"/>
        <v>0</v>
      </c>
      <c r="L285" s="434">
        <f t="shared" si="102"/>
        <v>0</v>
      </c>
      <c r="M285" s="434">
        <f t="shared" si="102"/>
        <v>0</v>
      </c>
      <c r="N285" s="434">
        <f t="shared" si="102"/>
        <v>0</v>
      </c>
      <c r="O285" s="434">
        <f t="shared" si="102"/>
        <v>0</v>
      </c>
      <c r="P285" s="434">
        <f t="shared" si="102"/>
        <v>0</v>
      </c>
      <c r="Q285" s="434">
        <f t="shared" si="102"/>
        <v>0</v>
      </c>
      <c r="R285" s="434">
        <f t="shared" si="102"/>
        <v>0</v>
      </c>
      <c r="S285" s="434">
        <f t="shared" si="102"/>
        <v>0</v>
      </c>
      <c r="T285" s="17"/>
      <c r="U285" s="118">
        <f t="shared" si="103"/>
        <v>0</v>
      </c>
      <c r="V285" s="67"/>
      <c r="W285" s="370">
        <f t="shared" si="92"/>
        <v>0</v>
      </c>
    </row>
    <row r="286" spans="1:23" ht="18" customHeight="1">
      <c r="A286" s="47"/>
      <c r="B286" s="17">
        <f t="shared" si="100"/>
        <v>8</v>
      </c>
      <c r="C286" s="1" t="s">
        <v>385</v>
      </c>
      <c r="D286" s="1" t="s">
        <v>539</v>
      </c>
      <c r="E286" s="17"/>
      <c r="F286" s="118">
        <f>' WP II-I-1.4'!H286</f>
        <v>0</v>
      </c>
      <c r="G286" s="17">
        <v>30</v>
      </c>
      <c r="H286" s="28" t="str">
        <f t="shared" si="101"/>
        <v>NCP XSS</v>
      </c>
      <c r="I286" s="17"/>
      <c r="J286" s="434">
        <f t="shared" si="102"/>
        <v>0</v>
      </c>
      <c r="K286" s="434">
        <f t="shared" si="102"/>
        <v>0</v>
      </c>
      <c r="L286" s="434">
        <f t="shared" si="102"/>
        <v>0</v>
      </c>
      <c r="M286" s="434">
        <f t="shared" si="102"/>
        <v>0</v>
      </c>
      <c r="N286" s="434">
        <f t="shared" si="102"/>
        <v>0</v>
      </c>
      <c r="O286" s="434">
        <f t="shared" si="102"/>
        <v>0</v>
      </c>
      <c r="P286" s="434">
        <f t="shared" si="102"/>
        <v>0</v>
      </c>
      <c r="Q286" s="434">
        <f t="shared" si="102"/>
        <v>0</v>
      </c>
      <c r="R286" s="434">
        <f t="shared" si="102"/>
        <v>0</v>
      </c>
      <c r="S286" s="434">
        <f t="shared" si="102"/>
        <v>0</v>
      </c>
      <c r="T286" s="17"/>
      <c r="U286" s="118">
        <f t="shared" si="103"/>
        <v>0</v>
      </c>
      <c r="V286" s="67"/>
      <c r="W286" s="370">
        <f t="shared" si="92"/>
        <v>0</v>
      </c>
    </row>
    <row r="287" spans="1:23" ht="18" customHeight="1">
      <c r="A287" s="47"/>
      <c r="B287" s="17">
        <f t="shared" si="100"/>
        <v>9</v>
      </c>
      <c r="C287" s="1" t="s">
        <v>387</v>
      </c>
      <c r="D287" s="1" t="s">
        <v>540</v>
      </c>
      <c r="E287" s="17"/>
      <c r="F287" s="118">
        <f>' WP II-I-1.4'!H287</f>
        <v>0</v>
      </c>
      <c r="G287" s="17">
        <v>32</v>
      </c>
      <c r="H287" s="28" t="str">
        <f t="shared" si="101"/>
        <v>NCP SEC</v>
      </c>
      <c r="I287" s="17"/>
      <c r="J287" s="434">
        <f t="shared" si="102"/>
        <v>0</v>
      </c>
      <c r="K287" s="434">
        <f t="shared" si="102"/>
        <v>0</v>
      </c>
      <c r="L287" s="434">
        <f t="shared" si="102"/>
        <v>0</v>
      </c>
      <c r="M287" s="434">
        <f t="shared" si="102"/>
        <v>0</v>
      </c>
      <c r="N287" s="434">
        <f t="shared" si="102"/>
        <v>0</v>
      </c>
      <c r="O287" s="434">
        <f t="shared" si="102"/>
        <v>0</v>
      </c>
      <c r="P287" s="434">
        <f t="shared" si="102"/>
        <v>0</v>
      </c>
      <c r="Q287" s="434">
        <f t="shared" si="102"/>
        <v>0</v>
      </c>
      <c r="R287" s="434">
        <f t="shared" si="102"/>
        <v>0</v>
      </c>
      <c r="S287" s="434">
        <f t="shared" si="102"/>
        <v>0</v>
      </c>
      <c r="T287" s="17"/>
      <c r="U287" s="118">
        <f t="shared" si="103"/>
        <v>0</v>
      </c>
      <c r="V287" s="67"/>
      <c r="W287" s="370">
        <f t="shared" si="92"/>
        <v>0</v>
      </c>
    </row>
    <row r="288" spans="1:23" ht="18" customHeight="1">
      <c r="A288" s="47"/>
      <c r="B288" s="17">
        <f t="shared" si="100"/>
        <v>10</v>
      </c>
      <c r="C288" s="1" t="s">
        <v>390</v>
      </c>
      <c r="D288" s="1" t="s">
        <v>391</v>
      </c>
      <c r="E288" s="17"/>
      <c r="F288" s="118">
        <f>' WP II-I-1.4'!H288</f>
        <v>0</v>
      </c>
      <c r="G288" s="17">
        <v>30</v>
      </c>
      <c r="H288" s="28" t="str">
        <f t="shared" si="101"/>
        <v>NCP XSS</v>
      </c>
      <c r="I288" s="17"/>
      <c r="J288" s="434">
        <f t="shared" si="102"/>
        <v>0</v>
      </c>
      <c r="K288" s="434">
        <f t="shared" si="102"/>
        <v>0</v>
      </c>
      <c r="L288" s="434">
        <f t="shared" si="102"/>
        <v>0</v>
      </c>
      <c r="M288" s="434">
        <f t="shared" si="102"/>
        <v>0</v>
      </c>
      <c r="N288" s="434">
        <f t="shared" si="102"/>
        <v>0</v>
      </c>
      <c r="O288" s="434">
        <f t="shared" si="102"/>
        <v>0</v>
      </c>
      <c r="P288" s="434">
        <f t="shared" si="102"/>
        <v>0</v>
      </c>
      <c r="Q288" s="434">
        <f t="shared" si="102"/>
        <v>0</v>
      </c>
      <c r="R288" s="434">
        <f t="shared" si="102"/>
        <v>0</v>
      </c>
      <c r="S288" s="434">
        <f t="shared" si="102"/>
        <v>0</v>
      </c>
      <c r="T288" s="17"/>
      <c r="U288" s="118">
        <f t="shared" si="103"/>
        <v>0</v>
      </c>
      <c r="V288" s="67"/>
      <c r="W288" s="370">
        <f t="shared" si="92"/>
        <v>0</v>
      </c>
    </row>
    <row r="289" spans="1:23" ht="18" customHeight="1">
      <c r="A289" s="47"/>
      <c r="B289" s="17">
        <f t="shared" si="100"/>
        <v>11</v>
      </c>
      <c r="C289" s="1" t="s">
        <v>392</v>
      </c>
      <c r="D289" s="1" t="s">
        <v>393</v>
      </c>
      <c r="E289" s="17"/>
      <c r="F289" s="118">
        <f>' WP II-I-1.4'!H289</f>
        <v>0</v>
      </c>
      <c r="G289" s="17">
        <v>32</v>
      </c>
      <c r="H289" s="28" t="str">
        <f t="shared" si="101"/>
        <v>NCP SEC</v>
      </c>
      <c r="I289" s="17"/>
      <c r="J289" s="434">
        <f t="shared" si="102"/>
        <v>0</v>
      </c>
      <c r="K289" s="434">
        <f t="shared" si="102"/>
        <v>0</v>
      </c>
      <c r="L289" s="434">
        <f t="shared" si="102"/>
        <v>0</v>
      </c>
      <c r="M289" s="434">
        <f t="shared" si="102"/>
        <v>0</v>
      </c>
      <c r="N289" s="434">
        <f t="shared" si="102"/>
        <v>0</v>
      </c>
      <c r="O289" s="434">
        <f t="shared" si="102"/>
        <v>0</v>
      </c>
      <c r="P289" s="434">
        <f t="shared" si="102"/>
        <v>0</v>
      </c>
      <c r="Q289" s="434">
        <f t="shared" si="102"/>
        <v>0</v>
      </c>
      <c r="R289" s="434">
        <f t="shared" si="102"/>
        <v>0</v>
      </c>
      <c r="S289" s="434">
        <f t="shared" si="102"/>
        <v>0</v>
      </c>
      <c r="T289" s="17"/>
      <c r="U289" s="118">
        <f t="shared" si="103"/>
        <v>0</v>
      </c>
      <c r="V289" s="67"/>
      <c r="W289" s="370">
        <f t="shared" si="92"/>
        <v>0</v>
      </c>
    </row>
    <row r="290" spans="1:23" ht="18" customHeight="1">
      <c r="A290" s="47"/>
      <c r="B290" s="17">
        <f t="shared" si="100"/>
        <v>12</v>
      </c>
      <c r="C290" s="1" t="s">
        <v>395</v>
      </c>
      <c r="D290" s="31" t="s">
        <v>541</v>
      </c>
      <c r="E290" s="30"/>
      <c r="F290" s="118">
        <f>' WP II-I-1.4'!H290</f>
        <v>0</v>
      </c>
      <c r="G290" s="17">
        <v>30</v>
      </c>
      <c r="H290" s="28" t="str">
        <f t="shared" si="101"/>
        <v>NCP XSS</v>
      </c>
      <c r="I290" s="30"/>
      <c r="J290" s="434">
        <f t="shared" si="104" ref="J290:S299">$F290*HLOOKUP(J$1318,FactorTable,$G290+1)</f>
        <v>0</v>
      </c>
      <c r="K290" s="434">
        <f t="shared" si="104"/>
        <v>0</v>
      </c>
      <c r="L290" s="434">
        <f t="shared" si="104"/>
        <v>0</v>
      </c>
      <c r="M290" s="434">
        <f t="shared" si="104"/>
        <v>0</v>
      </c>
      <c r="N290" s="434">
        <f t="shared" si="104"/>
        <v>0</v>
      </c>
      <c r="O290" s="434">
        <f t="shared" si="104"/>
        <v>0</v>
      </c>
      <c r="P290" s="434">
        <f t="shared" si="104"/>
        <v>0</v>
      </c>
      <c r="Q290" s="434">
        <f t="shared" si="104"/>
        <v>0</v>
      </c>
      <c r="R290" s="434">
        <f t="shared" si="104"/>
        <v>0</v>
      </c>
      <c r="S290" s="434">
        <f t="shared" si="104"/>
        <v>0</v>
      </c>
      <c r="T290" s="30"/>
      <c r="U290" s="118">
        <f t="shared" si="103"/>
        <v>0</v>
      </c>
      <c r="V290" s="67"/>
      <c r="W290" s="370">
        <f t="shared" si="92"/>
        <v>0</v>
      </c>
    </row>
    <row r="291" spans="1:23" ht="18" customHeight="1">
      <c r="A291" s="47"/>
      <c r="B291" s="17">
        <f t="shared" si="100"/>
        <v>13</v>
      </c>
      <c r="C291" s="1" t="s">
        <v>397</v>
      </c>
      <c r="D291" s="31" t="s">
        <v>542</v>
      </c>
      <c r="E291" s="30"/>
      <c r="F291" s="118">
        <f>' WP II-I-1.4'!H291</f>
        <v>0</v>
      </c>
      <c r="G291" s="17">
        <v>32</v>
      </c>
      <c r="H291" s="28" t="str">
        <f t="shared" si="101"/>
        <v>NCP SEC</v>
      </c>
      <c r="I291" s="30"/>
      <c r="J291" s="434">
        <f t="shared" si="104"/>
        <v>0</v>
      </c>
      <c r="K291" s="434">
        <f t="shared" si="104"/>
        <v>0</v>
      </c>
      <c r="L291" s="434">
        <f t="shared" si="104"/>
        <v>0</v>
      </c>
      <c r="M291" s="434">
        <f t="shared" si="104"/>
        <v>0</v>
      </c>
      <c r="N291" s="434">
        <f t="shared" si="104"/>
        <v>0</v>
      </c>
      <c r="O291" s="434">
        <f t="shared" si="104"/>
        <v>0</v>
      </c>
      <c r="P291" s="434">
        <f t="shared" si="104"/>
        <v>0</v>
      </c>
      <c r="Q291" s="434">
        <f t="shared" si="104"/>
        <v>0</v>
      </c>
      <c r="R291" s="434">
        <f t="shared" si="104"/>
        <v>0</v>
      </c>
      <c r="S291" s="434">
        <f t="shared" si="104"/>
        <v>0</v>
      </c>
      <c r="T291" s="30"/>
      <c r="U291" s="118">
        <f t="shared" si="103"/>
        <v>0</v>
      </c>
      <c r="V291" s="67"/>
      <c r="W291" s="370">
        <f t="shared" si="92"/>
        <v>0</v>
      </c>
    </row>
    <row r="292" spans="1:23" ht="18" customHeight="1">
      <c r="A292" s="47"/>
      <c r="B292" s="17">
        <f t="shared" si="100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18">
        <f>' WP II-I-1.4'!H292</f>
        <v>0</v>
      </c>
      <c r="G292" s="17">
        <v>30</v>
      </c>
      <c r="H292" s="28" t="str">
        <f t="shared" si="101"/>
        <v>NCP XSS</v>
      </c>
      <c r="I292" s="17"/>
      <c r="J292" s="434">
        <f t="shared" si="104"/>
        <v>0</v>
      </c>
      <c r="K292" s="434">
        <f t="shared" si="104"/>
        <v>0</v>
      </c>
      <c r="L292" s="434">
        <f t="shared" si="104"/>
        <v>0</v>
      </c>
      <c r="M292" s="434">
        <f t="shared" si="104"/>
        <v>0</v>
      </c>
      <c r="N292" s="434">
        <f t="shared" si="104"/>
        <v>0</v>
      </c>
      <c r="O292" s="434">
        <f t="shared" si="104"/>
        <v>0</v>
      </c>
      <c r="P292" s="434">
        <f t="shared" si="104"/>
        <v>0</v>
      </c>
      <c r="Q292" s="434">
        <f t="shared" si="104"/>
        <v>0</v>
      </c>
      <c r="R292" s="434">
        <f t="shared" si="104"/>
        <v>0</v>
      </c>
      <c r="S292" s="434">
        <f t="shared" si="104"/>
        <v>0</v>
      </c>
      <c r="T292" s="17"/>
      <c r="U292" s="118">
        <f t="shared" si="103"/>
        <v>0</v>
      </c>
      <c r="V292" s="67"/>
      <c r="W292" s="370">
        <f t="shared" si="92"/>
        <v>0</v>
      </c>
    </row>
    <row r="293" spans="1:23" ht="18" customHeight="1">
      <c r="A293" s="47"/>
      <c r="B293" s="17">
        <f t="shared" si="100"/>
        <v>15</v>
      </c>
      <c r="C293" s="1" t="s">
        <v>402</v>
      </c>
      <c r="D293" s="1" t="str">
        <f>'WP II-I-1.2'!D40</f>
        <v>Secondary Transformers</v>
      </c>
      <c r="E293" s="17"/>
      <c r="F293" s="118">
        <f>' WP II-I-1.4'!H293</f>
        <v>0</v>
      </c>
      <c r="G293" s="17">
        <v>32</v>
      </c>
      <c r="H293" s="28" t="str">
        <f t="shared" si="101"/>
        <v>NCP SEC</v>
      </c>
      <c r="I293" s="17"/>
      <c r="J293" s="434">
        <f t="shared" si="104"/>
        <v>0</v>
      </c>
      <c r="K293" s="434">
        <f t="shared" si="104"/>
        <v>0</v>
      </c>
      <c r="L293" s="434">
        <f t="shared" si="104"/>
        <v>0</v>
      </c>
      <c r="M293" s="434">
        <f t="shared" si="104"/>
        <v>0</v>
      </c>
      <c r="N293" s="434">
        <f t="shared" si="104"/>
        <v>0</v>
      </c>
      <c r="O293" s="434">
        <f t="shared" si="104"/>
        <v>0</v>
      </c>
      <c r="P293" s="434">
        <f t="shared" si="104"/>
        <v>0</v>
      </c>
      <c r="Q293" s="434">
        <f t="shared" si="104"/>
        <v>0</v>
      </c>
      <c r="R293" s="434">
        <f t="shared" si="104"/>
        <v>0</v>
      </c>
      <c r="S293" s="434">
        <f t="shared" si="104"/>
        <v>0</v>
      </c>
      <c r="T293" s="17"/>
      <c r="U293" s="118">
        <f t="shared" si="103"/>
        <v>0</v>
      </c>
      <c r="V293" s="67"/>
      <c r="W293" s="370">
        <f t="shared" si="92"/>
        <v>0</v>
      </c>
    </row>
    <row r="294" spans="1:23" ht="18" customHeight="1">
      <c r="A294" s="47"/>
      <c r="B294" s="17">
        <f t="shared" si="100"/>
        <v>16</v>
      </c>
      <c r="C294" s="1" t="s">
        <v>404</v>
      </c>
      <c r="D294" s="1" t="str">
        <f>'WP II-I-1.2'!D41</f>
        <v>Capacitors</v>
      </c>
      <c r="E294" s="17"/>
      <c r="F294" s="118">
        <f>' WP II-I-1.4'!H294</f>
        <v>0</v>
      </c>
      <c r="G294" s="17">
        <v>26</v>
      </c>
      <c r="H294" s="28" t="str">
        <f t="shared" si="101"/>
        <v>NCP ALL</v>
      </c>
      <c r="I294" s="17"/>
      <c r="J294" s="434">
        <f t="shared" si="104"/>
        <v>0</v>
      </c>
      <c r="K294" s="434">
        <f t="shared" si="104"/>
        <v>0</v>
      </c>
      <c r="L294" s="434">
        <f t="shared" si="104"/>
        <v>0</v>
      </c>
      <c r="M294" s="434">
        <f t="shared" si="104"/>
        <v>0</v>
      </c>
      <c r="N294" s="434">
        <f t="shared" si="104"/>
        <v>0</v>
      </c>
      <c r="O294" s="434">
        <f t="shared" si="104"/>
        <v>0</v>
      </c>
      <c r="P294" s="434">
        <f t="shared" si="104"/>
        <v>0</v>
      </c>
      <c r="Q294" s="434">
        <f t="shared" si="104"/>
        <v>0</v>
      </c>
      <c r="R294" s="434">
        <f t="shared" si="104"/>
        <v>0</v>
      </c>
      <c r="S294" s="434">
        <f t="shared" si="104"/>
        <v>0</v>
      </c>
      <c r="T294" s="17"/>
      <c r="U294" s="118">
        <f t="shared" si="103"/>
        <v>0</v>
      </c>
      <c r="V294" s="67"/>
      <c r="W294" s="370">
        <f t="shared" si="92"/>
        <v>0</v>
      </c>
    </row>
    <row r="295" spans="1:23" ht="18" customHeight="1">
      <c r="A295" s="47"/>
      <c r="B295" s="17">
        <f t="shared" si="100"/>
        <v>17</v>
      </c>
      <c r="C295" s="1" t="s">
        <v>76</v>
      </c>
      <c r="D295" s="31" t="s">
        <v>77</v>
      </c>
      <c r="E295" s="30"/>
      <c r="F295" s="118">
        <f>' WP II-I-1.4'!H295</f>
        <v>0</v>
      </c>
      <c r="G295" s="17">
        <v>7</v>
      </c>
      <c r="H295" s="28" t="str">
        <f t="shared" si="101"/>
        <v>CUS W SEC</v>
      </c>
      <c r="I295" s="30"/>
      <c r="J295" s="434">
        <f t="shared" si="104"/>
        <v>0</v>
      </c>
      <c r="K295" s="434">
        <f t="shared" si="104"/>
        <v>0</v>
      </c>
      <c r="L295" s="434">
        <f t="shared" si="104"/>
        <v>0</v>
      </c>
      <c r="M295" s="434">
        <f t="shared" si="104"/>
        <v>0</v>
      </c>
      <c r="N295" s="434">
        <f t="shared" si="104"/>
        <v>0</v>
      </c>
      <c r="O295" s="434">
        <f t="shared" si="104"/>
        <v>0</v>
      </c>
      <c r="P295" s="434">
        <f t="shared" si="104"/>
        <v>0</v>
      </c>
      <c r="Q295" s="434">
        <f t="shared" si="104"/>
        <v>0</v>
      </c>
      <c r="R295" s="434">
        <f t="shared" si="104"/>
        <v>0</v>
      </c>
      <c r="S295" s="434">
        <f t="shared" si="104"/>
        <v>0</v>
      </c>
      <c r="T295" s="30"/>
      <c r="U295" s="118">
        <f t="shared" si="103"/>
        <v>0</v>
      </c>
      <c r="V295" s="67"/>
      <c r="W295" s="370">
        <f t="shared" si="92"/>
        <v>0</v>
      </c>
    </row>
    <row r="296" spans="1:23" ht="18" customHeight="1">
      <c r="A296" s="47"/>
      <c r="B296" s="17">
        <f t="shared" si="100"/>
        <v>18</v>
      </c>
      <c r="C296" s="1" t="s">
        <v>78</v>
      </c>
      <c r="D296" s="1" t="s">
        <v>79</v>
      </c>
      <c r="E296" s="17"/>
      <c r="F296" s="118">
        <f>' WP II-I-1.4'!H296</f>
        <v>336239857.38</v>
      </c>
      <c r="G296" s="17">
        <v>6</v>
      </c>
      <c r="H296" s="28" t="str">
        <f t="shared" si="101"/>
        <v>CUS W ALL</v>
      </c>
      <c r="I296" s="17"/>
      <c r="J296" s="434">
        <f t="shared" si="104"/>
        <v>187455339.39503998</v>
      </c>
      <c r="K296" s="434">
        <f t="shared" si="104"/>
        <v>28900785.831203066</v>
      </c>
      <c r="L296" s="434">
        <f t="shared" si="104"/>
        <v>89145473.668445259</v>
      </c>
      <c r="M296" s="434">
        <f t="shared" si="104"/>
        <v>1251737.8042691944</v>
      </c>
      <c r="N296" s="434">
        <f t="shared" si="104"/>
        <v>26120396.045881722</v>
      </c>
      <c r="O296" s="434">
        <f t="shared" si="104"/>
        <v>892612.44920138072</v>
      </c>
      <c r="P296" s="434">
        <f t="shared" si="104"/>
        <v>1943148.6394153133</v>
      </c>
      <c r="Q296" s="434">
        <f t="shared" si="104"/>
        <v>186859.62425480117</v>
      </c>
      <c r="R296" s="434">
        <f t="shared" si="104"/>
        <v>102993.74413862085</v>
      </c>
      <c r="S296" s="434">
        <f t="shared" si="104"/>
        <v>240510.17815068117</v>
      </c>
      <c r="T296" s="17"/>
      <c r="U296" s="118">
        <f t="shared" si="103"/>
        <v>336239857.38000005</v>
      </c>
      <c r="V296" s="67"/>
      <c r="W296" s="370">
        <f t="shared" si="92"/>
        <v>0</v>
      </c>
    </row>
    <row r="297" spans="1:23" ht="18" customHeight="1">
      <c r="A297" s="47"/>
      <c r="B297" s="17">
        <f t="shared" si="100"/>
        <v>19</v>
      </c>
      <c r="C297" s="1" t="s">
        <v>80</v>
      </c>
      <c r="D297" s="1" t="s">
        <v>543</v>
      </c>
      <c r="E297" s="17"/>
      <c r="F297" s="118">
        <f>' WP II-I-1.4'!H297</f>
        <v>0</v>
      </c>
      <c r="G297" s="17">
        <v>33</v>
      </c>
      <c r="H297" s="28" t="str">
        <f t="shared" si="101"/>
        <v>NCP LGT</v>
      </c>
      <c r="I297" s="17"/>
      <c r="J297" s="434">
        <f t="shared" si="104"/>
        <v>0</v>
      </c>
      <c r="K297" s="434">
        <f t="shared" si="104"/>
        <v>0</v>
      </c>
      <c r="L297" s="434">
        <f t="shared" si="104"/>
        <v>0</v>
      </c>
      <c r="M297" s="434">
        <f t="shared" si="104"/>
        <v>0</v>
      </c>
      <c r="N297" s="434">
        <f t="shared" si="104"/>
        <v>0</v>
      </c>
      <c r="O297" s="434">
        <f t="shared" si="104"/>
        <v>0</v>
      </c>
      <c r="P297" s="434">
        <f t="shared" si="104"/>
        <v>0</v>
      </c>
      <c r="Q297" s="434">
        <f t="shared" si="104"/>
        <v>0</v>
      </c>
      <c r="R297" s="434">
        <f t="shared" si="104"/>
        <v>0</v>
      </c>
      <c r="S297" s="434">
        <f t="shared" si="104"/>
        <v>0</v>
      </c>
      <c r="T297" s="17"/>
      <c r="U297" s="118">
        <f t="shared" si="103"/>
        <v>0</v>
      </c>
      <c r="V297" s="67"/>
      <c r="W297" s="370">
        <f t="shared" si="92"/>
        <v>0</v>
      </c>
    </row>
    <row r="298" spans="1:23" ht="18" customHeight="1">
      <c r="A298" s="47"/>
      <c r="B298" s="17">
        <f t="shared" si="100"/>
        <v>20</v>
      </c>
      <c r="C298" s="1" t="s">
        <v>82</v>
      </c>
      <c r="D298" s="1" t="s">
        <v>544</v>
      </c>
      <c r="E298" s="17"/>
      <c r="F298" s="118">
        <f>' WP II-I-1.4'!H298</f>
        <v>0</v>
      </c>
      <c r="G298" s="17">
        <v>6</v>
      </c>
      <c r="H298" s="28" t="str">
        <f t="shared" si="101"/>
        <v>CUS W ALL</v>
      </c>
      <c r="I298" s="17"/>
      <c r="J298" s="434">
        <f t="shared" si="104"/>
        <v>0</v>
      </c>
      <c r="K298" s="434">
        <f t="shared" si="104"/>
        <v>0</v>
      </c>
      <c r="L298" s="434">
        <f t="shared" si="104"/>
        <v>0</v>
      </c>
      <c r="M298" s="434">
        <f t="shared" si="104"/>
        <v>0</v>
      </c>
      <c r="N298" s="434">
        <f t="shared" si="104"/>
        <v>0</v>
      </c>
      <c r="O298" s="434">
        <f t="shared" si="104"/>
        <v>0</v>
      </c>
      <c r="P298" s="434">
        <f t="shared" si="104"/>
        <v>0</v>
      </c>
      <c r="Q298" s="434">
        <f t="shared" si="104"/>
        <v>0</v>
      </c>
      <c r="R298" s="434">
        <f t="shared" si="104"/>
        <v>0</v>
      </c>
      <c r="S298" s="434">
        <f t="shared" si="104"/>
        <v>0</v>
      </c>
      <c r="T298" s="17"/>
      <c r="U298" s="118">
        <f t="shared" si="103"/>
        <v>0</v>
      </c>
      <c r="V298" s="67"/>
      <c r="W298" s="370">
        <f t="shared" si="92"/>
        <v>0</v>
      </c>
    </row>
    <row r="299" spans="1:23" ht="18" customHeight="1">
      <c r="A299" s="47"/>
      <c r="B299" s="17">
        <f t="shared" si="100"/>
        <v>21</v>
      </c>
      <c r="C299" s="1" t="s">
        <v>84</v>
      </c>
      <c r="D299" s="1" t="s">
        <v>88</v>
      </c>
      <c r="E299" s="17"/>
      <c r="F299" s="118">
        <f>' WP II-I-1.4'!H299</f>
        <v>0</v>
      </c>
      <c r="G299" s="17">
        <v>33</v>
      </c>
      <c r="H299" s="28" t="str">
        <f t="shared" si="101"/>
        <v>NCP LGT</v>
      </c>
      <c r="I299" s="17"/>
      <c r="J299" s="435">
        <f t="shared" si="104"/>
        <v>0</v>
      </c>
      <c r="K299" s="435">
        <f t="shared" si="104"/>
        <v>0</v>
      </c>
      <c r="L299" s="435">
        <f t="shared" si="104"/>
        <v>0</v>
      </c>
      <c r="M299" s="435">
        <f t="shared" si="104"/>
        <v>0</v>
      </c>
      <c r="N299" s="435">
        <f t="shared" si="104"/>
        <v>0</v>
      </c>
      <c r="O299" s="435">
        <f t="shared" si="104"/>
        <v>0</v>
      </c>
      <c r="P299" s="435">
        <f t="shared" si="104"/>
        <v>0</v>
      </c>
      <c r="Q299" s="435">
        <f t="shared" si="104"/>
        <v>0</v>
      </c>
      <c r="R299" s="435">
        <f t="shared" si="104"/>
        <v>0</v>
      </c>
      <c r="S299" s="435">
        <f t="shared" si="104"/>
        <v>0</v>
      </c>
      <c r="T299" s="17"/>
      <c r="U299" s="118">
        <f t="shared" si="103"/>
        <v>0</v>
      </c>
      <c r="V299" s="67"/>
      <c r="W299" s="370">
        <f t="shared" si="92"/>
        <v>0</v>
      </c>
    </row>
    <row r="300" spans="1:23" ht="18" customHeight="1">
      <c r="A300" s="47"/>
      <c r="B300" s="17">
        <f t="shared" si="100"/>
        <v>22</v>
      </c>
      <c r="C300" s="67"/>
      <c r="D300" s="297" t="s">
        <v>491</v>
      </c>
      <c r="E300" s="150"/>
      <c r="F300" s="22">
        <f>SUM(F280:F299)</f>
        <v>336239857.38</v>
      </c>
      <c r="G300" s="150"/>
      <c r="H300" s="150"/>
      <c r="I300" s="150"/>
      <c r="J300" s="22">
        <f t="shared" si="105" ref="J300:Q300">SUM(J280:J299)</f>
        <v>187455339.39503998</v>
      </c>
      <c r="K300" s="22">
        <f t="shared" si="105"/>
        <v>28900785.831203066</v>
      </c>
      <c r="L300" s="22">
        <f t="shared" si="105"/>
        <v>89145473.668445259</v>
      </c>
      <c r="M300" s="22">
        <f t="shared" si="105"/>
        <v>1251737.8042691944</v>
      </c>
      <c r="N300" s="22">
        <f t="shared" si="105"/>
        <v>26120396.045881722</v>
      </c>
      <c r="O300" s="22">
        <f>SUM(O280:O299)</f>
        <v>892612.44920138072</v>
      </c>
      <c r="P300" s="22">
        <f t="shared" si="105"/>
        <v>1943148.6394153133</v>
      </c>
      <c r="Q300" s="22">
        <f t="shared" si="105"/>
        <v>186859.62425480117</v>
      </c>
      <c r="R300" s="22">
        <f>SUM(R280:R299)</f>
        <v>102993.74413862085</v>
      </c>
      <c r="S300" s="22">
        <f>SUM(S280:S299)</f>
        <v>240510.17815068117</v>
      </c>
      <c r="T300" s="150"/>
      <c r="U300" s="299">
        <f t="shared" si="103"/>
        <v>336239857.38000005</v>
      </c>
      <c r="V300" s="67"/>
      <c r="W300" s="370">
        <f t="shared" si="92"/>
        <v>0</v>
      </c>
    </row>
    <row r="301" spans="1:23" ht="18" customHeight="1">
      <c r="A301" s="47"/>
      <c r="B301" s="17">
        <f t="shared" si="100"/>
        <v>23</v>
      </c>
      <c r="C301" s="67"/>
      <c r="D301" s="1"/>
      <c r="E301" s="17"/>
      <c r="F301" s="19"/>
      <c r="G301" s="17"/>
      <c r="H301" s="17"/>
      <c r="I301" s="17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7"/>
      <c r="U301" s="1"/>
      <c r="V301" s="67"/>
      <c r="W301" s="370">
        <f t="shared" si="92"/>
        <v>0</v>
      </c>
    </row>
    <row r="302" spans="1:23" ht="18" customHeight="1">
      <c r="A302" s="47"/>
      <c r="B302" s="17">
        <f t="shared" si="100"/>
        <v>24</v>
      </c>
      <c r="C302" s="67"/>
      <c r="D302" s="297" t="s">
        <v>568</v>
      </c>
      <c r="E302" s="17"/>
      <c r="F302" s="22">
        <f>SUM(F284:F285)</f>
        <v>0</v>
      </c>
      <c r="G302" s="17"/>
      <c r="H302" s="17"/>
      <c r="I302" s="17"/>
      <c r="J302" s="22">
        <f t="shared" si="106" ref="J302:Q302">SUM(J284:J285)</f>
        <v>0</v>
      </c>
      <c r="K302" s="22">
        <f t="shared" si="106"/>
        <v>0</v>
      </c>
      <c r="L302" s="22">
        <f t="shared" si="106"/>
        <v>0</v>
      </c>
      <c r="M302" s="22">
        <f t="shared" si="106"/>
        <v>0</v>
      </c>
      <c r="N302" s="22">
        <f t="shared" si="106"/>
        <v>0</v>
      </c>
      <c r="O302" s="22">
        <f>SUM(O284:O285)</f>
        <v>0</v>
      </c>
      <c r="P302" s="22">
        <f t="shared" si="106"/>
        <v>0</v>
      </c>
      <c r="Q302" s="22">
        <f t="shared" si="106"/>
        <v>0</v>
      </c>
      <c r="R302" s="22">
        <f>SUM(R284:R285)</f>
        <v>0</v>
      </c>
      <c r="S302" s="22">
        <f>SUM(S284:S285)</f>
        <v>0</v>
      </c>
      <c r="T302" s="17"/>
      <c r="U302" s="299">
        <f>SUM(I302:T302)</f>
        <v>0</v>
      </c>
      <c r="V302" s="67"/>
      <c r="W302" s="370">
        <f t="shared" si="92"/>
        <v>0</v>
      </c>
    </row>
    <row r="303" spans="1:23" ht="18" customHeight="1">
      <c r="A303" s="47"/>
      <c r="B303" s="17">
        <f t="shared" si="100"/>
        <v>25</v>
      </c>
      <c r="C303" s="67"/>
      <c r="D303" s="297" t="s">
        <v>569</v>
      </c>
      <c r="E303" s="17"/>
      <c r="F303" s="22">
        <f>SUM(F286:F287)</f>
        <v>0</v>
      </c>
      <c r="G303" s="17"/>
      <c r="H303" s="17"/>
      <c r="I303" s="17"/>
      <c r="J303" s="22">
        <f t="shared" si="107" ref="J303:Q303">SUM(J286:J287)</f>
        <v>0</v>
      </c>
      <c r="K303" s="22">
        <f t="shared" si="107"/>
        <v>0</v>
      </c>
      <c r="L303" s="22">
        <f t="shared" si="107"/>
        <v>0</v>
      </c>
      <c r="M303" s="22">
        <f t="shared" si="107"/>
        <v>0</v>
      </c>
      <c r="N303" s="22">
        <f t="shared" si="107"/>
        <v>0</v>
      </c>
      <c r="O303" s="22">
        <f>SUM(O286:O287)</f>
        <v>0</v>
      </c>
      <c r="P303" s="22">
        <f t="shared" si="107"/>
        <v>0</v>
      </c>
      <c r="Q303" s="22">
        <f t="shared" si="107"/>
        <v>0</v>
      </c>
      <c r="R303" s="22">
        <f>SUM(R286:R287)</f>
        <v>0</v>
      </c>
      <c r="S303" s="22">
        <f>SUM(S286:S287)</f>
        <v>0</v>
      </c>
      <c r="T303" s="17"/>
      <c r="U303" s="299">
        <f>SUM(I303:T303)</f>
        <v>0</v>
      </c>
      <c r="V303" s="67"/>
      <c r="W303" s="370">
        <f t="shared" si="92"/>
        <v>0</v>
      </c>
    </row>
    <row r="304" spans="1:23" ht="18" customHeight="1">
      <c r="A304" s="47"/>
      <c r="B304" s="17">
        <f t="shared" si="100"/>
        <v>26</v>
      </c>
      <c r="C304" s="67"/>
      <c r="D304" s="297" t="s">
        <v>570</v>
      </c>
      <c r="E304" s="17"/>
      <c r="F304" s="22">
        <f>SUM(F288:F289)</f>
        <v>0</v>
      </c>
      <c r="G304" s="17"/>
      <c r="H304" s="17"/>
      <c r="I304" s="17"/>
      <c r="J304" s="22">
        <f t="shared" si="108" ref="J304:Q304">SUM(J288:J289)</f>
        <v>0</v>
      </c>
      <c r="K304" s="22">
        <f t="shared" si="108"/>
        <v>0</v>
      </c>
      <c r="L304" s="22">
        <f t="shared" si="108"/>
        <v>0</v>
      </c>
      <c r="M304" s="22">
        <f t="shared" si="108"/>
        <v>0</v>
      </c>
      <c r="N304" s="22">
        <f t="shared" si="108"/>
        <v>0</v>
      </c>
      <c r="O304" s="22">
        <f>SUM(O288:O289)</f>
        <v>0</v>
      </c>
      <c r="P304" s="22">
        <f t="shared" si="108"/>
        <v>0</v>
      </c>
      <c r="Q304" s="22">
        <f t="shared" si="108"/>
        <v>0</v>
      </c>
      <c r="R304" s="22">
        <f>SUM(R288:R289)</f>
        <v>0</v>
      </c>
      <c r="S304" s="22">
        <f>SUM(S288:S289)</f>
        <v>0</v>
      </c>
      <c r="T304" s="17"/>
      <c r="U304" s="299">
        <f>SUM(I304:T304)</f>
        <v>0</v>
      </c>
      <c r="V304" s="67"/>
      <c r="W304" s="370">
        <f t="shared" si="92"/>
        <v>0</v>
      </c>
    </row>
    <row r="305" spans="1:23" ht="18" customHeight="1">
      <c r="A305" s="47"/>
      <c r="B305" s="17">
        <f t="shared" si="100"/>
        <v>27</v>
      </c>
      <c r="C305" s="67"/>
      <c r="D305" s="297" t="s">
        <v>571</v>
      </c>
      <c r="E305" s="17"/>
      <c r="F305" s="22">
        <f>SUM(F290:F291)</f>
        <v>0</v>
      </c>
      <c r="G305" s="17"/>
      <c r="H305" s="17"/>
      <c r="I305" s="17"/>
      <c r="J305" s="22">
        <f t="shared" si="109" ref="J305:Q305">SUM(J290:J291)</f>
        <v>0</v>
      </c>
      <c r="K305" s="22">
        <f t="shared" si="109"/>
        <v>0</v>
      </c>
      <c r="L305" s="22">
        <f t="shared" si="109"/>
        <v>0</v>
      </c>
      <c r="M305" s="22">
        <f t="shared" si="109"/>
        <v>0</v>
      </c>
      <c r="N305" s="22">
        <f t="shared" si="109"/>
        <v>0</v>
      </c>
      <c r="O305" s="22">
        <f>SUM(O290:O291)</f>
        <v>0</v>
      </c>
      <c r="P305" s="22">
        <f t="shared" si="109"/>
        <v>0</v>
      </c>
      <c r="Q305" s="22">
        <f t="shared" si="109"/>
        <v>0</v>
      </c>
      <c r="R305" s="22">
        <f>SUM(R290:R291)</f>
        <v>0</v>
      </c>
      <c r="S305" s="22">
        <f>SUM(S290:S291)</f>
        <v>0</v>
      </c>
      <c r="T305" s="17"/>
      <c r="U305" s="299">
        <f>SUM(I305:T305)</f>
        <v>0</v>
      </c>
      <c r="V305" s="67"/>
      <c r="W305" s="370">
        <f t="shared" si="92"/>
        <v>0</v>
      </c>
    </row>
    <row r="306" spans="1:23" ht="18" customHeight="1">
      <c r="A306" s="47"/>
      <c r="B306" s="17">
        <f t="shared" si="100"/>
        <v>28</v>
      </c>
      <c r="C306" s="67"/>
      <c r="D306" s="297" t="s">
        <v>572</v>
      </c>
      <c r="E306" s="17"/>
      <c r="F306" s="22">
        <f>SUM(F292:F294)</f>
        <v>0</v>
      </c>
      <c r="G306" s="17"/>
      <c r="H306" s="17"/>
      <c r="I306" s="17"/>
      <c r="J306" s="22">
        <f t="shared" si="110" ref="J306:Q306">SUM(J292:J294)</f>
        <v>0</v>
      </c>
      <c r="K306" s="22">
        <f t="shared" si="110"/>
        <v>0</v>
      </c>
      <c r="L306" s="22">
        <f t="shared" si="110"/>
        <v>0</v>
      </c>
      <c r="M306" s="22">
        <f t="shared" si="110"/>
        <v>0</v>
      </c>
      <c r="N306" s="22">
        <f t="shared" si="110"/>
        <v>0</v>
      </c>
      <c r="O306" s="22">
        <f>SUM(O292:O294)</f>
        <v>0</v>
      </c>
      <c r="P306" s="22">
        <f t="shared" si="110"/>
        <v>0</v>
      </c>
      <c r="Q306" s="22">
        <f t="shared" si="110"/>
        <v>0</v>
      </c>
      <c r="R306" s="22">
        <f>SUM(R292:R294)</f>
        <v>0</v>
      </c>
      <c r="S306" s="22">
        <f>SUM(S292:S294)</f>
        <v>0</v>
      </c>
      <c r="T306" s="17"/>
      <c r="U306" s="299">
        <f>SUM(I306:T306)</f>
        <v>0</v>
      </c>
      <c r="V306" s="67"/>
      <c r="W306" s="370">
        <f t="shared" si="92"/>
        <v>0</v>
      </c>
    </row>
    <row r="307" spans="1:23" ht="18" customHeight="1" thickBot="1">
      <c r="A307" s="47"/>
      <c r="B307" s="17">
        <f t="shared" si="100"/>
        <v>29</v>
      </c>
      <c r="C307" s="67"/>
      <c r="D307" s="1"/>
      <c r="E307" s="17"/>
      <c r="F307" s="19"/>
      <c r="G307" s="17"/>
      <c r="H307" s="17"/>
      <c r="I307" s="17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7"/>
      <c r="U307" s="1"/>
      <c r="V307" s="67"/>
      <c r="W307" s="370">
        <f t="shared" si="92"/>
        <v>0</v>
      </c>
    </row>
    <row r="308" spans="1:23" ht="18" customHeight="1">
      <c r="A308" s="47"/>
      <c r="B308" s="17">
        <f t="shared" si="100"/>
        <v>30</v>
      </c>
      <c r="C308" s="303" t="s">
        <v>575</v>
      </c>
      <c r="D308" s="304"/>
      <c r="E308" s="305" t="s">
        <v>24</v>
      </c>
      <c r="F308" s="306">
        <f>F254+F266+F300</f>
        <v>491401280.11000001</v>
      </c>
      <c r="G308" s="305"/>
      <c r="H308" s="437"/>
      <c r="I308" s="857"/>
      <c r="J308" s="439">
        <f t="shared" si="111" ref="J308:Q308">J254+J266+J300</f>
        <v>273958579.62809241</v>
      </c>
      <c r="K308" s="908">
        <f t="shared" si="111"/>
        <v>42237357.772811398</v>
      </c>
      <c r="L308" s="908">
        <f t="shared" si="111"/>
        <v>130282591.17769882</v>
      </c>
      <c r="M308" s="908">
        <f t="shared" si="111"/>
        <v>1829365.394611157</v>
      </c>
      <c r="N308" s="908">
        <f t="shared" si="111"/>
        <v>38173927.844075806</v>
      </c>
      <c r="O308" s="908">
        <f>O254+O266+O300</f>
        <v>1304517.8629253465</v>
      </c>
      <c r="P308" s="908">
        <f t="shared" si="111"/>
        <v>2839835.0400605616</v>
      </c>
      <c r="Q308" s="908">
        <f t="shared" si="111"/>
        <v>273087.96546362282</v>
      </c>
      <c r="R308" s="908">
        <f>R254+R266+R300</f>
        <v>150521.29187600152</v>
      </c>
      <c r="S308" s="641">
        <f>S254+S266+S300</f>
        <v>351496.13238492532</v>
      </c>
      <c r="T308" s="438"/>
      <c r="U308" s="307">
        <f>SUM(I308:T308)</f>
        <v>491401280.11000013</v>
      </c>
      <c r="V308" s="67"/>
      <c r="W308" s="370">
        <f t="shared" si="92"/>
        <v>0</v>
      </c>
    </row>
    <row r="309" spans="1:23" ht="18" customHeight="1" thickBot="1">
      <c r="A309" s="47"/>
      <c r="B309" s="17">
        <f t="shared" si="100"/>
        <v>31</v>
      </c>
      <c r="C309" s="309" t="s">
        <v>576</v>
      </c>
      <c r="D309" s="310"/>
      <c r="E309" s="311" t="s">
        <v>24</v>
      </c>
      <c r="F309" s="312">
        <f>F266+F300</f>
        <v>336239857.38</v>
      </c>
      <c r="G309" s="311"/>
      <c r="H309" s="440"/>
      <c r="I309" s="1062"/>
      <c r="J309" s="442">
        <f t="shared" si="112" ref="J309:Q309">J266+J300</f>
        <v>187455339.39503998</v>
      </c>
      <c r="K309" s="312">
        <f t="shared" si="112"/>
        <v>28900785.831203066</v>
      </c>
      <c r="L309" s="312">
        <f t="shared" si="112"/>
        <v>89145473.668445259</v>
      </c>
      <c r="M309" s="312">
        <f t="shared" si="112"/>
        <v>1251737.8042691944</v>
      </c>
      <c r="N309" s="312">
        <f t="shared" si="112"/>
        <v>26120396.045881722</v>
      </c>
      <c r="O309" s="312">
        <f>O266+O300</f>
        <v>892612.44920138072</v>
      </c>
      <c r="P309" s="312">
        <f t="shared" si="112"/>
        <v>1943148.6394153133</v>
      </c>
      <c r="Q309" s="312">
        <f t="shared" si="112"/>
        <v>186859.62425480117</v>
      </c>
      <c r="R309" s="312">
        <f>R266+R300</f>
        <v>102993.74413862085</v>
      </c>
      <c r="S309" s="443">
        <f>S266+S300</f>
        <v>240510.17815068117</v>
      </c>
      <c r="T309" s="441"/>
      <c r="U309" s="313">
        <f>SUM(I309:T309)</f>
        <v>336239857.38000005</v>
      </c>
      <c r="V309" s="67"/>
      <c r="W309" s="370">
        <f t="shared" si="92"/>
        <v>0</v>
      </c>
    </row>
    <row r="310" spans="1:23" ht="18" customHeight="1" thickBot="1">
      <c r="A310" s="47"/>
      <c r="B310" s="17">
        <f t="shared" si="100"/>
        <v>32</v>
      </c>
      <c r="C310" s="8"/>
      <c r="D310" s="8"/>
      <c r="E310" s="20"/>
      <c r="F310" s="22"/>
      <c r="G310" s="20"/>
      <c r="H310" s="20"/>
      <c r="I310" s="20"/>
      <c r="J310" s="896"/>
      <c r="K310" s="896"/>
      <c r="L310" s="896"/>
      <c r="M310" s="22"/>
      <c r="N310" s="22"/>
      <c r="O310" s="22"/>
      <c r="P310" s="22"/>
      <c r="Q310" s="22"/>
      <c r="R310" s="22"/>
      <c r="S310" s="22"/>
      <c r="T310" s="20"/>
      <c r="U310" s="22"/>
      <c r="V310" s="67"/>
      <c r="W310" s="370">
        <f t="shared" si="92"/>
        <v>0</v>
      </c>
    </row>
    <row r="311" spans="1:23" ht="18" customHeight="1">
      <c r="A311" s="47"/>
      <c r="B311" s="17">
        <f t="shared" si="100"/>
        <v>33</v>
      </c>
      <c r="C311" s="319" t="s">
        <v>577</v>
      </c>
      <c r="D311" s="304"/>
      <c r="E311" s="320"/>
      <c r="F311" s="306">
        <f>F106-F254</f>
        <v>30140290.230000019</v>
      </c>
      <c r="G311" s="320"/>
      <c r="H311" s="448"/>
      <c r="I311" s="1063"/>
      <c r="J311" s="439">
        <f t="shared" si="113" ref="J311:Q311">J106-J254</f>
        <v>16803356.920724571</v>
      </c>
      <c r="K311" s="908">
        <f t="shared" si="113"/>
        <v>2590644.903358642</v>
      </c>
      <c r="L311" s="908">
        <f t="shared" si="113"/>
        <v>7990933.8232356235</v>
      </c>
      <c r="M311" s="908">
        <f t="shared" si="113"/>
        <v>112204.84390670748</v>
      </c>
      <c r="N311" s="908">
        <f t="shared" si="113"/>
        <v>2341412.8351109885</v>
      </c>
      <c r="O311" s="908">
        <f>O106-O254</f>
        <v>80013.11471957888</v>
      </c>
      <c r="P311" s="908">
        <f t="shared" si="113"/>
        <v>174182.39588954463</v>
      </c>
      <c r="Q311" s="908">
        <f t="shared" si="113"/>
        <v>16749.957459515208</v>
      </c>
      <c r="R311" s="908">
        <f>R106-R254</f>
        <v>9232.2824676437158</v>
      </c>
      <c r="S311" s="641">
        <f>S106-S254</f>
        <v>21559.153127221507</v>
      </c>
      <c r="T311" s="449"/>
      <c r="U311" s="307">
        <f>SUM(I311:T311)</f>
        <v>30140290.230000038</v>
      </c>
      <c r="V311" s="67"/>
      <c r="W311" s="370">
        <f t="shared" si="92"/>
        <v>0</v>
      </c>
    </row>
    <row r="312" spans="1:23" ht="18" customHeight="1">
      <c r="A312" s="47"/>
      <c r="B312" s="17">
        <f t="shared" si="100"/>
        <v>34</v>
      </c>
      <c r="C312" s="234" t="s">
        <v>578</v>
      </c>
      <c r="D312" s="286"/>
      <c r="E312" s="321"/>
      <c r="F312" s="322">
        <f>F118-F266</f>
        <v>0</v>
      </c>
      <c r="G312" s="321"/>
      <c r="H312" s="450"/>
      <c r="I312" s="1064"/>
      <c r="J312" s="642">
        <f t="shared" si="114" ref="J312:Q312">J118-J266</f>
        <v>0</v>
      </c>
      <c r="K312" s="322">
        <f t="shared" si="114"/>
        <v>0</v>
      </c>
      <c r="L312" s="322">
        <f t="shared" si="114"/>
        <v>0</v>
      </c>
      <c r="M312" s="322">
        <f t="shared" si="114"/>
        <v>0</v>
      </c>
      <c r="N312" s="322">
        <f t="shared" si="114"/>
        <v>0</v>
      </c>
      <c r="O312" s="322">
        <f>O118-O266</f>
        <v>0</v>
      </c>
      <c r="P312" s="322">
        <f t="shared" si="114"/>
        <v>0</v>
      </c>
      <c r="Q312" s="322">
        <f t="shared" si="114"/>
        <v>0</v>
      </c>
      <c r="R312" s="322">
        <f>R118-R266</f>
        <v>0</v>
      </c>
      <c r="S312" s="323">
        <f>S118-S266</f>
        <v>0</v>
      </c>
      <c r="T312" s="451"/>
      <c r="U312" s="323">
        <f>SUM(I312:T312)</f>
        <v>0</v>
      </c>
      <c r="V312" s="67"/>
      <c r="W312" s="370">
        <f t="shared" si="92"/>
        <v>0</v>
      </c>
    </row>
    <row r="313" spans="1:23" ht="18" customHeight="1">
      <c r="A313" s="47"/>
      <c r="B313" s="17">
        <f t="shared" si="100"/>
        <v>35</v>
      </c>
      <c r="C313" s="234" t="s">
        <v>579</v>
      </c>
      <c r="D313" s="286"/>
      <c r="E313" s="321"/>
      <c r="F313" s="322">
        <f>F154-F300</f>
        <v>237907625.69000006</v>
      </c>
      <c r="G313" s="321"/>
      <c r="H313" s="450"/>
      <c r="I313" s="1064"/>
      <c r="J313" s="642">
        <f t="shared" si="115" ref="J313:Q313">J154-J300</f>
        <v>132634646.78426248</v>
      </c>
      <c r="K313" s="322">
        <f t="shared" si="115"/>
        <v>20448846.818020612</v>
      </c>
      <c r="L313" s="322">
        <f t="shared" si="115"/>
        <v>63075175.402247638</v>
      </c>
      <c r="M313" s="322">
        <f t="shared" si="115"/>
        <v>885671.23279362754</v>
      </c>
      <c r="N313" s="322">
        <f t="shared" si="115"/>
        <v>18481572.808708359</v>
      </c>
      <c r="O313" s="322">
        <f>O154-O300</f>
        <v>631570.8973515277</v>
      </c>
      <c r="P313" s="322">
        <f t="shared" si="115"/>
        <v>1374881.2611575562</v>
      </c>
      <c r="Q313" s="322">
        <f t="shared" si="115"/>
        <v>132213.14656205164</v>
      </c>
      <c r="R313" s="322">
        <f>R154-R300</f>
        <v>72873.565079022432</v>
      </c>
      <c r="S313" s="323">
        <f>S154-S300</f>
        <v>170173.77381718744</v>
      </c>
      <c r="T313" s="451"/>
      <c r="U313" s="325">
        <f>SUM(I313:T313)</f>
        <v>237907625.69000006</v>
      </c>
      <c r="V313" s="67"/>
      <c r="W313" s="370">
        <f t="shared" si="92"/>
        <v>0</v>
      </c>
    </row>
    <row r="314" spans="1:23" ht="18" customHeight="1">
      <c r="A314" s="47"/>
      <c r="B314" s="17">
        <f t="shared" si="100"/>
        <v>36</v>
      </c>
      <c r="C314" s="234" t="s">
        <v>580</v>
      </c>
      <c r="D314" s="286"/>
      <c r="E314" s="321"/>
      <c r="F314" s="322">
        <f>SUM(F312:F313)</f>
        <v>237907625.69000006</v>
      </c>
      <c r="G314" s="321"/>
      <c r="H314" s="450"/>
      <c r="I314" s="1064"/>
      <c r="J314" s="642">
        <f t="shared" si="116" ref="J314:Q314">SUM(J312:J313)</f>
        <v>132634646.78426248</v>
      </c>
      <c r="K314" s="322">
        <f t="shared" si="116"/>
        <v>20448846.818020612</v>
      </c>
      <c r="L314" s="322">
        <f t="shared" si="116"/>
        <v>63075175.402247638</v>
      </c>
      <c r="M314" s="322">
        <f t="shared" si="116"/>
        <v>885671.23279362754</v>
      </c>
      <c r="N314" s="322">
        <f t="shared" si="116"/>
        <v>18481572.808708359</v>
      </c>
      <c r="O314" s="322">
        <f>SUM(O312:O313)</f>
        <v>631570.8973515277</v>
      </c>
      <c r="P314" s="322">
        <f t="shared" si="116"/>
        <v>1374881.2611575562</v>
      </c>
      <c r="Q314" s="322">
        <f t="shared" si="116"/>
        <v>132213.14656205164</v>
      </c>
      <c r="R314" s="322">
        <f>SUM(R312:R313)</f>
        <v>72873.565079022432</v>
      </c>
      <c r="S314" s="323">
        <f>SUM(S312:S313)</f>
        <v>170173.77381718744</v>
      </c>
      <c r="T314" s="451"/>
      <c r="U314" s="325">
        <f>SUM(I314:T314)</f>
        <v>237907625.69000006</v>
      </c>
      <c r="V314" s="67"/>
      <c r="W314" s="370">
        <f t="shared" si="117" ref="W314:W374">U314-F314</f>
        <v>0</v>
      </c>
    </row>
    <row r="315" spans="1:23" ht="18" customHeight="1" thickBot="1">
      <c r="A315" s="47"/>
      <c r="B315" s="17">
        <f t="shared" si="100"/>
        <v>37</v>
      </c>
      <c r="C315" s="326" t="s">
        <v>581</v>
      </c>
      <c r="D315" s="310"/>
      <c r="E315" s="327"/>
      <c r="F315" s="312">
        <f>SUM(F311:F313)</f>
        <v>268047915.92000008</v>
      </c>
      <c r="G315" s="327"/>
      <c r="H315" s="452"/>
      <c r="I315" s="1065"/>
      <c r="J315" s="442">
        <f t="shared" si="118" ref="J315:Q315">SUM(J311:J313)</f>
        <v>149438003.70498705</v>
      </c>
      <c r="K315" s="312">
        <f t="shared" si="118"/>
        <v>23039491.721379254</v>
      </c>
      <c r="L315" s="312">
        <f t="shared" si="118"/>
        <v>71066109.225483268</v>
      </c>
      <c r="M315" s="312">
        <f t="shared" si="118"/>
        <v>997876.07670033502</v>
      </c>
      <c r="N315" s="312">
        <f t="shared" si="118"/>
        <v>20822985.643819347</v>
      </c>
      <c r="O315" s="312">
        <f>SUM(O311:O313)</f>
        <v>711584.01207110658</v>
      </c>
      <c r="P315" s="312">
        <f t="shared" si="118"/>
        <v>1549063.6570471008</v>
      </c>
      <c r="Q315" s="312">
        <f t="shared" si="118"/>
        <v>148963.10402156686</v>
      </c>
      <c r="R315" s="312">
        <f>SUM(R311:R313)</f>
        <v>82105.847546666148</v>
      </c>
      <c r="S315" s="443">
        <f>SUM(S311:S313)</f>
        <v>191732.92694440894</v>
      </c>
      <c r="T315" s="453"/>
      <c r="U315" s="313">
        <f>SUM(I315:T315)</f>
        <v>268047915.92000008</v>
      </c>
      <c r="V315" s="67"/>
      <c r="W315" s="370">
        <f t="shared" si="117"/>
        <v>0</v>
      </c>
    </row>
    <row r="316" spans="1:23" ht="18" customHeight="1">
      <c r="A316" s="4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W316" s="370">
        <f t="shared" si="117"/>
        <v>0</v>
      </c>
    </row>
    <row r="317" spans="1:23" ht="18" customHeight="1">
      <c r="A317" s="47"/>
      <c r="B317" s="17"/>
      <c r="C317" s="1"/>
      <c r="D317" s="1"/>
      <c r="E317" s="17"/>
      <c r="F317" s="18"/>
      <c r="G317" s="17"/>
      <c r="H317" s="134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34"/>
      <c r="V317" s="134">
        <f>$H$2</f>
        <v>0</v>
      </c>
      <c r="W317" s="370"/>
    </row>
    <row r="318" spans="1:23" ht="18" customHeight="1" thickBot="1">
      <c r="A318" s="47"/>
      <c r="B318" s="17"/>
      <c r="C318" s="1"/>
      <c r="D318" s="1"/>
      <c r="E318" s="17"/>
      <c r="F318" s="1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"/>
      <c r="V318" s="67"/>
      <c r="W318" s="370">
        <f t="shared" si="117"/>
        <v>0</v>
      </c>
    </row>
    <row r="319" spans="1:23" ht="18" customHeight="1">
      <c r="A319" s="47"/>
      <c r="B319" s="920" t="str">
        <f>+$B$4</f>
        <v>2022 RATE CASE</v>
      </c>
      <c r="C319" s="935"/>
      <c r="D319" s="620"/>
      <c r="F319" s="12"/>
      <c r="U319" s="134"/>
      <c r="W319" s="370">
        <f t="shared" si="117"/>
        <v>0</v>
      </c>
    </row>
    <row r="320" spans="1:23" ht="18" customHeight="1">
      <c r="A320" s="47"/>
      <c r="B320" s="917" t="str">
        <f>+$B$5</f>
        <v>ONCOR ELECTRIC DELIVERY COMPANY LLC</v>
      </c>
      <c r="C320" s="8"/>
      <c r="D320" s="621"/>
      <c r="F320" s="12"/>
      <c r="U320" s="134"/>
      <c r="V320" s="67"/>
      <c r="W320" s="370">
        <f t="shared" si="117"/>
        <v>0</v>
      </c>
    </row>
    <row r="321" spans="1:23" ht="18" customHeight="1">
      <c r="A321" s="47"/>
      <c r="B321" s="917" t="str">
        <f>+$B$6</f>
        <v>II-I-1-MET:  CLASS REVENUE REQUIREMENT</v>
      </c>
      <c r="C321" s="85"/>
      <c r="D321" s="621"/>
      <c r="F321" s="12"/>
      <c r="U321" s="12"/>
      <c r="V321" s="67"/>
      <c r="W321" s="370">
        <f t="shared" si="117"/>
        <v>0</v>
      </c>
    </row>
    <row r="322" spans="1:23" ht="18" customHeight="1">
      <c r="A322" s="47"/>
      <c r="B322" s="406" t="str">
        <f>+$B$7</f>
        <v>TEST YEAR ENDING 12/31/2021</v>
      </c>
      <c r="C322" s="85"/>
      <c r="D322" s="621"/>
      <c r="F322" s="12"/>
      <c r="U322" s="12"/>
      <c r="V322" s="67"/>
      <c r="W322" s="370">
        <f t="shared" si="117"/>
        <v>0</v>
      </c>
    </row>
    <row r="323" spans="1:23" ht="18" customHeight="1">
      <c r="A323" s="47"/>
      <c r="B323" s="406" t="str">
        <f>+$B$8</f>
        <v>SPONSOR:  MATTHEW A. TROXLE</v>
      </c>
      <c r="C323" s="85"/>
      <c r="D323" s="621"/>
      <c r="F323" s="12"/>
      <c r="U323" s="12"/>
      <c r="V323" s="67"/>
      <c r="W323" s="370">
        <f t="shared" si="117"/>
        <v>0</v>
      </c>
    </row>
    <row r="324" spans="1:23" ht="18" customHeight="1" thickBot="1">
      <c r="A324" s="47"/>
      <c r="B324" s="410"/>
      <c r="C324" s="934"/>
      <c r="D324" s="622"/>
      <c r="F324" s="12"/>
      <c r="U324" s="12"/>
      <c r="V324" s="67"/>
      <c r="W324" s="370">
        <f t="shared" si="117"/>
        <v>0</v>
      </c>
    </row>
    <row r="325" spans="1:23" ht="18" customHeight="1" thickBot="1">
      <c r="A325" s="47"/>
      <c r="B325" s="13"/>
      <c r="C325" s="14"/>
      <c r="D325" s="14"/>
      <c r="E325" s="14"/>
      <c r="F325" s="13"/>
      <c r="G325" s="14"/>
      <c r="H325" s="14"/>
      <c r="I325" s="14"/>
      <c r="J325" s="238"/>
      <c r="K325" s="238"/>
      <c r="L325" s="14"/>
      <c r="M325" s="238"/>
      <c r="N325" s="238"/>
      <c r="O325" s="238"/>
      <c r="P325" s="238"/>
      <c r="Q325" s="14"/>
      <c r="R325" s="393" t="str">
        <f>R$10</f>
        <v xml:space="preserve"> </v>
      </c>
      <c r="S325" s="394"/>
      <c r="T325" s="238"/>
      <c r="U325" s="13"/>
      <c r="V325" s="67"/>
      <c r="W325" s="370">
        <f t="shared" si="117"/>
        <v>0</v>
      </c>
    </row>
    <row r="326" spans="1:23" ht="18" customHeight="1">
      <c r="A326" s="47"/>
      <c r="B326" s="15" t="s">
        <v>2</v>
      </c>
      <c r="C326" s="15" t="s">
        <v>370</v>
      </c>
      <c r="D326" s="287" t="s">
        <v>582</v>
      </c>
      <c r="E326" s="15" t="s">
        <v>371</v>
      </c>
      <c r="F326" s="287" t="str">
        <f>F$11</f>
        <v>MET</v>
      </c>
      <c r="G326" s="242" t="s">
        <v>741</v>
      </c>
      <c r="H326" s="242" t="s">
        <v>376</v>
      </c>
      <c r="I326" s="15"/>
      <c r="J326" s="242" t="s">
        <v>730</v>
      </c>
      <c r="K326" s="242" t="s">
        <v>409</v>
      </c>
      <c r="L326" s="15" t="s">
        <v>409</v>
      </c>
      <c r="M326" s="242" t="s">
        <v>410</v>
      </c>
      <c r="N326" s="242" t="s">
        <v>410</v>
      </c>
      <c r="O326" s="242" t="s">
        <v>410</v>
      </c>
      <c r="P326" s="242" t="s">
        <v>411</v>
      </c>
      <c r="Q326" s="15" t="s">
        <v>412</v>
      </c>
      <c r="R326" s="396" t="str">
        <f>R$11</f>
        <v>Wholesale</v>
      </c>
      <c r="S326" s="13" t="str">
        <f>S$11</f>
        <v>Wholesale</v>
      </c>
      <c r="T326" s="242"/>
      <c r="U326" s="15" t="s">
        <v>10</v>
      </c>
      <c r="V326" s="67"/>
      <c r="W326" s="370"/>
    </row>
    <row r="327" spans="1:23" ht="18" customHeight="1">
      <c r="A327" s="47"/>
      <c r="B327" s="15"/>
      <c r="C327" s="15"/>
      <c r="D327" s="15"/>
      <c r="E327" s="15"/>
      <c r="F327" s="15"/>
      <c r="G327" s="242" t="s">
        <v>742</v>
      </c>
      <c r="H327" s="242" t="s">
        <v>743</v>
      </c>
      <c r="I327" s="15"/>
      <c r="J327" s="242"/>
      <c r="K327" s="242" t="s">
        <v>731</v>
      </c>
      <c r="L327" s="15" t="s">
        <v>732</v>
      </c>
      <c r="M327" s="242" t="s">
        <v>731</v>
      </c>
      <c r="N327" s="242" t="s">
        <v>732</v>
      </c>
      <c r="O327" s="242" t="s">
        <v>414</v>
      </c>
      <c r="P327" s="242"/>
      <c r="Q327" s="15"/>
      <c r="R327" s="235" t="str">
        <f>R$12</f>
        <v>XFMR</v>
      </c>
      <c r="S327" s="15" t="str">
        <f>S$12</f>
        <v>DLS</v>
      </c>
      <c r="T327" s="242"/>
      <c r="U327" s="15"/>
      <c r="V327" s="67"/>
      <c r="W327" s="370">
        <f t="shared" si="117"/>
        <v>0</v>
      </c>
    </row>
    <row r="328" spans="1:23" ht="18" customHeight="1" thickBot="1">
      <c r="A328" s="47"/>
      <c r="B328" s="16"/>
      <c r="C328" s="16"/>
      <c r="D328" s="16"/>
      <c r="E328" s="16"/>
      <c r="F328" s="16" t="s">
        <v>13</v>
      </c>
      <c r="G328" s="16" t="s">
        <v>14</v>
      </c>
      <c r="H328" s="16" t="s">
        <v>15</v>
      </c>
      <c r="I328" s="16"/>
      <c r="J328" s="243" t="str">
        <f t="shared" si="119" ref="J328:Q328">J$13</f>
        <v>(d)</v>
      </c>
      <c r="K328" s="243" t="str">
        <f t="shared" si="119"/>
        <v>(e)</v>
      </c>
      <c r="L328" s="16" t="str">
        <f t="shared" si="119"/>
        <v>(f)</v>
      </c>
      <c r="M328" s="243" t="str">
        <f t="shared" si="119"/>
        <v>(g)</v>
      </c>
      <c r="N328" s="243" t="str">
        <f t="shared" si="119"/>
        <v>(h)</v>
      </c>
      <c r="O328" s="243" t="str">
        <f>O$13</f>
        <v>(i)</v>
      </c>
      <c r="P328" s="243" t="str">
        <f t="shared" si="119"/>
        <v>(j)</v>
      </c>
      <c r="Q328" s="243" t="str">
        <f t="shared" si="119"/>
        <v>(k)</v>
      </c>
      <c r="R328" s="243" t="str">
        <f>R$13</f>
        <v>(l)</v>
      </c>
      <c r="S328" s="16" t="str">
        <f>S$13</f>
        <v>(m)</v>
      </c>
      <c r="T328" s="16"/>
      <c r="U328" s="16" t="s">
        <v>734</v>
      </c>
      <c r="V328" s="67"/>
      <c r="W328" s="370"/>
    </row>
    <row r="329" spans="1:23" ht="18" customHeight="1">
      <c r="A329" s="47"/>
      <c r="B329" s="6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"/>
      <c r="V329" s="67"/>
      <c r="W329" s="370">
        <f t="shared" si="117"/>
        <v>0</v>
      </c>
    </row>
    <row r="330" spans="1:23" ht="18" customHeight="1">
      <c r="A330" s="47"/>
      <c r="B330" s="17"/>
      <c r="C330" s="1"/>
      <c r="D330" s="1"/>
      <c r="E330" s="17"/>
      <c r="F330" s="1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"/>
      <c r="V330" s="67"/>
      <c r="W330" s="370">
        <f t="shared" si="117"/>
        <v>0</v>
      </c>
    </row>
    <row r="331" spans="1:23" ht="18" customHeight="1">
      <c r="A331" s="47"/>
      <c r="B331" s="17">
        <f t="shared" si="120" ref="B331:B354">B330+1</f>
        <v>1</v>
      </c>
      <c r="C331" s="8" t="s">
        <v>301</v>
      </c>
      <c r="D331" s="1"/>
      <c r="E331" s="20" t="s">
        <v>36</v>
      </c>
      <c r="F331" s="18"/>
      <c r="G331" s="20"/>
      <c r="H331" s="20"/>
      <c r="I331" s="101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1"/>
      <c r="V331" s="67"/>
      <c r="W331" s="370">
        <f t="shared" si="117"/>
        <v>0</v>
      </c>
    </row>
    <row r="332" spans="1:23" ht="18" customHeight="1">
      <c r="A332" s="47"/>
      <c r="B332" s="17">
        <f t="shared" si="120"/>
        <v>2</v>
      </c>
      <c r="C332" s="8" t="s">
        <v>583</v>
      </c>
      <c r="D332" s="8"/>
      <c r="E332" s="20"/>
      <c r="F332" s="8"/>
      <c r="G332" s="20"/>
      <c r="H332" s="20"/>
      <c r="I332" s="1010"/>
      <c r="J332" s="1059"/>
      <c r="K332" s="1059"/>
      <c r="L332" s="1059"/>
      <c r="M332" s="1059"/>
      <c r="N332" s="1059"/>
      <c r="O332" s="1059"/>
      <c r="P332" s="1059"/>
      <c r="Q332" s="1059"/>
      <c r="R332" s="1059"/>
      <c r="S332" s="1059"/>
      <c r="T332" s="1010"/>
      <c r="U332" s="8"/>
      <c r="V332" s="67"/>
      <c r="W332" s="370">
        <f t="shared" si="117"/>
        <v>0</v>
      </c>
    </row>
    <row r="333" spans="1:23" ht="18" customHeight="1">
      <c r="A333" s="47"/>
      <c r="B333" s="17">
        <f t="shared" si="120"/>
        <v>3</v>
      </c>
      <c r="C333" s="1" t="s">
        <v>91</v>
      </c>
      <c r="D333" s="1" t="s">
        <v>40</v>
      </c>
      <c r="E333" s="17"/>
      <c r="F333" s="118">
        <f>' WP II-I-1.4'!H333</f>
        <v>0</v>
      </c>
      <c r="G333" s="17">
        <v>61</v>
      </c>
      <c r="H333" s="47" t="str">
        <f t="shared" si="121" ref="H333:H341">VLOOKUP(G333,FactorTable,2)</f>
        <v>PLTOPER_N</v>
      </c>
      <c r="I333" s="17"/>
      <c r="J333" s="434">
        <f t="shared" si="122" ref="J333:S341">$F333*HLOOKUP(J$1318,FactorTable,$G333+1)</f>
        <v>0</v>
      </c>
      <c r="K333" s="434">
        <f t="shared" si="122"/>
        <v>0</v>
      </c>
      <c r="L333" s="434">
        <f t="shared" si="122"/>
        <v>0</v>
      </c>
      <c r="M333" s="434">
        <f t="shared" si="122"/>
        <v>0</v>
      </c>
      <c r="N333" s="434">
        <f t="shared" si="122"/>
        <v>0</v>
      </c>
      <c r="O333" s="434">
        <f t="shared" si="122"/>
        <v>0</v>
      </c>
      <c r="P333" s="434">
        <f t="shared" si="122"/>
        <v>0</v>
      </c>
      <c r="Q333" s="434">
        <f t="shared" si="122"/>
        <v>0</v>
      </c>
      <c r="R333" s="434">
        <f t="shared" si="122"/>
        <v>0</v>
      </c>
      <c r="S333" s="434">
        <f t="shared" si="122"/>
        <v>0</v>
      </c>
      <c r="T333" s="17"/>
      <c r="U333" s="118">
        <f t="shared" si="123" ref="U333:U342">SUM(I333:T333)</f>
        <v>0</v>
      </c>
      <c r="V333" s="67"/>
      <c r="W333" s="370">
        <f t="shared" si="117"/>
        <v>0</v>
      </c>
    </row>
    <row r="334" spans="1:23" ht="18" customHeight="1">
      <c r="A334" s="47"/>
      <c r="B334" s="17">
        <f t="shared" si="120"/>
        <v>4</v>
      </c>
      <c r="C334" s="1" t="s">
        <v>92</v>
      </c>
      <c r="D334" s="1" t="s">
        <v>42</v>
      </c>
      <c r="E334" s="20"/>
      <c r="F334" s="118">
        <f>' WP II-I-1.4'!H334</f>
        <v>558.58000000000004</v>
      </c>
      <c r="G334" s="17">
        <v>61</v>
      </c>
      <c r="H334" s="47" t="str">
        <f t="shared" si="121"/>
        <v>PLTOPER_N</v>
      </c>
      <c r="I334" s="1010"/>
      <c r="J334" s="434">
        <f t="shared" si="122"/>
        <v>311.41103941447739</v>
      </c>
      <c r="K334" s="434">
        <f t="shared" si="122"/>
        <v>48.01156256543679</v>
      </c>
      <c r="L334" s="434">
        <f t="shared" si="122"/>
        <v>148.09332560905978</v>
      </c>
      <c r="M334" s="434">
        <f t="shared" si="122"/>
        <v>2.0794551489429578</v>
      </c>
      <c r="N334" s="434">
        <f t="shared" si="122"/>
        <v>43.39262732561599</v>
      </c>
      <c r="O334" s="434">
        <f t="shared" si="122"/>
        <v>1.4828565113011629</v>
      </c>
      <c r="P334" s="434">
        <f t="shared" si="122"/>
        <v>3.2280645592171462</v>
      </c>
      <c r="Q334" s="434">
        <f t="shared" si="122"/>
        <v>0.31042140491478581</v>
      </c>
      <c r="R334" s="434">
        <f t="shared" si="122"/>
        <v>0.17109882822705727</v>
      </c>
      <c r="S334" s="434">
        <f t="shared" si="122"/>
        <v>0.39954863280702324</v>
      </c>
      <c r="T334" s="1010"/>
      <c r="U334" s="118">
        <f t="shared" si="123"/>
        <v>558.58000000000015</v>
      </c>
      <c r="V334" s="67"/>
      <c r="W334" s="370">
        <f t="shared" si="117"/>
        <v>0</v>
      </c>
    </row>
    <row r="335" spans="1:23" ht="18" customHeight="1">
      <c r="A335" s="47"/>
      <c r="B335" s="17">
        <f t="shared" si="120"/>
        <v>5</v>
      </c>
      <c r="C335" s="1" t="s">
        <v>93</v>
      </c>
      <c r="D335" s="1" t="s">
        <v>44</v>
      </c>
      <c r="E335" s="20"/>
      <c r="F335" s="118">
        <f>' WP II-I-1.4'!H335</f>
        <v>2097789.6299999999</v>
      </c>
      <c r="G335" s="17">
        <v>61</v>
      </c>
      <c r="H335" s="47" t="str">
        <f t="shared" si="121"/>
        <v>PLTOPER_N</v>
      </c>
      <c r="I335" s="1010"/>
      <c r="J335" s="434">
        <f t="shared" si="122"/>
        <v>1169527.8190254071</v>
      </c>
      <c r="K335" s="434">
        <f t="shared" si="122"/>
        <v>180311.07105494198</v>
      </c>
      <c r="L335" s="434">
        <f t="shared" si="122"/>
        <v>556175.73621486442</v>
      </c>
      <c r="M335" s="434">
        <f t="shared" si="122"/>
        <v>7809.5518054757458</v>
      </c>
      <c r="N335" s="434">
        <f t="shared" si="122"/>
        <v>162964.30882260704</v>
      </c>
      <c r="O335" s="434">
        <f t="shared" si="122"/>
        <v>5568.9802932177254</v>
      </c>
      <c r="P335" s="434">
        <f t="shared" si="122"/>
        <v>12123.241715235507</v>
      </c>
      <c r="Q335" s="434">
        <f t="shared" si="122"/>
        <v>1165.8111714709955</v>
      </c>
      <c r="R335" s="434">
        <f t="shared" si="122"/>
        <v>642.57464921742985</v>
      </c>
      <c r="S335" s="434">
        <f t="shared" si="122"/>
        <v>1500.5352475621237</v>
      </c>
      <c r="T335" s="1010"/>
      <c r="U335" s="118">
        <f t="shared" si="123"/>
        <v>2097789.6300000004</v>
      </c>
      <c r="V335" s="67"/>
      <c r="W335" s="370">
        <f t="shared" si="117"/>
        <v>0</v>
      </c>
    </row>
    <row r="336" spans="1:23" ht="18" customHeight="1">
      <c r="A336" s="47"/>
      <c r="B336" s="17">
        <f t="shared" si="120"/>
        <v>6</v>
      </c>
      <c r="C336" s="1" t="s">
        <v>94</v>
      </c>
      <c r="D336" s="1" t="s">
        <v>95</v>
      </c>
      <c r="E336" s="20"/>
      <c r="F336" s="118">
        <f>' WP II-I-1.4'!H336</f>
        <v>37302658.030000001</v>
      </c>
      <c r="G336" s="17">
        <v>61</v>
      </c>
      <c r="H336" s="47" t="str">
        <f t="shared" si="121"/>
        <v>PLTOPER_N</v>
      </c>
      <c r="I336" s="1010"/>
      <c r="J336" s="434">
        <f t="shared" si="122"/>
        <v>20796411.454124928</v>
      </c>
      <c r="K336" s="434">
        <f t="shared" si="122"/>
        <v>3206271.0799964876</v>
      </c>
      <c r="L336" s="434">
        <f t="shared" si="122"/>
        <v>9889854.0615850873</v>
      </c>
      <c r="M336" s="434">
        <f t="shared" si="122"/>
        <v>138868.56727727788</v>
      </c>
      <c r="N336" s="434">
        <f t="shared" si="122"/>
        <v>2897812.9151610988</v>
      </c>
      <c r="O336" s="434">
        <f t="shared" si="122"/>
        <v>99026.977959515396</v>
      </c>
      <c r="P336" s="434">
        <f t="shared" si="122"/>
        <v>215574.1135580219</v>
      </c>
      <c r="Q336" s="434">
        <f t="shared" si="122"/>
        <v>20730.322447506922</v>
      </c>
      <c r="R336" s="434">
        <f t="shared" si="122"/>
        <v>11426.189764559469</v>
      </c>
      <c r="S336" s="434">
        <f t="shared" si="122"/>
        <v>26682.348125522622</v>
      </c>
      <c r="T336" s="1010"/>
      <c r="U336" s="118">
        <f t="shared" si="123"/>
        <v>37302658.030000009</v>
      </c>
      <c r="V336" s="67"/>
      <c r="W336" s="370">
        <f t="shared" si="117"/>
        <v>0</v>
      </c>
    </row>
    <row r="337" spans="1:23" ht="18" customHeight="1">
      <c r="A337" s="47"/>
      <c r="B337" s="17">
        <f t="shared" si="120"/>
        <v>7</v>
      </c>
      <c r="C337" s="1" t="s">
        <v>96</v>
      </c>
      <c r="D337" s="1" t="s">
        <v>98</v>
      </c>
      <c r="E337" s="20"/>
      <c r="F337" s="118">
        <f>' WP II-I-1.4'!H337</f>
        <v>0</v>
      </c>
      <c r="G337" s="17">
        <v>61</v>
      </c>
      <c r="H337" s="47" t="str">
        <f t="shared" si="121"/>
        <v>PLTOPER_N</v>
      </c>
      <c r="I337" s="1010"/>
      <c r="J337" s="434">
        <f t="shared" si="122"/>
        <v>0</v>
      </c>
      <c r="K337" s="434">
        <f t="shared" si="122"/>
        <v>0</v>
      </c>
      <c r="L337" s="434">
        <f t="shared" si="122"/>
        <v>0</v>
      </c>
      <c r="M337" s="434">
        <f t="shared" si="122"/>
        <v>0</v>
      </c>
      <c r="N337" s="434">
        <f t="shared" si="122"/>
        <v>0</v>
      </c>
      <c r="O337" s="434">
        <f t="shared" si="122"/>
        <v>0</v>
      </c>
      <c r="P337" s="434">
        <f t="shared" si="122"/>
        <v>0</v>
      </c>
      <c r="Q337" s="434">
        <f t="shared" si="122"/>
        <v>0</v>
      </c>
      <c r="R337" s="434">
        <f t="shared" si="122"/>
        <v>0</v>
      </c>
      <c r="S337" s="434">
        <f t="shared" si="122"/>
        <v>0</v>
      </c>
      <c r="T337" s="1010"/>
      <c r="U337" s="118">
        <f t="shared" si="123"/>
        <v>0</v>
      </c>
      <c r="V337" s="67"/>
      <c r="W337" s="370">
        <f t="shared" si="117"/>
        <v>0</v>
      </c>
    </row>
    <row r="338" spans="1:23" ht="18" customHeight="1">
      <c r="A338" s="47"/>
      <c r="B338" s="17">
        <f t="shared" si="120"/>
        <v>8</v>
      </c>
      <c r="C338" s="1" t="s">
        <v>99</v>
      </c>
      <c r="D338" s="1" t="s">
        <v>548</v>
      </c>
      <c r="E338" s="20"/>
      <c r="F338" s="118">
        <f>' WP II-I-1.4'!H338</f>
        <v>114472.84</v>
      </c>
      <c r="G338" s="17">
        <v>61</v>
      </c>
      <c r="H338" s="47" t="str">
        <f t="shared" si="121"/>
        <v>PLTOPER_N</v>
      </c>
      <c r="I338" s="1010"/>
      <c r="J338" s="434">
        <f t="shared" si="122"/>
        <v>63819.159456348527</v>
      </c>
      <c r="K338" s="434">
        <f t="shared" si="122"/>
        <v>9839.2708648774296</v>
      </c>
      <c r="L338" s="434">
        <f t="shared" si="122"/>
        <v>30349.571355067848</v>
      </c>
      <c r="M338" s="434">
        <f t="shared" si="122"/>
        <v>426.15406307444476</v>
      </c>
      <c r="N338" s="434">
        <f t="shared" si="122"/>
        <v>8892.6873232569487</v>
      </c>
      <c r="O338" s="434">
        <f t="shared" si="122"/>
        <v>303.88985671011528</v>
      </c>
      <c r="P338" s="434">
        <f t="shared" si="122"/>
        <v>661.54484191509698</v>
      </c>
      <c r="Q338" s="434">
        <f t="shared" si="122"/>
        <v>63.616348271304894</v>
      </c>
      <c r="R338" s="434">
        <f t="shared" si="122"/>
        <v>35.064214235782536</v>
      </c>
      <c r="S338" s="434">
        <f t="shared" si="122"/>
        <v>81.881676242502621</v>
      </c>
      <c r="T338" s="1010"/>
      <c r="U338" s="118">
        <f t="shared" si="123"/>
        <v>114472.83999999998</v>
      </c>
      <c r="V338" s="67"/>
      <c r="W338" s="370">
        <f t="shared" si="117"/>
        <v>0</v>
      </c>
    </row>
    <row r="339" spans="1:23" ht="18" customHeight="1">
      <c r="A339" s="47"/>
      <c r="B339" s="17">
        <f t="shared" si="120"/>
        <v>9</v>
      </c>
      <c r="C339" s="1" t="s">
        <v>101</v>
      </c>
      <c r="D339" s="1" t="s">
        <v>549</v>
      </c>
      <c r="E339" s="20"/>
      <c r="F339" s="118">
        <f>' WP II-I-1.4'!H339</f>
        <v>959169.15000000002</v>
      </c>
      <c r="G339" s="17">
        <v>61</v>
      </c>
      <c r="H339" s="47" t="str">
        <f t="shared" si="121"/>
        <v>PLTOPER_N</v>
      </c>
      <c r="I339" s="1010"/>
      <c r="J339" s="434">
        <f t="shared" si="122"/>
        <v>534741.41926993581</v>
      </c>
      <c r="K339" s="434">
        <f t="shared" si="122"/>
        <v>82443.355752196323</v>
      </c>
      <c r="L339" s="434">
        <f t="shared" si="122"/>
        <v>254299.38280123723</v>
      </c>
      <c r="M339" s="434">
        <f t="shared" si="122"/>
        <v>3570.7494498097681</v>
      </c>
      <c r="N339" s="434">
        <f t="shared" si="122"/>
        <v>74511.922138597612</v>
      </c>
      <c r="O339" s="434">
        <f t="shared" si="122"/>
        <v>2546.2963577584264</v>
      </c>
      <c r="P339" s="434">
        <f t="shared" si="122"/>
        <v>5543.0913018894953</v>
      </c>
      <c r="Q339" s="434">
        <f t="shared" si="122"/>
        <v>533.04206218253591</v>
      </c>
      <c r="R339" s="434">
        <f t="shared" si="122"/>
        <v>293.80342589520302</v>
      </c>
      <c r="S339" s="434">
        <f t="shared" si="122"/>
        <v>686.08744049764505</v>
      </c>
      <c r="T339" s="1010"/>
      <c r="U339" s="118">
        <f t="shared" si="123"/>
        <v>959169.15000000002</v>
      </c>
      <c r="V339" s="67"/>
      <c r="W339" s="370">
        <f t="shared" si="117"/>
        <v>0</v>
      </c>
    </row>
    <row r="340" spans="1:23" ht="18" customHeight="1">
      <c r="A340" s="47"/>
      <c r="B340" s="17">
        <f t="shared" si="120"/>
        <v>10</v>
      </c>
      <c r="C340" s="1" t="s">
        <v>103</v>
      </c>
      <c r="D340" s="1" t="s">
        <v>104</v>
      </c>
      <c r="E340" s="20"/>
      <c r="F340" s="118">
        <f>' WP II-I-1.4'!H340</f>
        <v>592509.96999999997</v>
      </c>
      <c r="G340" s="17">
        <v>61</v>
      </c>
      <c r="H340" s="47" t="str">
        <f t="shared" si="121"/>
        <v>PLTOPER_N</v>
      </c>
      <c r="I340" s="1010"/>
      <c r="J340" s="434">
        <f t="shared" si="122"/>
        <v>330327.16105327936</v>
      </c>
      <c r="K340" s="434">
        <f t="shared" si="122"/>
        <v>50927.941378674623</v>
      </c>
      <c r="L340" s="434">
        <f t="shared" si="122"/>
        <v>157088.99694551225</v>
      </c>
      <c r="M340" s="434">
        <f t="shared" si="122"/>
        <v>2205.7680330776921</v>
      </c>
      <c r="N340" s="434">
        <f t="shared" si="122"/>
        <v>46028.436956070582</v>
      </c>
      <c r="O340" s="434">
        <f t="shared" si="122"/>
        <v>1572.9300494564011</v>
      </c>
      <c r="P340" s="434">
        <f t="shared" si="122"/>
        <v>3424.1477230473956</v>
      </c>
      <c r="Q340" s="434">
        <f t="shared" si="122"/>
        <v>329.27741292817069</v>
      </c>
      <c r="R340" s="434">
        <f t="shared" si="122"/>
        <v>181.49192878343092</v>
      </c>
      <c r="S340" s="434">
        <f t="shared" si="122"/>
        <v>423.8185191700926</v>
      </c>
      <c r="T340" s="1010"/>
      <c r="U340" s="118">
        <f t="shared" si="123"/>
        <v>592509.97000000009</v>
      </c>
      <c r="V340" s="67"/>
      <c r="W340" s="370">
        <f t="shared" si="117"/>
        <v>0</v>
      </c>
    </row>
    <row r="341" spans="1:23" ht="18" customHeight="1">
      <c r="A341" s="47"/>
      <c r="B341" s="17">
        <f t="shared" si="120"/>
        <v>11</v>
      </c>
      <c r="C341" s="1" t="s">
        <v>105</v>
      </c>
      <c r="D341" s="1" t="s">
        <v>106</v>
      </c>
      <c r="E341" s="20"/>
      <c r="F341" s="118">
        <f>' WP II-I-1.4'!H341</f>
        <v>289556.78000000003</v>
      </c>
      <c r="G341" s="17">
        <v>61</v>
      </c>
      <c r="H341" s="47" t="str">
        <f t="shared" si="121"/>
        <v>PLTOPER_N</v>
      </c>
      <c r="I341" s="1010"/>
      <c r="J341" s="435">
        <f t="shared" si="122"/>
        <v>161429.29898906004</v>
      </c>
      <c r="K341" s="435">
        <f t="shared" si="122"/>
        <v>24888.240644520778</v>
      </c>
      <c r="L341" s="435">
        <f t="shared" si="122"/>
        <v>76768.639233146343</v>
      </c>
      <c r="M341" s="435">
        <f t="shared" si="122"/>
        <v>1077.9482564401578</v>
      </c>
      <c r="N341" s="435">
        <f t="shared" si="122"/>
        <v>22493.876336684767</v>
      </c>
      <c r="O341" s="435">
        <f t="shared" si="122"/>
        <v>768.68336964158823</v>
      </c>
      <c r="P341" s="435">
        <f t="shared" si="122"/>
        <v>1673.3645662197646</v>
      </c>
      <c r="Q341" s="435">
        <f t="shared" si="122"/>
        <v>160.91629211608284</v>
      </c>
      <c r="R341" s="435">
        <f t="shared" si="122"/>
        <v>88.694234958644799</v>
      </c>
      <c r="S341" s="435">
        <f t="shared" si="122"/>
        <v>207.11807721186582</v>
      </c>
      <c r="T341" s="1010"/>
      <c r="U341" s="118">
        <f t="shared" si="123"/>
        <v>289556.77999999997</v>
      </c>
      <c r="V341" s="67"/>
      <c r="W341" s="370">
        <f t="shared" si="117"/>
        <v>0</v>
      </c>
    </row>
    <row r="342" spans="1:23" ht="18" customHeight="1">
      <c r="A342" s="47"/>
      <c r="B342" s="17">
        <f t="shared" si="120"/>
        <v>12</v>
      </c>
      <c r="C342" s="8"/>
      <c r="D342" s="297" t="s">
        <v>491</v>
      </c>
      <c r="E342" s="20"/>
      <c r="F342" s="298">
        <f>SUM(F333:F341)</f>
        <v>41356714.980000004</v>
      </c>
      <c r="G342" s="20"/>
      <c r="H342" s="20"/>
      <c r="I342" s="1010"/>
      <c r="J342" s="907">
        <f t="shared" si="124" ref="J342:Q342">SUM(J333:J341)</f>
        <v>23056567.722958371</v>
      </c>
      <c r="K342" s="907">
        <f t="shared" si="124"/>
        <v>3554728.9712542635</v>
      </c>
      <c r="L342" s="907">
        <f t="shared" si="124"/>
        <v>10964684.481460523</v>
      </c>
      <c r="M342" s="907">
        <f t="shared" si="124"/>
        <v>153960.81834030463</v>
      </c>
      <c r="N342" s="907">
        <f t="shared" si="124"/>
        <v>3212747.5393656413</v>
      </c>
      <c r="O342" s="907">
        <f>SUM(O333:O341)</f>
        <v>109789.24074281094</v>
      </c>
      <c r="P342" s="907">
        <f t="shared" si="124"/>
        <v>239002.73177088838</v>
      </c>
      <c r="Q342" s="907">
        <f t="shared" si="124"/>
        <v>22983.296155880929</v>
      </c>
      <c r="R342" s="907">
        <f>SUM(R333:R341)</f>
        <v>12667.989316478188</v>
      </c>
      <c r="S342" s="907">
        <f>SUM(S333:S341)</f>
        <v>29582.188634839658</v>
      </c>
      <c r="T342" s="1010"/>
      <c r="U342" s="299">
        <f t="shared" si="123"/>
        <v>41356714.979999997</v>
      </c>
      <c r="V342" s="67"/>
      <c r="W342" s="370">
        <f t="shared" si="117"/>
        <v>0</v>
      </c>
    </row>
    <row r="343" spans="1:23" ht="18" customHeight="1">
      <c r="A343" s="47"/>
      <c r="B343" s="17">
        <f t="shared" si="120"/>
        <v>13</v>
      </c>
      <c r="C343" s="1"/>
      <c r="D343" s="297"/>
      <c r="E343" s="20"/>
      <c r="F343" s="22"/>
      <c r="G343" s="20"/>
      <c r="H343" s="20"/>
      <c r="I343" s="1010"/>
      <c r="J343" s="1059"/>
      <c r="K343" s="1059"/>
      <c r="L343" s="1059"/>
      <c r="M343" s="1059"/>
      <c r="N343" s="1059"/>
      <c r="O343" s="1059"/>
      <c r="P343" s="1059"/>
      <c r="Q343" s="1059"/>
      <c r="R343" s="1059"/>
      <c r="S343" s="1059"/>
      <c r="T343" s="1010"/>
      <c r="U343" s="19"/>
      <c r="V343" s="67"/>
      <c r="W343" s="370">
        <f t="shared" si="117"/>
        <v>0</v>
      </c>
    </row>
    <row r="344" spans="1:23" ht="18" customHeight="1">
      <c r="A344" s="47"/>
      <c r="B344" s="17">
        <f t="shared" si="120"/>
        <v>14</v>
      </c>
      <c r="C344" s="1" t="s">
        <v>107</v>
      </c>
      <c r="D344" s="1" t="s">
        <v>108</v>
      </c>
      <c r="E344" s="20"/>
      <c r="F344" s="118">
        <f>' WP II-I-1.4'!H344</f>
        <v>42151878.130000003</v>
      </c>
      <c r="G344" s="17">
        <v>61</v>
      </c>
      <c r="H344" s="47" t="str">
        <f>VLOOKUP(G344,FactorTable,2)</f>
        <v>PLTOPER_N</v>
      </c>
      <c r="I344" s="1010"/>
      <c r="J344" s="434">
        <f t="shared" si="125" ref="J344:S346">$F344*HLOOKUP(J$1318,FactorTable,$G344+1)</f>
        <v>23499875.007582936</v>
      </c>
      <c r="K344" s="434">
        <f t="shared" si="125"/>
        <v>3623075.5381309064</v>
      </c>
      <c r="L344" s="434">
        <f t="shared" si="125"/>
        <v>11175501.831321377</v>
      </c>
      <c r="M344" s="434">
        <f t="shared" si="125"/>
        <v>156921.01402671874</v>
      </c>
      <c r="N344" s="434">
        <f t="shared" si="125"/>
        <v>3274518.849170885</v>
      </c>
      <c r="O344" s="434">
        <f t="shared" si="125"/>
        <v>111900.15207963692</v>
      </c>
      <c r="P344" s="434">
        <f t="shared" si="125"/>
        <v>243598.02337336337</v>
      </c>
      <c r="Q344" s="434">
        <f t="shared" si="125"/>
        <v>23425.194652353173</v>
      </c>
      <c r="R344" s="434">
        <f t="shared" si="125"/>
        <v>12911.556009188875</v>
      </c>
      <c r="S344" s="434">
        <f t="shared" si="125"/>
        <v>30150.963652636619</v>
      </c>
      <c r="T344" s="1010"/>
      <c r="U344" s="118">
        <f>SUM(I344:T344)</f>
        <v>42151878.129999995</v>
      </c>
      <c r="V344" s="67"/>
      <c r="W344" s="370">
        <f t="shared" si="117"/>
        <v>0</v>
      </c>
    </row>
    <row r="345" spans="1:23" ht="18" customHeight="1">
      <c r="A345" s="47"/>
      <c r="B345" s="17">
        <f t="shared" si="120"/>
        <v>15</v>
      </c>
      <c r="C345" s="1" t="s">
        <v>110</v>
      </c>
      <c r="D345" s="1" t="s">
        <v>550</v>
      </c>
      <c r="E345" s="20"/>
      <c r="F345" s="118">
        <f>' WP II-I-1.4'!H345</f>
        <v>116093.88000000001</v>
      </c>
      <c r="G345" s="17">
        <v>61</v>
      </c>
      <c r="H345" s="47" t="str">
        <f>VLOOKUP(G345,FactorTable,2)</f>
        <v>PLTOPER_N</v>
      </c>
      <c r="I345" s="1010"/>
      <c r="J345" s="434">
        <f t="shared" si="125"/>
        <v>64722.89706122598</v>
      </c>
      <c r="K345" s="434">
        <f t="shared" si="125"/>
        <v>9978.6039297581556</v>
      </c>
      <c r="L345" s="434">
        <f t="shared" si="125"/>
        <v>30779.349013675946</v>
      </c>
      <c r="M345" s="434">
        <f t="shared" si="125"/>
        <v>432.18879395389354</v>
      </c>
      <c r="N345" s="434">
        <f t="shared" si="125"/>
        <v>9018.6159003630328</v>
      </c>
      <c r="O345" s="434">
        <f t="shared" si="125"/>
        <v>308.19321472343415</v>
      </c>
      <c r="P345" s="434">
        <f t="shared" si="125"/>
        <v>670.91292128255259</v>
      </c>
      <c r="Q345" s="434">
        <f t="shared" si="125"/>
        <v>64.517213884508138</v>
      </c>
      <c r="R345" s="434">
        <f t="shared" si="125"/>
        <v>35.560755545011631</v>
      </c>
      <c r="S345" s="434">
        <f t="shared" si="125"/>
        <v>83.041195587494386</v>
      </c>
      <c r="T345" s="1010"/>
      <c r="U345" s="118">
        <f>SUM(I345:T345)</f>
        <v>116093.87999999999</v>
      </c>
      <c r="V345" s="67"/>
      <c r="W345" s="370">
        <f t="shared" si="117"/>
        <v>0</v>
      </c>
    </row>
    <row r="346" spans="1:23" ht="18" customHeight="1">
      <c r="A346" s="47"/>
      <c r="B346" s="17">
        <f t="shared" si="120"/>
        <v>16</v>
      </c>
      <c r="C346" s="1" t="s">
        <v>112</v>
      </c>
      <c r="D346" s="1" t="s">
        <v>584</v>
      </c>
      <c r="E346" s="20"/>
      <c r="F346" s="118">
        <f>' WP II-I-1.4'!H346</f>
        <v>0</v>
      </c>
      <c r="G346" s="17">
        <v>61</v>
      </c>
      <c r="H346" s="47" t="str">
        <f>VLOOKUP(G346,FactorTable,2)</f>
        <v>PLTOPER_N</v>
      </c>
      <c r="I346" s="1010"/>
      <c r="J346" s="435">
        <f t="shared" si="125"/>
        <v>0</v>
      </c>
      <c r="K346" s="435">
        <f t="shared" si="125"/>
        <v>0</v>
      </c>
      <c r="L346" s="435">
        <f t="shared" si="125"/>
        <v>0</v>
      </c>
      <c r="M346" s="435">
        <f t="shared" si="125"/>
        <v>0</v>
      </c>
      <c r="N346" s="435">
        <f t="shared" si="125"/>
        <v>0</v>
      </c>
      <c r="O346" s="435">
        <f t="shared" si="125"/>
        <v>0</v>
      </c>
      <c r="P346" s="435">
        <f t="shared" si="125"/>
        <v>0</v>
      </c>
      <c r="Q346" s="435">
        <f t="shared" si="125"/>
        <v>0</v>
      </c>
      <c r="R346" s="435">
        <f t="shared" si="125"/>
        <v>0</v>
      </c>
      <c r="S346" s="435">
        <f t="shared" si="125"/>
        <v>0</v>
      </c>
      <c r="T346" s="1010"/>
      <c r="U346" s="118">
        <f>SUM(I346:T346)</f>
        <v>0</v>
      </c>
      <c r="V346" s="67"/>
      <c r="W346" s="370">
        <f t="shared" si="117"/>
        <v>0</v>
      </c>
    </row>
    <row r="347" spans="1:23" ht="18" customHeight="1">
      <c r="A347" s="47"/>
      <c r="B347" s="17">
        <f t="shared" si="120"/>
        <v>17</v>
      </c>
      <c r="C347" s="8"/>
      <c r="D347" s="297" t="s">
        <v>491</v>
      </c>
      <c r="E347" s="20"/>
      <c r="F347" s="22">
        <f>SUM(F344:F346)</f>
        <v>42267972.010000005</v>
      </c>
      <c r="G347" s="20"/>
      <c r="H347" s="20"/>
      <c r="I347" s="1010"/>
      <c r="J347" s="22">
        <f t="shared" si="126" ref="J347:Q347">SUM(J344:J346)</f>
        <v>23564597.904644161</v>
      </c>
      <c r="K347" s="22">
        <f t="shared" si="126"/>
        <v>3633054.1420606645</v>
      </c>
      <c r="L347" s="22">
        <f t="shared" si="126"/>
        <v>11206281.180335054</v>
      </c>
      <c r="M347" s="22">
        <f t="shared" si="126"/>
        <v>157353.20282067263</v>
      </c>
      <c r="N347" s="22">
        <f t="shared" si="126"/>
        <v>3283537.4650712479</v>
      </c>
      <c r="O347" s="22">
        <f>SUM(O344:O346)</f>
        <v>112208.34529436035</v>
      </c>
      <c r="P347" s="22">
        <f t="shared" si="126"/>
        <v>244268.93629464592</v>
      </c>
      <c r="Q347" s="22">
        <f t="shared" si="126"/>
        <v>23489.711866237682</v>
      </c>
      <c r="R347" s="22">
        <f>SUM(R344:R346)</f>
        <v>12947.116764733886</v>
      </c>
      <c r="S347" s="22">
        <f>SUM(S344:S346)</f>
        <v>30234.004848224115</v>
      </c>
      <c r="T347" s="20"/>
      <c r="U347" s="299">
        <f>SUM(I347:T347)</f>
        <v>42267972.010000005</v>
      </c>
      <c r="V347" s="67"/>
      <c r="W347" s="370">
        <f t="shared" si="117"/>
        <v>0</v>
      </c>
    </row>
    <row r="348" spans="1:23" ht="18" customHeight="1" thickBot="1">
      <c r="A348" s="47"/>
      <c r="B348" s="17">
        <f t="shared" si="120"/>
        <v>18</v>
      </c>
      <c r="C348" s="1"/>
      <c r="D348" s="1"/>
      <c r="E348" s="17"/>
      <c r="F348" s="18"/>
      <c r="G348" s="17"/>
      <c r="H348" s="17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7"/>
      <c r="U348" s="1"/>
      <c r="V348" s="67"/>
      <c r="W348" s="370">
        <f t="shared" si="117"/>
        <v>0</v>
      </c>
    </row>
    <row r="349" spans="1:23" ht="18" customHeight="1">
      <c r="A349" s="47"/>
      <c r="B349" s="17">
        <f t="shared" si="120"/>
        <v>19</v>
      </c>
      <c r="C349" s="319" t="s">
        <v>585</v>
      </c>
      <c r="D349" s="304"/>
      <c r="E349" s="305"/>
      <c r="F349" s="328">
        <f>+F347+F342</f>
        <v>83624686.99000001</v>
      </c>
      <c r="G349" s="305"/>
      <c r="H349" s="437"/>
      <c r="I349" s="857"/>
      <c r="J349" s="454">
        <f t="shared" si="127" ref="J349:Q349">+J347+J342</f>
        <v>46621165.627602533</v>
      </c>
      <c r="K349" s="328">
        <f t="shared" si="127"/>
        <v>7187783.1133149285</v>
      </c>
      <c r="L349" s="328">
        <f t="shared" si="127"/>
        <v>22170965.661795579</v>
      </c>
      <c r="M349" s="328">
        <f t="shared" si="127"/>
        <v>311314.02116097725</v>
      </c>
      <c r="N349" s="328">
        <f t="shared" si="127"/>
        <v>6496285.0044368897</v>
      </c>
      <c r="O349" s="328">
        <f>+O347+O342</f>
        <v>221997.58603717131</v>
      </c>
      <c r="P349" s="328">
        <f t="shared" si="127"/>
        <v>483271.66806553432</v>
      </c>
      <c r="Q349" s="328">
        <f t="shared" si="127"/>
        <v>46473.008022118607</v>
      </c>
      <c r="R349" s="328">
        <f>+R347+R342</f>
        <v>25615.106081212074</v>
      </c>
      <c r="S349" s="307">
        <f>+S347+S342</f>
        <v>59816.193483063777</v>
      </c>
      <c r="T349" s="438"/>
      <c r="U349" s="307">
        <f>SUM(I349:T349)</f>
        <v>83624686.99000001</v>
      </c>
      <c r="V349" s="67"/>
      <c r="W349" s="370">
        <f t="shared" si="117"/>
        <v>0</v>
      </c>
    </row>
    <row r="350" spans="1:23" ht="18" customHeight="1" thickBot="1">
      <c r="A350" s="47"/>
      <c r="B350" s="17">
        <f t="shared" si="120"/>
        <v>20</v>
      </c>
      <c r="C350" s="326" t="s">
        <v>586</v>
      </c>
      <c r="D350" s="310"/>
      <c r="E350" s="327"/>
      <c r="F350" s="312">
        <f>+F214-F349</f>
        <v>66790795.659999967</v>
      </c>
      <c r="G350" s="327"/>
      <c r="H350" s="452"/>
      <c r="I350" s="1065"/>
      <c r="J350" s="442">
        <f t="shared" si="128" ref="J350:Q350">+J214-J349</f>
        <v>37236190.160407767</v>
      </c>
      <c r="K350" s="312">
        <f t="shared" si="128"/>
        <v>5740861.5858523306</v>
      </c>
      <c r="L350" s="312">
        <f t="shared" si="128"/>
        <v>17707886.156619556</v>
      </c>
      <c r="M350" s="312">
        <f t="shared" si="128"/>
        <v>248645.60839482973</v>
      </c>
      <c r="N350" s="312">
        <f t="shared" si="128"/>
        <v>5188564.0460735243</v>
      </c>
      <c r="O350" s="312">
        <f>+O214-O349</f>
        <v>177308.82996064378</v>
      </c>
      <c r="P350" s="312">
        <f t="shared" si="128"/>
        <v>385987.68368355522</v>
      </c>
      <c r="Q350" s="312">
        <f t="shared" si="128"/>
        <v>37117.857109372999</v>
      </c>
      <c r="R350" s="312">
        <f>+R214-R349</f>
        <v>20458.711149305058</v>
      </c>
      <c r="S350" s="443">
        <f>+S214-S349</f>
        <v>47775.020749125048</v>
      </c>
      <c r="T350" s="453"/>
      <c r="U350" s="313">
        <f>SUM(I350:T350)</f>
        <v>66790795.660000011</v>
      </c>
      <c r="V350" s="67"/>
      <c r="W350" s="370">
        <f t="shared" si="117"/>
        <v>0</v>
      </c>
    </row>
    <row r="351" spans="1:23" ht="18" customHeight="1" thickBot="1">
      <c r="A351" s="47"/>
      <c r="B351" s="17">
        <f t="shared" si="120"/>
        <v>21</v>
      </c>
      <c r="C351" s="1"/>
      <c r="D351" s="31"/>
      <c r="E351" s="330"/>
      <c r="F351" s="18"/>
      <c r="G351" s="330"/>
      <c r="H351" s="330"/>
      <c r="I351" s="330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330"/>
      <c r="U351" s="18"/>
      <c r="V351" s="67"/>
      <c r="W351" s="370">
        <f t="shared" si="117"/>
        <v>0</v>
      </c>
    </row>
    <row r="352" spans="1:23" ht="18" customHeight="1" thickBot="1">
      <c r="A352" s="47"/>
      <c r="B352" s="17">
        <f t="shared" si="120"/>
        <v>22</v>
      </c>
      <c r="C352" s="284" t="s">
        <v>587</v>
      </c>
      <c r="D352" s="285"/>
      <c r="E352" s="331"/>
      <c r="F352" s="255">
        <f>F350+F315</f>
        <v>334838711.58000004</v>
      </c>
      <c r="G352" s="331"/>
      <c r="H352" s="455"/>
      <c r="I352" s="1067"/>
      <c r="J352" s="446">
        <f t="shared" si="129" ref="J352:Q352">J350+J315</f>
        <v>186674193.86539483</v>
      </c>
      <c r="K352" s="903">
        <f t="shared" si="129"/>
        <v>28780353.307231583</v>
      </c>
      <c r="L352" s="903">
        <f t="shared" si="129"/>
        <v>88773995.382102817</v>
      </c>
      <c r="M352" s="903">
        <f t="shared" si="129"/>
        <v>1246521.6850951647</v>
      </c>
      <c r="N352" s="903">
        <f t="shared" si="129"/>
        <v>26011549.689892873</v>
      </c>
      <c r="O352" s="903">
        <f>O350+O315</f>
        <v>888892.84203175036</v>
      </c>
      <c r="P352" s="903">
        <f t="shared" si="129"/>
        <v>1935051.3407306559</v>
      </c>
      <c r="Q352" s="903">
        <f t="shared" si="129"/>
        <v>186080.96113093986</v>
      </c>
      <c r="R352" s="903">
        <f>R350+R315</f>
        <v>102564.55869597121</v>
      </c>
      <c r="S352" s="380">
        <f>S350+S315</f>
        <v>239507.94769353399</v>
      </c>
      <c r="T352" s="456"/>
      <c r="U352" s="256">
        <f>SUM(I352:T352)</f>
        <v>334838711.58000016</v>
      </c>
      <c r="V352" s="67"/>
      <c r="W352" s="370">
        <f t="shared" si="117"/>
        <v>0</v>
      </c>
    </row>
    <row r="353" spans="1:23" ht="18" customHeight="1" thickBot="1">
      <c r="A353" s="47"/>
      <c r="B353" s="17">
        <f t="shared" si="120"/>
        <v>23</v>
      </c>
      <c r="C353" s="8"/>
      <c r="D353" s="8"/>
      <c r="E353" s="297"/>
      <c r="F353" s="22"/>
      <c r="G353" s="297"/>
      <c r="H353" s="297"/>
      <c r="I353" s="297"/>
      <c r="J353" s="896"/>
      <c r="K353" s="896"/>
      <c r="L353" s="896"/>
      <c r="M353" s="22"/>
      <c r="N353" s="22"/>
      <c r="O353" s="22"/>
      <c r="P353" s="22"/>
      <c r="Q353" s="22"/>
      <c r="R353" s="22"/>
      <c r="S353" s="22"/>
      <c r="T353" s="297"/>
      <c r="U353" s="22"/>
      <c r="V353" s="67"/>
      <c r="W353" s="370">
        <f t="shared" si="117"/>
        <v>0</v>
      </c>
    </row>
    <row r="354" spans="1:23" ht="18" customHeight="1" thickBot="1">
      <c r="A354" s="47"/>
      <c r="B354" s="17">
        <f t="shared" si="120"/>
        <v>24</v>
      </c>
      <c r="C354" s="284" t="s">
        <v>588</v>
      </c>
      <c r="D354" s="285"/>
      <c r="E354" s="331"/>
      <c r="F354" s="255">
        <f>F350+F314</f>
        <v>304698421.35000002</v>
      </c>
      <c r="G354" s="331"/>
      <c r="H354" s="455"/>
      <c r="I354" s="1067"/>
      <c r="J354" s="446">
        <f t="shared" si="130" ref="J354:Q354">J350+J314</f>
        <v>169870836.94467026</v>
      </c>
      <c r="K354" s="903">
        <f t="shared" si="130"/>
        <v>26189708.403872944</v>
      </c>
      <c r="L354" s="903">
        <f t="shared" si="130"/>
        <v>80783061.558867186</v>
      </c>
      <c r="M354" s="903">
        <f t="shared" si="130"/>
        <v>1134316.8411884573</v>
      </c>
      <c r="N354" s="903">
        <f t="shared" si="130"/>
        <v>23670136.854781881</v>
      </c>
      <c r="O354" s="903">
        <f>O350+O314</f>
        <v>808879.72731217148</v>
      </c>
      <c r="P354" s="903">
        <f t="shared" si="130"/>
        <v>1760868.9448411115</v>
      </c>
      <c r="Q354" s="903">
        <f t="shared" si="130"/>
        <v>169331.00367142464</v>
      </c>
      <c r="R354" s="903">
        <f>R350+R314</f>
        <v>93332.276228327493</v>
      </c>
      <c r="S354" s="380">
        <f>S350+S314</f>
        <v>217948.79456631249</v>
      </c>
      <c r="T354" s="456"/>
      <c r="U354" s="256">
        <f>SUM(I354:T354)</f>
        <v>304698421.34999996</v>
      </c>
      <c r="V354" s="67"/>
      <c r="W354" s="370">
        <f t="shared" si="117"/>
        <v>0</v>
      </c>
    </row>
    <row r="355" spans="1:23" ht="18" customHeight="1">
      <c r="A355" s="4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370">
        <f t="shared" si="117"/>
        <v>0</v>
      </c>
    </row>
    <row r="356" spans="1:23" ht="18" customHeight="1">
      <c r="A356" s="47"/>
      <c r="B356" s="67"/>
      <c r="C356" s="67"/>
      <c r="D356" s="67"/>
      <c r="E356" s="67"/>
      <c r="F356" s="67"/>
      <c r="G356" s="67"/>
      <c r="H356" s="134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134"/>
      <c r="V356" s="134">
        <f>$H$2</f>
        <v>0</v>
      </c>
      <c r="W356" s="370"/>
    </row>
    <row r="357" spans="1:23" ht="18" customHeight="1" thickBot="1">
      <c r="A357" s="4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370">
        <f t="shared" si="117"/>
        <v>0</v>
      </c>
    </row>
    <row r="358" spans="1:23" ht="18" customHeight="1">
      <c r="A358" s="47"/>
      <c r="B358" s="920" t="str">
        <f>+$B$4</f>
        <v>2022 RATE CASE</v>
      </c>
      <c r="C358" s="935"/>
      <c r="D358" s="969"/>
      <c r="F358" s="332"/>
      <c r="U358" s="134"/>
      <c r="W358" s="370">
        <f t="shared" si="117"/>
        <v>0</v>
      </c>
    </row>
    <row r="359" spans="1:23" ht="18" customHeight="1">
      <c r="A359" s="47"/>
      <c r="B359" s="917" t="str">
        <f>+$B$5</f>
        <v>ONCOR ELECTRIC DELIVERY COMPANY LLC</v>
      </c>
      <c r="C359" s="8"/>
      <c r="D359" s="970"/>
      <c r="F359" s="332"/>
      <c r="U359" s="134"/>
      <c r="V359" s="67"/>
      <c r="W359" s="370">
        <f t="shared" si="117"/>
        <v>0</v>
      </c>
    </row>
    <row r="360" spans="1:23" ht="18" customHeight="1">
      <c r="A360" s="47"/>
      <c r="B360" s="917" t="str">
        <f>+$B$6</f>
        <v>II-I-1-MET:  CLASS REVENUE REQUIREMENT</v>
      </c>
      <c r="C360" s="85"/>
      <c r="D360" s="970"/>
      <c r="F360" s="332"/>
      <c r="U360" s="332"/>
      <c r="V360" s="67"/>
      <c r="W360" s="370">
        <f t="shared" si="117"/>
        <v>0</v>
      </c>
    </row>
    <row r="361" spans="1:23" ht="18" customHeight="1">
      <c r="A361" s="47"/>
      <c r="B361" s="406" t="str">
        <f>+$B$7</f>
        <v>TEST YEAR ENDING 12/31/2021</v>
      </c>
      <c r="C361" s="85"/>
      <c r="D361" s="970"/>
      <c r="F361" s="332"/>
      <c r="U361" s="332"/>
      <c r="V361" s="67"/>
      <c r="W361" s="370">
        <f t="shared" si="117"/>
        <v>0</v>
      </c>
    </row>
    <row r="362" spans="1:23" ht="18" customHeight="1">
      <c r="A362" s="47"/>
      <c r="B362" s="406" t="str">
        <f>+$B$8</f>
        <v>SPONSOR:  MATTHEW A. TROXLE</v>
      </c>
      <c r="C362" s="85"/>
      <c r="D362" s="970"/>
      <c r="F362" s="332"/>
      <c r="U362" s="332"/>
      <c r="V362" s="67"/>
      <c r="W362" s="370">
        <f t="shared" si="117"/>
        <v>0</v>
      </c>
    </row>
    <row r="363" spans="1:23" ht="18" customHeight="1" thickBot="1">
      <c r="A363" s="47"/>
      <c r="B363" s="410"/>
      <c r="C363" s="934"/>
      <c r="D363" s="936"/>
      <c r="F363" s="332"/>
      <c r="U363" s="332"/>
      <c r="V363" s="67"/>
      <c r="W363" s="370">
        <f t="shared" si="117"/>
        <v>0</v>
      </c>
    </row>
    <row r="364" spans="1:23" ht="18" customHeight="1" thickBot="1">
      <c r="A364" s="47"/>
      <c r="B364" s="13"/>
      <c r="C364" s="14"/>
      <c r="D364" s="14"/>
      <c r="E364" s="14"/>
      <c r="F364" s="13"/>
      <c r="G364" s="14"/>
      <c r="H364" s="14"/>
      <c r="I364" s="14"/>
      <c r="J364" s="238"/>
      <c r="K364" s="238"/>
      <c r="L364" s="14"/>
      <c r="M364" s="238"/>
      <c r="N364" s="238"/>
      <c r="O364" s="238"/>
      <c r="P364" s="238"/>
      <c r="Q364" s="14"/>
      <c r="R364" s="393" t="str">
        <f>R$10</f>
        <v xml:space="preserve"> </v>
      </c>
      <c r="S364" s="394"/>
      <c r="T364" s="238"/>
      <c r="U364" s="13"/>
      <c r="V364" s="67"/>
      <c r="W364" s="370"/>
    </row>
    <row r="365" spans="1:23" ht="18" customHeight="1">
      <c r="A365" s="47"/>
      <c r="B365" s="15" t="s">
        <v>2</v>
      </c>
      <c r="C365" s="15" t="s">
        <v>370</v>
      </c>
      <c r="D365" s="287" t="s">
        <v>118</v>
      </c>
      <c r="E365" s="15" t="s">
        <v>371</v>
      </c>
      <c r="F365" s="287" t="str">
        <f>F$11</f>
        <v>MET</v>
      </c>
      <c r="G365" s="242" t="s">
        <v>741</v>
      </c>
      <c r="H365" s="242" t="s">
        <v>376</v>
      </c>
      <c r="I365" s="15"/>
      <c r="J365" s="242" t="s">
        <v>730</v>
      </c>
      <c r="K365" s="242" t="s">
        <v>409</v>
      </c>
      <c r="L365" s="15" t="s">
        <v>409</v>
      </c>
      <c r="M365" s="242" t="s">
        <v>410</v>
      </c>
      <c r="N365" s="242" t="s">
        <v>410</v>
      </c>
      <c r="O365" s="242" t="s">
        <v>410</v>
      </c>
      <c r="P365" s="242" t="s">
        <v>411</v>
      </c>
      <c r="Q365" s="15" t="s">
        <v>412</v>
      </c>
      <c r="R365" s="396" t="str">
        <f>R$11</f>
        <v>Wholesale</v>
      </c>
      <c r="S365" s="13" t="str">
        <f>S$11</f>
        <v>Wholesale</v>
      </c>
      <c r="T365" s="242"/>
      <c r="U365" s="15" t="s">
        <v>10</v>
      </c>
      <c r="V365" s="67"/>
      <c r="W365" s="370"/>
    </row>
    <row r="366" spans="1:23" ht="18" customHeight="1">
      <c r="A366" s="47"/>
      <c r="B366" s="15"/>
      <c r="C366" s="15"/>
      <c r="D366" s="15"/>
      <c r="E366" s="15"/>
      <c r="F366" s="15"/>
      <c r="G366" s="242" t="s">
        <v>742</v>
      </c>
      <c r="H366" s="242" t="s">
        <v>743</v>
      </c>
      <c r="I366" s="15"/>
      <c r="J366" s="242"/>
      <c r="K366" s="242" t="s">
        <v>731</v>
      </c>
      <c r="L366" s="15" t="s">
        <v>732</v>
      </c>
      <c r="M366" s="242" t="s">
        <v>731</v>
      </c>
      <c r="N366" s="242" t="s">
        <v>732</v>
      </c>
      <c r="O366" s="242" t="s">
        <v>414</v>
      </c>
      <c r="P366" s="242"/>
      <c r="Q366" s="15"/>
      <c r="R366" s="235" t="str">
        <f>R$12</f>
        <v>XFMR</v>
      </c>
      <c r="S366" s="15" t="str">
        <f>S$12</f>
        <v>DLS</v>
      </c>
      <c r="T366" s="242"/>
      <c r="U366" s="15"/>
      <c r="V366" s="67"/>
      <c r="W366" s="370"/>
    </row>
    <row r="367" spans="1:23" ht="18" customHeight="1" thickBot="1">
      <c r="A367" s="47"/>
      <c r="B367" s="16"/>
      <c r="C367" s="16"/>
      <c r="D367" s="16"/>
      <c r="E367" s="16"/>
      <c r="F367" s="16" t="s">
        <v>13</v>
      </c>
      <c r="G367" s="16" t="s">
        <v>14</v>
      </c>
      <c r="H367" s="16" t="s">
        <v>15</v>
      </c>
      <c r="I367" s="16"/>
      <c r="J367" s="243" t="str">
        <f t="shared" si="131" ref="J367:Q367">J$13</f>
        <v>(d)</v>
      </c>
      <c r="K367" s="243" t="str">
        <f t="shared" si="131"/>
        <v>(e)</v>
      </c>
      <c r="L367" s="16" t="str">
        <f t="shared" si="131"/>
        <v>(f)</v>
      </c>
      <c r="M367" s="243" t="str">
        <f t="shared" si="131"/>
        <v>(g)</v>
      </c>
      <c r="N367" s="243" t="str">
        <f t="shared" si="131"/>
        <v>(h)</v>
      </c>
      <c r="O367" s="243" t="str">
        <f>O$13</f>
        <v>(i)</v>
      </c>
      <c r="P367" s="243" t="str">
        <f t="shared" si="131"/>
        <v>(j)</v>
      </c>
      <c r="Q367" s="243" t="str">
        <f t="shared" si="131"/>
        <v>(k)</v>
      </c>
      <c r="R367" s="243" t="str">
        <f>R$13</f>
        <v>(l)</v>
      </c>
      <c r="S367" s="16" t="str">
        <f>S$13</f>
        <v>(m)</v>
      </c>
      <c r="T367" s="16"/>
      <c r="U367" s="16" t="s">
        <v>734</v>
      </c>
      <c r="V367" s="67"/>
      <c r="W367" s="370"/>
    </row>
    <row r="368" spans="1:23" ht="18" customHeight="1">
      <c r="A368" s="47"/>
      <c r="B368" s="67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43"/>
      <c r="V368" s="67"/>
      <c r="W368" s="370"/>
    </row>
    <row r="369" spans="1:23" ht="18" customHeight="1">
      <c r="A369" s="47"/>
      <c r="B369" s="17">
        <f t="shared" si="132" ref="B369:B374">B368+1</f>
        <v>1</v>
      </c>
      <c r="C369" s="334" t="s">
        <v>115</v>
      </c>
      <c r="D369" s="36"/>
      <c r="E369" s="37"/>
      <c r="F369" s="39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67"/>
      <c r="W369" s="370">
        <f t="shared" si="117"/>
        <v>0</v>
      </c>
    </row>
    <row r="370" spans="1:23" ht="18" customHeight="1">
      <c r="A370" s="47"/>
      <c r="B370" s="17">
        <f t="shared" si="132"/>
        <v>2</v>
      </c>
      <c r="C370" s="334"/>
      <c r="D370" s="4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43"/>
      <c r="V370" s="67"/>
      <c r="W370" s="370">
        <f t="shared" si="117"/>
        <v>0</v>
      </c>
    </row>
    <row r="371" spans="1:23" ht="18" customHeight="1">
      <c r="A371" s="47"/>
      <c r="B371" s="17">
        <f t="shared" si="132"/>
        <v>3</v>
      </c>
      <c r="C371" s="43" t="s">
        <v>589</v>
      </c>
      <c r="D371" s="43" t="s">
        <v>118</v>
      </c>
      <c r="E371" s="38" t="s">
        <v>119</v>
      </c>
      <c r="F371" s="118">
        <f>' WP II-I-1.4'!H371</f>
        <v>0</v>
      </c>
      <c r="G371" s="40">
        <v>28</v>
      </c>
      <c r="H371" s="47" t="str">
        <f>VLOOKUP(G371,FactorTable,2)</f>
        <v>NCP XHV</v>
      </c>
      <c r="I371" s="38"/>
      <c r="J371" s="434">
        <f t="shared" si="133" ref="J371:S371">$F371*HLOOKUP(J$1318,FactorTable,$G371+1)</f>
        <v>0</v>
      </c>
      <c r="K371" s="434">
        <f t="shared" si="133"/>
        <v>0</v>
      </c>
      <c r="L371" s="434">
        <f t="shared" si="133"/>
        <v>0</v>
      </c>
      <c r="M371" s="434">
        <f t="shared" si="133"/>
        <v>0</v>
      </c>
      <c r="N371" s="434">
        <f t="shared" si="133"/>
        <v>0</v>
      </c>
      <c r="O371" s="434">
        <f t="shared" si="133"/>
        <v>0</v>
      </c>
      <c r="P371" s="434">
        <f t="shared" si="133"/>
        <v>0</v>
      </c>
      <c r="Q371" s="434">
        <f t="shared" si="133"/>
        <v>0</v>
      </c>
      <c r="R371" s="434">
        <f t="shared" si="133"/>
        <v>0</v>
      </c>
      <c r="S371" s="434">
        <f t="shared" si="133"/>
        <v>0</v>
      </c>
      <c r="T371" s="38"/>
      <c r="U371" s="118">
        <f>SUM(I371:T371)</f>
        <v>0</v>
      </c>
      <c r="V371" s="67"/>
      <c r="W371" s="370">
        <f t="shared" si="117"/>
        <v>0</v>
      </c>
    </row>
    <row r="372" spans="1:23" ht="18" customHeight="1">
      <c r="A372" s="47"/>
      <c r="B372" s="17">
        <f t="shared" si="132"/>
        <v>4</v>
      </c>
      <c r="C372" s="36"/>
      <c r="D372" s="44" t="s">
        <v>491</v>
      </c>
      <c r="E372" s="39"/>
      <c r="F372" s="39">
        <f>+F371</f>
        <v>0</v>
      </c>
      <c r="G372" s="39"/>
      <c r="H372" s="39"/>
      <c r="I372" s="898"/>
      <c r="J372" s="898">
        <f t="shared" si="134" ref="J372:Q372">+J371</f>
        <v>0</v>
      </c>
      <c r="K372" s="898">
        <f t="shared" si="134"/>
        <v>0</v>
      </c>
      <c r="L372" s="898">
        <f t="shared" si="134"/>
        <v>0</v>
      </c>
      <c r="M372" s="898">
        <f t="shared" si="134"/>
        <v>0</v>
      </c>
      <c r="N372" s="898">
        <f t="shared" si="134"/>
        <v>0</v>
      </c>
      <c r="O372" s="898">
        <f>+O371</f>
        <v>0</v>
      </c>
      <c r="P372" s="898">
        <f t="shared" si="134"/>
        <v>0</v>
      </c>
      <c r="Q372" s="898">
        <f t="shared" si="134"/>
        <v>0</v>
      </c>
      <c r="R372" s="898">
        <f>+R371</f>
        <v>0</v>
      </c>
      <c r="S372" s="898">
        <f>+S371</f>
        <v>0</v>
      </c>
      <c r="T372" s="39"/>
      <c r="U372" s="299">
        <f>SUM(I372:T372)</f>
        <v>0</v>
      </c>
      <c r="V372" s="67"/>
      <c r="W372" s="370">
        <f t="shared" si="117"/>
        <v>0</v>
      </c>
    </row>
    <row r="373" spans="1:23" ht="18" customHeight="1" thickBot="1">
      <c r="A373" s="47"/>
      <c r="B373" s="17">
        <f t="shared" si="132"/>
        <v>5</v>
      </c>
      <c r="C373" s="43"/>
      <c r="D373" s="4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43"/>
      <c r="V373" s="67"/>
      <c r="W373" s="370">
        <f t="shared" si="117"/>
        <v>0</v>
      </c>
    </row>
    <row r="374" spans="1:23" ht="18" customHeight="1" thickBot="1">
      <c r="A374" s="47"/>
      <c r="B374" s="17">
        <f t="shared" si="132"/>
        <v>6</v>
      </c>
      <c r="C374" s="335" t="s">
        <v>590</v>
      </c>
      <c r="D374" s="336"/>
      <c r="E374" s="337" t="s">
        <v>119</v>
      </c>
      <c r="F374" s="278">
        <f>+F372</f>
        <v>0</v>
      </c>
      <c r="G374" s="337"/>
      <c r="H374" s="457"/>
      <c r="I374" s="458"/>
      <c r="J374" s="356">
        <f t="shared" si="135" ref="J374:Q374">+J372</f>
        <v>0</v>
      </c>
      <c r="K374" s="905">
        <f t="shared" si="135"/>
        <v>0</v>
      </c>
      <c r="L374" s="905">
        <f t="shared" si="135"/>
        <v>0</v>
      </c>
      <c r="M374" s="905">
        <f t="shared" si="135"/>
        <v>0</v>
      </c>
      <c r="N374" s="905">
        <f t="shared" si="135"/>
        <v>0</v>
      </c>
      <c r="O374" s="905">
        <f>+O372</f>
        <v>0</v>
      </c>
      <c r="P374" s="905">
        <f t="shared" si="135"/>
        <v>0</v>
      </c>
      <c r="Q374" s="905">
        <f t="shared" si="135"/>
        <v>0</v>
      </c>
      <c r="R374" s="905">
        <f>+R372</f>
        <v>0</v>
      </c>
      <c r="S374" s="279">
        <f>+S372</f>
        <v>0</v>
      </c>
      <c r="T374" s="458"/>
      <c r="U374" s="256">
        <f>SUM(I374:T374)</f>
        <v>0</v>
      </c>
      <c r="V374" s="67"/>
      <c r="W374" s="370">
        <f t="shared" si="117"/>
        <v>0</v>
      </c>
    </row>
    <row r="375" spans="1:23" ht="18" customHeight="1">
      <c r="A375" s="4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370"/>
    </row>
    <row r="376" spans="1:23" ht="18" customHeight="1">
      <c r="A376" s="47"/>
      <c r="B376" s="67"/>
      <c r="C376" s="67"/>
      <c r="D376" s="67"/>
      <c r="E376" s="67"/>
      <c r="F376" s="67"/>
      <c r="G376" s="67"/>
      <c r="H376" s="134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134"/>
      <c r="V376" s="134">
        <f>$H$2</f>
        <v>0</v>
      </c>
      <c r="W376" s="370"/>
    </row>
    <row r="377" spans="1:23" ht="18" customHeight="1" thickBot="1">
      <c r="A377" s="4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370"/>
    </row>
    <row r="378" spans="1:23" ht="18" customHeight="1">
      <c r="A378" s="47"/>
      <c r="B378" s="920" t="str">
        <f>+$B$4</f>
        <v>2022 RATE CASE</v>
      </c>
      <c r="C378" s="935"/>
      <c r="D378" s="969"/>
      <c r="F378" s="332"/>
      <c r="U378" s="134"/>
      <c r="W378" s="370"/>
    </row>
    <row r="379" spans="1:23" ht="18" customHeight="1">
      <c r="A379" s="47"/>
      <c r="B379" s="917" t="str">
        <f>+$B$5</f>
        <v>ONCOR ELECTRIC DELIVERY COMPANY LLC</v>
      </c>
      <c r="C379" s="8"/>
      <c r="D379" s="970"/>
      <c r="F379" s="332"/>
      <c r="U379" s="134"/>
      <c r="V379" s="67"/>
      <c r="W379" s="370"/>
    </row>
    <row r="380" spans="1:23" ht="18" customHeight="1">
      <c r="A380" s="47"/>
      <c r="B380" s="917" t="str">
        <f>+$B$6</f>
        <v>II-I-1-MET:  CLASS REVENUE REQUIREMENT</v>
      </c>
      <c r="C380" s="85"/>
      <c r="D380" s="970"/>
      <c r="F380" s="332"/>
      <c r="U380" s="332"/>
      <c r="V380" s="67"/>
      <c r="W380" s="370"/>
    </row>
    <row r="381" spans="1:23" ht="18" customHeight="1">
      <c r="A381" s="47"/>
      <c r="B381" s="406" t="str">
        <f>+$B$7</f>
        <v>TEST YEAR ENDING 12/31/2021</v>
      </c>
      <c r="C381" s="85"/>
      <c r="D381" s="970"/>
      <c r="F381" s="332"/>
      <c r="U381" s="332"/>
      <c r="V381" s="67"/>
      <c r="W381" s="370"/>
    </row>
    <row r="382" spans="1:23" ht="18" customHeight="1">
      <c r="A382" s="47"/>
      <c r="B382" s="406" t="str">
        <f>+$B$8</f>
        <v>SPONSOR:  MATTHEW A. TROXLE</v>
      </c>
      <c r="C382" s="85"/>
      <c r="D382" s="970"/>
      <c r="F382" s="332"/>
      <c r="U382" s="332"/>
      <c r="V382" s="67"/>
      <c r="W382" s="370"/>
    </row>
    <row r="383" spans="1:23" ht="18" customHeight="1" thickBot="1">
      <c r="A383" s="47"/>
      <c r="B383" s="410"/>
      <c r="C383" s="934"/>
      <c r="D383" s="936"/>
      <c r="F383" s="332"/>
      <c r="U383" s="332"/>
      <c r="V383" s="67"/>
      <c r="W383" s="370"/>
    </row>
    <row r="384" spans="1:23" ht="18" customHeight="1" thickBot="1">
      <c r="A384" s="47"/>
      <c r="B384" s="13"/>
      <c r="C384" s="14"/>
      <c r="D384" s="14"/>
      <c r="E384" s="14"/>
      <c r="F384" s="13"/>
      <c r="G384" s="14"/>
      <c r="H384" s="14"/>
      <c r="I384" s="14"/>
      <c r="J384" s="238"/>
      <c r="K384" s="238"/>
      <c r="L384" s="14"/>
      <c r="M384" s="238"/>
      <c r="N384" s="238"/>
      <c r="O384" s="238"/>
      <c r="P384" s="238"/>
      <c r="Q384" s="14"/>
      <c r="R384" s="393" t="str">
        <f>R$10</f>
        <v xml:space="preserve"> </v>
      </c>
      <c r="S384" s="394"/>
      <c r="T384" s="238"/>
      <c r="U384" s="13"/>
      <c r="V384" s="67"/>
      <c r="W384" s="370"/>
    </row>
    <row r="385" spans="1:23" ht="18" customHeight="1">
      <c r="A385" s="47"/>
      <c r="B385" s="15" t="s">
        <v>2</v>
      </c>
      <c r="C385" s="15" t="s">
        <v>370</v>
      </c>
      <c r="D385" s="287" t="s">
        <v>591</v>
      </c>
      <c r="E385" s="15" t="s">
        <v>371</v>
      </c>
      <c r="F385" s="287" t="str">
        <f>F$11</f>
        <v>MET</v>
      </c>
      <c r="G385" s="242" t="s">
        <v>741</v>
      </c>
      <c r="H385" s="242" t="s">
        <v>376</v>
      </c>
      <c r="I385" s="15"/>
      <c r="J385" s="242" t="s">
        <v>730</v>
      </c>
      <c r="K385" s="242" t="s">
        <v>409</v>
      </c>
      <c r="L385" s="15" t="s">
        <v>409</v>
      </c>
      <c r="M385" s="242" t="s">
        <v>410</v>
      </c>
      <c r="N385" s="242" t="s">
        <v>410</v>
      </c>
      <c r="O385" s="242" t="s">
        <v>410</v>
      </c>
      <c r="P385" s="242" t="s">
        <v>411</v>
      </c>
      <c r="Q385" s="15" t="s">
        <v>412</v>
      </c>
      <c r="R385" s="396" t="str">
        <f>R$11</f>
        <v>Wholesale</v>
      </c>
      <c r="S385" s="13" t="str">
        <f>S$11</f>
        <v>Wholesale</v>
      </c>
      <c r="T385" s="242"/>
      <c r="U385" s="15" t="s">
        <v>10</v>
      </c>
      <c r="V385" s="67"/>
      <c r="W385" s="370"/>
    </row>
    <row r="386" spans="1:23" ht="18" customHeight="1">
      <c r="A386" s="47"/>
      <c r="B386" s="15"/>
      <c r="C386" s="15"/>
      <c r="D386" s="15"/>
      <c r="E386" s="15"/>
      <c r="F386" s="15"/>
      <c r="G386" s="242" t="s">
        <v>742</v>
      </c>
      <c r="H386" s="242" t="s">
        <v>743</v>
      </c>
      <c r="I386" s="15"/>
      <c r="J386" s="242"/>
      <c r="K386" s="242" t="s">
        <v>731</v>
      </c>
      <c r="L386" s="15" t="s">
        <v>732</v>
      </c>
      <c r="M386" s="242" t="s">
        <v>731</v>
      </c>
      <c r="N386" s="242" t="s">
        <v>732</v>
      </c>
      <c r="O386" s="242" t="s">
        <v>414</v>
      </c>
      <c r="P386" s="242"/>
      <c r="Q386" s="15"/>
      <c r="R386" s="235" t="str">
        <f>R$12</f>
        <v>XFMR</v>
      </c>
      <c r="S386" s="15" t="str">
        <f>S$12</f>
        <v>DLS</v>
      </c>
      <c r="T386" s="242"/>
      <c r="U386" s="15"/>
      <c r="V386" s="67"/>
      <c r="W386" s="370"/>
    </row>
    <row r="387" spans="1:23" ht="18" customHeight="1" thickBot="1">
      <c r="A387" s="47"/>
      <c r="B387" s="16"/>
      <c r="C387" s="16"/>
      <c r="D387" s="16"/>
      <c r="E387" s="16"/>
      <c r="F387" s="16" t="s">
        <v>13</v>
      </c>
      <c r="G387" s="16" t="s">
        <v>14</v>
      </c>
      <c r="H387" s="16" t="s">
        <v>15</v>
      </c>
      <c r="I387" s="16"/>
      <c r="J387" s="243" t="str">
        <f t="shared" si="136" ref="J387:Q387">J$13</f>
        <v>(d)</v>
      </c>
      <c r="K387" s="243" t="str">
        <f t="shared" si="136"/>
        <v>(e)</v>
      </c>
      <c r="L387" s="16" t="str">
        <f t="shared" si="136"/>
        <v>(f)</v>
      </c>
      <c r="M387" s="243" t="str">
        <f t="shared" si="136"/>
        <v>(g)</v>
      </c>
      <c r="N387" s="243" t="str">
        <f t="shared" si="136"/>
        <v>(h)</v>
      </c>
      <c r="O387" s="243" t="str">
        <f>O$13</f>
        <v>(i)</v>
      </c>
      <c r="P387" s="243" t="str">
        <f t="shared" si="136"/>
        <v>(j)</v>
      </c>
      <c r="Q387" s="243" t="str">
        <f t="shared" si="136"/>
        <v>(k)</v>
      </c>
      <c r="R387" s="243" t="str">
        <f>R$13</f>
        <v>(l)</v>
      </c>
      <c r="S387" s="16" t="str">
        <f>S$13</f>
        <v>(m)</v>
      </c>
      <c r="T387" s="16"/>
      <c r="U387" s="16" t="s">
        <v>734</v>
      </c>
      <c r="V387" s="67"/>
      <c r="W387" s="370"/>
    </row>
    <row r="388" spans="1:23" ht="18" customHeight="1">
      <c r="A388" s="47"/>
      <c r="B388" s="67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43"/>
      <c r="V388" s="67"/>
      <c r="W388" s="370">
        <f t="shared" si="137" ref="W388:W441">U388-F388</f>
        <v>0</v>
      </c>
    </row>
    <row r="389" spans="1:23" ht="18" customHeight="1">
      <c r="A389" s="47"/>
      <c r="B389" s="17">
        <f t="shared" si="138" ref="B389:B399">B388+1</f>
        <v>1</v>
      </c>
      <c r="C389" s="334" t="s">
        <v>115</v>
      </c>
      <c r="D389" s="36"/>
      <c r="E389" s="37"/>
      <c r="F389" s="338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44"/>
      <c r="V389" s="67"/>
      <c r="W389" s="370">
        <f t="shared" si="137"/>
        <v>0</v>
      </c>
    </row>
    <row r="390" spans="1:23" ht="18" customHeight="1">
      <c r="A390" s="47"/>
      <c r="B390" s="17">
        <f t="shared" si="138"/>
        <v>2</v>
      </c>
      <c r="C390" s="334"/>
      <c r="D390" s="43"/>
      <c r="E390" s="263"/>
      <c r="F390" s="339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340"/>
      <c r="V390" s="67"/>
      <c r="W390" s="370">
        <f t="shared" si="137"/>
        <v>0</v>
      </c>
    </row>
    <row r="391" spans="1:23" ht="18" customHeight="1">
      <c r="A391" s="47"/>
      <c r="B391" s="17">
        <f t="shared" si="138"/>
        <v>3</v>
      </c>
      <c r="C391" s="43"/>
      <c r="D391" s="43" t="s">
        <v>143</v>
      </c>
      <c r="E391" s="37" t="s">
        <v>523</v>
      </c>
      <c r="F391" s="118">
        <f>' WP II-I-1.4'!H391</f>
        <v>0</v>
      </c>
      <c r="G391" s="358">
        <v>2</v>
      </c>
      <c r="H391" s="47" t="str">
        <f>VLOOKUP(G391,FactorTable,2)</f>
        <v>N / A</v>
      </c>
      <c r="I391" s="897"/>
      <c r="J391" s="897"/>
      <c r="K391" s="897"/>
      <c r="L391" s="897"/>
      <c r="M391" s="897"/>
      <c r="N391" s="897"/>
      <c r="O391" s="897"/>
      <c r="P391" s="897"/>
      <c r="Q391" s="897"/>
      <c r="R391" s="897"/>
      <c r="S391" s="897"/>
      <c r="T391" s="897"/>
      <c r="U391" s="118">
        <f>SUM(I391:T391)</f>
        <v>0</v>
      </c>
      <c r="V391" s="67"/>
      <c r="W391" s="370">
        <f t="shared" si="137"/>
        <v>0</v>
      </c>
    </row>
    <row r="392" spans="1:23" ht="18" customHeight="1">
      <c r="A392" s="47"/>
      <c r="B392" s="17">
        <f t="shared" si="138"/>
        <v>4</v>
      </c>
      <c r="C392" s="43"/>
      <c r="D392" s="43" t="s">
        <v>592</v>
      </c>
      <c r="E392" s="37"/>
      <c r="F392" s="118">
        <f>' WP II-I-1.4'!H392</f>
        <v>0</v>
      </c>
      <c r="G392" s="358">
        <v>2</v>
      </c>
      <c r="H392" s="47" t="str">
        <f>VLOOKUP(G392,FactorTable,2)</f>
        <v>N / A</v>
      </c>
      <c r="I392" s="897"/>
      <c r="J392" s="897"/>
      <c r="K392" s="897"/>
      <c r="L392" s="897"/>
      <c r="M392" s="897"/>
      <c r="N392" s="897"/>
      <c r="O392" s="897"/>
      <c r="P392" s="897"/>
      <c r="Q392" s="897"/>
      <c r="R392" s="897"/>
      <c r="S392" s="897"/>
      <c r="T392" s="897"/>
      <c r="U392" s="118">
        <f>SUM(I392:T392)</f>
        <v>0</v>
      </c>
      <c r="V392" s="67"/>
      <c r="W392" s="370">
        <f t="shared" si="137"/>
        <v>0</v>
      </c>
    </row>
    <row r="393" spans="1:23" ht="18" customHeight="1">
      <c r="A393" s="47"/>
      <c r="B393" s="17">
        <f t="shared" si="138"/>
        <v>5</v>
      </c>
      <c r="C393" s="43"/>
      <c r="D393" s="43" t="s">
        <v>593</v>
      </c>
      <c r="E393" s="37"/>
      <c r="F393" s="118">
        <f>' WP II-I-1.4'!H393</f>
        <v>0</v>
      </c>
      <c r="G393" s="358">
        <v>2</v>
      </c>
      <c r="H393" s="47" t="str">
        <f>VLOOKUP(G393,FactorTable,2)</f>
        <v>N / A</v>
      </c>
      <c r="I393" s="897"/>
      <c r="J393" s="897"/>
      <c r="K393" s="897"/>
      <c r="L393" s="897"/>
      <c r="M393" s="897"/>
      <c r="N393" s="897"/>
      <c r="O393" s="897"/>
      <c r="P393" s="897"/>
      <c r="Q393" s="897"/>
      <c r="R393" s="897"/>
      <c r="S393" s="897"/>
      <c r="T393" s="897"/>
      <c r="U393" s="118">
        <f>SUM(I393:T393)</f>
        <v>0</v>
      </c>
      <c r="V393" s="67"/>
      <c r="W393" s="370">
        <f t="shared" si="137"/>
        <v>0</v>
      </c>
    </row>
    <row r="394" spans="1:23" ht="18" customHeight="1" thickBot="1">
      <c r="A394" s="47"/>
      <c r="B394" s="17">
        <f t="shared" si="138"/>
        <v>6</v>
      </c>
      <c r="C394" s="43"/>
      <c r="D394" s="43"/>
      <c r="E394" s="37"/>
      <c r="F394" s="2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118"/>
      <c r="V394" s="67"/>
      <c r="W394" s="370">
        <f t="shared" si="137"/>
        <v>0</v>
      </c>
    </row>
    <row r="395" spans="1:23" ht="18" customHeight="1" thickBot="1">
      <c r="A395" s="47"/>
      <c r="B395" s="17">
        <f t="shared" si="138"/>
        <v>7</v>
      </c>
      <c r="C395" s="341" t="s">
        <v>594</v>
      </c>
      <c r="D395" s="336"/>
      <c r="E395" s="337" t="s">
        <v>523</v>
      </c>
      <c r="F395" s="342">
        <f>SUM(F391:F393)</f>
        <v>0</v>
      </c>
      <c r="G395" s="337"/>
      <c r="H395" s="457"/>
      <c r="I395" s="458"/>
      <c r="J395" s="460">
        <f t="shared" si="139" ref="J395:Q395">SUM(J391:J393)</f>
        <v>0</v>
      </c>
      <c r="K395" s="342">
        <f t="shared" si="139"/>
        <v>0</v>
      </c>
      <c r="L395" s="342">
        <f t="shared" si="139"/>
        <v>0</v>
      </c>
      <c r="M395" s="342">
        <f t="shared" si="139"/>
        <v>0</v>
      </c>
      <c r="N395" s="342">
        <f t="shared" si="139"/>
        <v>0</v>
      </c>
      <c r="O395" s="342">
        <f>SUM(O391:O393)</f>
        <v>0</v>
      </c>
      <c r="P395" s="342">
        <f t="shared" si="139"/>
        <v>0</v>
      </c>
      <c r="Q395" s="342">
        <f t="shared" si="139"/>
        <v>0</v>
      </c>
      <c r="R395" s="342">
        <f>SUM(R391:R393)</f>
        <v>0</v>
      </c>
      <c r="S395" s="461">
        <f>SUM(S391:S393)</f>
        <v>0</v>
      </c>
      <c r="T395" s="458"/>
      <c r="U395" s="256">
        <f>SUM(I395:T395)</f>
        <v>0</v>
      </c>
      <c r="V395" s="67"/>
      <c r="W395" s="370">
        <f t="shared" si="137"/>
        <v>0</v>
      </c>
    </row>
    <row r="396" spans="1:23" ht="18" customHeight="1">
      <c r="A396" s="47"/>
      <c r="B396" s="17">
        <f t="shared" si="138"/>
        <v>8</v>
      </c>
      <c r="C396" s="43"/>
      <c r="D396" s="43"/>
      <c r="E396" s="263"/>
      <c r="F396" s="339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344"/>
      <c r="V396" s="67"/>
      <c r="W396" s="370">
        <f t="shared" si="137"/>
        <v>0</v>
      </c>
    </row>
    <row r="397" spans="1:23" ht="18" customHeight="1">
      <c r="A397" s="147"/>
      <c r="B397" s="17">
        <f t="shared" si="138"/>
        <v>9</v>
      </c>
      <c r="C397" s="36" t="s">
        <v>595</v>
      </c>
      <c r="D397" s="44"/>
      <c r="E397" s="37" t="s">
        <v>130</v>
      </c>
      <c r="F397" s="118">
        <f>' WP II-I-1.4'!H397</f>
        <v>-36656474.20000001</v>
      </c>
      <c r="G397" s="358">
        <v>64</v>
      </c>
      <c r="H397" s="47" t="str">
        <f>VLOOKUP(G397,FactorTable,2)</f>
        <v>PLANT</v>
      </c>
      <c r="I397" s="897"/>
      <c r="J397" s="434">
        <f t="shared" si="140" ref="J397:S397">$F397*HLOOKUP(J$1318,FactorTable,$G397+1)</f>
        <v>-20436160.857696261</v>
      </c>
      <c r="K397" s="434">
        <f t="shared" si="140"/>
        <v>-3150729.7154957568</v>
      </c>
      <c r="L397" s="434">
        <f t="shared" si="140"/>
        <v>-9718534.8014262952</v>
      </c>
      <c r="M397" s="434">
        <f t="shared" si="140"/>
        <v>-136462.98474217608</v>
      </c>
      <c r="N397" s="434">
        <f t="shared" si="140"/>
        <v>-2847614.887807759</v>
      </c>
      <c r="O397" s="434">
        <f t="shared" si="140"/>
        <v>-97311.560472650453</v>
      </c>
      <c r="P397" s="434">
        <f t="shared" si="140"/>
        <v>-211839.78164430827</v>
      </c>
      <c r="Q397" s="434">
        <f t="shared" si="140"/>
        <v>-20371.216693019091</v>
      </c>
      <c r="R397" s="434">
        <f t="shared" si="140"/>
        <v>-11228.256977613517</v>
      </c>
      <c r="S397" s="434">
        <f t="shared" si="140"/>
        <v>-26220.137044176172</v>
      </c>
      <c r="T397" s="897"/>
      <c r="U397" s="299">
        <f>SUM(I397:T397)</f>
        <v>-36656474.200000018</v>
      </c>
      <c r="V397" s="133"/>
      <c r="W397" s="370">
        <f t="shared" si="137"/>
        <v>0</v>
      </c>
    </row>
    <row r="398" spans="1:23" ht="18" customHeight="1" thickBot="1">
      <c r="A398" s="47"/>
      <c r="B398" s="17">
        <f t="shared" si="138"/>
        <v>10</v>
      </c>
      <c r="C398" s="43"/>
      <c r="D398" s="43"/>
      <c r="E398" s="263"/>
      <c r="F398" s="339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340"/>
      <c r="V398" s="67"/>
      <c r="W398" s="370">
        <f t="shared" si="137"/>
        <v>0</v>
      </c>
    </row>
    <row r="399" spans="1:23" ht="18" customHeight="1" thickBot="1">
      <c r="A399" s="47"/>
      <c r="B399" s="17">
        <f t="shared" si="138"/>
        <v>11</v>
      </c>
      <c r="C399" s="341" t="s">
        <v>596</v>
      </c>
      <c r="D399" s="336"/>
      <c r="E399" s="337"/>
      <c r="F399" s="342">
        <f>+F397+F395</f>
        <v>-36656474.20000001</v>
      </c>
      <c r="G399" s="337"/>
      <c r="H399" s="457"/>
      <c r="I399" s="458"/>
      <c r="J399" s="460">
        <f t="shared" si="141" ref="J399:Q399">+J397+J395</f>
        <v>-20436160.857696261</v>
      </c>
      <c r="K399" s="342">
        <f t="shared" si="141"/>
        <v>-3150729.7154957568</v>
      </c>
      <c r="L399" s="342">
        <f t="shared" si="141"/>
        <v>-9718534.8014262952</v>
      </c>
      <c r="M399" s="342">
        <f t="shared" si="141"/>
        <v>-136462.98474217608</v>
      </c>
      <c r="N399" s="342">
        <f t="shared" si="141"/>
        <v>-2847614.887807759</v>
      </c>
      <c r="O399" s="342">
        <f>+O397+O395</f>
        <v>-97311.560472650453</v>
      </c>
      <c r="P399" s="342">
        <f t="shared" si="141"/>
        <v>-211839.78164430827</v>
      </c>
      <c r="Q399" s="342">
        <f t="shared" si="141"/>
        <v>-20371.216693019091</v>
      </c>
      <c r="R399" s="342">
        <f>+R397+R395</f>
        <v>-11228.256977613517</v>
      </c>
      <c r="S399" s="461">
        <f>+S397+S395</f>
        <v>-26220.137044176172</v>
      </c>
      <c r="T399" s="458"/>
      <c r="U399" s="256">
        <f>SUM(I399:T399)</f>
        <v>-36656474.200000018</v>
      </c>
      <c r="V399" s="67"/>
      <c r="W399" s="370">
        <f t="shared" si="137"/>
        <v>0</v>
      </c>
    </row>
    <row r="400" spans="1:23" ht="18" customHeight="1">
      <c r="A400" s="47"/>
      <c r="B400" s="67"/>
      <c r="C400" s="67"/>
      <c r="D400" s="67"/>
      <c r="E400" s="67"/>
      <c r="F400" s="283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370">
        <f t="shared" si="137"/>
        <v>0</v>
      </c>
    </row>
    <row r="401" spans="1:23" ht="18" customHeight="1">
      <c r="A401" s="47"/>
      <c r="B401" s="67"/>
      <c r="C401" s="67"/>
      <c r="D401" s="67"/>
      <c r="E401" s="67"/>
      <c r="F401" s="283"/>
      <c r="G401" s="67"/>
      <c r="H401" s="134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134"/>
      <c r="V401" s="134">
        <f>$H$2</f>
        <v>0</v>
      </c>
      <c r="W401" s="370"/>
    </row>
    <row r="402" spans="1:23" ht="18" customHeight="1" thickBot="1">
      <c r="A402" s="47"/>
      <c r="B402" s="67"/>
      <c r="C402" s="67"/>
      <c r="D402" s="67"/>
      <c r="E402" s="67"/>
      <c r="F402" s="283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370"/>
    </row>
    <row r="403" spans="1:23" ht="18" customHeight="1">
      <c r="A403" s="47"/>
      <c r="B403" s="920" t="str">
        <f>+$B$4</f>
        <v>2022 RATE CASE</v>
      </c>
      <c r="C403" s="935"/>
      <c r="D403" s="969"/>
      <c r="F403" s="332"/>
      <c r="U403" s="134"/>
      <c r="W403" s="370"/>
    </row>
    <row r="404" spans="1:23" ht="18" customHeight="1">
      <c r="A404" s="47"/>
      <c r="B404" s="917" t="str">
        <f>+$B$5</f>
        <v>ONCOR ELECTRIC DELIVERY COMPANY LLC</v>
      </c>
      <c r="C404" s="8"/>
      <c r="D404" s="970"/>
      <c r="F404" s="332"/>
      <c r="U404" s="134"/>
      <c r="V404" s="67"/>
      <c r="W404" s="370"/>
    </row>
    <row r="405" spans="1:23" ht="18" customHeight="1">
      <c r="A405" s="47"/>
      <c r="B405" s="917" t="str">
        <f>+$B$6</f>
        <v>II-I-1-MET:  CLASS REVENUE REQUIREMENT</v>
      </c>
      <c r="C405" s="85"/>
      <c r="D405" s="970"/>
      <c r="F405" s="332"/>
      <c r="U405" s="332"/>
      <c r="V405" s="67"/>
      <c r="W405" s="370"/>
    </row>
    <row r="406" spans="1:23" ht="18" customHeight="1">
      <c r="A406" s="47"/>
      <c r="B406" s="406" t="str">
        <f>+$B$7</f>
        <v>TEST YEAR ENDING 12/31/2021</v>
      </c>
      <c r="C406" s="85"/>
      <c r="D406" s="970"/>
      <c r="F406" s="332"/>
      <c r="U406" s="332"/>
      <c r="V406" s="67"/>
      <c r="W406" s="370"/>
    </row>
    <row r="407" spans="1:23" ht="18" customHeight="1">
      <c r="A407" s="47"/>
      <c r="B407" s="406" t="str">
        <f>+$B$8</f>
        <v>SPONSOR:  MATTHEW A. TROXLE</v>
      </c>
      <c r="C407" s="85"/>
      <c r="D407" s="970"/>
      <c r="F407" s="332"/>
      <c r="U407" s="332"/>
      <c r="V407" s="67"/>
      <c r="W407" s="370"/>
    </row>
    <row r="408" spans="1:23" ht="18" customHeight="1" thickBot="1">
      <c r="A408" s="47"/>
      <c r="B408" s="410"/>
      <c r="C408" s="934"/>
      <c r="D408" s="936"/>
      <c r="F408" s="332"/>
      <c r="U408" s="332"/>
      <c r="V408" s="67"/>
      <c r="W408" s="370"/>
    </row>
    <row r="409" spans="1:23" ht="18" customHeight="1" thickBot="1">
      <c r="A409" s="47"/>
      <c r="B409" s="13"/>
      <c r="C409" s="14"/>
      <c r="D409" s="14"/>
      <c r="E409" s="14"/>
      <c r="F409" s="13"/>
      <c r="G409" s="14"/>
      <c r="H409" s="14"/>
      <c r="I409" s="14"/>
      <c r="J409" s="238"/>
      <c r="K409" s="238"/>
      <c r="L409" s="14"/>
      <c r="M409" s="238"/>
      <c r="N409" s="238"/>
      <c r="O409" s="238"/>
      <c r="P409" s="238"/>
      <c r="Q409" s="14"/>
      <c r="R409" s="393" t="str">
        <f>R$10</f>
        <v xml:space="preserve"> </v>
      </c>
      <c r="S409" s="394"/>
      <c r="T409" s="238"/>
      <c r="U409" s="13"/>
      <c r="V409" s="67"/>
      <c r="W409" s="370"/>
    </row>
    <row r="410" spans="1:23" ht="18" customHeight="1">
      <c r="A410" s="47"/>
      <c r="B410" s="15" t="s">
        <v>2</v>
      </c>
      <c r="C410" s="15" t="s">
        <v>370</v>
      </c>
      <c r="D410" s="287" t="s">
        <v>597</v>
      </c>
      <c r="E410" s="15" t="s">
        <v>371</v>
      </c>
      <c r="F410" s="287" t="str">
        <f>F$11</f>
        <v>MET</v>
      </c>
      <c r="G410" s="242" t="s">
        <v>741</v>
      </c>
      <c r="H410" s="242" t="s">
        <v>376</v>
      </c>
      <c r="I410" s="15"/>
      <c r="J410" s="242" t="s">
        <v>730</v>
      </c>
      <c r="K410" s="242" t="s">
        <v>409</v>
      </c>
      <c r="L410" s="15" t="s">
        <v>409</v>
      </c>
      <c r="M410" s="242" t="s">
        <v>410</v>
      </c>
      <c r="N410" s="242" t="s">
        <v>410</v>
      </c>
      <c r="O410" s="242" t="s">
        <v>410</v>
      </c>
      <c r="P410" s="242" t="s">
        <v>411</v>
      </c>
      <c r="Q410" s="15" t="s">
        <v>412</v>
      </c>
      <c r="R410" s="396" t="str">
        <f>R$11</f>
        <v>Wholesale</v>
      </c>
      <c r="S410" s="13" t="str">
        <f>S$11</f>
        <v>Wholesale</v>
      </c>
      <c r="T410" s="242"/>
      <c r="U410" s="15" t="s">
        <v>10</v>
      </c>
      <c r="V410" s="67"/>
      <c r="W410" s="370"/>
    </row>
    <row r="411" spans="1:23" ht="18" customHeight="1">
      <c r="A411" s="47"/>
      <c r="B411" s="15"/>
      <c r="C411" s="15"/>
      <c r="D411" s="15"/>
      <c r="E411" s="15"/>
      <c r="F411" s="15"/>
      <c r="G411" s="242" t="s">
        <v>742</v>
      </c>
      <c r="H411" s="242" t="s">
        <v>743</v>
      </c>
      <c r="I411" s="15"/>
      <c r="J411" s="242"/>
      <c r="K411" s="242" t="s">
        <v>731</v>
      </c>
      <c r="L411" s="15" t="s">
        <v>732</v>
      </c>
      <c r="M411" s="242" t="s">
        <v>731</v>
      </c>
      <c r="N411" s="242" t="s">
        <v>732</v>
      </c>
      <c r="O411" s="242" t="s">
        <v>414</v>
      </c>
      <c r="P411" s="242"/>
      <c r="Q411" s="15"/>
      <c r="R411" s="235" t="str">
        <f>R$12</f>
        <v>XFMR</v>
      </c>
      <c r="S411" s="15" t="str">
        <f>S$12</f>
        <v>DLS</v>
      </c>
      <c r="T411" s="242"/>
      <c r="U411" s="15"/>
      <c r="V411" s="67"/>
      <c r="W411" s="370"/>
    </row>
    <row r="412" spans="1:23" ht="18" customHeight="1" thickBot="1">
      <c r="A412" s="47"/>
      <c r="B412" s="16"/>
      <c r="C412" s="16"/>
      <c r="D412" s="16"/>
      <c r="E412" s="16"/>
      <c r="F412" s="16" t="s">
        <v>13</v>
      </c>
      <c r="G412" s="16" t="s">
        <v>14</v>
      </c>
      <c r="H412" s="16" t="s">
        <v>15</v>
      </c>
      <c r="I412" s="16"/>
      <c r="J412" s="243" t="str">
        <f t="shared" si="142" ref="J412:Q412">J$13</f>
        <v>(d)</v>
      </c>
      <c r="K412" s="243" t="str">
        <f t="shared" si="142"/>
        <v>(e)</v>
      </c>
      <c r="L412" s="16" t="str">
        <f t="shared" si="142"/>
        <v>(f)</v>
      </c>
      <c r="M412" s="243" t="str">
        <f t="shared" si="142"/>
        <v>(g)</v>
      </c>
      <c r="N412" s="243" t="str">
        <f t="shared" si="142"/>
        <v>(h)</v>
      </c>
      <c r="O412" s="243" t="str">
        <f>O$13</f>
        <v>(i)</v>
      </c>
      <c r="P412" s="243" t="str">
        <f t="shared" si="142"/>
        <v>(j)</v>
      </c>
      <c r="Q412" s="243" t="str">
        <f t="shared" si="142"/>
        <v>(k)</v>
      </c>
      <c r="R412" s="243" t="str">
        <f>R$13</f>
        <v>(l)</v>
      </c>
      <c r="S412" s="16" t="str">
        <f>S$13</f>
        <v>(m)</v>
      </c>
      <c r="T412" s="16"/>
      <c r="U412" s="16" t="s">
        <v>734</v>
      </c>
      <c r="V412" s="67"/>
      <c r="W412" s="370"/>
    </row>
    <row r="413" spans="1:23" ht="18" customHeight="1">
      <c r="A413" s="47"/>
      <c r="B413" s="67"/>
      <c r="C413" s="35"/>
      <c r="D413" s="43"/>
      <c r="E413" s="263"/>
      <c r="F413" s="346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43"/>
      <c r="V413" s="67"/>
      <c r="W413" s="370">
        <f t="shared" si="137"/>
        <v>0</v>
      </c>
    </row>
    <row r="414" spans="1:23" ht="18" customHeight="1">
      <c r="A414" s="47"/>
      <c r="B414" s="17">
        <f t="shared" si="143" ref="B414:B421">B413+1</f>
        <v>1</v>
      </c>
      <c r="C414" s="334" t="s">
        <v>115</v>
      </c>
      <c r="D414" s="43"/>
      <c r="E414" s="263"/>
      <c r="F414" s="346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43"/>
      <c r="V414" s="67"/>
      <c r="W414" s="370">
        <f t="shared" si="137"/>
        <v>0</v>
      </c>
    </row>
    <row r="415" spans="1:23" ht="18" customHeight="1">
      <c r="A415" s="47"/>
      <c r="B415" s="17">
        <f t="shared" si="143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67"/>
      <c r="W415" s="370">
        <f t="shared" si="137"/>
        <v>0</v>
      </c>
    </row>
    <row r="416" spans="1:23" ht="18" customHeight="1">
      <c r="A416" s="47"/>
      <c r="B416" s="17">
        <f t="shared" si="143"/>
        <v>3</v>
      </c>
      <c r="C416" s="43"/>
      <c r="D416" s="36" t="s">
        <v>597</v>
      </c>
      <c r="E416" s="37" t="s">
        <v>121</v>
      </c>
      <c r="F416" s="43"/>
      <c r="G416" s="37"/>
      <c r="H416" s="37"/>
      <c r="I416" s="37"/>
      <c r="J416" s="897"/>
      <c r="K416" s="897"/>
      <c r="L416" s="897"/>
      <c r="M416" s="897"/>
      <c r="N416" s="897"/>
      <c r="O416" s="897"/>
      <c r="P416" s="897"/>
      <c r="Q416" s="897"/>
      <c r="R416" s="897"/>
      <c r="S416" s="897"/>
      <c r="T416" s="37"/>
      <c r="U416" s="43"/>
      <c r="V416" s="67"/>
      <c r="W416" s="370">
        <f t="shared" si="137"/>
        <v>0</v>
      </c>
    </row>
    <row r="417" spans="1:23" ht="18" customHeight="1">
      <c r="A417" s="47"/>
      <c r="B417" s="17">
        <f t="shared" si="143"/>
        <v>4</v>
      </c>
      <c r="C417" s="43">
        <v>154</v>
      </c>
      <c r="D417" s="43" t="s">
        <v>599</v>
      </c>
      <c r="E417" s="43"/>
      <c r="F417" s="118">
        <f>' WP II-I-1.4'!H417</f>
        <v>91069.330000000002</v>
      </c>
      <c r="G417" s="40">
        <v>64</v>
      </c>
      <c r="H417" s="47" t="str">
        <f>VLOOKUP(G417,FactorTable,2)</f>
        <v>PLANT</v>
      </c>
      <c r="I417" s="43"/>
      <c r="J417" s="434">
        <f t="shared" si="144" ref="J417:S418">$F417*HLOOKUP(J$1318,FactorTable,$G417+1)</f>
        <v>50771.589949658155</v>
      </c>
      <c r="K417" s="434">
        <f t="shared" si="144"/>
        <v>7827.6716586476587</v>
      </c>
      <c r="L417" s="434">
        <f t="shared" si="144"/>
        <v>24144.724015698583</v>
      </c>
      <c r="M417" s="434">
        <f t="shared" si="144"/>
        <v>339.02858530431695</v>
      </c>
      <c r="N417" s="434">
        <f t="shared" si="144"/>
        <v>7074.613300661571</v>
      </c>
      <c r="O417" s="434">
        <f t="shared" si="144"/>
        <v>241.76080233867003</v>
      </c>
      <c r="P417" s="434">
        <f t="shared" si="144"/>
        <v>526.29466970648934</v>
      </c>
      <c r="Q417" s="434">
        <f t="shared" si="144"/>
        <v>50.610242692628191</v>
      </c>
      <c r="R417" s="434">
        <f t="shared" si="144"/>
        <v>27.895477192923476</v>
      </c>
      <c r="S417" s="434">
        <f t="shared" si="144"/>
        <v>65.141298099021853</v>
      </c>
      <c r="T417" s="43"/>
      <c r="U417" s="118">
        <f>SUM(I417:T417)</f>
        <v>91069.330000000031</v>
      </c>
      <c r="V417" s="67"/>
      <c r="W417" s="370">
        <f t="shared" si="137"/>
        <v>0</v>
      </c>
    </row>
    <row r="418" spans="1:23" ht="18" customHeight="1">
      <c r="A418" s="47"/>
      <c r="B418" s="17">
        <f t="shared" si="143"/>
        <v>5</v>
      </c>
      <c r="C418" s="43">
        <v>163</v>
      </c>
      <c r="D418" s="43" t="s">
        <v>600</v>
      </c>
      <c r="E418" s="263"/>
      <c r="F418" s="118">
        <f>' WP II-I-1.4'!H418</f>
        <v>14714</v>
      </c>
      <c r="G418" s="40">
        <v>64</v>
      </c>
      <c r="H418" s="47" t="str">
        <f>VLOOKUP(G418,FactorTable,2)</f>
        <v>PLANT</v>
      </c>
      <c r="I418" s="263"/>
      <c r="J418" s="434">
        <f t="shared" si="144"/>
        <v>8203.1258440055517</v>
      </c>
      <c r="K418" s="434">
        <f t="shared" si="144"/>
        <v>1264.7107515267944</v>
      </c>
      <c r="L418" s="434">
        <f t="shared" si="144"/>
        <v>3901.0440635391624</v>
      </c>
      <c r="M418" s="434">
        <f t="shared" si="144"/>
        <v>54.776581799467721</v>
      </c>
      <c r="N418" s="434">
        <f t="shared" si="144"/>
        <v>1143.0397050898953</v>
      </c>
      <c r="O418" s="434">
        <f t="shared" si="144"/>
        <v>39.061102630393684</v>
      </c>
      <c r="P418" s="434">
        <f t="shared" si="144"/>
        <v>85.033015726164706</v>
      </c>
      <c r="Q418" s="434">
        <f t="shared" si="144"/>
        <v>8.1770570946259422</v>
      </c>
      <c r="R418" s="434">
        <f t="shared" si="144"/>
        <v>4.5070503035069658</v>
      </c>
      <c r="S418" s="434">
        <f t="shared" si="144"/>
        <v>10.524828284440082</v>
      </c>
      <c r="T418" s="263"/>
      <c r="U418" s="118">
        <f>SUM(I418:T418)</f>
        <v>14714.000000000006</v>
      </c>
      <c r="V418" s="67"/>
      <c r="W418" s="370">
        <f t="shared" si="137"/>
        <v>0</v>
      </c>
    </row>
    <row r="419" spans="1:23" ht="18" customHeight="1">
      <c r="A419" s="47"/>
      <c r="B419" s="17">
        <f t="shared" si="143"/>
        <v>6</v>
      </c>
      <c r="C419" s="36"/>
      <c r="D419" s="44" t="s">
        <v>491</v>
      </c>
      <c r="E419" s="39"/>
      <c r="F419" s="39">
        <f>SUM(F417:F418)</f>
        <v>105783.33</v>
      </c>
      <c r="G419" s="39"/>
      <c r="H419" s="39"/>
      <c r="I419" s="39"/>
      <c r="J419" s="39">
        <f t="shared" si="145" ref="J419:Q419">SUM(J417:J418)</f>
        <v>58974.715793663709</v>
      </c>
      <c r="K419" s="39">
        <f t="shared" si="145"/>
        <v>9092.382410174454</v>
      </c>
      <c r="L419" s="39">
        <f t="shared" si="145"/>
        <v>28045.768079237743</v>
      </c>
      <c r="M419" s="39">
        <f t="shared" si="145"/>
        <v>393.8051671037847</v>
      </c>
      <c r="N419" s="39">
        <f t="shared" si="145"/>
        <v>8217.6530057514665</v>
      </c>
      <c r="O419" s="39">
        <f>SUM(O417:O418)</f>
        <v>280.82190496906372</v>
      </c>
      <c r="P419" s="39">
        <f t="shared" si="145"/>
        <v>611.32768543265411</v>
      </c>
      <c r="Q419" s="39">
        <f t="shared" si="145"/>
        <v>58.787299787254135</v>
      </c>
      <c r="R419" s="39">
        <f>SUM(R417:R418)</f>
        <v>32.402527496430444</v>
      </c>
      <c r="S419" s="39">
        <f>SUM(S417:S418)</f>
        <v>75.666126383461929</v>
      </c>
      <c r="T419" s="39"/>
      <c r="U419" s="299">
        <f>SUM(I419:T419)</f>
        <v>105783.33000000003</v>
      </c>
      <c r="V419" s="67"/>
      <c r="W419" s="370">
        <f t="shared" si="137"/>
        <v>0</v>
      </c>
    </row>
    <row r="420" spans="1:23" ht="18" customHeight="1" thickBot="1">
      <c r="A420" s="47"/>
      <c r="B420" s="17">
        <f t="shared" si="143"/>
        <v>7</v>
      </c>
      <c r="C420" s="43"/>
      <c r="D420" s="340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43"/>
      <c r="V420" s="67"/>
      <c r="W420" s="370">
        <f t="shared" si="137"/>
        <v>0</v>
      </c>
    </row>
    <row r="421" spans="1:23" ht="18" customHeight="1" thickBot="1">
      <c r="A421" s="47"/>
      <c r="B421" s="17">
        <f t="shared" si="143"/>
        <v>8</v>
      </c>
      <c r="C421" s="335" t="s">
        <v>601</v>
      </c>
      <c r="D421" s="336"/>
      <c r="E421" s="337" t="s">
        <v>121</v>
      </c>
      <c r="F421" s="278">
        <f>F419</f>
        <v>105783.33</v>
      </c>
      <c r="G421" s="337"/>
      <c r="H421" s="457"/>
      <c r="I421" s="458"/>
      <c r="J421" s="356">
        <f t="shared" si="146" ref="J421:Q421">J419</f>
        <v>58974.715793663709</v>
      </c>
      <c r="K421" s="905">
        <f t="shared" si="146"/>
        <v>9092.382410174454</v>
      </c>
      <c r="L421" s="905">
        <f t="shared" si="146"/>
        <v>28045.768079237743</v>
      </c>
      <c r="M421" s="905">
        <f t="shared" si="146"/>
        <v>393.8051671037847</v>
      </c>
      <c r="N421" s="905">
        <f t="shared" si="146"/>
        <v>8217.6530057514665</v>
      </c>
      <c r="O421" s="905">
        <f>O419</f>
        <v>280.82190496906372</v>
      </c>
      <c r="P421" s="905">
        <f t="shared" si="146"/>
        <v>611.32768543265411</v>
      </c>
      <c r="Q421" s="905">
        <f t="shared" si="146"/>
        <v>58.787299787254135</v>
      </c>
      <c r="R421" s="905">
        <f>R419</f>
        <v>32.402527496430444</v>
      </c>
      <c r="S421" s="279">
        <f>S419</f>
        <v>75.666126383461929</v>
      </c>
      <c r="T421" s="458"/>
      <c r="U421" s="256">
        <f>SUM(I421:T421)</f>
        <v>105783.33000000003</v>
      </c>
      <c r="V421" s="67"/>
      <c r="W421" s="370">
        <f t="shared" si="137"/>
        <v>0</v>
      </c>
    </row>
    <row r="422" spans="1:23" ht="18" customHeight="1">
      <c r="A422" s="4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370">
        <f t="shared" si="137"/>
        <v>0</v>
      </c>
    </row>
    <row r="423" spans="1:23" ht="18" customHeight="1">
      <c r="A423" s="47"/>
      <c r="B423" s="67"/>
      <c r="C423" s="67"/>
      <c r="D423" s="67"/>
      <c r="E423" s="67"/>
      <c r="F423" s="67"/>
      <c r="G423" s="67"/>
      <c r="H423" s="134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134"/>
      <c r="V423" s="134">
        <f>$H$2</f>
        <v>0</v>
      </c>
      <c r="W423" s="370"/>
    </row>
    <row r="424" spans="1:23" ht="18" customHeight="1" thickBot="1">
      <c r="A424" s="4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370"/>
    </row>
    <row r="425" spans="1:23" ht="18" customHeight="1">
      <c r="A425" s="47"/>
      <c r="B425" s="920" t="str">
        <f>+$B$4</f>
        <v>2022 RATE CASE</v>
      </c>
      <c r="C425" s="935"/>
      <c r="D425" s="969"/>
      <c r="F425" s="332"/>
      <c r="U425" s="134"/>
      <c r="W425" s="370"/>
    </row>
    <row r="426" spans="1:23" ht="18" customHeight="1">
      <c r="A426" s="47"/>
      <c r="B426" s="917" t="str">
        <f>+$B$5</f>
        <v>ONCOR ELECTRIC DELIVERY COMPANY LLC</v>
      </c>
      <c r="C426" s="8"/>
      <c r="D426" s="970"/>
      <c r="F426" s="332"/>
      <c r="U426" s="134"/>
      <c r="V426" s="67"/>
      <c r="W426" s="370"/>
    </row>
    <row r="427" spans="1:23" ht="18" customHeight="1">
      <c r="A427" s="47"/>
      <c r="B427" s="917" t="str">
        <f>+$B$6</f>
        <v>II-I-1-MET:  CLASS REVENUE REQUIREMENT</v>
      </c>
      <c r="C427" s="85"/>
      <c r="D427" s="970"/>
      <c r="F427" s="332"/>
      <c r="U427" s="332"/>
      <c r="V427" s="67"/>
      <c r="W427" s="370"/>
    </row>
    <row r="428" spans="1:23" ht="18" customHeight="1">
      <c r="A428" s="47"/>
      <c r="B428" s="406" t="str">
        <f>+$B$7</f>
        <v>TEST YEAR ENDING 12/31/2021</v>
      </c>
      <c r="C428" s="85"/>
      <c r="D428" s="970"/>
      <c r="F428" s="332"/>
      <c r="U428" s="332"/>
      <c r="V428" s="67"/>
      <c r="W428" s="370"/>
    </row>
    <row r="429" spans="1:23" ht="18" customHeight="1">
      <c r="A429" s="47"/>
      <c r="B429" s="406" t="str">
        <f>+$B$8</f>
        <v>SPONSOR:  MATTHEW A. TROXLE</v>
      </c>
      <c r="C429" s="85"/>
      <c r="D429" s="970"/>
      <c r="F429" s="332"/>
      <c r="U429" s="332"/>
      <c r="V429" s="67"/>
      <c r="W429" s="370"/>
    </row>
    <row r="430" spans="1:23" ht="18" customHeight="1" thickBot="1">
      <c r="A430" s="47"/>
      <c r="B430" s="410"/>
      <c r="C430" s="934"/>
      <c r="D430" s="936"/>
      <c r="F430" s="332"/>
      <c r="U430" s="332"/>
      <c r="V430" s="67"/>
      <c r="W430" s="370"/>
    </row>
    <row r="431" spans="1:23" ht="18" customHeight="1" thickBot="1">
      <c r="A431" s="47"/>
      <c r="B431" s="13"/>
      <c r="C431" s="14"/>
      <c r="D431" s="14"/>
      <c r="E431" s="14"/>
      <c r="F431" s="13"/>
      <c r="G431" s="14"/>
      <c r="H431" s="14"/>
      <c r="I431" s="14"/>
      <c r="J431" s="238"/>
      <c r="K431" s="238"/>
      <c r="L431" s="14"/>
      <c r="M431" s="238"/>
      <c r="N431" s="238"/>
      <c r="O431" s="238"/>
      <c r="P431" s="238"/>
      <c r="Q431" s="14"/>
      <c r="R431" s="393" t="str">
        <f>R$10</f>
        <v xml:space="preserve"> </v>
      </c>
      <c r="S431" s="394"/>
      <c r="T431" s="238"/>
      <c r="U431" s="13"/>
      <c r="V431" s="67"/>
      <c r="W431" s="370"/>
    </row>
    <row r="432" spans="1:23" ht="18" customHeight="1">
      <c r="A432" s="47"/>
      <c r="B432" s="15" t="s">
        <v>2</v>
      </c>
      <c r="C432" s="15" t="s">
        <v>370</v>
      </c>
      <c r="D432" s="287" t="s">
        <v>123</v>
      </c>
      <c r="E432" s="15" t="s">
        <v>371</v>
      </c>
      <c r="F432" s="287" t="str">
        <f>F$11</f>
        <v>MET</v>
      </c>
      <c r="G432" s="242" t="s">
        <v>741</v>
      </c>
      <c r="H432" s="242" t="s">
        <v>376</v>
      </c>
      <c r="I432" s="15"/>
      <c r="J432" s="242" t="s">
        <v>730</v>
      </c>
      <c r="K432" s="242" t="s">
        <v>409</v>
      </c>
      <c r="L432" s="15" t="s">
        <v>409</v>
      </c>
      <c r="M432" s="242" t="s">
        <v>410</v>
      </c>
      <c r="N432" s="242" t="s">
        <v>410</v>
      </c>
      <c r="O432" s="242" t="s">
        <v>410</v>
      </c>
      <c r="P432" s="242" t="s">
        <v>411</v>
      </c>
      <c r="Q432" s="15" t="s">
        <v>412</v>
      </c>
      <c r="R432" s="396" t="str">
        <f>R$11</f>
        <v>Wholesale</v>
      </c>
      <c r="S432" s="13" t="str">
        <f>S$11</f>
        <v>Wholesale</v>
      </c>
      <c r="T432" s="242"/>
      <c r="U432" s="15" t="s">
        <v>10</v>
      </c>
      <c r="V432" s="67"/>
      <c r="W432" s="370"/>
    </row>
    <row r="433" spans="1:23" ht="18" customHeight="1">
      <c r="A433" s="47"/>
      <c r="B433" s="15"/>
      <c r="C433" s="15"/>
      <c r="D433" s="15"/>
      <c r="E433" s="15"/>
      <c r="F433" s="15"/>
      <c r="G433" s="242" t="s">
        <v>742</v>
      </c>
      <c r="H433" s="242" t="s">
        <v>743</v>
      </c>
      <c r="I433" s="15"/>
      <c r="J433" s="242"/>
      <c r="K433" s="242" t="s">
        <v>731</v>
      </c>
      <c r="L433" s="15" t="s">
        <v>732</v>
      </c>
      <c r="M433" s="242" t="s">
        <v>731</v>
      </c>
      <c r="N433" s="242" t="s">
        <v>732</v>
      </c>
      <c r="O433" s="242" t="s">
        <v>414</v>
      </c>
      <c r="P433" s="242"/>
      <c r="Q433" s="15"/>
      <c r="R433" s="235" t="str">
        <f>R$12</f>
        <v>XFMR</v>
      </c>
      <c r="S433" s="15" t="str">
        <f>S$12</f>
        <v>DLS</v>
      </c>
      <c r="T433" s="242"/>
      <c r="U433" s="15"/>
      <c r="V433" s="67"/>
      <c r="W433" s="370"/>
    </row>
    <row r="434" spans="1:23" ht="18" customHeight="1" thickBot="1">
      <c r="A434" s="47"/>
      <c r="B434" s="16"/>
      <c r="C434" s="16"/>
      <c r="D434" s="16"/>
      <c r="E434" s="16"/>
      <c r="F434" s="16" t="s">
        <v>13</v>
      </c>
      <c r="G434" s="16" t="s">
        <v>14</v>
      </c>
      <c r="H434" s="16" t="s">
        <v>15</v>
      </c>
      <c r="I434" s="16"/>
      <c r="J434" s="243" t="str">
        <f t="shared" si="147" ref="J434:Q434">J$13</f>
        <v>(d)</v>
      </c>
      <c r="K434" s="243" t="str">
        <f t="shared" si="147"/>
        <v>(e)</v>
      </c>
      <c r="L434" s="16" t="str">
        <f t="shared" si="147"/>
        <v>(f)</v>
      </c>
      <c r="M434" s="243" t="str">
        <f t="shared" si="147"/>
        <v>(g)</v>
      </c>
      <c r="N434" s="243" t="str">
        <f t="shared" si="147"/>
        <v>(h)</v>
      </c>
      <c r="O434" s="243" t="str">
        <f>O$13</f>
        <v>(i)</v>
      </c>
      <c r="P434" s="243" t="str">
        <f t="shared" si="147"/>
        <v>(j)</v>
      </c>
      <c r="Q434" s="243" t="str">
        <f t="shared" si="147"/>
        <v>(k)</v>
      </c>
      <c r="R434" s="243" t="str">
        <f>R$13</f>
        <v>(l)</v>
      </c>
      <c r="S434" s="16" t="str">
        <f>S$13</f>
        <v>(m)</v>
      </c>
      <c r="T434" s="16"/>
      <c r="U434" s="16" t="s">
        <v>734</v>
      </c>
      <c r="V434" s="67"/>
      <c r="W434" s="370"/>
    </row>
    <row r="435" spans="1:23" ht="18" customHeight="1">
      <c r="A435" s="47"/>
      <c r="B435" s="67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43"/>
      <c r="V435" s="67"/>
      <c r="W435" s="370">
        <f t="shared" si="137"/>
        <v>0</v>
      </c>
    </row>
    <row r="436" spans="1:23" ht="18" customHeight="1">
      <c r="A436" s="47"/>
      <c r="B436" s="17">
        <f t="shared" si="148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67"/>
      <c r="W436" s="370">
        <f t="shared" si="137"/>
        <v>0</v>
      </c>
    </row>
    <row r="437" spans="1:23" ht="18" customHeight="1">
      <c r="A437" s="47"/>
      <c r="B437" s="17">
        <f t="shared" si="148"/>
        <v>2</v>
      </c>
      <c r="C437" s="348" t="s">
        <v>598</v>
      </c>
      <c r="D437" s="36"/>
      <c r="E437" s="37" t="s">
        <v>124</v>
      </c>
      <c r="F437" s="349"/>
      <c r="G437" s="37"/>
      <c r="H437" s="37"/>
      <c r="I437" s="37"/>
      <c r="J437" s="897"/>
      <c r="K437" s="897"/>
      <c r="L437" s="897"/>
      <c r="M437" s="897"/>
      <c r="N437" s="897"/>
      <c r="O437" s="897"/>
      <c r="P437" s="897"/>
      <c r="Q437" s="897"/>
      <c r="R437" s="897"/>
      <c r="S437" s="897"/>
      <c r="T437" s="37"/>
      <c r="U437" s="36"/>
      <c r="V437" s="67"/>
      <c r="W437" s="370">
        <f t="shared" si="137"/>
        <v>0</v>
      </c>
    </row>
    <row r="438" spans="1:23" ht="18" customHeight="1">
      <c r="A438" s="47"/>
      <c r="B438" s="17">
        <f t="shared" si="148"/>
        <v>3</v>
      </c>
      <c r="C438" s="43"/>
      <c r="D438" s="43" t="s">
        <v>123</v>
      </c>
      <c r="E438" s="43"/>
      <c r="F438" s="118">
        <f>' WP II-I-1.4'!H438</f>
        <v>273938.61000000028</v>
      </c>
      <c r="G438" s="40">
        <v>76</v>
      </c>
      <c r="H438" s="47" t="str">
        <f>VLOOKUP(G438,FactorTable,2)</f>
        <v>O&amp;M</v>
      </c>
      <c r="I438" s="43"/>
      <c r="J438" s="435">
        <f t="shared" si="149" ref="J438:S438">$F438*HLOOKUP(J$1318,FactorTable,$G438+1)</f>
        <v>152823.35421665569</v>
      </c>
      <c r="K438" s="435">
        <f t="shared" si="149"/>
        <v>23535.148578318702</v>
      </c>
      <c r="L438" s="435">
        <f t="shared" si="149"/>
        <v>72503.035688967677</v>
      </c>
      <c r="M438" s="435">
        <f t="shared" si="149"/>
        <v>1018.0369455808731</v>
      </c>
      <c r="N438" s="435">
        <f t="shared" si="149"/>
        <v>21237.046799870568</v>
      </c>
      <c r="O438" s="435">
        <f t="shared" si="149"/>
        <v>725.99260421805457</v>
      </c>
      <c r="P438" s="435">
        <f t="shared" si="149"/>
        <v>1579.7720825816316</v>
      </c>
      <c r="Q438" s="435">
        <f t="shared" si="149"/>
        <v>236.87979062268769</v>
      </c>
      <c r="R438" s="435">
        <f t="shared" si="149"/>
        <v>83.767541741656316</v>
      </c>
      <c r="S438" s="435">
        <f t="shared" si="149"/>
        <v>195.57575144269592</v>
      </c>
      <c r="T438" s="43"/>
      <c r="U438" s="118">
        <f>SUM(I438:T438)</f>
        <v>273938.61000000028</v>
      </c>
      <c r="V438" s="67"/>
      <c r="W438" s="370">
        <f t="shared" si="137"/>
        <v>0</v>
      </c>
    </row>
    <row r="439" spans="1:23" ht="18" customHeight="1">
      <c r="A439" s="47"/>
      <c r="B439" s="17">
        <f t="shared" si="148"/>
        <v>4</v>
      </c>
      <c r="C439" s="36"/>
      <c r="D439" s="44" t="s">
        <v>491</v>
      </c>
      <c r="E439" s="39"/>
      <c r="F439" s="39">
        <f>+F438</f>
        <v>273938.61000000028</v>
      </c>
      <c r="G439" s="39"/>
      <c r="H439" s="39"/>
      <c r="I439" s="39"/>
      <c r="J439" s="898">
        <f t="shared" si="150" ref="J439:Q439">+J438</f>
        <v>152823.35421665569</v>
      </c>
      <c r="K439" s="898">
        <f t="shared" si="150"/>
        <v>23535.148578318702</v>
      </c>
      <c r="L439" s="898">
        <f t="shared" si="150"/>
        <v>72503.035688967677</v>
      </c>
      <c r="M439" s="898">
        <f t="shared" si="150"/>
        <v>1018.0369455808731</v>
      </c>
      <c r="N439" s="898">
        <f t="shared" si="150"/>
        <v>21237.046799870568</v>
      </c>
      <c r="O439" s="898">
        <f>+O438</f>
        <v>725.99260421805457</v>
      </c>
      <c r="P439" s="898">
        <f t="shared" si="150"/>
        <v>1579.7720825816316</v>
      </c>
      <c r="Q439" s="898">
        <f t="shared" si="150"/>
        <v>236.87979062268769</v>
      </c>
      <c r="R439" s="898">
        <f>+R438</f>
        <v>83.767541741656316</v>
      </c>
      <c r="S439" s="898">
        <f>+S438</f>
        <v>195.57575144269592</v>
      </c>
      <c r="T439" s="39"/>
      <c r="U439" s="299">
        <f>SUM(I439:T439)</f>
        <v>273938.61000000028</v>
      </c>
      <c r="V439" s="67"/>
      <c r="W439" s="370">
        <f t="shared" si="137"/>
        <v>0</v>
      </c>
    </row>
    <row r="440" spans="1:23" ht="18" customHeight="1" thickBot="1">
      <c r="A440" s="47"/>
      <c r="B440" s="17">
        <f t="shared" si="148"/>
        <v>5</v>
      </c>
      <c r="C440" s="43"/>
      <c r="D440" s="340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43"/>
      <c r="V440" s="67"/>
      <c r="W440" s="370">
        <f t="shared" si="137"/>
        <v>0</v>
      </c>
    </row>
    <row r="441" spans="1:23" ht="18" customHeight="1" thickBot="1">
      <c r="A441" s="47"/>
      <c r="B441" s="17">
        <f t="shared" si="148"/>
        <v>6</v>
      </c>
      <c r="C441" s="335" t="s">
        <v>602</v>
      </c>
      <c r="D441" s="336"/>
      <c r="E441" s="337" t="s">
        <v>124</v>
      </c>
      <c r="F441" s="278">
        <f>+F439</f>
        <v>273938.61000000028</v>
      </c>
      <c r="G441" s="337"/>
      <c r="H441" s="457"/>
      <c r="I441" s="643"/>
      <c r="J441" s="356">
        <f t="shared" si="151" ref="J441:Q441">+J439</f>
        <v>152823.35421665569</v>
      </c>
      <c r="K441" s="905">
        <f t="shared" si="151"/>
        <v>23535.148578318702</v>
      </c>
      <c r="L441" s="905">
        <f t="shared" si="151"/>
        <v>72503.035688967677</v>
      </c>
      <c r="M441" s="905">
        <f t="shared" si="151"/>
        <v>1018.0369455808731</v>
      </c>
      <c r="N441" s="905">
        <f t="shared" si="151"/>
        <v>21237.046799870568</v>
      </c>
      <c r="O441" s="905">
        <f>+O439</f>
        <v>725.99260421805457</v>
      </c>
      <c r="P441" s="905">
        <f t="shared" si="151"/>
        <v>1579.7720825816316</v>
      </c>
      <c r="Q441" s="905">
        <f t="shared" si="151"/>
        <v>236.87979062268769</v>
      </c>
      <c r="R441" s="905">
        <f>+R439</f>
        <v>83.767541741656316</v>
      </c>
      <c r="S441" s="279">
        <f>+S439</f>
        <v>195.57575144269592</v>
      </c>
      <c r="T441" s="457"/>
      <c r="U441" s="256">
        <f>SUM(I441:T441)</f>
        <v>273938.61000000028</v>
      </c>
      <c r="V441" s="67"/>
      <c r="W441" s="370">
        <f t="shared" si="137"/>
        <v>0</v>
      </c>
    </row>
    <row r="442" spans="1:23" ht="18" customHeight="1">
      <c r="A442" s="4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370">
        <f>U442-F442</f>
        <v>0</v>
      </c>
    </row>
    <row r="443" spans="1:23" ht="18" customHeight="1">
      <c r="A443" s="47"/>
      <c r="B443" s="67"/>
      <c r="C443" s="67"/>
      <c r="D443" s="67"/>
      <c r="E443" s="67"/>
      <c r="F443" s="67"/>
      <c r="G443" s="67"/>
      <c r="H443" s="134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134"/>
      <c r="V443" s="134">
        <f>$H$2</f>
        <v>0</v>
      </c>
      <c r="W443" s="370"/>
    </row>
    <row r="444" spans="1:23" ht="18" customHeight="1" thickBot="1">
      <c r="A444" s="4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370"/>
    </row>
    <row r="445" spans="1:23" ht="18" customHeight="1">
      <c r="A445" s="47"/>
      <c r="B445" s="920" t="str">
        <f>+$B$4</f>
        <v>2022 RATE CASE</v>
      </c>
      <c r="C445" s="935"/>
      <c r="D445" s="969"/>
      <c r="F445" s="332"/>
      <c r="U445" s="134"/>
      <c r="W445" s="370"/>
    </row>
    <row r="446" spans="1:23" ht="18" customHeight="1">
      <c r="A446" s="47"/>
      <c r="B446" s="917" t="str">
        <f>+$B$5</f>
        <v>ONCOR ELECTRIC DELIVERY COMPANY LLC</v>
      </c>
      <c r="C446" s="8"/>
      <c r="D446" s="970"/>
      <c r="F446" s="332"/>
      <c r="U446" s="134"/>
      <c r="V446" s="67"/>
      <c r="W446" s="370"/>
    </row>
    <row r="447" spans="1:23" ht="18" customHeight="1">
      <c r="A447" s="47"/>
      <c r="B447" s="917" t="str">
        <f>+$B$6</f>
        <v>II-I-1-MET:  CLASS REVENUE REQUIREMENT</v>
      </c>
      <c r="C447" s="85"/>
      <c r="D447" s="970"/>
      <c r="F447" s="332"/>
      <c r="U447" s="332"/>
      <c r="V447" s="67"/>
      <c r="W447" s="370"/>
    </row>
    <row r="448" spans="1:23" ht="18" customHeight="1">
      <c r="A448" s="47"/>
      <c r="B448" s="406" t="str">
        <f>+$B$7</f>
        <v>TEST YEAR ENDING 12/31/2021</v>
      </c>
      <c r="C448" s="85"/>
      <c r="D448" s="970"/>
      <c r="F448" s="332"/>
      <c r="U448" s="332"/>
      <c r="V448" s="67"/>
      <c r="W448" s="370"/>
    </row>
    <row r="449" spans="1:23" ht="18" customHeight="1">
      <c r="A449" s="47"/>
      <c r="B449" s="406" t="str">
        <f>+$B$8</f>
        <v>SPONSOR:  MATTHEW A. TROXLE</v>
      </c>
      <c r="C449" s="85"/>
      <c r="D449" s="970"/>
      <c r="F449" s="332"/>
      <c r="U449" s="332"/>
      <c r="V449" s="67"/>
      <c r="W449" s="370"/>
    </row>
    <row r="450" spans="1:23" ht="18" customHeight="1" thickBot="1">
      <c r="A450" s="47"/>
      <c r="B450" s="410"/>
      <c r="C450" s="934"/>
      <c r="D450" s="936"/>
      <c r="F450" s="332"/>
      <c r="U450" s="332"/>
      <c r="V450" s="67"/>
      <c r="W450" s="370"/>
    </row>
    <row r="451" spans="1:23" ht="18" customHeight="1" thickBot="1">
      <c r="A451" s="47"/>
      <c r="B451" s="13"/>
      <c r="C451" s="14"/>
      <c r="D451" s="14"/>
      <c r="E451" s="14"/>
      <c r="F451" s="13"/>
      <c r="G451" s="14"/>
      <c r="H451" s="14"/>
      <c r="I451" s="14"/>
      <c r="J451" s="238"/>
      <c r="K451" s="238"/>
      <c r="L451" s="14"/>
      <c r="M451" s="238"/>
      <c r="N451" s="238"/>
      <c r="O451" s="238"/>
      <c r="P451" s="238"/>
      <c r="Q451" s="14"/>
      <c r="R451" s="393" t="str">
        <f>R$10</f>
        <v xml:space="preserve"> </v>
      </c>
      <c r="S451" s="394"/>
      <c r="T451" s="238"/>
      <c r="U451" s="13"/>
      <c r="V451" s="67"/>
      <c r="W451" s="370"/>
    </row>
    <row r="452" spans="1:23" ht="18" customHeight="1">
      <c r="A452" s="47"/>
      <c r="B452" s="15" t="s">
        <v>2</v>
      </c>
      <c r="C452" s="15" t="s">
        <v>370</v>
      </c>
      <c r="D452" s="287" t="s">
        <v>125</v>
      </c>
      <c r="E452" s="15" t="s">
        <v>371</v>
      </c>
      <c r="F452" s="287" t="str">
        <f>F$11</f>
        <v>MET</v>
      </c>
      <c r="G452" s="242" t="s">
        <v>741</v>
      </c>
      <c r="H452" s="242" t="s">
        <v>376</v>
      </c>
      <c r="I452" s="15"/>
      <c r="J452" s="242" t="s">
        <v>730</v>
      </c>
      <c r="K452" s="242" t="s">
        <v>409</v>
      </c>
      <c r="L452" s="15" t="s">
        <v>409</v>
      </c>
      <c r="M452" s="242" t="s">
        <v>410</v>
      </c>
      <c r="N452" s="242" t="s">
        <v>410</v>
      </c>
      <c r="O452" s="242" t="s">
        <v>410</v>
      </c>
      <c r="P452" s="242" t="s">
        <v>411</v>
      </c>
      <c r="Q452" s="15" t="s">
        <v>412</v>
      </c>
      <c r="R452" s="396" t="str">
        <f>R$11</f>
        <v>Wholesale</v>
      </c>
      <c r="S452" s="13" t="str">
        <f>S$11</f>
        <v>Wholesale</v>
      </c>
      <c r="T452" s="242"/>
      <c r="U452" s="15" t="s">
        <v>10</v>
      </c>
      <c r="V452" s="67"/>
      <c r="W452" s="370"/>
    </row>
    <row r="453" spans="1:23" ht="18" customHeight="1">
      <c r="A453" s="47"/>
      <c r="B453" s="15"/>
      <c r="C453" s="15"/>
      <c r="D453" s="15"/>
      <c r="E453" s="15"/>
      <c r="F453" s="15"/>
      <c r="G453" s="242" t="s">
        <v>742</v>
      </c>
      <c r="H453" s="242" t="s">
        <v>743</v>
      </c>
      <c r="I453" s="15"/>
      <c r="J453" s="242"/>
      <c r="K453" s="242" t="s">
        <v>731</v>
      </c>
      <c r="L453" s="15" t="s">
        <v>732</v>
      </c>
      <c r="M453" s="242" t="s">
        <v>731</v>
      </c>
      <c r="N453" s="242" t="s">
        <v>732</v>
      </c>
      <c r="O453" s="242" t="s">
        <v>414</v>
      </c>
      <c r="P453" s="242"/>
      <c r="Q453" s="15"/>
      <c r="R453" s="235" t="str">
        <f>R$12</f>
        <v>XFMR</v>
      </c>
      <c r="S453" s="15" t="str">
        <f>S$12</f>
        <v>DLS</v>
      </c>
      <c r="T453" s="242"/>
      <c r="U453" s="15"/>
      <c r="V453" s="67"/>
      <c r="W453" s="370"/>
    </row>
    <row r="454" spans="1:23" ht="18" customHeight="1" thickBot="1">
      <c r="A454" s="47"/>
      <c r="B454" s="16"/>
      <c r="C454" s="16"/>
      <c r="D454" s="16"/>
      <c r="E454" s="16"/>
      <c r="F454" s="16" t="s">
        <v>13</v>
      </c>
      <c r="G454" s="16" t="s">
        <v>14</v>
      </c>
      <c r="H454" s="16" t="s">
        <v>15</v>
      </c>
      <c r="I454" s="16"/>
      <c r="J454" s="243" t="str">
        <f t="shared" si="152" ref="J454:Q454">J$13</f>
        <v>(d)</v>
      </c>
      <c r="K454" s="243" t="str">
        <f t="shared" si="152"/>
        <v>(e)</v>
      </c>
      <c r="L454" s="16" t="str">
        <f t="shared" si="152"/>
        <v>(f)</v>
      </c>
      <c r="M454" s="243" t="str">
        <f t="shared" si="152"/>
        <v>(g)</v>
      </c>
      <c r="N454" s="243" t="str">
        <f t="shared" si="152"/>
        <v>(h)</v>
      </c>
      <c r="O454" s="243" t="str">
        <f>O$13</f>
        <v>(i)</v>
      </c>
      <c r="P454" s="243" t="str">
        <f t="shared" si="152"/>
        <v>(j)</v>
      </c>
      <c r="Q454" s="243" t="str">
        <f t="shared" si="152"/>
        <v>(k)</v>
      </c>
      <c r="R454" s="243" t="str">
        <f>R$13</f>
        <v>(l)</v>
      </c>
      <c r="S454" s="16" t="str">
        <f>S$13</f>
        <v>(m)</v>
      </c>
      <c r="T454" s="16"/>
      <c r="U454" s="16" t="s">
        <v>734</v>
      </c>
      <c r="V454" s="67"/>
      <c r="W454" s="370"/>
    </row>
    <row r="455" spans="1:23" ht="18" customHeight="1">
      <c r="A455" s="47"/>
      <c r="B455" s="67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43"/>
      <c r="V455" s="67"/>
      <c r="W455" s="370">
        <f t="shared" si="153" ref="W455:W465">U455-F455</f>
        <v>0</v>
      </c>
    </row>
    <row r="456" spans="1:23" ht="18" customHeight="1">
      <c r="A456" s="47"/>
      <c r="B456" s="17">
        <f t="shared" si="154" ref="B456:B464">B455+1</f>
        <v>1</v>
      </c>
      <c r="C456" s="334" t="s">
        <v>115</v>
      </c>
      <c r="D456" s="36"/>
      <c r="E456" s="37"/>
      <c r="F456" s="39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6"/>
      <c r="V456" s="67"/>
      <c r="W456" s="370">
        <f t="shared" si="153"/>
        <v>0</v>
      </c>
    </row>
    <row r="457" spans="1:23" ht="18" customHeight="1">
      <c r="A457" s="47"/>
      <c r="B457" s="17">
        <f t="shared" si="154"/>
        <v>2</v>
      </c>
      <c r="C457" s="348" t="s">
        <v>598</v>
      </c>
      <c r="D457" s="44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43"/>
      <c r="V457" s="67"/>
      <c r="W457" s="370">
        <f t="shared" si="153"/>
        <v>0</v>
      </c>
    </row>
    <row r="458" spans="1:23" ht="18" customHeight="1">
      <c r="A458" s="47"/>
      <c r="B458" s="17">
        <f t="shared" si="154"/>
        <v>3</v>
      </c>
      <c r="C458" s="36">
        <v>165</v>
      </c>
      <c r="D458" s="348" t="s">
        <v>125</v>
      </c>
      <c r="E458" s="37" t="s">
        <v>126</v>
      </c>
      <c r="F458" s="39"/>
      <c r="G458" s="37"/>
      <c r="H458" s="37"/>
      <c r="I458" s="37"/>
      <c r="J458" s="897"/>
      <c r="K458" s="897"/>
      <c r="L458" s="897"/>
      <c r="M458" s="897"/>
      <c r="N458" s="897"/>
      <c r="O458" s="897"/>
      <c r="P458" s="897"/>
      <c r="Q458" s="897"/>
      <c r="R458" s="897"/>
      <c r="S458" s="897"/>
      <c r="T458" s="37"/>
      <c r="U458" s="36"/>
      <c r="V458" s="67"/>
      <c r="W458" s="370">
        <f t="shared" si="153"/>
        <v>0</v>
      </c>
    </row>
    <row r="459" spans="1:23" ht="18" customHeight="1">
      <c r="A459" s="47"/>
      <c r="B459" s="17">
        <f t="shared" si="154"/>
        <v>4</v>
      </c>
      <c r="C459" s="43"/>
      <c r="D459" s="43" t="s">
        <v>125</v>
      </c>
      <c r="E459" s="351"/>
      <c r="F459" s="118">
        <f>' WP II-I-1.4'!H459</f>
        <v>3524809.17076923</v>
      </c>
      <c r="G459" s="358">
        <v>19</v>
      </c>
      <c r="H459" s="47" t="str">
        <f>VLOOKUP(G459,FactorTable,2)</f>
        <v>ENERGY ICL</v>
      </c>
      <c r="I459" s="912"/>
      <c r="J459" s="435">
        <f t="shared" si="155" ref="J459:S459">$F459*HLOOKUP(J$1318,FactorTable,$G459+1)</f>
        <v>1415512.1393603901</v>
      </c>
      <c r="K459" s="435">
        <f t="shared" si="155"/>
        <v>50564.832231956992</v>
      </c>
      <c r="L459" s="435">
        <f t="shared" si="155"/>
        <v>1482026.8026879092</v>
      </c>
      <c r="M459" s="435">
        <f t="shared" si="155"/>
        <v>25.580207519257815</v>
      </c>
      <c r="N459" s="435">
        <f t="shared" si="155"/>
        <v>238298.90569087377</v>
      </c>
      <c r="O459" s="435">
        <f t="shared" si="155"/>
        <v>37494.731197597321</v>
      </c>
      <c r="P459" s="435">
        <f t="shared" si="155"/>
        <v>280861.60704210901</v>
      </c>
      <c r="Q459" s="435">
        <f t="shared" si="155"/>
        <v>12902.847525350106</v>
      </c>
      <c r="R459" s="435">
        <f t="shared" si="155"/>
        <v>2860.9341590346071</v>
      </c>
      <c r="S459" s="435">
        <f t="shared" si="155"/>
        <v>4260.7906664885459</v>
      </c>
      <c r="T459" s="912"/>
      <c r="U459" s="118">
        <f>SUM(I459:T459)</f>
        <v>3524809.1707692295</v>
      </c>
      <c r="V459" s="67"/>
      <c r="W459" s="370">
        <f t="shared" si="153"/>
        <v>0</v>
      </c>
    </row>
    <row r="460" spans="1:23" ht="18" customHeight="1">
      <c r="A460" s="47"/>
      <c r="B460" s="17">
        <f t="shared" si="154"/>
        <v>5</v>
      </c>
      <c r="C460" s="36"/>
      <c r="D460" s="44" t="s">
        <v>491</v>
      </c>
      <c r="E460" s="352"/>
      <c r="F460" s="39">
        <f>SUM(F459:F459)</f>
        <v>3524809.17076923</v>
      </c>
      <c r="G460" s="352"/>
      <c r="H460" s="352"/>
      <c r="I460" s="352"/>
      <c r="J460" s="898">
        <f t="shared" si="156" ref="J460:Q460">SUM(J459:J459)</f>
        <v>1415512.1393603901</v>
      </c>
      <c r="K460" s="898">
        <f t="shared" si="156"/>
        <v>50564.832231956992</v>
      </c>
      <c r="L460" s="898">
        <f t="shared" si="156"/>
        <v>1482026.8026879092</v>
      </c>
      <c r="M460" s="898">
        <f t="shared" si="156"/>
        <v>25.580207519257815</v>
      </c>
      <c r="N460" s="898">
        <f t="shared" si="156"/>
        <v>238298.90569087377</v>
      </c>
      <c r="O460" s="898">
        <f>SUM(O459:O459)</f>
        <v>37494.731197597321</v>
      </c>
      <c r="P460" s="898">
        <f t="shared" si="156"/>
        <v>280861.60704210901</v>
      </c>
      <c r="Q460" s="898">
        <f t="shared" si="156"/>
        <v>12902.847525350106</v>
      </c>
      <c r="R460" s="898">
        <f>SUM(R459:R459)</f>
        <v>2860.9341590346071</v>
      </c>
      <c r="S460" s="898">
        <f>SUM(S459:S459)</f>
        <v>4260.7906664885459</v>
      </c>
      <c r="T460" s="352"/>
      <c r="U460" s="299">
        <f>SUM(I460:T460)</f>
        <v>3524809.1707692295</v>
      </c>
      <c r="V460" s="67"/>
      <c r="W460" s="370">
        <f t="shared" si="153"/>
        <v>0</v>
      </c>
    </row>
    <row r="461" spans="1:23" ht="18" customHeight="1" thickBot="1">
      <c r="A461" s="47"/>
      <c r="B461" s="17">
        <f t="shared" si="154"/>
        <v>6</v>
      </c>
      <c r="C461" s="36"/>
      <c r="D461" s="44"/>
      <c r="E461" s="352"/>
      <c r="F461" s="353"/>
      <c r="G461" s="352"/>
      <c r="H461" s="352"/>
      <c r="I461" s="352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2"/>
      <c r="U461" s="353"/>
      <c r="V461" s="67"/>
      <c r="W461" s="370">
        <f t="shared" si="153"/>
        <v>0</v>
      </c>
    </row>
    <row r="462" spans="1:23" ht="18" customHeight="1" thickBot="1">
      <c r="A462" s="47"/>
      <c r="B462" s="17">
        <f t="shared" si="154"/>
        <v>7</v>
      </c>
      <c r="C462" s="341" t="s">
        <v>603</v>
      </c>
      <c r="D462" s="336"/>
      <c r="E462" s="337" t="s">
        <v>126</v>
      </c>
      <c r="F462" s="278">
        <f>+F460</f>
        <v>3524809.17076923</v>
      </c>
      <c r="G462" s="337"/>
      <c r="H462" s="457"/>
      <c r="I462" s="643"/>
      <c r="J462" s="356">
        <f t="shared" si="157" ref="J462:Q462">+J460</f>
        <v>1415512.1393603901</v>
      </c>
      <c r="K462" s="905">
        <f t="shared" si="157"/>
        <v>50564.832231956992</v>
      </c>
      <c r="L462" s="905">
        <f t="shared" si="157"/>
        <v>1482026.8026879092</v>
      </c>
      <c r="M462" s="905">
        <f t="shared" si="157"/>
        <v>25.580207519257815</v>
      </c>
      <c r="N462" s="905">
        <f t="shared" si="157"/>
        <v>238298.90569087377</v>
      </c>
      <c r="O462" s="905">
        <f>+O460</f>
        <v>37494.731197597321</v>
      </c>
      <c r="P462" s="905">
        <f t="shared" si="157"/>
        <v>280861.60704210901</v>
      </c>
      <c r="Q462" s="905">
        <f t="shared" si="157"/>
        <v>12902.847525350106</v>
      </c>
      <c r="R462" s="905">
        <f>+R460</f>
        <v>2860.9341590346071</v>
      </c>
      <c r="S462" s="279">
        <f>+S460</f>
        <v>4260.7906664885459</v>
      </c>
      <c r="T462" s="457"/>
      <c r="U462" s="256">
        <f>SUM(I462:T462)</f>
        <v>3524809.1707692295</v>
      </c>
      <c r="V462" s="67"/>
      <c r="W462" s="370">
        <f t="shared" si="153"/>
        <v>0</v>
      </c>
    </row>
    <row r="463" spans="1:23" ht="18" customHeight="1" thickBot="1">
      <c r="A463" s="47"/>
      <c r="B463" s="17">
        <f t="shared" si="154"/>
        <v>8</v>
      </c>
      <c r="C463" s="43"/>
      <c r="D463" s="340"/>
      <c r="E463" s="351"/>
      <c r="F463" s="263"/>
      <c r="G463" s="351"/>
      <c r="H463" s="351"/>
      <c r="I463" s="351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351"/>
      <c r="U463" s="263"/>
      <c r="V463" s="67"/>
      <c r="W463" s="370">
        <f t="shared" si="153"/>
        <v>0</v>
      </c>
    </row>
    <row r="464" spans="1:23" ht="18" customHeight="1" thickBot="1">
      <c r="A464" s="47"/>
      <c r="B464" s="17">
        <f t="shared" si="154"/>
        <v>9</v>
      </c>
      <c r="C464" s="341" t="s">
        <v>604</v>
      </c>
      <c r="D464" s="336"/>
      <c r="E464" s="337" t="s">
        <v>605</v>
      </c>
      <c r="F464" s="278">
        <f>+F462+F441+F421</f>
        <v>3904531.1107692304</v>
      </c>
      <c r="G464" s="337"/>
      <c r="H464" s="457"/>
      <c r="I464" s="643"/>
      <c r="J464" s="356">
        <f t="shared" si="158" ref="J464:Q464">+J462+J441+J421</f>
        <v>1627310.2093707095</v>
      </c>
      <c r="K464" s="905">
        <f t="shared" si="158"/>
        <v>83192.363220450148</v>
      </c>
      <c r="L464" s="905">
        <f t="shared" si="158"/>
        <v>1582575.6064561147</v>
      </c>
      <c r="M464" s="905">
        <f t="shared" si="158"/>
        <v>1437.4223202039157</v>
      </c>
      <c r="N464" s="905">
        <f t="shared" si="158"/>
        <v>267753.60549649579</v>
      </c>
      <c r="O464" s="905">
        <f>+O462+O441+O421</f>
        <v>38501.54570678444</v>
      </c>
      <c r="P464" s="905">
        <f t="shared" si="158"/>
        <v>283052.70681012329</v>
      </c>
      <c r="Q464" s="905">
        <f t="shared" si="158"/>
        <v>13198.514615760048</v>
      </c>
      <c r="R464" s="905">
        <f>+R462+R441+R421</f>
        <v>2977.1042282726939</v>
      </c>
      <c r="S464" s="279">
        <f>+S462+S441+S421</f>
        <v>4532.032544314704</v>
      </c>
      <c r="T464" s="457"/>
      <c r="U464" s="256">
        <f>SUM(I464:T464)</f>
        <v>3904531.1107692295</v>
      </c>
      <c r="V464" s="67"/>
      <c r="W464" s="370">
        <f t="shared" si="153"/>
        <v>0</v>
      </c>
    </row>
    <row r="465" spans="1:23" ht="18" customHeight="1">
      <c r="A465" s="4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370">
        <f t="shared" si="153"/>
        <v>0</v>
      </c>
    </row>
    <row r="466" spans="1:23" ht="18" customHeight="1">
      <c r="A466" s="47"/>
      <c r="B466" s="67"/>
      <c r="C466" s="67"/>
      <c r="D466" s="67"/>
      <c r="E466" s="67"/>
      <c r="F466" s="67"/>
      <c r="G466" s="67"/>
      <c r="H466" s="134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134"/>
      <c r="V466" s="134">
        <f>$H$2</f>
        <v>0</v>
      </c>
      <c r="W466" s="370"/>
    </row>
    <row r="467" spans="1:23" ht="18" customHeight="1" thickBot="1">
      <c r="A467" s="4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370"/>
    </row>
    <row r="468" spans="1:23" ht="18" customHeight="1">
      <c r="A468" s="47"/>
      <c r="B468" s="920" t="str">
        <f>+$B$4</f>
        <v>2022 RATE CASE</v>
      </c>
      <c r="C468" s="935"/>
      <c r="D468" s="969"/>
      <c r="F468" s="332"/>
      <c r="U468" s="134"/>
      <c r="W468" s="370"/>
    </row>
    <row r="469" spans="1:23" ht="18" customHeight="1">
      <c r="A469" s="47"/>
      <c r="B469" s="917" t="str">
        <f>+$B$5</f>
        <v>ONCOR ELECTRIC DELIVERY COMPANY LLC</v>
      </c>
      <c r="C469" s="8"/>
      <c r="D469" s="970"/>
      <c r="F469" s="332"/>
      <c r="U469" s="134"/>
      <c r="V469" s="67"/>
      <c r="W469" s="370"/>
    </row>
    <row r="470" spans="1:23" ht="18" customHeight="1">
      <c r="A470" s="47"/>
      <c r="B470" s="917" t="str">
        <f>+$B$6</f>
        <v>II-I-1-MET:  CLASS REVENUE REQUIREMENT</v>
      </c>
      <c r="C470" s="85"/>
      <c r="D470" s="970"/>
      <c r="F470" s="332"/>
      <c r="U470" s="332"/>
      <c r="V470" s="67"/>
      <c r="W470" s="370"/>
    </row>
    <row r="471" spans="1:23" ht="18" customHeight="1">
      <c r="A471" s="47"/>
      <c r="B471" s="406" t="str">
        <f>+$B$7</f>
        <v>TEST YEAR ENDING 12/31/2021</v>
      </c>
      <c r="C471" s="85"/>
      <c r="D471" s="970"/>
      <c r="F471" s="332"/>
      <c r="U471" s="332"/>
      <c r="V471" s="67"/>
      <c r="W471" s="370"/>
    </row>
    <row r="472" spans="1:23" ht="18" customHeight="1">
      <c r="A472" s="47"/>
      <c r="B472" s="406" t="str">
        <f>+$B$8</f>
        <v>SPONSOR:  MATTHEW A. TROXLE</v>
      </c>
      <c r="C472" s="85"/>
      <c r="D472" s="970"/>
      <c r="F472" s="332"/>
      <c r="U472" s="332"/>
      <c r="V472" s="67"/>
      <c r="W472" s="370"/>
    </row>
    <row r="473" spans="1:23" ht="18" customHeight="1" thickBot="1">
      <c r="A473" s="47"/>
      <c r="B473" s="410"/>
      <c r="C473" s="934"/>
      <c r="D473" s="936"/>
      <c r="F473" s="332"/>
      <c r="U473" s="332"/>
      <c r="V473" s="67"/>
      <c r="W473" s="370"/>
    </row>
    <row r="474" spans="1:23" ht="18" customHeight="1" thickBot="1">
      <c r="A474" s="47"/>
      <c r="B474" s="13"/>
      <c r="C474" s="14"/>
      <c r="D474" s="14"/>
      <c r="E474" s="14"/>
      <c r="F474" s="13"/>
      <c r="G474" s="14"/>
      <c r="H474" s="14"/>
      <c r="I474" s="14"/>
      <c r="J474" s="238"/>
      <c r="K474" s="238"/>
      <c r="L474" s="14"/>
      <c r="M474" s="238"/>
      <c r="N474" s="238"/>
      <c r="O474" s="238"/>
      <c r="P474" s="238"/>
      <c r="Q474" s="14"/>
      <c r="R474" s="393" t="str">
        <f>R$10</f>
        <v xml:space="preserve"> </v>
      </c>
      <c r="S474" s="394"/>
      <c r="T474" s="238"/>
      <c r="U474" s="13"/>
      <c r="V474" s="67"/>
      <c r="W474" s="370"/>
    </row>
    <row r="475" spans="1:23" ht="18" customHeight="1">
      <c r="A475" s="47"/>
      <c r="B475" s="15" t="s">
        <v>2</v>
      </c>
      <c r="C475" s="15" t="s">
        <v>370</v>
      </c>
      <c r="D475" s="287" t="s">
        <v>127</v>
      </c>
      <c r="E475" s="15" t="s">
        <v>371</v>
      </c>
      <c r="F475" s="287" t="str">
        <f>F$11</f>
        <v>MET</v>
      </c>
      <c r="G475" s="242" t="s">
        <v>741</v>
      </c>
      <c r="H475" s="242" t="s">
        <v>376</v>
      </c>
      <c r="I475" s="15"/>
      <c r="J475" s="242" t="s">
        <v>730</v>
      </c>
      <c r="K475" s="242" t="s">
        <v>409</v>
      </c>
      <c r="L475" s="15" t="s">
        <v>409</v>
      </c>
      <c r="M475" s="242" t="s">
        <v>410</v>
      </c>
      <c r="N475" s="242" t="s">
        <v>410</v>
      </c>
      <c r="O475" s="242" t="s">
        <v>410</v>
      </c>
      <c r="P475" s="242" t="s">
        <v>411</v>
      </c>
      <c r="Q475" s="15" t="s">
        <v>412</v>
      </c>
      <c r="R475" s="396" t="str">
        <f>R$11</f>
        <v>Wholesale</v>
      </c>
      <c r="S475" s="13" t="str">
        <f>S$11</f>
        <v>Wholesale</v>
      </c>
      <c r="T475" s="242"/>
      <c r="U475" s="15" t="s">
        <v>10</v>
      </c>
      <c r="V475" s="67"/>
      <c r="W475" s="370"/>
    </row>
    <row r="476" spans="1:23" ht="18" customHeight="1">
      <c r="A476" s="47"/>
      <c r="B476" s="15"/>
      <c r="C476" s="15"/>
      <c r="D476" s="15"/>
      <c r="E476" s="15"/>
      <c r="F476" s="15"/>
      <c r="G476" s="242" t="s">
        <v>742</v>
      </c>
      <c r="H476" s="242" t="s">
        <v>743</v>
      </c>
      <c r="I476" s="15"/>
      <c r="J476" s="242"/>
      <c r="K476" s="242" t="s">
        <v>731</v>
      </c>
      <c r="L476" s="15" t="s">
        <v>732</v>
      </c>
      <c r="M476" s="242" t="s">
        <v>731</v>
      </c>
      <c r="N476" s="242" t="s">
        <v>732</v>
      </c>
      <c r="O476" s="242" t="s">
        <v>414</v>
      </c>
      <c r="P476" s="242"/>
      <c r="Q476" s="15"/>
      <c r="R476" s="235" t="str">
        <f>R$12</f>
        <v>XFMR</v>
      </c>
      <c r="S476" s="15" t="str">
        <f>S$12</f>
        <v>DLS</v>
      </c>
      <c r="T476" s="242"/>
      <c r="U476" s="15"/>
      <c r="V476" s="67"/>
      <c r="W476" s="370"/>
    </row>
    <row r="477" spans="1:23" ht="18" customHeight="1" thickBot="1">
      <c r="A477" s="47"/>
      <c r="B477" s="16"/>
      <c r="C477" s="16"/>
      <c r="D477" s="16"/>
      <c r="E477" s="16"/>
      <c r="F477" s="16" t="s">
        <v>13</v>
      </c>
      <c r="G477" s="16" t="s">
        <v>14</v>
      </c>
      <c r="H477" s="16" t="s">
        <v>15</v>
      </c>
      <c r="I477" s="16"/>
      <c r="J477" s="243" t="str">
        <f t="shared" si="159" ref="J477:Q477">J$13</f>
        <v>(d)</v>
      </c>
      <c r="K477" s="243" t="str">
        <f t="shared" si="159"/>
        <v>(e)</v>
      </c>
      <c r="L477" s="16" t="str">
        <f t="shared" si="159"/>
        <v>(f)</v>
      </c>
      <c r="M477" s="243" t="str">
        <f t="shared" si="159"/>
        <v>(g)</v>
      </c>
      <c r="N477" s="243" t="str">
        <f t="shared" si="159"/>
        <v>(h)</v>
      </c>
      <c r="O477" s="243" t="str">
        <f>O$13</f>
        <v>(i)</v>
      </c>
      <c r="P477" s="243" t="str">
        <f t="shared" si="159"/>
        <v>(j)</v>
      </c>
      <c r="Q477" s="243" t="str">
        <f t="shared" si="159"/>
        <v>(k)</v>
      </c>
      <c r="R477" s="243" t="str">
        <f>R$13</f>
        <v>(l)</v>
      </c>
      <c r="S477" s="16" t="str">
        <f>S$13</f>
        <v>(m)</v>
      </c>
      <c r="T477" s="16"/>
      <c r="U477" s="16" t="s">
        <v>734</v>
      </c>
      <c r="V477" s="67"/>
      <c r="W477" s="370"/>
    </row>
    <row r="478" spans="1:23" ht="18" customHeight="1">
      <c r="A478" s="47"/>
      <c r="B478" s="67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43"/>
      <c r="V478" s="67"/>
      <c r="W478" s="370">
        <f>U478-F478</f>
        <v>0</v>
      </c>
    </row>
    <row r="479" spans="1:23" ht="18" customHeight="1">
      <c r="A479" s="47"/>
      <c r="B479" s="17">
        <f t="shared" si="160" ref="B479:B485">B478+1</f>
        <v>1</v>
      </c>
      <c r="C479" s="334" t="s">
        <v>606</v>
      </c>
      <c r="D479" s="36"/>
      <c r="E479" s="37" t="s">
        <v>128</v>
      </c>
      <c r="F479" s="39"/>
      <c r="G479" s="37"/>
      <c r="H479" s="37"/>
      <c r="I479" s="37"/>
      <c r="J479" s="897"/>
      <c r="K479" s="897"/>
      <c r="L479" s="897"/>
      <c r="M479" s="897"/>
      <c r="N479" s="897"/>
      <c r="O479" s="897"/>
      <c r="P479" s="897"/>
      <c r="Q479" s="897"/>
      <c r="R479" s="897"/>
      <c r="S479" s="897"/>
      <c r="T479" s="37"/>
      <c r="U479" s="36"/>
      <c r="V479" s="67"/>
      <c r="W479" s="370">
        <f>U479-F479</f>
        <v>0</v>
      </c>
    </row>
    <row r="480" spans="1:23" ht="18" customHeight="1">
      <c r="A480" s="47"/>
      <c r="B480" s="17">
        <f t="shared" si="160"/>
        <v>2</v>
      </c>
      <c r="C480" s="334"/>
      <c r="D480" s="691" t="s">
        <v>999</v>
      </c>
      <c r="E480" s="263"/>
      <c r="F480" s="118">
        <f>' WP II-I-1.4'!H480</f>
        <v>0</v>
      </c>
      <c r="G480" s="358">
        <v>26</v>
      </c>
      <c r="H480" s="47" t="str">
        <f>VLOOKUP(G480,FactorTable,2)</f>
        <v>NCP ALL</v>
      </c>
      <c r="I480" s="263"/>
      <c r="J480" s="263">
        <f t="shared" si="161" ref="J480:S482">$F480*HLOOKUP(J$1318,FactorTable,$G480+1)</f>
        <v>0</v>
      </c>
      <c r="K480" s="263">
        <f t="shared" si="161"/>
        <v>0</v>
      </c>
      <c r="L480" s="263">
        <f t="shared" si="161"/>
        <v>0</v>
      </c>
      <c r="M480" s="263">
        <f t="shared" si="161"/>
        <v>0</v>
      </c>
      <c r="N480" s="263">
        <f t="shared" si="161"/>
        <v>0</v>
      </c>
      <c r="O480" s="263">
        <f t="shared" si="161"/>
        <v>0</v>
      </c>
      <c r="P480" s="263">
        <f t="shared" si="161"/>
        <v>0</v>
      </c>
      <c r="Q480" s="263">
        <f t="shared" si="161"/>
        <v>0</v>
      </c>
      <c r="R480" s="263">
        <f t="shared" si="161"/>
        <v>0</v>
      </c>
      <c r="S480" s="263">
        <f t="shared" si="161"/>
        <v>0</v>
      </c>
      <c r="T480" s="263"/>
      <c r="U480" s="252">
        <f>SUM(I480:T480)</f>
        <v>0</v>
      </c>
      <c r="V480" s="67"/>
      <c r="W480" s="370">
        <f>U480-F480</f>
        <v>0</v>
      </c>
    </row>
    <row r="481" spans="1:23" ht="18" customHeight="1">
      <c r="A481" s="47"/>
      <c r="B481" s="17">
        <f t="shared" si="160"/>
        <v>3</v>
      </c>
      <c r="C481" s="43"/>
      <c r="D481" s="43" t="s">
        <v>607</v>
      </c>
      <c r="E481" s="37"/>
      <c r="F481" s="118">
        <f>' WP II-I-1.4'!H481</f>
        <v>0</v>
      </c>
      <c r="G481" s="358">
        <v>26</v>
      </c>
      <c r="H481" s="47" t="str">
        <f>VLOOKUP(G481,FactorTable,2)</f>
        <v>NCP ALL</v>
      </c>
      <c r="I481" s="897"/>
      <c r="J481" s="434">
        <f t="shared" si="161"/>
        <v>0</v>
      </c>
      <c r="K481" s="434">
        <f t="shared" si="161"/>
        <v>0</v>
      </c>
      <c r="L481" s="434">
        <f t="shared" si="161"/>
        <v>0</v>
      </c>
      <c r="M481" s="434">
        <f t="shared" si="161"/>
        <v>0</v>
      </c>
      <c r="N481" s="434">
        <f t="shared" si="161"/>
        <v>0</v>
      </c>
      <c r="O481" s="434">
        <f t="shared" si="161"/>
        <v>0</v>
      </c>
      <c r="P481" s="434">
        <f t="shared" si="161"/>
        <v>0</v>
      </c>
      <c r="Q481" s="434">
        <f t="shared" si="161"/>
        <v>0</v>
      </c>
      <c r="R481" s="434">
        <f t="shared" si="161"/>
        <v>0</v>
      </c>
      <c r="S481" s="434">
        <f t="shared" si="161"/>
        <v>0</v>
      </c>
      <c r="T481" s="897"/>
      <c r="U481" s="252">
        <f>SUM(I481:T481)</f>
        <v>0</v>
      </c>
      <c r="V481" s="67"/>
      <c r="W481" s="370">
        <f>U481-F481</f>
        <v>0</v>
      </c>
    </row>
    <row r="482" spans="1:23" ht="18" customHeight="1">
      <c r="A482" s="47"/>
      <c r="B482" s="17">
        <f t="shared" si="160"/>
        <v>4</v>
      </c>
      <c r="C482" s="43"/>
      <c r="D482" s="691" t="s">
        <v>1257</v>
      </c>
      <c r="E482" s="897"/>
      <c r="F482" s="118">
        <f>' WP II-I-1.4'!H482</f>
        <v>-668323.90000000002</v>
      </c>
      <c r="G482" s="358">
        <v>26</v>
      </c>
      <c r="H482" s="47" t="str">
        <f>VLOOKUP(G482,FactorTable,2)</f>
        <v>NCP ALL</v>
      </c>
      <c r="I482" s="37"/>
      <c r="J482" s="435">
        <f t="shared" si="161"/>
        <v>-320780.65430635645</v>
      </c>
      <c r="K482" s="435">
        <f t="shared" si="161"/>
        <v>-7833.5327659951217</v>
      </c>
      <c r="L482" s="435">
        <f t="shared" si="161"/>
        <v>-206541.78916840095</v>
      </c>
      <c r="M482" s="435">
        <f t="shared" si="161"/>
        <v>-116.76658682289218</v>
      </c>
      <c r="N482" s="435">
        <f t="shared" si="161"/>
        <v>-49421.498210048201</v>
      </c>
      <c r="O482" s="435">
        <f t="shared" si="161"/>
        <v>-17872.530105878624</v>
      </c>
      <c r="P482" s="435">
        <f t="shared" si="161"/>
        <v>-58848.988023777885</v>
      </c>
      <c r="Q482" s="435">
        <f t="shared" si="161"/>
        <v>-2083.270230979545</v>
      </c>
      <c r="R482" s="435">
        <f t="shared" si="161"/>
        <v>-2142.1345952160727</v>
      </c>
      <c r="S482" s="435">
        <f t="shared" si="161"/>
        <v>-2682.736006524261</v>
      </c>
      <c r="T482" s="897"/>
      <c r="U482" s="252">
        <f>SUM(I482:T482)</f>
        <v>-668323.89999999991</v>
      </c>
      <c r="V482" s="67"/>
      <c r="W482" s="370"/>
    </row>
    <row r="483" spans="1:23" ht="18" customHeight="1">
      <c r="A483" s="47"/>
      <c r="B483" s="17">
        <f t="shared" si="160"/>
        <v>5</v>
      </c>
      <c r="C483" s="36"/>
      <c r="D483" s="44" t="s">
        <v>491</v>
      </c>
      <c r="E483" s="352"/>
      <c r="F483" s="39">
        <f>SUM(F480:F482)</f>
        <v>-668323.90000000002</v>
      </c>
      <c r="G483" s="352"/>
      <c r="H483" s="352"/>
      <c r="I483" s="352"/>
      <c r="J483" s="898">
        <f t="shared" si="162" ref="J483:S483">SUM(J480:J482)</f>
        <v>-320780.65430635645</v>
      </c>
      <c r="K483" s="898">
        <f t="shared" si="162"/>
        <v>-7833.5327659951217</v>
      </c>
      <c r="L483" s="898">
        <f t="shared" si="162"/>
        <v>-206541.78916840095</v>
      </c>
      <c r="M483" s="898">
        <f t="shared" si="162"/>
        <v>-116.76658682289218</v>
      </c>
      <c r="N483" s="898">
        <f t="shared" si="162"/>
        <v>-49421.498210048201</v>
      </c>
      <c r="O483" s="898">
        <f t="shared" si="162"/>
        <v>-17872.530105878624</v>
      </c>
      <c r="P483" s="898">
        <f t="shared" si="162"/>
        <v>-58848.988023777885</v>
      </c>
      <c r="Q483" s="898">
        <f t="shared" si="162"/>
        <v>-2083.270230979545</v>
      </c>
      <c r="R483" s="898">
        <f t="shared" si="162"/>
        <v>-2142.1345952160727</v>
      </c>
      <c r="S483" s="898">
        <f t="shared" si="162"/>
        <v>-2682.736006524261</v>
      </c>
      <c r="T483" s="352"/>
      <c r="U483" s="299">
        <f>SUM(I483:T483)</f>
        <v>-668323.89999999991</v>
      </c>
      <c r="V483" s="67"/>
      <c r="W483" s="370">
        <f>U483-F483</f>
        <v>0</v>
      </c>
    </row>
    <row r="484" spans="1:23" ht="18" customHeight="1" thickBot="1">
      <c r="A484" s="47"/>
      <c r="B484" s="17">
        <f t="shared" si="160"/>
        <v>6</v>
      </c>
      <c r="C484" s="36"/>
      <c r="D484" s="44"/>
      <c r="E484" s="37"/>
      <c r="F484" s="39"/>
      <c r="G484" s="37"/>
      <c r="H484" s="37"/>
      <c r="I484" s="37"/>
      <c r="J484" s="898"/>
      <c r="K484" s="898"/>
      <c r="L484" s="898"/>
      <c r="M484" s="898"/>
      <c r="N484" s="898"/>
      <c r="O484" s="898"/>
      <c r="P484" s="898"/>
      <c r="Q484" s="898"/>
      <c r="R484" s="898"/>
      <c r="S484" s="898"/>
      <c r="T484" s="37"/>
      <c r="U484" s="36"/>
      <c r="V484" s="67"/>
      <c r="W484" s="370">
        <f>U484-F484</f>
        <v>0</v>
      </c>
    </row>
    <row r="485" spans="1:23" ht="18" customHeight="1" thickBot="1">
      <c r="A485" s="47"/>
      <c r="B485" s="17">
        <f t="shared" si="160"/>
        <v>7</v>
      </c>
      <c r="C485" s="341" t="s">
        <v>608</v>
      </c>
      <c r="D485" s="336"/>
      <c r="E485" s="337"/>
      <c r="F485" s="278">
        <f>+F483+F464+F421+F399+F374</f>
        <v>-33314483.65923078</v>
      </c>
      <c r="G485" s="337"/>
      <c r="H485" s="457"/>
      <c r="I485" s="643"/>
      <c r="J485" s="356">
        <f t="shared" si="163" ref="J485:Q485">+J483+J464+J421+J399+J374</f>
        <v>-19070656.586838245</v>
      </c>
      <c r="K485" s="905">
        <f t="shared" si="163"/>
        <v>-3066278.5026311274</v>
      </c>
      <c r="L485" s="905">
        <f t="shared" si="163"/>
        <v>-8314455.2160593439</v>
      </c>
      <c r="M485" s="905">
        <f t="shared" si="163"/>
        <v>-134748.52384169126</v>
      </c>
      <c r="N485" s="905">
        <f t="shared" si="163"/>
        <v>-2621065.12751556</v>
      </c>
      <c r="O485" s="905">
        <f>+O483+O464+O421+O399+O374</f>
        <v>-76401.722966775575</v>
      </c>
      <c r="P485" s="905">
        <f t="shared" si="163"/>
        <v>12975.264827469771</v>
      </c>
      <c r="Q485" s="905">
        <f t="shared" si="163"/>
        <v>-9197.1850084513317</v>
      </c>
      <c r="R485" s="905">
        <f>+R483+R464+R421+R399+R374</f>
        <v>-10360.884817060465</v>
      </c>
      <c r="S485" s="279">
        <f>+S483+S464+S421+S399+S374</f>
        <v>-24295.174380002267</v>
      </c>
      <c r="T485" s="457"/>
      <c r="U485" s="256">
        <f>SUM(I485:T485)</f>
        <v>-33314483.65923078</v>
      </c>
      <c r="V485" s="67"/>
      <c r="W485" s="370">
        <f>U485-F485</f>
        <v>0</v>
      </c>
    </row>
    <row r="486" spans="1:23" ht="18" customHeight="1">
      <c r="A486" s="4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370">
        <f>U486-F486</f>
        <v>0</v>
      </c>
    </row>
    <row r="487" spans="1:23" ht="18" customHeight="1">
      <c r="A487" s="47"/>
      <c r="B487" s="67"/>
      <c r="C487" s="67"/>
      <c r="D487" s="67"/>
      <c r="E487" s="67"/>
      <c r="F487" s="67"/>
      <c r="G487" s="67"/>
      <c r="H487" s="134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134"/>
      <c r="V487" s="134">
        <f>$H$2</f>
        <v>0</v>
      </c>
      <c r="W487" s="370"/>
    </row>
    <row r="488" spans="1:23" ht="18" customHeight="1" thickBot="1">
      <c r="A488" s="4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370"/>
    </row>
    <row r="489" spans="1:23" ht="18" customHeight="1">
      <c r="A489" s="47"/>
      <c r="B489" s="920" t="str">
        <f>+$B$4</f>
        <v>2022 RATE CASE</v>
      </c>
      <c r="C489" s="935"/>
      <c r="D489" s="969"/>
      <c r="F489" s="332"/>
      <c r="U489" s="134"/>
      <c r="W489" s="370"/>
    </row>
    <row r="490" spans="1:23" ht="18" customHeight="1">
      <c r="A490" s="47"/>
      <c r="B490" s="917" t="str">
        <f>+$B$5</f>
        <v>ONCOR ELECTRIC DELIVERY COMPANY LLC</v>
      </c>
      <c r="C490" s="8"/>
      <c r="D490" s="970"/>
      <c r="F490" s="332"/>
      <c r="U490" s="134"/>
      <c r="V490" s="67"/>
      <c r="W490" s="370"/>
    </row>
    <row r="491" spans="1:23" ht="18" customHeight="1">
      <c r="A491" s="47"/>
      <c r="B491" s="917" t="str">
        <f>+$B$6</f>
        <v>II-I-1-MET:  CLASS REVENUE REQUIREMENT</v>
      </c>
      <c r="C491" s="85"/>
      <c r="D491" s="970"/>
      <c r="F491" s="332"/>
      <c r="U491" s="332"/>
      <c r="V491" s="67"/>
      <c r="W491" s="370"/>
    </row>
    <row r="492" spans="1:23" ht="18" customHeight="1">
      <c r="A492" s="47"/>
      <c r="B492" s="406" t="str">
        <f>+$B$7</f>
        <v>TEST YEAR ENDING 12/31/2021</v>
      </c>
      <c r="C492" s="85"/>
      <c r="D492" s="970"/>
      <c r="F492" s="332"/>
      <c r="U492" s="332"/>
      <c r="V492" s="67"/>
      <c r="W492" s="370"/>
    </row>
    <row r="493" spans="1:23" ht="18" customHeight="1">
      <c r="A493" s="47"/>
      <c r="B493" s="406" t="str">
        <f>+$B$8</f>
        <v>SPONSOR:  MATTHEW A. TROXLE</v>
      </c>
      <c r="C493" s="85"/>
      <c r="D493" s="970"/>
      <c r="F493" s="332"/>
      <c r="U493" s="332"/>
      <c r="V493" s="67"/>
      <c r="W493" s="370"/>
    </row>
    <row r="494" spans="1:23" ht="18" customHeight="1" thickBot="1">
      <c r="A494" s="47"/>
      <c r="B494" s="410"/>
      <c r="C494" s="934"/>
      <c r="D494" s="936"/>
      <c r="F494" s="332"/>
      <c r="U494" s="332"/>
      <c r="V494" s="67"/>
      <c r="W494" s="370"/>
    </row>
    <row r="495" spans="1:23" ht="18" customHeight="1" thickBot="1">
      <c r="A495" s="47"/>
      <c r="B495" s="13"/>
      <c r="C495" s="14"/>
      <c r="D495" s="14"/>
      <c r="E495" s="14"/>
      <c r="F495" s="13"/>
      <c r="G495" s="14"/>
      <c r="H495" s="14"/>
      <c r="I495" s="14"/>
      <c r="J495" s="238"/>
      <c r="K495" s="238"/>
      <c r="L495" s="14"/>
      <c r="M495" s="238"/>
      <c r="N495" s="238"/>
      <c r="O495" s="238"/>
      <c r="P495" s="238"/>
      <c r="Q495" s="14"/>
      <c r="R495" s="393" t="str">
        <f>R$10</f>
        <v xml:space="preserve"> </v>
      </c>
      <c r="S495" s="394"/>
      <c r="T495" s="238"/>
      <c r="U495" s="13"/>
      <c r="V495" s="67"/>
      <c r="W495" s="370"/>
    </row>
    <row r="496" spans="1:23" ht="18" customHeight="1">
      <c r="A496" s="47"/>
      <c r="B496" s="15" t="s">
        <v>2</v>
      </c>
      <c r="C496" s="15" t="s">
        <v>370</v>
      </c>
      <c r="D496" s="287" t="s">
        <v>609</v>
      </c>
      <c r="E496" s="15" t="s">
        <v>371</v>
      </c>
      <c r="F496" s="287" t="str">
        <f>F$11</f>
        <v>MET</v>
      </c>
      <c r="G496" s="242" t="s">
        <v>741</v>
      </c>
      <c r="H496" s="242" t="s">
        <v>376</v>
      </c>
      <c r="I496" s="15"/>
      <c r="J496" s="242" t="s">
        <v>730</v>
      </c>
      <c r="K496" s="242" t="s">
        <v>409</v>
      </c>
      <c r="L496" s="15" t="s">
        <v>409</v>
      </c>
      <c r="M496" s="242" t="s">
        <v>410</v>
      </c>
      <c r="N496" s="242" t="s">
        <v>410</v>
      </c>
      <c r="O496" s="242" t="s">
        <v>410</v>
      </c>
      <c r="P496" s="242" t="s">
        <v>411</v>
      </c>
      <c r="Q496" s="15" t="s">
        <v>412</v>
      </c>
      <c r="R496" s="396" t="str">
        <f>R$11</f>
        <v>Wholesale</v>
      </c>
      <c r="S496" s="13" t="str">
        <f>S$11</f>
        <v>Wholesale</v>
      </c>
      <c r="T496" s="242"/>
      <c r="U496" s="15" t="s">
        <v>10</v>
      </c>
      <c r="V496" s="67"/>
      <c r="W496" s="370"/>
    </row>
    <row r="497" spans="1:23" ht="18" customHeight="1">
      <c r="A497" s="47"/>
      <c r="B497" s="15"/>
      <c r="C497" s="15"/>
      <c r="D497" s="15"/>
      <c r="E497" s="15"/>
      <c r="F497" s="15"/>
      <c r="G497" s="242" t="s">
        <v>742</v>
      </c>
      <c r="H497" s="242" t="s">
        <v>743</v>
      </c>
      <c r="I497" s="15"/>
      <c r="J497" s="242"/>
      <c r="K497" s="242" t="s">
        <v>731</v>
      </c>
      <c r="L497" s="15" t="s">
        <v>732</v>
      </c>
      <c r="M497" s="242" t="s">
        <v>731</v>
      </c>
      <c r="N497" s="242" t="s">
        <v>732</v>
      </c>
      <c r="O497" s="242" t="s">
        <v>414</v>
      </c>
      <c r="P497" s="242"/>
      <c r="Q497" s="15"/>
      <c r="R497" s="235" t="str">
        <f>R$12</f>
        <v>XFMR</v>
      </c>
      <c r="S497" s="15" t="str">
        <f>S$12</f>
        <v>DLS</v>
      </c>
      <c r="T497" s="242"/>
      <c r="U497" s="15"/>
      <c r="V497" s="67"/>
      <c r="W497" s="370"/>
    </row>
    <row r="498" spans="1:23" ht="18" customHeight="1" thickBot="1">
      <c r="A498" s="47"/>
      <c r="B498" s="16"/>
      <c r="C498" s="16"/>
      <c r="D498" s="16"/>
      <c r="E498" s="16"/>
      <c r="F498" s="16" t="s">
        <v>13</v>
      </c>
      <c r="G498" s="16" t="s">
        <v>14</v>
      </c>
      <c r="H498" s="16" t="s">
        <v>15</v>
      </c>
      <c r="I498" s="16"/>
      <c r="J498" s="243" t="str">
        <f t="shared" si="164" ref="J498:Q498">J$13</f>
        <v>(d)</v>
      </c>
      <c r="K498" s="243" t="str">
        <f t="shared" si="164"/>
        <v>(e)</v>
      </c>
      <c r="L498" s="16" t="str">
        <f t="shared" si="164"/>
        <v>(f)</v>
      </c>
      <c r="M498" s="243" t="str">
        <f t="shared" si="164"/>
        <v>(g)</v>
      </c>
      <c r="N498" s="243" t="str">
        <f t="shared" si="164"/>
        <v>(h)</v>
      </c>
      <c r="O498" s="243" t="str">
        <f>O$13</f>
        <v>(i)</v>
      </c>
      <c r="P498" s="243" t="str">
        <f t="shared" si="164"/>
        <v>(j)</v>
      </c>
      <c r="Q498" s="243" t="str">
        <f t="shared" si="164"/>
        <v>(k)</v>
      </c>
      <c r="R498" s="243" t="str">
        <f>R$13</f>
        <v>(l)</v>
      </c>
      <c r="S498" s="16" t="str">
        <f>S$13</f>
        <v>(m)</v>
      </c>
      <c r="T498" s="16"/>
      <c r="U498" s="16" t="s">
        <v>734</v>
      </c>
      <c r="V498" s="67"/>
      <c r="W498" s="370"/>
    </row>
    <row r="499" spans="1:23" ht="18" customHeight="1">
      <c r="A499" s="47"/>
      <c r="B499" s="67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43"/>
      <c r="V499" s="67"/>
      <c r="W499" s="370">
        <f t="shared" si="165" ref="W499:W507">U499-F499</f>
        <v>0</v>
      </c>
    </row>
    <row r="500" spans="1:23" ht="18" customHeight="1">
      <c r="A500" s="47"/>
      <c r="B500" s="17">
        <f t="shared" si="166" ref="B500:B552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67"/>
      <c r="W500" s="370">
        <f t="shared" si="165"/>
        <v>0</v>
      </c>
    </row>
    <row r="501" spans="1:23" ht="18" customHeight="1">
      <c r="A501" s="47"/>
      <c r="B501" s="17">
        <f t="shared" si="166"/>
        <v>2</v>
      </c>
      <c r="C501" s="36" t="s">
        <v>610</v>
      </c>
      <c r="D501" s="44"/>
      <c r="E501" s="897" t="s">
        <v>132</v>
      </c>
      <c r="F501" s="35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6"/>
      <c r="V501" s="67"/>
      <c r="W501" s="370">
        <f t="shared" si="165"/>
        <v>0</v>
      </c>
    </row>
    <row r="502" spans="1:23" ht="18" customHeight="1">
      <c r="A502" s="47"/>
      <c r="B502" s="17">
        <f t="shared" si="166"/>
        <v>3</v>
      </c>
      <c r="C502" s="36" t="s">
        <v>611</v>
      </c>
      <c r="D502" s="44"/>
      <c r="E502" s="897"/>
      <c r="F502" s="355"/>
      <c r="G502" s="37"/>
      <c r="H502" s="37"/>
      <c r="I502" s="897"/>
      <c r="J502" s="897"/>
      <c r="K502" s="897"/>
      <c r="L502" s="897"/>
      <c r="M502" s="897"/>
      <c r="N502" s="897"/>
      <c r="O502" s="897"/>
      <c r="P502" s="897"/>
      <c r="Q502" s="897"/>
      <c r="R502" s="897"/>
      <c r="S502" s="897"/>
      <c r="T502" s="897"/>
      <c r="U502" s="36"/>
      <c r="V502" s="67"/>
      <c r="W502" s="370">
        <f t="shared" si="165"/>
        <v>0</v>
      </c>
    </row>
    <row r="503" spans="1:23" ht="18" customHeight="1">
      <c r="A503" s="47"/>
      <c r="B503" s="17">
        <f t="shared" si="166"/>
        <v>4</v>
      </c>
      <c r="C503" s="43">
        <v>189</v>
      </c>
      <c r="D503" s="43" t="s">
        <v>1210</v>
      </c>
      <c r="E503" s="263"/>
      <c r="F503" s="118">
        <f>' WP II-I-1.4'!H503</f>
        <v>0</v>
      </c>
      <c r="G503" s="358">
        <v>64</v>
      </c>
      <c r="H503" s="47" t="str">
        <f t="shared" si="167" ref="H503:H534">VLOOKUP(G503,FactorTable,2)</f>
        <v>PLANT</v>
      </c>
      <c r="I503" s="263"/>
      <c r="J503" s="434">
        <f t="shared" si="168" ref="J503:S512">$F503*HLOOKUP(J$1318,FactorTable,$G503+1)</f>
        <v>0</v>
      </c>
      <c r="K503" s="434">
        <f t="shared" si="168"/>
        <v>0</v>
      </c>
      <c r="L503" s="434">
        <f t="shared" si="168"/>
        <v>0</v>
      </c>
      <c r="M503" s="434">
        <f t="shared" si="168"/>
        <v>0</v>
      </c>
      <c r="N503" s="434">
        <f t="shared" si="168"/>
        <v>0</v>
      </c>
      <c r="O503" s="434">
        <f t="shared" si="168"/>
        <v>0</v>
      </c>
      <c r="P503" s="434">
        <f t="shared" si="168"/>
        <v>0</v>
      </c>
      <c r="Q503" s="434">
        <f t="shared" si="168"/>
        <v>0</v>
      </c>
      <c r="R503" s="434">
        <f t="shared" si="168"/>
        <v>0</v>
      </c>
      <c r="S503" s="434">
        <f t="shared" si="168"/>
        <v>0</v>
      </c>
      <c r="T503" s="263"/>
      <c r="U503" s="118">
        <f t="shared" si="169" ref="U503:U509">SUM(I503:T503)</f>
        <v>0</v>
      </c>
      <c r="V503" s="67"/>
      <c r="W503" s="370">
        <f t="shared" si="165"/>
        <v>0</v>
      </c>
    </row>
    <row r="504" spans="1:23" ht="18" customHeight="1">
      <c r="A504" s="47"/>
      <c r="B504" s="17">
        <f t="shared" si="166"/>
        <v>5</v>
      </c>
      <c r="C504" s="43">
        <v>182</v>
      </c>
      <c r="D504" s="43" t="s">
        <v>1211</v>
      </c>
      <c r="E504" s="897"/>
      <c r="F504" s="118">
        <f>' WP II-I-1.4'!H504</f>
        <v>0</v>
      </c>
      <c r="G504" s="358">
        <v>64</v>
      </c>
      <c r="H504" s="47" t="str">
        <f t="shared" si="167"/>
        <v>PLANT</v>
      </c>
      <c r="I504" s="897"/>
      <c r="J504" s="434">
        <f t="shared" si="168"/>
        <v>0</v>
      </c>
      <c r="K504" s="434">
        <f t="shared" si="168"/>
        <v>0</v>
      </c>
      <c r="L504" s="434">
        <f t="shared" si="168"/>
        <v>0</v>
      </c>
      <c r="M504" s="434">
        <f t="shared" si="168"/>
        <v>0</v>
      </c>
      <c r="N504" s="434">
        <f t="shared" si="168"/>
        <v>0</v>
      </c>
      <c r="O504" s="434">
        <f t="shared" si="168"/>
        <v>0</v>
      </c>
      <c r="P504" s="434">
        <f t="shared" si="168"/>
        <v>0</v>
      </c>
      <c r="Q504" s="434">
        <f t="shared" si="168"/>
        <v>0</v>
      </c>
      <c r="R504" s="434">
        <f t="shared" si="168"/>
        <v>0</v>
      </c>
      <c r="S504" s="434">
        <f t="shared" si="168"/>
        <v>0</v>
      </c>
      <c r="T504" s="897"/>
      <c r="U504" s="118">
        <f t="shared" si="169"/>
        <v>0</v>
      </c>
      <c r="V504" s="67"/>
      <c r="W504" s="370">
        <f t="shared" si="165"/>
        <v>0</v>
      </c>
    </row>
    <row r="505" spans="1:23" ht="18" customHeight="1">
      <c r="A505" s="47"/>
      <c r="B505" s="17">
        <f t="shared" si="166"/>
        <v>6</v>
      </c>
      <c r="C505" s="43">
        <v>182</v>
      </c>
      <c r="D505" s="43" t="s">
        <v>1359</v>
      </c>
      <c r="E505" s="897"/>
      <c r="F505" s="118">
        <f>' WP II-I-1.4'!H505</f>
        <v>0</v>
      </c>
      <c r="G505" s="358">
        <v>69</v>
      </c>
      <c r="H505" s="47" t="str">
        <f t="shared" si="167"/>
        <v>PLANT_xWHL</v>
      </c>
      <c r="I505" s="897"/>
      <c r="J505" s="434">
        <f t="shared" si="168"/>
        <v>0</v>
      </c>
      <c r="K505" s="434">
        <f t="shared" si="168"/>
        <v>0</v>
      </c>
      <c r="L505" s="434">
        <f t="shared" si="168"/>
        <v>0</v>
      </c>
      <c r="M505" s="434">
        <f t="shared" si="168"/>
        <v>0</v>
      </c>
      <c r="N505" s="434">
        <f t="shared" si="168"/>
        <v>0</v>
      </c>
      <c r="O505" s="434">
        <f t="shared" si="168"/>
        <v>0</v>
      </c>
      <c r="P505" s="434">
        <f t="shared" si="168"/>
        <v>0</v>
      </c>
      <c r="Q505" s="434">
        <f t="shared" si="168"/>
        <v>0</v>
      </c>
      <c r="R505" s="434">
        <f t="shared" si="168"/>
        <v>0</v>
      </c>
      <c r="S505" s="434">
        <f t="shared" si="168"/>
        <v>0</v>
      </c>
      <c r="T505" s="897"/>
      <c r="U505" s="118">
        <f t="shared" si="169"/>
        <v>0</v>
      </c>
      <c r="V505" s="67"/>
      <c r="W505" s="370">
        <f t="shared" si="165"/>
        <v>0</v>
      </c>
    </row>
    <row r="506" spans="1:23" ht="18" customHeight="1">
      <c r="A506" s="47"/>
      <c r="B506" s="17">
        <f t="shared" si="166"/>
        <v>7</v>
      </c>
      <c r="C506" s="43">
        <v>182</v>
      </c>
      <c r="D506" s="43" t="s">
        <v>1213</v>
      </c>
      <c r="E506" s="897"/>
      <c r="F506" s="118">
        <f>' WP II-I-1.4'!H506</f>
        <v>1579203.8999999999</v>
      </c>
      <c r="G506" s="358">
        <v>69</v>
      </c>
      <c r="H506" s="47" t="str">
        <f t="shared" si="170" ref="H506">VLOOKUP(G506,FactorTable,2)</f>
        <v>PLANT_xWHL</v>
      </c>
      <c r="I506" s="897"/>
      <c r="J506" s="434">
        <f t="shared" si="168"/>
        <v>881314.13157999923</v>
      </c>
      <c r="K506" s="434">
        <f t="shared" si="168"/>
        <v>135875.9427659185</v>
      </c>
      <c r="L506" s="434">
        <f t="shared" si="168"/>
        <v>419114.0458518854</v>
      </c>
      <c r="M506" s="434">
        <f t="shared" si="168"/>
        <v>5884.9975652630037</v>
      </c>
      <c r="N506" s="434">
        <f t="shared" si="168"/>
        <v>122804.04619038024</v>
      </c>
      <c r="O506" s="434">
        <f t="shared" si="168"/>
        <v>4196.583399780322</v>
      </c>
      <c r="P506" s="434">
        <f t="shared" si="168"/>
        <v>9135.6392472140851</v>
      </c>
      <c r="Q506" s="434">
        <f t="shared" si="168"/>
        <v>878.51339955933236</v>
      </c>
      <c r="R506" s="434">
        <f t="shared" si="168"/>
        <v>0</v>
      </c>
      <c r="S506" s="434">
        <f t="shared" si="168"/>
        <v>0</v>
      </c>
      <c r="T506" s="897"/>
      <c r="U506" s="118">
        <f t="shared" si="171" ref="U506">SUM(I506:T506)</f>
        <v>1579203.9000000001</v>
      </c>
      <c r="V506" s="67"/>
      <c r="W506" s="370">
        <f t="shared" si="172" ref="W506">U506-F506</f>
        <v>0</v>
      </c>
    </row>
    <row r="507" spans="1:23" ht="18" customHeight="1">
      <c r="A507" s="47"/>
      <c r="B507" s="17">
        <f t="shared" si="166"/>
        <v>8</v>
      </c>
      <c r="C507" s="43">
        <v>182</v>
      </c>
      <c r="D507" s="43" t="s">
        <v>135</v>
      </c>
      <c r="E507" s="897"/>
      <c r="F507" s="118">
        <f>' WP II-I-1.4'!H507</f>
        <v>25202869.899999999</v>
      </c>
      <c r="G507" s="358">
        <v>88</v>
      </c>
      <c r="H507" s="47" t="str">
        <f t="shared" si="167"/>
        <v>PAYROLL</v>
      </c>
      <c r="I507" s="897"/>
      <c r="J507" s="434">
        <f t="shared" si="168"/>
        <v>14053477.551860813</v>
      </c>
      <c r="K507" s="434">
        <f t="shared" si="168"/>
        <v>2165968.8437319454</v>
      </c>
      <c r="L507" s="434">
        <f t="shared" si="168"/>
        <v>6678502.3412719648</v>
      </c>
      <c r="M507" s="434">
        <f t="shared" si="168"/>
        <v>93775.884041162484</v>
      </c>
      <c r="N507" s="434">
        <f t="shared" si="168"/>
        <v>1956669.2398916632</v>
      </c>
      <c r="O507" s="434">
        <f t="shared" si="168"/>
        <v>66872.318355632931</v>
      </c>
      <c r="P507" s="434">
        <f t="shared" si="168"/>
        <v>145557.97760323639</v>
      </c>
      <c r="Q507" s="434">
        <f t="shared" si="168"/>
        <v>16313.169490688539</v>
      </c>
      <c r="R507" s="434">
        <f t="shared" si="168"/>
        <v>7715.7762986995604</v>
      </c>
      <c r="S507" s="434">
        <f t="shared" si="168"/>
        <v>18016.797454192052</v>
      </c>
      <c r="T507" s="897"/>
      <c r="U507" s="118">
        <f t="shared" si="169"/>
        <v>25202869.899999999</v>
      </c>
      <c r="V507" s="67"/>
      <c r="W507" s="370">
        <f t="shared" si="165"/>
        <v>0</v>
      </c>
    </row>
    <row r="508" spans="1:23" ht="18" customHeight="1">
      <c r="A508" s="47"/>
      <c r="B508" s="17">
        <f t="shared" si="166"/>
        <v>9</v>
      </c>
      <c r="C508" s="43">
        <v>182</v>
      </c>
      <c r="D508" s="43" t="s">
        <v>136</v>
      </c>
      <c r="E508" s="897"/>
      <c r="F508" s="118">
        <f>' WP II-I-1.4'!H508</f>
        <v>-2888676.04</v>
      </c>
      <c r="G508" s="358">
        <v>88</v>
      </c>
      <c r="H508" s="47" t="str">
        <f t="shared" si="167"/>
        <v>PAYROLL</v>
      </c>
      <c r="I508" s="897"/>
      <c r="J508" s="434">
        <f t="shared" si="168"/>
        <v>-1610766.7120377505</v>
      </c>
      <c r="K508" s="434">
        <f t="shared" si="168"/>
        <v>-248256.73929598692</v>
      </c>
      <c r="L508" s="434">
        <f t="shared" si="168"/>
        <v>-765469.55854087987</v>
      </c>
      <c r="M508" s="434">
        <f t="shared" si="168"/>
        <v>-10748.305666551272</v>
      </c>
      <c r="N508" s="434">
        <f t="shared" si="168"/>
        <v>-224267.45739301937</v>
      </c>
      <c r="O508" s="434">
        <f t="shared" si="168"/>
        <v>-7664.701065380219</v>
      </c>
      <c r="P508" s="434">
        <f t="shared" si="168"/>
        <v>-16683.411214741289</v>
      </c>
      <c r="Q508" s="434">
        <f t="shared" si="168"/>
        <v>-1869.7657064924572</v>
      </c>
      <c r="R508" s="434">
        <f t="shared" si="168"/>
        <v>-884.35873424293266</v>
      </c>
      <c r="S508" s="434">
        <f t="shared" si="168"/>
        <v>-2065.0303449551825</v>
      </c>
      <c r="T508" s="897"/>
      <c r="U508" s="118">
        <f t="shared" si="169"/>
        <v>-2888676.0400000005</v>
      </c>
      <c r="V508" s="67"/>
      <c r="W508" s="370">
        <f t="shared" si="173" ref="W508:W591">U508-F508</f>
        <v>0</v>
      </c>
    </row>
    <row r="509" spans="1:23" ht="18" customHeight="1">
      <c r="A509" s="47"/>
      <c r="B509" s="17">
        <f t="shared" si="166"/>
        <v>10</v>
      </c>
      <c r="C509" s="43">
        <v>182</v>
      </c>
      <c r="D509" s="43" t="s">
        <v>137</v>
      </c>
      <c r="E509" s="897"/>
      <c r="F509" s="118">
        <f>' WP II-I-1.4'!H509</f>
        <v>2741478.0499999998</v>
      </c>
      <c r="G509" s="358">
        <v>37</v>
      </c>
      <c r="H509" s="47" t="str">
        <f t="shared" si="167"/>
        <v>OPEB TOTAL</v>
      </c>
      <c r="I509" s="897"/>
      <c r="J509" s="434">
        <f t="shared" si="168"/>
        <v>1528687.026019769</v>
      </c>
      <c r="K509" s="434">
        <f t="shared" si="168"/>
        <v>235606.34426300033</v>
      </c>
      <c r="L509" s="434">
        <f t="shared" si="168"/>
        <v>726463.59911061951</v>
      </c>
      <c r="M509" s="434">
        <f t="shared" si="168"/>
        <v>10200.605277821644</v>
      </c>
      <c r="N509" s="434">
        <f t="shared" si="168"/>
        <v>212839.48191444576</v>
      </c>
      <c r="O509" s="434">
        <f t="shared" si="168"/>
        <v>7274.1316227871239</v>
      </c>
      <c r="P509" s="434">
        <f t="shared" si="168"/>
        <v>15833.276217549501</v>
      </c>
      <c r="Q509" s="434">
        <f t="shared" si="168"/>
        <v>1774.4882333679113</v>
      </c>
      <c r="R509" s="434">
        <f t="shared" si="168"/>
        <v>839.29455040336848</v>
      </c>
      <c r="S509" s="434">
        <f t="shared" si="168"/>
        <v>1959.8027902355434</v>
      </c>
      <c r="T509" s="897"/>
      <c r="U509" s="118">
        <f t="shared" si="169"/>
        <v>2741478.0499999998</v>
      </c>
      <c r="V509" s="67"/>
      <c r="W509" s="370">
        <f t="shared" si="173"/>
        <v>0</v>
      </c>
    </row>
    <row r="510" spans="1:23" ht="18" customHeight="1">
      <c r="A510" s="47"/>
      <c r="B510" s="17">
        <f t="shared" si="166"/>
        <v>11</v>
      </c>
      <c r="C510" s="43">
        <v>182</v>
      </c>
      <c r="D510" s="43" t="s">
        <v>1360</v>
      </c>
      <c r="E510" s="897"/>
      <c r="F510" s="118">
        <f>' WP II-I-1.4'!H510</f>
        <v>0</v>
      </c>
      <c r="G510" s="358">
        <v>37</v>
      </c>
      <c r="H510" s="47" t="str">
        <f t="shared" si="167"/>
        <v>OPEB TOTAL</v>
      </c>
      <c r="I510" s="897"/>
      <c r="J510" s="434">
        <f t="shared" si="168"/>
        <v>0</v>
      </c>
      <c r="K510" s="434">
        <f t="shared" si="168"/>
        <v>0</v>
      </c>
      <c r="L510" s="434">
        <f t="shared" si="168"/>
        <v>0</v>
      </c>
      <c r="M510" s="434">
        <f t="shared" si="168"/>
        <v>0</v>
      </c>
      <c r="N510" s="434">
        <f t="shared" si="168"/>
        <v>0</v>
      </c>
      <c r="O510" s="434">
        <f t="shared" si="168"/>
        <v>0</v>
      </c>
      <c r="P510" s="434">
        <f t="shared" si="168"/>
        <v>0</v>
      </c>
      <c r="Q510" s="434">
        <f t="shared" si="168"/>
        <v>0</v>
      </c>
      <c r="R510" s="434">
        <f t="shared" si="168"/>
        <v>0</v>
      </c>
      <c r="S510" s="434">
        <f t="shared" si="168"/>
        <v>0</v>
      </c>
      <c r="T510" s="897"/>
      <c r="U510" s="118">
        <f t="shared" si="174" ref="U510:U535">SUM(I510:T510)</f>
        <v>0</v>
      </c>
      <c r="V510" s="67"/>
      <c r="W510" s="370">
        <f t="shared" si="173"/>
        <v>0</v>
      </c>
    </row>
    <row r="511" spans="1:23" ht="18" customHeight="1">
      <c r="A511" s="47"/>
      <c r="B511" s="17">
        <f t="shared" si="166"/>
        <v>12</v>
      </c>
      <c r="C511" s="43">
        <v>182</v>
      </c>
      <c r="D511" s="43" t="s">
        <v>1361</v>
      </c>
      <c r="E511" s="263"/>
      <c r="F511" s="118">
        <f>' WP II-I-1.4'!H511</f>
        <v>0</v>
      </c>
      <c r="G511" s="358">
        <v>64</v>
      </c>
      <c r="H511" s="47" t="str">
        <f t="shared" si="167"/>
        <v>PLANT</v>
      </c>
      <c r="I511" s="263"/>
      <c r="J511" s="434">
        <f t="shared" si="168"/>
        <v>0</v>
      </c>
      <c r="K511" s="434">
        <f t="shared" si="168"/>
        <v>0</v>
      </c>
      <c r="L511" s="434">
        <f t="shared" si="168"/>
        <v>0</v>
      </c>
      <c r="M511" s="434">
        <f t="shared" si="168"/>
        <v>0</v>
      </c>
      <c r="N511" s="434">
        <f t="shared" si="168"/>
        <v>0</v>
      </c>
      <c r="O511" s="434">
        <f t="shared" si="168"/>
        <v>0</v>
      </c>
      <c r="P511" s="434">
        <f t="shared" si="168"/>
        <v>0</v>
      </c>
      <c r="Q511" s="434">
        <f t="shared" si="168"/>
        <v>0</v>
      </c>
      <c r="R511" s="434">
        <f t="shared" si="168"/>
        <v>0</v>
      </c>
      <c r="S511" s="434">
        <f t="shared" si="168"/>
        <v>0</v>
      </c>
      <c r="T511" s="263"/>
      <c r="U511" s="118">
        <f t="shared" si="174"/>
        <v>0</v>
      </c>
      <c r="V511" s="67"/>
      <c r="W511" s="370">
        <f t="shared" si="173"/>
        <v>0</v>
      </c>
    </row>
    <row r="512" spans="1:23" ht="18" customHeight="1">
      <c r="A512" s="47"/>
      <c r="B512" s="17">
        <f t="shared" si="166"/>
        <v>13</v>
      </c>
      <c r="C512" s="691">
        <v>182</v>
      </c>
      <c r="D512" s="691" t="s">
        <v>1362</v>
      </c>
      <c r="E512" s="897"/>
      <c r="F512" s="118">
        <f>' WP II-I-1.4'!H512</f>
        <v>0</v>
      </c>
      <c r="G512" s="358">
        <v>37</v>
      </c>
      <c r="H512" s="47" t="str">
        <f t="shared" si="167"/>
        <v>OPEB TOTAL</v>
      </c>
      <c r="I512" s="897"/>
      <c r="J512" s="434">
        <f t="shared" si="168"/>
        <v>0</v>
      </c>
      <c r="K512" s="434">
        <f t="shared" si="168"/>
        <v>0</v>
      </c>
      <c r="L512" s="434">
        <f t="shared" si="168"/>
        <v>0</v>
      </c>
      <c r="M512" s="434">
        <f t="shared" si="168"/>
        <v>0</v>
      </c>
      <c r="N512" s="434">
        <f t="shared" si="168"/>
        <v>0</v>
      </c>
      <c r="O512" s="434">
        <f t="shared" si="168"/>
        <v>0</v>
      </c>
      <c r="P512" s="434">
        <f t="shared" si="168"/>
        <v>0</v>
      </c>
      <c r="Q512" s="434">
        <f t="shared" si="168"/>
        <v>0</v>
      </c>
      <c r="R512" s="434">
        <f t="shared" si="168"/>
        <v>0</v>
      </c>
      <c r="S512" s="434">
        <f t="shared" si="168"/>
        <v>0</v>
      </c>
      <c r="T512" s="897"/>
      <c r="U512" s="118">
        <f t="shared" si="174"/>
        <v>0</v>
      </c>
      <c r="V512" s="67"/>
      <c r="W512" s="370">
        <f t="shared" si="173"/>
        <v>0</v>
      </c>
    </row>
    <row r="513" spans="1:23" ht="18" customHeight="1">
      <c r="A513" s="47"/>
      <c r="B513" s="17">
        <f t="shared" si="166"/>
        <v>14</v>
      </c>
      <c r="C513" s="43">
        <v>186</v>
      </c>
      <c r="D513" s="43" t="s">
        <v>1335</v>
      </c>
      <c r="E513" s="897"/>
      <c r="F513" s="118">
        <f>' WP II-I-1.4'!H513</f>
        <v>80079.689999999973</v>
      </c>
      <c r="G513" s="358">
        <v>51</v>
      </c>
      <c r="H513" s="47" t="str">
        <f t="shared" si="167"/>
        <v>PLT 370</v>
      </c>
      <c r="I513" s="897"/>
      <c r="J513" s="434">
        <f t="shared" si="175" ref="J513:S522">$F513*HLOOKUP(J$1318,FactorTable,$G513+1)</f>
        <v>44644.812737457687</v>
      </c>
      <c r="K513" s="434">
        <f t="shared" si="175"/>
        <v>6883.0803943137598</v>
      </c>
      <c r="L513" s="434">
        <f t="shared" si="175"/>
        <v>21231.099584379248</v>
      </c>
      <c r="M513" s="434">
        <f t="shared" si="175"/>
        <v>298.11687438908621</v>
      </c>
      <c r="N513" s="434">
        <f t="shared" si="175"/>
        <v>6220.8961017595602</v>
      </c>
      <c r="O513" s="434">
        <f t="shared" si="175"/>
        <v>212.58671943048182</v>
      </c>
      <c r="P513" s="434">
        <f t="shared" si="175"/>
        <v>462.78493537558728</v>
      </c>
      <c r="Q513" s="434">
        <f t="shared" si="175"/>
        <v>44.50293579243889</v>
      </c>
      <c r="R513" s="434">
        <f t="shared" si="175"/>
        <v>24.529236857363287</v>
      </c>
      <c r="S513" s="434">
        <f t="shared" si="175"/>
        <v>57.280480244746023</v>
      </c>
      <c r="T513" s="897"/>
      <c r="U513" s="118">
        <f t="shared" si="174"/>
        <v>80079.689999999959</v>
      </c>
      <c r="V513" s="67"/>
      <c r="W513" s="370">
        <f t="shared" si="173"/>
        <v>0</v>
      </c>
    </row>
    <row r="514" spans="1:23" ht="18" customHeight="1">
      <c r="A514" s="47"/>
      <c r="B514" s="17">
        <f t="shared" si="166"/>
        <v>15</v>
      </c>
      <c r="C514" s="43">
        <v>186</v>
      </c>
      <c r="D514" s="43" t="s">
        <v>1216</v>
      </c>
      <c r="E514" s="897"/>
      <c r="F514" s="118">
        <f>' WP II-I-1.4'!H514</f>
        <v>0</v>
      </c>
      <c r="G514" s="358">
        <v>51</v>
      </c>
      <c r="H514" s="47" t="str">
        <f t="shared" si="167"/>
        <v>PLT 370</v>
      </c>
      <c r="I514" s="897"/>
      <c r="J514" s="434">
        <f t="shared" si="175"/>
        <v>0</v>
      </c>
      <c r="K514" s="434">
        <f t="shared" si="175"/>
        <v>0</v>
      </c>
      <c r="L514" s="434">
        <f t="shared" si="175"/>
        <v>0</v>
      </c>
      <c r="M514" s="434">
        <f t="shared" si="175"/>
        <v>0</v>
      </c>
      <c r="N514" s="434">
        <f t="shared" si="175"/>
        <v>0</v>
      </c>
      <c r="O514" s="434">
        <f t="shared" si="175"/>
        <v>0</v>
      </c>
      <c r="P514" s="434">
        <f t="shared" si="175"/>
        <v>0</v>
      </c>
      <c r="Q514" s="434">
        <f t="shared" si="175"/>
        <v>0</v>
      </c>
      <c r="R514" s="434">
        <f t="shared" si="175"/>
        <v>0</v>
      </c>
      <c r="S514" s="434">
        <f t="shared" si="175"/>
        <v>0</v>
      </c>
      <c r="T514" s="897"/>
      <c r="U514" s="118">
        <f t="shared" si="174"/>
        <v>0</v>
      </c>
      <c r="V514" s="67"/>
      <c r="W514" s="370">
        <f t="shared" si="173"/>
        <v>0</v>
      </c>
    </row>
    <row r="515" spans="1:23" ht="18" customHeight="1">
      <c r="A515" s="47"/>
      <c r="B515" s="17">
        <f t="shared" si="166"/>
        <v>16</v>
      </c>
      <c r="C515" s="43">
        <v>186</v>
      </c>
      <c r="D515" s="43" t="s">
        <v>1217</v>
      </c>
      <c r="E515" s="897"/>
      <c r="F515" s="118">
        <f>' WP II-I-1.4'!H515</f>
        <v>0</v>
      </c>
      <c r="G515" s="358">
        <v>51</v>
      </c>
      <c r="H515" s="47" t="str">
        <f t="shared" si="167"/>
        <v>PLT 370</v>
      </c>
      <c r="I515" s="897"/>
      <c r="J515" s="434">
        <f t="shared" si="175"/>
        <v>0</v>
      </c>
      <c r="K515" s="434">
        <f t="shared" si="175"/>
        <v>0</v>
      </c>
      <c r="L515" s="434">
        <f t="shared" si="175"/>
        <v>0</v>
      </c>
      <c r="M515" s="434">
        <f t="shared" si="175"/>
        <v>0</v>
      </c>
      <c r="N515" s="434">
        <f t="shared" si="175"/>
        <v>0</v>
      </c>
      <c r="O515" s="434">
        <f t="shared" si="175"/>
        <v>0</v>
      </c>
      <c r="P515" s="434">
        <f t="shared" si="175"/>
        <v>0</v>
      </c>
      <c r="Q515" s="434">
        <f t="shared" si="175"/>
        <v>0</v>
      </c>
      <c r="R515" s="434">
        <f t="shared" si="175"/>
        <v>0</v>
      </c>
      <c r="S515" s="434">
        <f t="shared" si="175"/>
        <v>0</v>
      </c>
      <c r="T515" s="897"/>
      <c r="U515" s="118">
        <f t="shared" si="174"/>
        <v>0</v>
      </c>
      <c r="V515" s="67"/>
      <c r="W515" s="370">
        <f t="shared" si="173"/>
        <v>0</v>
      </c>
    </row>
    <row r="516" spans="1:23" ht="18" customHeight="1">
      <c r="A516" s="47"/>
      <c r="B516" s="17">
        <f t="shared" si="166"/>
        <v>17</v>
      </c>
      <c r="C516" s="43">
        <v>186</v>
      </c>
      <c r="D516" s="43" t="s">
        <v>1218</v>
      </c>
      <c r="E516" s="897"/>
      <c r="F516" s="118">
        <f>' WP II-I-1.4'!H516</f>
        <v>0</v>
      </c>
      <c r="G516" s="358">
        <v>51</v>
      </c>
      <c r="H516" s="47" t="str">
        <f t="shared" si="167"/>
        <v>PLT 370</v>
      </c>
      <c r="I516" s="897"/>
      <c r="J516" s="434">
        <f t="shared" si="175"/>
        <v>0</v>
      </c>
      <c r="K516" s="434">
        <f t="shared" si="175"/>
        <v>0</v>
      </c>
      <c r="L516" s="434">
        <f t="shared" si="175"/>
        <v>0</v>
      </c>
      <c r="M516" s="434">
        <f t="shared" si="175"/>
        <v>0</v>
      </c>
      <c r="N516" s="434">
        <f t="shared" si="175"/>
        <v>0</v>
      </c>
      <c r="O516" s="434">
        <f t="shared" si="175"/>
        <v>0</v>
      </c>
      <c r="P516" s="434">
        <f t="shared" si="175"/>
        <v>0</v>
      </c>
      <c r="Q516" s="434">
        <f t="shared" si="175"/>
        <v>0</v>
      </c>
      <c r="R516" s="434">
        <f t="shared" si="175"/>
        <v>0</v>
      </c>
      <c r="S516" s="434">
        <f t="shared" si="175"/>
        <v>0</v>
      </c>
      <c r="T516" s="897"/>
      <c r="U516" s="118">
        <f t="shared" si="174"/>
        <v>0</v>
      </c>
      <c r="V516" s="67"/>
      <c r="W516" s="370">
        <f t="shared" si="173"/>
        <v>0</v>
      </c>
    </row>
    <row r="517" spans="1:23" ht="18" customHeight="1">
      <c r="A517" s="47"/>
      <c r="B517" s="17">
        <f t="shared" si="166"/>
        <v>18</v>
      </c>
      <c r="C517" s="43">
        <v>186</v>
      </c>
      <c r="D517" s="43" t="s">
        <v>1219</v>
      </c>
      <c r="E517" s="897"/>
      <c r="F517" s="118">
        <f>' WP II-I-1.4'!H517</f>
        <v>0</v>
      </c>
      <c r="G517" s="358">
        <v>64</v>
      </c>
      <c r="H517" s="47" t="str">
        <f t="shared" si="167"/>
        <v>PLANT</v>
      </c>
      <c r="I517" s="897"/>
      <c r="J517" s="434">
        <f t="shared" si="175"/>
        <v>0</v>
      </c>
      <c r="K517" s="434">
        <f t="shared" si="175"/>
        <v>0</v>
      </c>
      <c r="L517" s="434">
        <f t="shared" si="175"/>
        <v>0</v>
      </c>
      <c r="M517" s="434">
        <f t="shared" si="175"/>
        <v>0</v>
      </c>
      <c r="N517" s="434">
        <f t="shared" si="175"/>
        <v>0</v>
      </c>
      <c r="O517" s="434">
        <f t="shared" si="175"/>
        <v>0</v>
      </c>
      <c r="P517" s="434">
        <f t="shared" si="175"/>
        <v>0</v>
      </c>
      <c r="Q517" s="434">
        <f t="shared" si="175"/>
        <v>0</v>
      </c>
      <c r="R517" s="434">
        <f t="shared" si="175"/>
        <v>0</v>
      </c>
      <c r="S517" s="434">
        <f t="shared" si="175"/>
        <v>0</v>
      </c>
      <c r="T517" s="897"/>
      <c r="U517" s="118">
        <f t="shared" si="174"/>
        <v>0</v>
      </c>
      <c r="V517" s="67"/>
      <c r="W517" s="370">
        <f t="shared" si="173"/>
        <v>0</v>
      </c>
    </row>
    <row r="518" spans="1:23" ht="18" customHeight="1">
      <c r="A518" s="47"/>
      <c r="B518" s="17">
        <f t="shared" si="166"/>
        <v>19</v>
      </c>
      <c r="C518" s="43">
        <v>186</v>
      </c>
      <c r="D518" s="43" t="s">
        <v>1363</v>
      </c>
      <c r="E518" s="897"/>
      <c r="F518" s="118">
        <f>' WP II-I-1.4'!H518</f>
        <v>0</v>
      </c>
      <c r="G518" s="358">
        <v>64</v>
      </c>
      <c r="H518" s="47" t="str">
        <f t="shared" si="167"/>
        <v>PLANT</v>
      </c>
      <c r="I518" s="897"/>
      <c r="J518" s="434">
        <f t="shared" si="175"/>
        <v>0</v>
      </c>
      <c r="K518" s="434">
        <f t="shared" si="175"/>
        <v>0</v>
      </c>
      <c r="L518" s="434">
        <f t="shared" si="175"/>
        <v>0</v>
      </c>
      <c r="M518" s="434">
        <f t="shared" si="175"/>
        <v>0</v>
      </c>
      <c r="N518" s="434">
        <f t="shared" si="175"/>
        <v>0</v>
      </c>
      <c r="O518" s="434">
        <f t="shared" si="175"/>
        <v>0</v>
      </c>
      <c r="P518" s="434">
        <f t="shared" si="175"/>
        <v>0</v>
      </c>
      <c r="Q518" s="434">
        <f t="shared" si="175"/>
        <v>0</v>
      </c>
      <c r="R518" s="434">
        <f t="shared" si="175"/>
        <v>0</v>
      </c>
      <c r="S518" s="434">
        <f t="shared" si="175"/>
        <v>0</v>
      </c>
      <c r="T518" s="897"/>
      <c r="U518" s="118">
        <f t="shared" si="174"/>
        <v>0</v>
      </c>
      <c r="V518" s="67"/>
      <c r="W518" s="370">
        <f t="shared" si="173"/>
        <v>0</v>
      </c>
    </row>
    <row r="519" spans="1:23" ht="18" customHeight="1">
      <c r="A519" s="47"/>
      <c r="B519" s="17">
        <f t="shared" si="166"/>
        <v>20</v>
      </c>
      <c r="C519" s="702">
        <v>186</v>
      </c>
      <c r="D519" s="691" t="s">
        <v>1364</v>
      </c>
      <c r="E519" s="263"/>
      <c r="F519" s="118">
        <f>' WP II-I-1.4'!H519</f>
        <v>0</v>
      </c>
      <c r="G519" s="358">
        <v>64</v>
      </c>
      <c r="H519" s="47" t="str">
        <f t="shared" si="167"/>
        <v>PLANT</v>
      </c>
      <c r="I519" s="263"/>
      <c r="J519" s="434">
        <f t="shared" si="175"/>
        <v>0</v>
      </c>
      <c r="K519" s="434">
        <f t="shared" si="175"/>
        <v>0</v>
      </c>
      <c r="L519" s="434">
        <f t="shared" si="175"/>
        <v>0</v>
      </c>
      <c r="M519" s="434">
        <f t="shared" si="175"/>
        <v>0</v>
      </c>
      <c r="N519" s="434">
        <f t="shared" si="175"/>
        <v>0</v>
      </c>
      <c r="O519" s="434">
        <f t="shared" si="175"/>
        <v>0</v>
      </c>
      <c r="P519" s="434">
        <f t="shared" si="175"/>
        <v>0</v>
      </c>
      <c r="Q519" s="434">
        <f t="shared" si="175"/>
        <v>0</v>
      </c>
      <c r="R519" s="434">
        <f t="shared" si="175"/>
        <v>0</v>
      </c>
      <c r="S519" s="434">
        <f t="shared" si="175"/>
        <v>0</v>
      </c>
      <c r="T519" s="263"/>
      <c r="U519" s="118">
        <f t="shared" si="174"/>
        <v>0</v>
      </c>
      <c r="V519" s="67"/>
      <c r="W519" s="370">
        <f t="shared" si="173"/>
        <v>0</v>
      </c>
    </row>
    <row r="520" spans="1:23" ht="18" customHeight="1">
      <c r="A520" s="47"/>
      <c r="B520" s="17">
        <f t="shared" si="166"/>
        <v>21</v>
      </c>
      <c r="C520" s="43">
        <v>186</v>
      </c>
      <c r="D520" s="43" t="s">
        <v>1221</v>
      </c>
      <c r="E520" s="263"/>
      <c r="F520" s="118">
        <f>' WP II-I-1.4'!H520</f>
        <v>0</v>
      </c>
      <c r="G520" s="358">
        <v>64</v>
      </c>
      <c r="H520" s="47" t="str">
        <f t="shared" si="167"/>
        <v>PLANT</v>
      </c>
      <c r="I520" s="263"/>
      <c r="J520" s="434">
        <f t="shared" si="175"/>
        <v>0</v>
      </c>
      <c r="K520" s="434">
        <f t="shared" si="175"/>
        <v>0</v>
      </c>
      <c r="L520" s="434">
        <f t="shared" si="175"/>
        <v>0</v>
      </c>
      <c r="M520" s="434">
        <f t="shared" si="175"/>
        <v>0</v>
      </c>
      <c r="N520" s="434">
        <f t="shared" si="175"/>
        <v>0</v>
      </c>
      <c r="O520" s="434">
        <f t="shared" si="175"/>
        <v>0</v>
      </c>
      <c r="P520" s="434">
        <f t="shared" si="175"/>
        <v>0</v>
      </c>
      <c r="Q520" s="434">
        <f t="shared" si="175"/>
        <v>0</v>
      </c>
      <c r="R520" s="434">
        <f t="shared" si="175"/>
        <v>0</v>
      </c>
      <c r="S520" s="434">
        <f t="shared" si="175"/>
        <v>0</v>
      </c>
      <c r="T520" s="263"/>
      <c r="U520" s="118">
        <f t="shared" si="174"/>
        <v>0</v>
      </c>
      <c r="V520" s="67"/>
      <c r="W520" s="370">
        <f t="shared" si="173"/>
        <v>0</v>
      </c>
    </row>
    <row r="521" spans="1:23" ht="18" customHeight="1">
      <c r="A521" s="47"/>
      <c r="B521" s="17">
        <f t="shared" si="166"/>
        <v>22</v>
      </c>
      <c r="C521" s="43">
        <v>186</v>
      </c>
      <c r="D521" s="43" t="s">
        <v>1222</v>
      </c>
      <c r="E521" s="897"/>
      <c r="F521" s="118">
        <f>' WP II-I-1.4'!H521</f>
        <v>0</v>
      </c>
      <c r="G521" s="358">
        <v>64</v>
      </c>
      <c r="H521" s="47" t="str">
        <f t="shared" si="167"/>
        <v>PLANT</v>
      </c>
      <c r="I521" s="897"/>
      <c r="J521" s="434">
        <f t="shared" si="175"/>
        <v>0</v>
      </c>
      <c r="K521" s="434">
        <f t="shared" si="175"/>
        <v>0</v>
      </c>
      <c r="L521" s="434">
        <f t="shared" si="175"/>
        <v>0</v>
      </c>
      <c r="M521" s="434">
        <f t="shared" si="175"/>
        <v>0</v>
      </c>
      <c r="N521" s="434">
        <f t="shared" si="175"/>
        <v>0</v>
      </c>
      <c r="O521" s="434">
        <f t="shared" si="175"/>
        <v>0</v>
      </c>
      <c r="P521" s="434">
        <f t="shared" si="175"/>
        <v>0</v>
      </c>
      <c r="Q521" s="434">
        <f t="shared" si="175"/>
        <v>0</v>
      </c>
      <c r="R521" s="434">
        <f t="shared" si="175"/>
        <v>0</v>
      </c>
      <c r="S521" s="434">
        <f t="shared" si="175"/>
        <v>0</v>
      </c>
      <c r="T521" s="897"/>
      <c r="U521" s="118">
        <f t="shared" si="174"/>
        <v>0</v>
      </c>
      <c r="V521" s="67"/>
      <c r="W521" s="370">
        <f t="shared" si="173"/>
        <v>0</v>
      </c>
    </row>
    <row r="522" spans="1:23" ht="18" customHeight="1">
      <c r="A522" s="47"/>
      <c r="B522" s="17">
        <f t="shared" si="166"/>
        <v>23</v>
      </c>
      <c r="C522" s="43">
        <v>182</v>
      </c>
      <c r="D522" s="43" t="s">
        <v>1223</v>
      </c>
      <c r="E522" s="897"/>
      <c r="F522" s="118">
        <f>' WP II-I-1.4'!H522</f>
        <v>0</v>
      </c>
      <c r="G522" s="358">
        <v>64</v>
      </c>
      <c r="H522" s="47" t="str">
        <f t="shared" si="167"/>
        <v>PLANT</v>
      </c>
      <c r="I522" s="897"/>
      <c r="J522" s="434">
        <f t="shared" si="175"/>
        <v>0</v>
      </c>
      <c r="K522" s="434">
        <f t="shared" si="175"/>
        <v>0</v>
      </c>
      <c r="L522" s="434">
        <f t="shared" si="175"/>
        <v>0</v>
      </c>
      <c r="M522" s="434">
        <f t="shared" si="175"/>
        <v>0</v>
      </c>
      <c r="N522" s="434">
        <f t="shared" si="175"/>
        <v>0</v>
      </c>
      <c r="O522" s="434">
        <f t="shared" si="175"/>
        <v>0</v>
      </c>
      <c r="P522" s="434">
        <f t="shared" si="175"/>
        <v>0</v>
      </c>
      <c r="Q522" s="434">
        <f t="shared" si="175"/>
        <v>0</v>
      </c>
      <c r="R522" s="434">
        <f t="shared" si="175"/>
        <v>0</v>
      </c>
      <c r="S522" s="434">
        <f t="shared" si="175"/>
        <v>0</v>
      </c>
      <c r="T522" s="897"/>
      <c r="U522" s="118">
        <f t="shared" si="174"/>
        <v>0</v>
      </c>
      <c r="V522" s="67"/>
      <c r="W522" s="370">
        <f t="shared" si="173"/>
        <v>0</v>
      </c>
    </row>
    <row r="523" spans="1:23" ht="18" customHeight="1">
      <c r="A523" s="47"/>
      <c r="B523" s="17">
        <f t="shared" si="166"/>
        <v>24</v>
      </c>
      <c r="C523" s="43">
        <v>182</v>
      </c>
      <c r="D523" s="43" t="s">
        <v>1224</v>
      </c>
      <c r="E523" s="897"/>
      <c r="F523" s="118">
        <f>' WP II-I-1.4'!H523</f>
        <v>0</v>
      </c>
      <c r="G523" s="358">
        <v>64</v>
      </c>
      <c r="H523" s="47" t="str">
        <f t="shared" si="167"/>
        <v>PLANT</v>
      </c>
      <c r="I523" s="897"/>
      <c r="J523" s="434">
        <f t="shared" si="176" ref="J523:S534">$F523*HLOOKUP(J$1318,FactorTable,$G523+1)</f>
        <v>0</v>
      </c>
      <c r="K523" s="434">
        <f t="shared" si="176"/>
        <v>0</v>
      </c>
      <c r="L523" s="434">
        <f t="shared" si="176"/>
        <v>0</v>
      </c>
      <c r="M523" s="434">
        <f t="shared" si="176"/>
        <v>0</v>
      </c>
      <c r="N523" s="434">
        <f t="shared" si="176"/>
        <v>0</v>
      </c>
      <c r="O523" s="434">
        <f t="shared" si="176"/>
        <v>0</v>
      </c>
      <c r="P523" s="434">
        <f t="shared" si="176"/>
        <v>0</v>
      </c>
      <c r="Q523" s="434">
        <f t="shared" si="176"/>
        <v>0</v>
      </c>
      <c r="R523" s="434">
        <f t="shared" si="176"/>
        <v>0</v>
      </c>
      <c r="S523" s="434">
        <f t="shared" si="176"/>
        <v>0</v>
      </c>
      <c r="T523" s="897"/>
      <c r="U523" s="118">
        <f t="shared" si="177" ref="U523:U532">SUM(I523:T523)</f>
        <v>0</v>
      </c>
      <c r="V523" s="67"/>
      <c r="W523" s="370">
        <f t="shared" si="178" ref="W523:W532">U523-F523</f>
        <v>0</v>
      </c>
    </row>
    <row r="524" spans="1:23" ht="18" customHeight="1">
      <c r="A524" s="47"/>
      <c r="B524" s="17">
        <f t="shared" si="166"/>
        <v>25</v>
      </c>
      <c r="C524" s="43">
        <v>182</v>
      </c>
      <c r="D524" s="43" t="s">
        <v>1225</v>
      </c>
      <c r="E524" s="897"/>
      <c r="F524" s="118">
        <f>' WP II-I-1.4'!H524</f>
        <v>0</v>
      </c>
      <c r="G524" s="358">
        <v>64</v>
      </c>
      <c r="H524" s="47" t="str">
        <f t="shared" si="167"/>
        <v>PLANT</v>
      </c>
      <c r="I524" s="897"/>
      <c r="J524" s="434">
        <f t="shared" si="176"/>
        <v>0</v>
      </c>
      <c r="K524" s="434">
        <f t="shared" si="176"/>
        <v>0</v>
      </c>
      <c r="L524" s="434">
        <f t="shared" si="176"/>
        <v>0</v>
      </c>
      <c r="M524" s="434">
        <f t="shared" si="176"/>
        <v>0</v>
      </c>
      <c r="N524" s="434">
        <f t="shared" si="176"/>
        <v>0</v>
      </c>
      <c r="O524" s="434">
        <f t="shared" si="176"/>
        <v>0</v>
      </c>
      <c r="P524" s="434">
        <f t="shared" si="176"/>
        <v>0</v>
      </c>
      <c r="Q524" s="434">
        <f t="shared" si="176"/>
        <v>0</v>
      </c>
      <c r="R524" s="434">
        <f t="shared" si="176"/>
        <v>0</v>
      </c>
      <c r="S524" s="434">
        <f t="shared" si="176"/>
        <v>0</v>
      </c>
      <c r="T524" s="897"/>
      <c r="U524" s="118">
        <f t="shared" si="177"/>
        <v>0</v>
      </c>
      <c r="V524" s="67"/>
      <c r="W524" s="370">
        <f t="shared" si="178"/>
        <v>0</v>
      </c>
    </row>
    <row r="525" spans="1:23" ht="18" customHeight="1">
      <c r="A525" s="47"/>
      <c r="B525" s="17">
        <f t="shared" si="166"/>
        <v>26</v>
      </c>
      <c r="C525" s="43">
        <v>182</v>
      </c>
      <c r="D525" s="43" t="s">
        <v>1226</v>
      </c>
      <c r="E525" s="897"/>
      <c r="F525" s="118">
        <f>' WP II-I-1.4'!H525</f>
        <v>0</v>
      </c>
      <c r="G525" s="358">
        <v>64</v>
      </c>
      <c r="H525" s="47" t="str">
        <f t="shared" si="167"/>
        <v>PLANT</v>
      </c>
      <c r="I525" s="897"/>
      <c r="J525" s="434">
        <f t="shared" si="176"/>
        <v>0</v>
      </c>
      <c r="K525" s="434">
        <f t="shared" si="176"/>
        <v>0</v>
      </c>
      <c r="L525" s="434">
        <f t="shared" si="176"/>
        <v>0</v>
      </c>
      <c r="M525" s="434">
        <f t="shared" si="176"/>
        <v>0</v>
      </c>
      <c r="N525" s="434">
        <f t="shared" si="176"/>
        <v>0</v>
      </c>
      <c r="O525" s="434">
        <f t="shared" si="176"/>
        <v>0</v>
      </c>
      <c r="P525" s="434">
        <f t="shared" si="176"/>
        <v>0</v>
      </c>
      <c r="Q525" s="434">
        <f t="shared" si="176"/>
        <v>0</v>
      </c>
      <c r="R525" s="434">
        <f t="shared" si="176"/>
        <v>0</v>
      </c>
      <c r="S525" s="434">
        <f t="shared" si="176"/>
        <v>0</v>
      </c>
      <c r="T525" s="897"/>
      <c r="U525" s="118">
        <f t="shared" si="177"/>
        <v>0</v>
      </c>
      <c r="V525" s="67"/>
      <c r="W525" s="370">
        <f t="shared" si="178"/>
        <v>0</v>
      </c>
    </row>
    <row r="526" spans="1:23" ht="18" customHeight="1">
      <c r="A526" s="47"/>
      <c r="B526" s="17">
        <f t="shared" si="166"/>
        <v>27</v>
      </c>
      <c r="C526" s="43">
        <v>182</v>
      </c>
      <c r="D526" s="43" t="s">
        <v>992</v>
      </c>
      <c r="E526" s="897"/>
      <c r="F526" s="118">
        <f>' WP II-I-1.4'!H526</f>
        <v>0</v>
      </c>
      <c r="G526" s="358">
        <v>64</v>
      </c>
      <c r="H526" s="47" t="str">
        <f t="shared" si="167"/>
        <v>PLANT</v>
      </c>
      <c r="I526" s="897"/>
      <c r="J526" s="434">
        <f t="shared" si="176"/>
        <v>0</v>
      </c>
      <c r="K526" s="434">
        <f t="shared" si="176"/>
        <v>0</v>
      </c>
      <c r="L526" s="434">
        <f t="shared" si="176"/>
        <v>0</v>
      </c>
      <c r="M526" s="434">
        <f t="shared" si="176"/>
        <v>0</v>
      </c>
      <c r="N526" s="434">
        <f t="shared" si="176"/>
        <v>0</v>
      </c>
      <c r="O526" s="434">
        <f t="shared" si="176"/>
        <v>0</v>
      </c>
      <c r="P526" s="434">
        <f t="shared" si="176"/>
        <v>0</v>
      </c>
      <c r="Q526" s="434">
        <f t="shared" si="176"/>
        <v>0</v>
      </c>
      <c r="R526" s="434">
        <f t="shared" si="176"/>
        <v>0</v>
      </c>
      <c r="S526" s="434">
        <f t="shared" si="176"/>
        <v>0</v>
      </c>
      <c r="T526" s="897"/>
      <c r="U526" s="118">
        <f t="shared" si="177"/>
        <v>0</v>
      </c>
      <c r="V526" s="67"/>
      <c r="W526" s="370">
        <f t="shared" si="178"/>
        <v>0</v>
      </c>
    </row>
    <row r="527" spans="1:23" ht="18" customHeight="1">
      <c r="A527" s="47"/>
      <c r="B527" s="17">
        <f t="shared" si="166"/>
        <v>28</v>
      </c>
      <c r="C527" s="43">
        <v>182</v>
      </c>
      <c r="D527" s="43" t="s">
        <v>993</v>
      </c>
      <c r="E527" s="897"/>
      <c r="F527" s="118">
        <f>' WP II-I-1.4'!H527</f>
        <v>59200.770000000004</v>
      </c>
      <c r="G527" s="358">
        <v>51</v>
      </c>
      <c r="H527" s="47" t="str">
        <f t="shared" si="167"/>
        <v>PLT 370</v>
      </c>
      <c r="I527" s="897"/>
      <c r="J527" s="434">
        <f t="shared" si="176"/>
        <v>33004.714310998257</v>
      </c>
      <c r="K527" s="434">
        <f t="shared" si="176"/>
        <v>5088.4769823069792</v>
      </c>
      <c r="L527" s="434">
        <f t="shared" si="176"/>
        <v>15695.583278880475</v>
      </c>
      <c r="M527" s="434">
        <f t="shared" si="176"/>
        <v>220.38982061278196</v>
      </c>
      <c r="N527" s="434">
        <f t="shared" si="176"/>
        <v>4598.9418704563477</v>
      </c>
      <c r="O527" s="434">
        <f t="shared" si="176"/>
        <v>157.15966785159245</v>
      </c>
      <c r="P527" s="434">
        <f t="shared" si="176"/>
        <v>342.12450770769738</v>
      </c>
      <c r="Q527" s="434">
        <f t="shared" si="176"/>
        <v>32.899828485511662</v>
      </c>
      <c r="R527" s="434">
        <f t="shared" si="176"/>
        <v>18.133807829029898</v>
      </c>
      <c r="S527" s="434">
        <f t="shared" si="176"/>
        <v>42.345924871321984</v>
      </c>
      <c r="T527" s="897"/>
      <c r="U527" s="118">
        <f t="shared" si="177"/>
        <v>59200.769999999997</v>
      </c>
      <c r="V527" s="67"/>
      <c r="W527" s="370">
        <f t="shared" si="178"/>
        <v>0</v>
      </c>
    </row>
    <row r="528" spans="1:23" ht="18" customHeight="1">
      <c r="A528" s="47"/>
      <c r="B528" s="17">
        <f t="shared" si="166"/>
        <v>29</v>
      </c>
      <c r="C528" s="43">
        <v>182</v>
      </c>
      <c r="D528" s="43" t="s">
        <v>140</v>
      </c>
      <c r="E528" s="897"/>
      <c r="F528" s="118">
        <f>' WP II-I-1.4'!H528</f>
        <v>524869.04000000004</v>
      </c>
      <c r="G528" s="358">
        <v>51</v>
      </c>
      <c r="H528" s="47" t="str">
        <f t="shared" si="167"/>
        <v>PLT 370</v>
      </c>
      <c r="I528" s="897"/>
      <c r="J528" s="434">
        <f t="shared" si="176"/>
        <v>292617.01690515032</v>
      </c>
      <c r="K528" s="434">
        <f t="shared" si="176"/>
        <v>45114.008293567145</v>
      </c>
      <c r="L528" s="434">
        <f t="shared" si="176"/>
        <v>139155.71922165956</v>
      </c>
      <c r="M528" s="434">
        <f t="shared" si="176"/>
        <v>1953.9575848557895</v>
      </c>
      <c r="N528" s="434">
        <f t="shared" si="176"/>
        <v>40773.831228246316</v>
      </c>
      <c r="O528" s="434">
        <f t="shared" si="176"/>
        <v>1393.3643767130766</v>
      </c>
      <c r="P528" s="434">
        <f t="shared" si="176"/>
        <v>3033.2470662292353</v>
      </c>
      <c r="Q528" s="434">
        <f t="shared" si="176"/>
        <v>291.68710801152014</v>
      </c>
      <c r="R528" s="434">
        <f t="shared" si="176"/>
        <v>160.77281269766266</v>
      </c>
      <c r="S528" s="434">
        <f t="shared" si="176"/>
        <v>375.4354028693021</v>
      </c>
      <c r="T528" s="897"/>
      <c r="U528" s="118">
        <f t="shared" si="177"/>
        <v>524869.03999999992</v>
      </c>
      <c r="V528" s="67"/>
      <c r="W528" s="370">
        <f t="shared" si="178"/>
        <v>0</v>
      </c>
    </row>
    <row r="529" spans="1:23" ht="18" customHeight="1">
      <c r="A529" s="47"/>
      <c r="B529" s="17">
        <f t="shared" si="166"/>
        <v>30</v>
      </c>
      <c r="C529" s="43">
        <v>182</v>
      </c>
      <c r="D529" s="43" t="s">
        <v>994</v>
      </c>
      <c r="E529" s="897"/>
      <c r="F529" s="118">
        <f>' WP II-I-1.4'!H529</f>
        <v>127299791.38</v>
      </c>
      <c r="G529" s="358">
        <v>51</v>
      </c>
      <c r="H529" s="47" t="str">
        <f t="shared" si="167"/>
        <v>PLT 370</v>
      </c>
      <c r="I529" s="897"/>
      <c r="J529" s="434">
        <f t="shared" si="176"/>
        <v>70970246.609065697</v>
      </c>
      <c r="K529" s="434">
        <f t="shared" si="176"/>
        <v>10941784.343170036</v>
      </c>
      <c r="L529" s="434">
        <f t="shared" si="176"/>
        <v>33750312.318385392</v>
      </c>
      <c r="M529" s="434">
        <f t="shared" si="176"/>
        <v>473905.62971195753</v>
      </c>
      <c r="N529" s="434">
        <f t="shared" si="176"/>
        <v>9889133.885891011</v>
      </c>
      <c r="O529" s="434">
        <f t="shared" si="176"/>
        <v>337941.43101276911</v>
      </c>
      <c r="P529" s="434">
        <f t="shared" si="176"/>
        <v>735672.49982010503</v>
      </c>
      <c r="Q529" s="434">
        <f t="shared" si="176"/>
        <v>70744.709952985679</v>
      </c>
      <c r="R529" s="434">
        <f t="shared" si="176"/>
        <v>38993.242039934899</v>
      </c>
      <c r="S529" s="434">
        <f t="shared" si="176"/>
        <v>91056.710950084627</v>
      </c>
      <c r="T529" s="897"/>
      <c r="U529" s="118">
        <f t="shared" si="177"/>
        <v>127299791.37999995</v>
      </c>
      <c r="V529" s="67"/>
      <c r="W529" s="370">
        <f t="shared" si="178"/>
        <v>0</v>
      </c>
    </row>
    <row r="530" spans="1:23" ht="18" customHeight="1">
      <c r="A530" s="47"/>
      <c r="B530" s="17">
        <f t="shared" si="166"/>
        <v>31</v>
      </c>
      <c r="C530" s="43">
        <v>182</v>
      </c>
      <c r="D530" s="43" t="s">
        <v>139</v>
      </c>
      <c r="E530" s="897"/>
      <c r="F530" s="118">
        <f>' WP II-I-1.4'!H530</f>
        <v>0</v>
      </c>
      <c r="G530" s="358">
        <v>69</v>
      </c>
      <c r="H530" s="47" t="str">
        <f t="shared" si="167"/>
        <v>PLANT_xWHL</v>
      </c>
      <c r="I530" s="897"/>
      <c r="J530" s="434">
        <f t="shared" si="176"/>
        <v>0</v>
      </c>
      <c r="K530" s="434">
        <f t="shared" si="176"/>
        <v>0</v>
      </c>
      <c r="L530" s="434">
        <f t="shared" si="176"/>
        <v>0</v>
      </c>
      <c r="M530" s="434">
        <f t="shared" si="176"/>
        <v>0</v>
      </c>
      <c r="N530" s="434">
        <f t="shared" si="176"/>
        <v>0</v>
      </c>
      <c r="O530" s="434">
        <f t="shared" si="176"/>
        <v>0</v>
      </c>
      <c r="P530" s="434">
        <f t="shared" si="176"/>
        <v>0</v>
      </c>
      <c r="Q530" s="434">
        <f t="shared" si="176"/>
        <v>0</v>
      </c>
      <c r="R530" s="434">
        <f t="shared" si="176"/>
        <v>0</v>
      </c>
      <c r="S530" s="434">
        <f t="shared" si="176"/>
        <v>0</v>
      </c>
      <c r="T530" s="897"/>
      <c r="U530" s="118">
        <f t="shared" si="177"/>
        <v>0</v>
      </c>
      <c r="V530" s="67"/>
      <c r="W530" s="370">
        <f t="shared" si="178"/>
        <v>0</v>
      </c>
    </row>
    <row r="531" spans="1:23" ht="18" customHeight="1">
      <c r="A531" s="47"/>
      <c r="B531" s="17">
        <f t="shared" si="166"/>
        <v>32</v>
      </c>
      <c r="C531" s="43">
        <v>182</v>
      </c>
      <c r="D531" s="43" t="s">
        <v>1227</v>
      </c>
      <c r="E531" s="897"/>
      <c r="F531" s="118">
        <f>' WP II-I-1.4'!H531</f>
        <v>0</v>
      </c>
      <c r="G531" s="358">
        <v>64</v>
      </c>
      <c r="H531" s="47" t="str">
        <f t="shared" si="167"/>
        <v>PLANT</v>
      </c>
      <c r="I531" s="897"/>
      <c r="J531" s="434">
        <f t="shared" si="176"/>
        <v>0</v>
      </c>
      <c r="K531" s="434">
        <f t="shared" si="176"/>
        <v>0</v>
      </c>
      <c r="L531" s="434">
        <f t="shared" si="176"/>
        <v>0</v>
      </c>
      <c r="M531" s="434">
        <f t="shared" si="176"/>
        <v>0</v>
      </c>
      <c r="N531" s="434">
        <f t="shared" si="176"/>
        <v>0</v>
      </c>
      <c r="O531" s="434">
        <f t="shared" si="176"/>
        <v>0</v>
      </c>
      <c r="P531" s="434">
        <f t="shared" si="176"/>
        <v>0</v>
      </c>
      <c r="Q531" s="434">
        <f t="shared" si="176"/>
        <v>0</v>
      </c>
      <c r="R531" s="434">
        <f t="shared" si="176"/>
        <v>0</v>
      </c>
      <c r="S531" s="434">
        <f t="shared" si="176"/>
        <v>0</v>
      </c>
      <c r="T531" s="897"/>
      <c r="U531" s="118">
        <f t="shared" si="177"/>
        <v>0</v>
      </c>
      <c r="V531" s="67"/>
      <c r="W531" s="370">
        <f t="shared" si="178"/>
        <v>0</v>
      </c>
    </row>
    <row r="532" spans="1:23" ht="18" customHeight="1">
      <c r="A532" s="47"/>
      <c r="B532" s="17">
        <f t="shared" si="166"/>
        <v>33</v>
      </c>
      <c r="C532" s="43">
        <v>186</v>
      </c>
      <c r="D532" s="43" t="s">
        <v>1228</v>
      </c>
      <c r="E532" s="897"/>
      <c r="F532" s="118">
        <f>' WP II-I-1.4'!H532</f>
        <v>0</v>
      </c>
      <c r="G532" s="358">
        <v>88</v>
      </c>
      <c r="H532" s="47" t="str">
        <f t="shared" si="167"/>
        <v>PAYROLL</v>
      </c>
      <c r="I532" s="897"/>
      <c r="J532" s="434">
        <f t="shared" si="176"/>
        <v>0</v>
      </c>
      <c r="K532" s="434">
        <f t="shared" si="176"/>
        <v>0</v>
      </c>
      <c r="L532" s="434">
        <f t="shared" si="176"/>
        <v>0</v>
      </c>
      <c r="M532" s="434">
        <f t="shared" si="176"/>
        <v>0</v>
      </c>
      <c r="N532" s="434">
        <f t="shared" si="176"/>
        <v>0</v>
      </c>
      <c r="O532" s="434">
        <f t="shared" si="176"/>
        <v>0</v>
      </c>
      <c r="P532" s="434">
        <f t="shared" si="176"/>
        <v>0</v>
      </c>
      <c r="Q532" s="434">
        <f t="shared" si="176"/>
        <v>0</v>
      </c>
      <c r="R532" s="434">
        <f t="shared" si="176"/>
        <v>0</v>
      </c>
      <c r="S532" s="434">
        <f t="shared" si="176"/>
        <v>0</v>
      </c>
      <c r="T532" s="897"/>
      <c r="U532" s="118">
        <f t="shared" si="177"/>
        <v>0</v>
      </c>
      <c r="V532" s="67"/>
      <c r="W532" s="370">
        <f t="shared" si="178"/>
        <v>0</v>
      </c>
    </row>
    <row r="533" spans="1:23" ht="18" customHeight="1">
      <c r="A533" s="47"/>
      <c r="B533" s="17">
        <f t="shared" si="166"/>
        <v>34</v>
      </c>
      <c r="C533" s="43">
        <v>186</v>
      </c>
      <c r="D533" s="43" t="s">
        <v>995</v>
      </c>
      <c r="E533" s="897"/>
      <c r="F533" s="118">
        <f>' WP II-I-1.4'!H533</f>
        <v>0</v>
      </c>
      <c r="G533" s="358">
        <v>64</v>
      </c>
      <c r="H533" s="47" t="str">
        <f t="shared" si="167"/>
        <v>PLANT</v>
      </c>
      <c r="I533" s="897"/>
      <c r="J533" s="434">
        <f t="shared" si="176"/>
        <v>0</v>
      </c>
      <c r="K533" s="434">
        <f t="shared" si="176"/>
        <v>0</v>
      </c>
      <c r="L533" s="434">
        <f t="shared" si="176"/>
        <v>0</v>
      </c>
      <c r="M533" s="434">
        <f t="shared" si="176"/>
        <v>0</v>
      </c>
      <c r="N533" s="434">
        <f t="shared" si="176"/>
        <v>0</v>
      </c>
      <c r="O533" s="434">
        <f t="shared" si="176"/>
        <v>0</v>
      </c>
      <c r="P533" s="434">
        <f t="shared" si="176"/>
        <v>0</v>
      </c>
      <c r="Q533" s="434">
        <f t="shared" si="176"/>
        <v>0</v>
      </c>
      <c r="R533" s="434">
        <f t="shared" si="176"/>
        <v>0</v>
      </c>
      <c r="S533" s="434">
        <f t="shared" si="176"/>
        <v>0</v>
      </c>
      <c r="T533" s="897"/>
      <c r="U533" s="118">
        <f t="shared" si="174"/>
        <v>0</v>
      </c>
      <c r="V533" s="67"/>
      <c r="W533" s="370">
        <f t="shared" si="173"/>
        <v>0</v>
      </c>
    </row>
    <row r="534" spans="1:23" ht="18" customHeight="1">
      <c r="A534" s="47"/>
      <c r="B534" s="17">
        <f t="shared" si="166"/>
        <v>35</v>
      </c>
      <c r="C534" s="43">
        <v>186</v>
      </c>
      <c r="D534" s="43" t="s">
        <v>996</v>
      </c>
      <c r="E534" s="897"/>
      <c r="F534" s="118">
        <f>' WP II-I-1.4'!H534</f>
        <v>0</v>
      </c>
      <c r="G534" s="358">
        <v>64</v>
      </c>
      <c r="H534" s="47" t="str">
        <f t="shared" si="167"/>
        <v>PLANT</v>
      </c>
      <c r="I534" s="897"/>
      <c r="J534" s="435">
        <f t="shared" si="176"/>
        <v>0</v>
      </c>
      <c r="K534" s="435">
        <f t="shared" si="176"/>
        <v>0</v>
      </c>
      <c r="L534" s="435">
        <f t="shared" si="176"/>
        <v>0</v>
      </c>
      <c r="M534" s="435">
        <f t="shared" si="176"/>
        <v>0</v>
      </c>
      <c r="N534" s="435">
        <f t="shared" si="176"/>
        <v>0</v>
      </c>
      <c r="O534" s="435">
        <f t="shared" si="176"/>
        <v>0</v>
      </c>
      <c r="P534" s="435">
        <f t="shared" si="176"/>
        <v>0</v>
      </c>
      <c r="Q534" s="435">
        <f t="shared" si="176"/>
        <v>0</v>
      </c>
      <c r="R534" s="435">
        <f t="shared" si="176"/>
        <v>0</v>
      </c>
      <c r="S534" s="435">
        <f t="shared" si="176"/>
        <v>0</v>
      </c>
      <c r="T534" s="897"/>
      <c r="U534" s="118">
        <f t="shared" si="174"/>
        <v>0</v>
      </c>
      <c r="V534" s="67"/>
      <c r="W534" s="370">
        <f t="shared" si="173"/>
        <v>0</v>
      </c>
    </row>
    <row r="535" spans="1:23" ht="18" customHeight="1">
      <c r="A535" s="147"/>
      <c r="B535" s="17">
        <f t="shared" si="166"/>
        <v>36</v>
      </c>
      <c r="C535" s="36"/>
      <c r="D535" s="44" t="s">
        <v>612</v>
      </c>
      <c r="E535" s="897"/>
      <c r="F535" s="39">
        <f>SUM(F503:F534)</f>
        <v>154598816.69</v>
      </c>
      <c r="G535" s="37"/>
      <c r="H535" s="37"/>
      <c r="I535" s="897"/>
      <c r="J535" s="898">
        <f t="shared" si="179" ref="J535:S535">SUM(J503:J534)</f>
        <v>86193225.150442138</v>
      </c>
      <c r="K535" s="898">
        <f t="shared" si="179"/>
        <v>13288064.300305102</v>
      </c>
      <c r="L535" s="898">
        <f t="shared" si="179"/>
        <v>40985005.1481639</v>
      </c>
      <c r="M535" s="898">
        <f t="shared" si="179"/>
        <v>575491.27520951105</v>
      </c>
      <c r="N535" s="898">
        <f t="shared" si="179"/>
        <v>12008772.865694944</v>
      </c>
      <c r="O535" s="898">
        <f t="shared" si="179"/>
        <v>410382.87408958445</v>
      </c>
      <c r="P535" s="898">
        <f t="shared" si="179"/>
        <v>893354.13818267616</v>
      </c>
      <c r="Q535" s="898">
        <f t="shared" si="179"/>
        <v>88210.205242398471</v>
      </c>
      <c r="R535" s="898">
        <f t="shared" si="179"/>
        <v>46867.390012178948</v>
      </c>
      <c r="S535" s="898">
        <f t="shared" si="179"/>
        <v>109443.34265754241</v>
      </c>
      <c r="T535" s="897"/>
      <c r="U535" s="39">
        <f t="shared" si="174"/>
        <v>154598816.68999997</v>
      </c>
      <c r="V535" s="133"/>
      <c r="W535" s="370">
        <f t="shared" si="173"/>
        <v>0</v>
      </c>
    </row>
    <row r="536" spans="1:23" ht="18" customHeight="1">
      <c r="A536" s="47"/>
      <c r="B536" s="17">
        <f t="shared" si="166"/>
        <v>37</v>
      </c>
      <c r="C536" s="43"/>
      <c r="D536" s="44"/>
      <c r="E536" s="897"/>
      <c r="F536" s="263"/>
      <c r="G536" s="37"/>
      <c r="H536" s="37"/>
      <c r="I536" s="897"/>
      <c r="J536" s="897"/>
      <c r="K536" s="897"/>
      <c r="L536" s="897"/>
      <c r="M536" s="897"/>
      <c r="N536" s="897"/>
      <c r="O536" s="897"/>
      <c r="P536" s="897"/>
      <c r="Q536" s="897"/>
      <c r="R536" s="897"/>
      <c r="S536" s="897"/>
      <c r="T536" s="897"/>
      <c r="U536" s="118"/>
      <c r="V536" s="67"/>
      <c r="W536" s="370">
        <f t="shared" si="173"/>
        <v>0</v>
      </c>
    </row>
    <row r="537" spans="1:23" ht="18" customHeight="1">
      <c r="A537" s="47"/>
      <c r="B537" s="17">
        <f t="shared" si="166"/>
        <v>38</v>
      </c>
      <c r="C537" s="36" t="s">
        <v>141</v>
      </c>
      <c r="D537" s="43"/>
      <c r="E537" s="897"/>
      <c r="F537" s="18"/>
      <c r="G537" s="37"/>
      <c r="H537" s="37"/>
      <c r="I537" s="897"/>
      <c r="J537" s="897"/>
      <c r="K537" s="897"/>
      <c r="L537" s="897"/>
      <c r="M537" s="897"/>
      <c r="N537" s="897"/>
      <c r="O537" s="897"/>
      <c r="P537" s="897"/>
      <c r="Q537" s="897"/>
      <c r="R537" s="897"/>
      <c r="S537" s="897"/>
      <c r="T537" s="897"/>
      <c r="U537" s="118"/>
      <c r="V537" s="67"/>
      <c r="W537" s="370">
        <f t="shared" si="173"/>
        <v>0</v>
      </c>
    </row>
    <row r="538" spans="1:23" ht="18" customHeight="1">
      <c r="A538" s="47"/>
      <c r="B538" s="17">
        <f t="shared" si="166"/>
        <v>39</v>
      </c>
      <c r="C538" s="691">
        <v>254</v>
      </c>
      <c r="D538" s="43" t="s">
        <v>1367</v>
      </c>
      <c r="E538" s="897"/>
      <c r="F538" s="290">
        <f>' WP II-I-1.4'!H538</f>
        <v>0</v>
      </c>
      <c r="G538" s="358">
        <v>64</v>
      </c>
      <c r="H538" s="47" t="str">
        <f t="shared" si="180" ref="H538:H548">VLOOKUP(G538,FactorTable,2)</f>
        <v>PLANT</v>
      </c>
      <c r="I538" s="897"/>
      <c r="J538" s="434">
        <f t="shared" si="181" ref="J538:S548">$F538*HLOOKUP(J$1318,FactorTable,$G538+1)</f>
        <v>0</v>
      </c>
      <c r="K538" s="434">
        <f t="shared" si="181"/>
        <v>0</v>
      </c>
      <c r="L538" s="434">
        <f t="shared" si="181"/>
        <v>0</v>
      </c>
      <c r="M538" s="434">
        <f t="shared" si="181"/>
        <v>0</v>
      </c>
      <c r="N538" s="434">
        <f t="shared" si="181"/>
        <v>0</v>
      </c>
      <c r="O538" s="434">
        <f t="shared" si="181"/>
        <v>0</v>
      </c>
      <c r="P538" s="434">
        <f t="shared" si="181"/>
        <v>0</v>
      </c>
      <c r="Q538" s="434">
        <f t="shared" si="181"/>
        <v>0</v>
      </c>
      <c r="R538" s="434">
        <f t="shared" si="181"/>
        <v>0</v>
      </c>
      <c r="S538" s="434">
        <f t="shared" si="181"/>
        <v>0</v>
      </c>
      <c r="T538" s="897"/>
      <c r="U538" s="118">
        <f t="shared" si="182" ref="U538:U547">SUM(I538:T538)</f>
        <v>0</v>
      </c>
      <c r="V538" s="67"/>
      <c r="W538" s="370">
        <f t="shared" si="173"/>
        <v>0</v>
      </c>
    </row>
    <row r="539" spans="1:23" ht="18" customHeight="1">
      <c r="A539" s="47"/>
      <c r="B539" s="17">
        <f t="shared" si="166"/>
        <v>40</v>
      </c>
      <c r="C539" s="691" t="s">
        <v>1229</v>
      </c>
      <c r="D539" s="43" t="s">
        <v>997</v>
      </c>
      <c r="E539" s="263"/>
      <c r="F539" s="290">
        <f>' WP II-I-1.4'!H539</f>
        <v>0</v>
      </c>
      <c r="G539" s="358">
        <v>69</v>
      </c>
      <c r="H539" s="47" t="str">
        <f t="shared" si="180"/>
        <v>PLANT_xWHL</v>
      </c>
      <c r="I539" s="897"/>
      <c r="J539" s="434">
        <f t="shared" si="181"/>
        <v>0</v>
      </c>
      <c r="K539" s="434">
        <f t="shared" si="181"/>
        <v>0</v>
      </c>
      <c r="L539" s="434">
        <f t="shared" si="181"/>
        <v>0</v>
      </c>
      <c r="M539" s="434">
        <f t="shared" si="181"/>
        <v>0</v>
      </c>
      <c r="N539" s="434">
        <f t="shared" si="181"/>
        <v>0</v>
      </c>
      <c r="O539" s="434">
        <f t="shared" si="181"/>
        <v>0</v>
      </c>
      <c r="P539" s="434">
        <f t="shared" si="181"/>
        <v>0</v>
      </c>
      <c r="Q539" s="434">
        <f t="shared" si="181"/>
        <v>0</v>
      </c>
      <c r="R539" s="434">
        <f t="shared" si="181"/>
        <v>0</v>
      </c>
      <c r="S539" s="434">
        <f t="shared" si="181"/>
        <v>0</v>
      </c>
      <c r="T539" s="897"/>
      <c r="U539" s="118">
        <f t="shared" si="183" ref="U539:U542">SUM(I539:T539)</f>
        <v>0</v>
      </c>
      <c r="V539" s="67"/>
      <c r="W539" s="370">
        <f t="shared" si="184" ref="W539:W542">U539-F539</f>
        <v>0</v>
      </c>
    </row>
    <row r="540" spans="1:23" ht="18" customHeight="1">
      <c r="A540" s="47"/>
      <c r="B540" s="17">
        <f t="shared" si="166"/>
        <v>41</v>
      </c>
      <c r="C540" s="691">
        <v>254</v>
      </c>
      <c r="D540" s="43" t="s">
        <v>1368</v>
      </c>
      <c r="E540" s="897"/>
      <c r="F540" s="290">
        <f>' WP II-I-1.4'!H540</f>
        <v>0</v>
      </c>
      <c r="G540" s="358">
        <v>64</v>
      </c>
      <c r="H540" s="47" t="str">
        <f t="shared" si="180"/>
        <v>PLANT</v>
      </c>
      <c r="I540" s="897"/>
      <c r="J540" s="434">
        <f t="shared" si="181"/>
        <v>0</v>
      </c>
      <c r="K540" s="434">
        <f t="shared" si="181"/>
        <v>0</v>
      </c>
      <c r="L540" s="434">
        <f t="shared" si="181"/>
        <v>0</v>
      </c>
      <c r="M540" s="434">
        <f t="shared" si="181"/>
        <v>0</v>
      </c>
      <c r="N540" s="434">
        <f t="shared" si="181"/>
        <v>0</v>
      </c>
      <c r="O540" s="434">
        <f t="shared" si="181"/>
        <v>0</v>
      </c>
      <c r="P540" s="434">
        <f t="shared" si="181"/>
        <v>0</v>
      </c>
      <c r="Q540" s="434">
        <f t="shared" si="181"/>
        <v>0</v>
      </c>
      <c r="R540" s="434">
        <f t="shared" si="181"/>
        <v>0</v>
      </c>
      <c r="S540" s="434">
        <f t="shared" si="181"/>
        <v>0</v>
      </c>
      <c r="T540" s="897"/>
      <c r="U540" s="118">
        <f t="shared" si="183"/>
        <v>0</v>
      </c>
      <c r="V540" s="67"/>
      <c r="W540" s="370">
        <f t="shared" si="184"/>
        <v>0</v>
      </c>
    </row>
    <row r="541" spans="1:23" ht="18" customHeight="1">
      <c r="A541" s="47"/>
      <c r="B541" s="17">
        <f t="shared" si="166"/>
        <v>42</v>
      </c>
      <c r="C541" s="691">
        <v>254</v>
      </c>
      <c r="D541" s="43" t="s">
        <v>1230</v>
      </c>
      <c r="E541" s="897"/>
      <c r="F541" s="290">
        <f>' WP II-I-1.4'!H541</f>
        <v>0</v>
      </c>
      <c r="G541" s="358">
        <v>51</v>
      </c>
      <c r="H541" s="47" t="str">
        <f t="shared" si="180"/>
        <v>PLT 370</v>
      </c>
      <c r="I541" s="897"/>
      <c r="J541" s="434">
        <f t="shared" si="181"/>
        <v>0</v>
      </c>
      <c r="K541" s="434">
        <f t="shared" si="181"/>
        <v>0</v>
      </c>
      <c r="L541" s="434">
        <f t="shared" si="181"/>
        <v>0</v>
      </c>
      <c r="M541" s="434">
        <f t="shared" si="181"/>
        <v>0</v>
      </c>
      <c r="N541" s="434">
        <f t="shared" si="181"/>
        <v>0</v>
      </c>
      <c r="O541" s="434">
        <f t="shared" si="181"/>
        <v>0</v>
      </c>
      <c r="P541" s="434">
        <f t="shared" si="181"/>
        <v>0</v>
      </c>
      <c r="Q541" s="434">
        <f t="shared" si="181"/>
        <v>0</v>
      </c>
      <c r="R541" s="434">
        <f t="shared" si="181"/>
        <v>0</v>
      </c>
      <c r="S541" s="434">
        <f t="shared" si="181"/>
        <v>0</v>
      </c>
      <c r="T541" s="897"/>
      <c r="U541" s="118">
        <f t="shared" si="183"/>
        <v>0</v>
      </c>
      <c r="V541" s="67"/>
      <c r="W541" s="370">
        <f t="shared" si="184"/>
        <v>0</v>
      </c>
    </row>
    <row r="542" spans="1:23" ht="18" customHeight="1">
      <c r="A542" s="47"/>
      <c r="B542" s="17">
        <f t="shared" si="166"/>
        <v>43</v>
      </c>
      <c r="C542" s="43">
        <v>254</v>
      </c>
      <c r="D542" s="43" t="s">
        <v>1231</v>
      </c>
      <c r="E542" s="897"/>
      <c r="F542" s="290">
        <f>' WP II-I-1.4'!H542</f>
        <v>0</v>
      </c>
      <c r="G542" s="358">
        <v>64</v>
      </c>
      <c r="H542" s="47" t="str">
        <f t="shared" si="180"/>
        <v>PLANT</v>
      </c>
      <c r="I542" s="897"/>
      <c r="J542" s="434">
        <f t="shared" si="181"/>
        <v>0</v>
      </c>
      <c r="K542" s="434">
        <f t="shared" si="181"/>
        <v>0</v>
      </c>
      <c r="L542" s="434">
        <f t="shared" si="181"/>
        <v>0</v>
      </c>
      <c r="M542" s="434">
        <f t="shared" si="181"/>
        <v>0</v>
      </c>
      <c r="N542" s="434">
        <f t="shared" si="181"/>
        <v>0</v>
      </c>
      <c r="O542" s="434">
        <f t="shared" si="181"/>
        <v>0</v>
      </c>
      <c r="P542" s="434">
        <f t="shared" si="181"/>
        <v>0</v>
      </c>
      <c r="Q542" s="434">
        <f t="shared" si="181"/>
        <v>0</v>
      </c>
      <c r="R542" s="434">
        <f t="shared" si="181"/>
        <v>0</v>
      </c>
      <c r="S542" s="434">
        <f t="shared" si="181"/>
        <v>0</v>
      </c>
      <c r="T542" s="897"/>
      <c r="U542" s="118">
        <f t="shared" si="183"/>
        <v>0</v>
      </c>
      <c r="V542" s="67"/>
      <c r="W542" s="370">
        <f t="shared" si="184"/>
        <v>0</v>
      </c>
    </row>
    <row r="543" spans="1:23" ht="18" customHeight="1">
      <c r="A543" s="47"/>
      <c r="B543" s="17">
        <f t="shared" si="166"/>
        <v>44</v>
      </c>
      <c r="C543" s="43">
        <v>254</v>
      </c>
      <c r="D543" s="43" t="s">
        <v>1232</v>
      </c>
      <c r="E543" s="897"/>
      <c r="F543" s="290">
        <f>' WP II-I-1.4'!H543</f>
        <v>0</v>
      </c>
      <c r="G543" s="358">
        <v>64</v>
      </c>
      <c r="H543" s="47" t="str">
        <f t="shared" si="180"/>
        <v>PLANT</v>
      </c>
      <c r="I543" s="263"/>
      <c r="J543" s="434">
        <f t="shared" si="181"/>
        <v>0</v>
      </c>
      <c r="K543" s="434">
        <f t="shared" si="181"/>
        <v>0</v>
      </c>
      <c r="L543" s="434">
        <f t="shared" si="181"/>
        <v>0</v>
      </c>
      <c r="M543" s="434">
        <f t="shared" si="181"/>
        <v>0</v>
      </c>
      <c r="N543" s="434">
        <f t="shared" si="181"/>
        <v>0</v>
      </c>
      <c r="O543" s="434">
        <f t="shared" si="181"/>
        <v>0</v>
      </c>
      <c r="P543" s="434">
        <f t="shared" si="181"/>
        <v>0</v>
      </c>
      <c r="Q543" s="434">
        <f t="shared" si="181"/>
        <v>0</v>
      </c>
      <c r="R543" s="434">
        <f t="shared" si="181"/>
        <v>0</v>
      </c>
      <c r="S543" s="434">
        <f t="shared" si="181"/>
        <v>0</v>
      </c>
      <c r="T543" s="263"/>
      <c r="U543" s="118">
        <f t="shared" si="182"/>
        <v>0</v>
      </c>
      <c r="V543" s="67"/>
      <c r="W543" s="370">
        <f t="shared" si="173"/>
        <v>0</v>
      </c>
    </row>
    <row r="544" spans="1:23" ht="18" customHeight="1">
      <c r="A544" s="47"/>
      <c r="B544" s="17">
        <f t="shared" si="166"/>
        <v>45</v>
      </c>
      <c r="C544" s="43">
        <v>254</v>
      </c>
      <c r="D544" s="43" t="s">
        <v>1233</v>
      </c>
      <c r="E544" s="897"/>
      <c r="F544" s="290">
        <f>' WP II-I-1.4'!H544</f>
        <v>0</v>
      </c>
      <c r="G544" s="358">
        <v>64</v>
      </c>
      <c r="H544" s="47" t="str">
        <f t="shared" si="180"/>
        <v>PLANT</v>
      </c>
      <c r="I544" s="897"/>
      <c r="J544" s="434">
        <f t="shared" si="181"/>
        <v>0</v>
      </c>
      <c r="K544" s="434">
        <f t="shared" si="181"/>
        <v>0</v>
      </c>
      <c r="L544" s="434">
        <f t="shared" si="181"/>
        <v>0</v>
      </c>
      <c r="M544" s="434">
        <f t="shared" si="181"/>
        <v>0</v>
      </c>
      <c r="N544" s="434">
        <f t="shared" si="181"/>
        <v>0</v>
      </c>
      <c r="O544" s="434">
        <f t="shared" si="181"/>
        <v>0</v>
      </c>
      <c r="P544" s="434">
        <f t="shared" si="181"/>
        <v>0</v>
      </c>
      <c r="Q544" s="434">
        <f t="shared" si="181"/>
        <v>0</v>
      </c>
      <c r="R544" s="434">
        <f t="shared" si="181"/>
        <v>0</v>
      </c>
      <c r="S544" s="434">
        <f t="shared" si="181"/>
        <v>0</v>
      </c>
      <c r="T544" s="897"/>
      <c r="U544" s="118">
        <f t="shared" si="182"/>
        <v>0</v>
      </c>
      <c r="V544" s="67"/>
      <c r="W544" s="370">
        <f t="shared" si="173"/>
        <v>0</v>
      </c>
    </row>
    <row r="545" spans="1:23" ht="18" customHeight="1">
      <c r="A545" s="47"/>
      <c r="B545" s="17">
        <f t="shared" si="166"/>
        <v>46</v>
      </c>
      <c r="C545" s="43">
        <v>254</v>
      </c>
      <c r="D545" s="43" t="s">
        <v>1234</v>
      </c>
      <c r="E545" s="897"/>
      <c r="F545" s="290">
        <f>' WP II-I-1.4'!H545</f>
        <v>0</v>
      </c>
      <c r="G545" s="358">
        <v>64</v>
      </c>
      <c r="H545" s="47" t="str">
        <f t="shared" si="180"/>
        <v>PLANT</v>
      </c>
      <c r="I545" s="897"/>
      <c r="J545" s="434">
        <f t="shared" si="181"/>
        <v>0</v>
      </c>
      <c r="K545" s="434">
        <f t="shared" si="181"/>
        <v>0</v>
      </c>
      <c r="L545" s="434">
        <f t="shared" si="181"/>
        <v>0</v>
      </c>
      <c r="M545" s="434">
        <f t="shared" si="181"/>
        <v>0</v>
      </c>
      <c r="N545" s="434">
        <f t="shared" si="181"/>
        <v>0</v>
      </c>
      <c r="O545" s="434">
        <f t="shared" si="181"/>
        <v>0</v>
      </c>
      <c r="P545" s="434">
        <f t="shared" si="181"/>
        <v>0</v>
      </c>
      <c r="Q545" s="434">
        <f t="shared" si="181"/>
        <v>0</v>
      </c>
      <c r="R545" s="434">
        <f t="shared" si="181"/>
        <v>0</v>
      </c>
      <c r="S545" s="434">
        <f t="shared" si="181"/>
        <v>0</v>
      </c>
      <c r="T545" s="897"/>
      <c r="U545" s="118">
        <f t="shared" si="182"/>
        <v>0</v>
      </c>
      <c r="V545" s="67"/>
      <c r="W545" s="370">
        <f t="shared" si="173"/>
        <v>0</v>
      </c>
    </row>
    <row r="546" spans="1:23" ht="18" customHeight="1">
      <c r="A546" s="47"/>
      <c r="B546" s="17">
        <f t="shared" si="166"/>
        <v>47</v>
      </c>
      <c r="C546" s="43">
        <v>254</v>
      </c>
      <c r="D546" s="43" t="s">
        <v>1235</v>
      </c>
      <c r="E546" s="897"/>
      <c r="F546" s="290">
        <f>' WP II-I-1.4'!H546</f>
        <v>0</v>
      </c>
      <c r="G546" s="358">
        <v>64</v>
      </c>
      <c r="H546" s="47" t="str">
        <f t="shared" si="180"/>
        <v>PLANT</v>
      </c>
      <c r="I546" s="897"/>
      <c r="J546" s="434">
        <f t="shared" si="181"/>
        <v>0</v>
      </c>
      <c r="K546" s="434">
        <f t="shared" si="181"/>
        <v>0</v>
      </c>
      <c r="L546" s="434">
        <f t="shared" si="181"/>
        <v>0</v>
      </c>
      <c r="M546" s="434">
        <f t="shared" si="181"/>
        <v>0</v>
      </c>
      <c r="N546" s="434">
        <f t="shared" si="181"/>
        <v>0</v>
      </c>
      <c r="O546" s="434">
        <f t="shared" si="181"/>
        <v>0</v>
      </c>
      <c r="P546" s="434">
        <f t="shared" si="181"/>
        <v>0</v>
      </c>
      <c r="Q546" s="434">
        <f t="shared" si="181"/>
        <v>0</v>
      </c>
      <c r="R546" s="434">
        <f t="shared" si="181"/>
        <v>0</v>
      </c>
      <c r="S546" s="434">
        <f t="shared" si="181"/>
        <v>0</v>
      </c>
      <c r="T546" s="897"/>
      <c r="U546" s="118">
        <f t="shared" si="182"/>
        <v>0</v>
      </c>
      <c r="V546" s="67"/>
      <c r="W546" s="370">
        <f t="shared" si="173"/>
        <v>0</v>
      </c>
    </row>
    <row r="547" spans="1:23" ht="18" customHeight="1">
      <c r="A547" s="47"/>
      <c r="B547" s="17">
        <f t="shared" si="166"/>
        <v>48</v>
      </c>
      <c r="C547" s="43">
        <v>254</v>
      </c>
      <c r="D547" s="43" t="s">
        <v>1372</v>
      </c>
      <c r="E547" s="897"/>
      <c r="F547" s="290">
        <f>' WP II-I-1.4'!H547</f>
        <v>-6507602.71</v>
      </c>
      <c r="G547" s="358">
        <v>64</v>
      </c>
      <c r="H547" s="47" t="str">
        <f t="shared" si="180"/>
        <v>PLANT</v>
      </c>
      <c r="I547" s="897"/>
      <c r="J547" s="434">
        <f t="shared" si="181"/>
        <v>-3628019.8432052168</v>
      </c>
      <c r="K547" s="434">
        <f t="shared" si="181"/>
        <v>-559347.2280822281</v>
      </c>
      <c r="L547" s="434">
        <f t="shared" si="181"/>
        <v>-1725325.8746579357</v>
      </c>
      <c r="M547" s="434">
        <f t="shared" si="181"/>
        <v>-24226.19492746723</v>
      </c>
      <c r="N547" s="434">
        <f t="shared" si="181"/>
        <v>-505535.42765261675</v>
      </c>
      <c r="O547" s="434">
        <f t="shared" si="181"/>
        <v>-17275.665171478733</v>
      </c>
      <c r="P547" s="434">
        <f t="shared" si="181"/>
        <v>-37607.79418098832</v>
      </c>
      <c r="Q547" s="434">
        <f t="shared" si="181"/>
        <v>-3616.490343129843</v>
      </c>
      <c r="R547" s="434">
        <f t="shared" si="181"/>
        <v>-1993.3459813244699</v>
      </c>
      <c r="S547" s="434">
        <f t="shared" si="181"/>
        <v>-4654.8457976149875</v>
      </c>
      <c r="T547" s="897"/>
      <c r="U547" s="118">
        <f t="shared" si="182"/>
        <v>-6507602.7100000009</v>
      </c>
      <c r="V547" s="67"/>
      <c r="W547" s="370">
        <f t="shared" si="173"/>
        <v>0</v>
      </c>
    </row>
    <row r="548" spans="1:23" s="664" customFormat="1" ht="18" customHeight="1">
      <c r="A548" s="703"/>
      <c r="B548" s="728">
        <f t="shared" si="166"/>
        <v>49</v>
      </c>
      <c r="C548" s="691">
        <v>257</v>
      </c>
      <c r="D548" s="1136" t="s">
        <v>1236</v>
      </c>
      <c r="E548" s="1137"/>
      <c r="F548" s="290">
        <f>' WP II-I-1.4'!H548</f>
        <v>0</v>
      </c>
      <c r="G548" s="1137">
        <v>64</v>
      </c>
      <c r="H548" s="47" t="str">
        <f t="shared" si="180"/>
        <v>PLANT</v>
      </c>
      <c r="I548" s="1137"/>
      <c r="J548" s="435">
        <f t="shared" si="181"/>
        <v>0</v>
      </c>
      <c r="K548" s="435">
        <f t="shared" si="181"/>
        <v>0</v>
      </c>
      <c r="L548" s="435">
        <f t="shared" si="181"/>
        <v>0</v>
      </c>
      <c r="M548" s="435">
        <f t="shared" si="181"/>
        <v>0</v>
      </c>
      <c r="N548" s="435">
        <f t="shared" si="181"/>
        <v>0</v>
      </c>
      <c r="O548" s="435">
        <f t="shared" si="181"/>
        <v>0</v>
      </c>
      <c r="P548" s="435">
        <f t="shared" si="181"/>
        <v>0</v>
      </c>
      <c r="Q548" s="435">
        <f t="shared" si="181"/>
        <v>0</v>
      </c>
      <c r="R548" s="435">
        <f t="shared" si="181"/>
        <v>0</v>
      </c>
      <c r="S548" s="435">
        <f t="shared" si="181"/>
        <v>0</v>
      </c>
      <c r="T548" s="897"/>
      <c r="U548" s="118">
        <f t="shared" si="185" ref="U548">SUM(I548:T548)</f>
        <v>0</v>
      </c>
      <c r="V548" s="904">
        <f t="shared" si="186" ref="V548">SUM(V538:V547)</f>
        <v>0</v>
      </c>
      <c r="W548" s="729">
        <f t="shared" si="173"/>
        <v>0</v>
      </c>
    </row>
    <row r="549" spans="1:23" s="664" customFormat="1" ht="18" customHeight="1">
      <c r="A549" s="703"/>
      <c r="B549" s="728">
        <f t="shared" si="166"/>
        <v>50</v>
      </c>
      <c r="C549" s="691"/>
      <c r="D549" s="1136"/>
      <c r="E549" s="1137"/>
      <c r="F549" s="904"/>
      <c r="G549" s="1137"/>
      <c r="H549" s="1137"/>
      <c r="I549" s="1137"/>
      <c r="J549" s="904"/>
      <c r="K549" s="904"/>
      <c r="L549" s="904"/>
      <c r="M549" s="904"/>
      <c r="N549" s="904"/>
      <c r="O549" s="904"/>
      <c r="P549" s="904"/>
      <c r="Q549" s="904"/>
      <c r="R549" s="904"/>
      <c r="S549" s="904"/>
      <c r="T549" s="904"/>
      <c r="U549" s="904"/>
      <c r="V549" s="904"/>
      <c r="W549" s="729"/>
    </row>
    <row r="550" spans="1:23" s="133" customFormat="1" ht="18" customHeight="1">
      <c r="A550" s="147"/>
      <c r="B550" s="1331">
        <f t="shared" si="166"/>
        <v>51</v>
      </c>
      <c r="C550" s="36"/>
      <c r="D550" s="36" t="s">
        <v>612</v>
      </c>
      <c r="E550" s="897"/>
      <c r="F550" s="898">
        <f>SUM(F538:F549)</f>
        <v>-6507602.71</v>
      </c>
      <c r="G550" s="897"/>
      <c r="H550" s="897"/>
      <c r="I550" s="897"/>
      <c r="J550" s="898">
        <f t="shared" si="187" ref="J550:U550">SUM(J538:J549)</f>
        <v>-3628019.8432052168</v>
      </c>
      <c r="K550" s="898">
        <f t="shared" si="187"/>
        <v>-559347.2280822281</v>
      </c>
      <c r="L550" s="898">
        <f t="shared" si="187"/>
        <v>-1725325.8746579357</v>
      </c>
      <c r="M550" s="898">
        <f t="shared" si="187"/>
        <v>-24226.19492746723</v>
      </c>
      <c r="N550" s="898">
        <f t="shared" si="187"/>
        <v>-505535.42765261675</v>
      </c>
      <c r="O550" s="898">
        <f t="shared" si="187"/>
        <v>-17275.665171478733</v>
      </c>
      <c r="P550" s="898">
        <f t="shared" si="187"/>
        <v>-37607.79418098832</v>
      </c>
      <c r="Q550" s="898">
        <f t="shared" si="187"/>
        <v>-3616.490343129843</v>
      </c>
      <c r="R550" s="898">
        <f t="shared" si="187"/>
        <v>-1993.3459813244699</v>
      </c>
      <c r="S550" s="898">
        <f t="shared" si="187"/>
        <v>-4654.8457976149875</v>
      </c>
      <c r="T550" s="898">
        <f t="shared" si="187"/>
        <v>0</v>
      </c>
      <c r="U550" s="898">
        <f t="shared" si="187"/>
        <v>-6507602.7100000009</v>
      </c>
      <c r="W550" s="299">
        <f t="shared" si="173"/>
        <v>0</v>
      </c>
    </row>
    <row r="551" spans="1:23" ht="18" customHeight="1" thickBot="1">
      <c r="A551" s="47"/>
      <c r="B551" s="728">
        <f t="shared" si="166"/>
        <v>52</v>
      </c>
      <c r="C551" s="43"/>
      <c r="D551" s="36"/>
      <c r="E551" s="897"/>
      <c r="F551" s="263"/>
      <c r="G551" s="897"/>
      <c r="H551" s="897"/>
      <c r="I551" s="897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897"/>
      <c r="U551" s="118"/>
      <c r="V551" s="67"/>
      <c r="W551" s="370"/>
    </row>
    <row r="552" spans="1:23" ht="18" customHeight="1" thickBot="1">
      <c r="A552" s="40"/>
      <c r="B552" s="728">
        <f t="shared" si="166"/>
        <v>53</v>
      </c>
      <c r="C552" s="356" t="s">
        <v>614</v>
      </c>
      <c r="D552" s="278"/>
      <c r="E552" s="337" t="s">
        <v>132</v>
      </c>
      <c r="F552" s="278">
        <f>F535+F550</f>
        <v>148091213.97999999</v>
      </c>
      <c r="G552" s="337"/>
      <c r="H552" s="457"/>
      <c r="I552" s="458"/>
      <c r="J552" s="905">
        <f t="shared" si="188" ref="J552:U552">J535+J550</f>
        <v>82565205.307236925</v>
      </c>
      <c r="K552" s="905">
        <f t="shared" si="188"/>
        <v>12728717.072222874</v>
      </c>
      <c r="L552" s="905">
        <f t="shared" si="188"/>
        <v>39259679.273505963</v>
      </c>
      <c r="M552" s="905">
        <f t="shared" si="188"/>
        <v>551265.08028204378</v>
      </c>
      <c r="N552" s="905">
        <f t="shared" si="188"/>
        <v>11503237.438042328</v>
      </c>
      <c r="O552" s="905">
        <f t="shared" si="188"/>
        <v>393107.20891810569</v>
      </c>
      <c r="P552" s="905">
        <f t="shared" si="188"/>
        <v>855746.34400168783</v>
      </c>
      <c r="Q552" s="905">
        <f t="shared" si="188"/>
        <v>84593.714899268627</v>
      </c>
      <c r="R552" s="905">
        <f t="shared" si="188"/>
        <v>44874.044030854478</v>
      </c>
      <c r="S552" s="905">
        <f t="shared" si="188"/>
        <v>104788.49685992743</v>
      </c>
      <c r="T552" s="905">
        <f t="shared" si="188"/>
        <v>0</v>
      </c>
      <c r="U552" s="905">
        <f t="shared" si="188"/>
        <v>148091213.97999996</v>
      </c>
      <c r="V552" s="36"/>
      <c r="W552" s="370">
        <f t="shared" si="173"/>
        <v>0</v>
      </c>
    </row>
    <row r="553" spans="1:23" ht="18" customHeight="1">
      <c r="A553" s="47"/>
      <c r="B553" s="17"/>
      <c r="C553" s="43"/>
      <c r="D553" s="44"/>
      <c r="E553" s="37"/>
      <c r="F553" s="263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118"/>
      <c r="V553" s="67"/>
      <c r="W553" s="370"/>
    </row>
    <row r="554" spans="1:23" ht="18" customHeight="1">
      <c r="A554" s="47"/>
      <c r="B554" s="17"/>
      <c r="C554" s="43"/>
      <c r="D554" s="44"/>
      <c r="E554" s="37"/>
      <c r="F554" s="263"/>
      <c r="G554" s="37"/>
      <c r="H554" s="134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134"/>
      <c r="V554" s="134">
        <f>$H$2</f>
        <v>0</v>
      </c>
      <c r="W554" s="370"/>
    </row>
    <row r="555" spans="1:23" ht="18" customHeight="1" thickBot="1">
      <c r="A555" s="47"/>
      <c r="B555" s="17"/>
      <c r="C555" s="43"/>
      <c r="D555" s="44"/>
      <c r="E555" s="37"/>
      <c r="F555" s="26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118"/>
      <c r="V555" s="67"/>
      <c r="W555" s="370"/>
    </row>
    <row r="556" spans="1:23" ht="18" customHeight="1">
      <c r="A556" s="47"/>
      <c r="B556" s="920" t="str">
        <f>+$B$4</f>
        <v>2022 RATE CASE</v>
      </c>
      <c r="C556" s="935"/>
      <c r="D556" s="969"/>
      <c r="F556" s="332"/>
      <c r="U556" s="134"/>
      <c r="W556" s="370"/>
    </row>
    <row r="557" spans="1:23" ht="18" customHeight="1">
      <c r="A557" s="47"/>
      <c r="B557" s="917" t="str">
        <f>+$B$5</f>
        <v>ONCOR ELECTRIC DELIVERY COMPANY LLC</v>
      </c>
      <c r="C557" s="8"/>
      <c r="D557" s="970"/>
      <c r="F557" s="332"/>
      <c r="U557" s="134"/>
      <c r="V557" s="67"/>
      <c r="W557" s="370"/>
    </row>
    <row r="558" spans="1:23" ht="18" customHeight="1">
      <c r="A558" s="47"/>
      <c r="B558" s="917" t="str">
        <f>+$B$6</f>
        <v>II-I-1-MET:  CLASS REVENUE REQUIREMENT</v>
      </c>
      <c r="C558" s="85"/>
      <c r="D558" s="970"/>
      <c r="F558" s="332"/>
      <c r="U558" s="332"/>
      <c r="V558" s="67"/>
      <c r="W558" s="370"/>
    </row>
    <row r="559" spans="1:23" ht="18" customHeight="1">
      <c r="A559" s="47"/>
      <c r="B559" s="406" t="str">
        <f>+$B$7</f>
        <v>TEST YEAR ENDING 12/31/2021</v>
      </c>
      <c r="C559" s="85"/>
      <c r="D559" s="970"/>
      <c r="F559" s="332"/>
      <c r="U559" s="332"/>
      <c r="V559" s="67"/>
      <c r="W559" s="370"/>
    </row>
    <row r="560" spans="1:23" ht="18" customHeight="1">
      <c r="A560" s="47"/>
      <c r="B560" s="406" t="str">
        <f>+$B$8</f>
        <v>SPONSOR:  MATTHEW A. TROXLE</v>
      </c>
      <c r="C560" s="85"/>
      <c r="D560" s="970"/>
      <c r="F560" s="332"/>
      <c r="U560" s="332"/>
      <c r="V560" s="67"/>
      <c r="W560" s="370"/>
    </row>
    <row r="561" spans="1:23" ht="18" customHeight="1" thickBot="1">
      <c r="A561" s="47"/>
      <c r="B561" s="410"/>
      <c r="C561" s="934"/>
      <c r="D561" s="936"/>
      <c r="F561" s="332"/>
      <c r="U561" s="332"/>
      <c r="V561" s="67"/>
      <c r="W561" s="370"/>
    </row>
    <row r="562" spans="1:23" ht="18" customHeight="1" thickBot="1">
      <c r="A562" s="47"/>
      <c r="B562" s="13"/>
      <c r="C562" s="14"/>
      <c r="D562" s="14"/>
      <c r="E562" s="14"/>
      <c r="F562" s="13"/>
      <c r="G562" s="14"/>
      <c r="H562" s="14"/>
      <c r="I562" s="14"/>
      <c r="J562" s="238"/>
      <c r="K562" s="238"/>
      <c r="L562" s="14"/>
      <c r="M562" s="238"/>
      <c r="N562" s="238"/>
      <c r="O562" s="238"/>
      <c r="P562" s="238"/>
      <c r="Q562" s="14"/>
      <c r="R562" s="393" t="str">
        <f>R$10</f>
        <v xml:space="preserve"> </v>
      </c>
      <c r="S562" s="394"/>
      <c r="T562" s="238"/>
      <c r="U562" s="13"/>
      <c r="V562" s="67"/>
      <c r="W562" s="370"/>
    </row>
    <row r="563" spans="1:23" ht="18" customHeight="1">
      <c r="A563" s="47"/>
      <c r="B563" s="15" t="s">
        <v>2</v>
      </c>
      <c r="C563" s="15" t="s">
        <v>370</v>
      </c>
      <c r="D563" s="287" t="s">
        <v>615</v>
      </c>
      <c r="E563" s="15" t="s">
        <v>371</v>
      </c>
      <c r="F563" s="287" t="str">
        <f>F$11</f>
        <v>MET</v>
      </c>
      <c r="G563" s="242" t="s">
        <v>741</v>
      </c>
      <c r="H563" s="242" t="s">
        <v>376</v>
      </c>
      <c r="I563" s="15"/>
      <c r="J563" s="242" t="s">
        <v>730</v>
      </c>
      <c r="K563" s="242" t="s">
        <v>409</v>
      </c>
      <c r="L563" s="15" t="s">
        <v>409</v>
      </c>
      <c r="M563" s="242" t="s">
        <v>410</v>
      </c>
      <c r="N563" s="242" t="s">
        <v>410</v>
      </c>
      <c r="O563" s="242" t="s">
        <v>410</v>
      </c>
      <c r="P563" s="242" t="s">
        <v>411</v>
      </c>
      <c r="Q563" s="15" t="s">
        <v>412</v>
      </c>
      <c r="R563" s="396" t="str">
        <f>R$11</f>
        <v>Wholesale</v>
      </c>
      <c r="S563" s="13" t="str">
        <f>S$11</f>
        <v>Wholesale</v>
      </c>
      <c r="T563" s="242"/>
      <c r="U563" s="15" t="s">
        <v>10</v>
      </c>
      <c r="V563" s="67"/>
      <c r="W563" s="370"/>
    </row>
    <row r="564" spans="1:23" ht="18" customHeight="1">
      <c r="A564" s="47"/>
      <c r="B564" s="15"/>
      <c r="C564" s="15"/>
      <c r="D564" s="15"/>
      <c r="E564" s="15"/>
      <c r="F564" s="15"/>
      <c r="G564" s="242" t="s">
        <v>742</v>
      </c>
      <c r="H564" s="242" t="s">
        <v>743</v>
      </c>
      <c r="I564" s="15"/>
      <c r="J564" s="242"/>
      <c r="K564" s="242" t="s">
        <v>731</v>
      </c>
      <c r="L564" s="15" t="s">
        <v>732</v>
      </c>
      <c r="M564" s="242" t="s">
        <v>731</v>
      </c>
      <c r="N564" s="242" t="s">
        <v>732</v>
      </c>
      <c r="O564" s="242" t="s">
        <v>414</v>
      </c>
      <c r="P564" s="242"/>
      <c r="Q564" s="15"/>
      <c r="R564" s="235" t="str">
        <f>R$12</f>
        <v>XFMR</v>
      </c>
      <c r="S564" s="15" t="str">
        <f>S$12</f>
        <v>DLS</v>
      </c>
      <c r="T564" s="242"/>
      <c r="U564" s="15"/>
      <c r="V564" s="67"/>
      <c r="W564" s="370"/>
    </row>
    <row r="565" spans="1:23" ht="18" customHeight="1" thickBot="1">
      <c r="A565" s="47"/>
      <c r="B565" s="16"/>
      <c r="C565" s="16"/>
      <c r="D565" s="16"/>
      <c r="E565" s="16"/>
      <c r="F565" s="16" t="s">
        <v>13</v>
      </c>
      <c r="G565" s="16" t="s">
        <v>14</v>
      </c>
      <c r="H565" s="16" t="s">
        <v>15</v>
      </c>
      <c r="I565" s="16"/>
      <c r="J565" s="243" t="str">
        <f t="shared" si="189" ref="J565:Q565">J$13</f>
        <v>(d)</v>
      </c>
      <c r="K565" s="243" t="str">
        <f t="shared" si="189"/>
        <v>(e)</v>
      </c>
      <c r="L565" s="16" t="str">
        <f t="shared" si="189"/>
        <v>(f)</v>
      </c>
      <c r="M565" s="243" t="str">
        <f t="shared" si="189"/>
        <v>(g)</v>
      </c>
      <c r="N565" s="243" t="str">
        <f t="shared" si="189"/>
        <v>(h)</v>
      </c>
      <c r="O565" s="243" t="str">
        <f>O$13</f>
        <v>(i)</v>
      </c>
      <c r="P565" s="243" t="str">
        <f t="shared" si="189"/>
        <v>(j)</v>
      </c>
      <c r="Q565" s="243" t="str">
        <f t="shared" si="189"/>
        <v>(k)</v>
      </c>
      <c r="R565" s="243" t="str">
        <f>R$13</f>
        <v>(l)</v>
      </c>
      <c r="S565" s="16" t="str">
        <f>S$13</f>
        <v>(m)</v>
      </c>
      <c r="T565" s="16"/>
      <c r="U565" s="16" t="s">
        <v>734</v>
      </c>
      <c r="V565" s="67"/>
      <c r="W565" s="370"/>
    </row>
    <row r="566" spans="1:23" ht="18" customHeight="1">
      <c r="A566" s="47"/>
      <c r="B566" s="67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43"/>
      <c r="V566" s="67"/>
      <c r="W566" s="370">
        <f t="shared" si="173"/>
        <v>0</v>
      </c>
    </row>
    <row r="567" spans="1:23" ht="18" customHeight="1">
      <c r="A567" s="40"/>
      <c r="B567" s="17">
        <f>B553+1</f>
        <v>1</v>
      </c>
      <c r="C567" s="36" t="s">
        <v>146</v>
      </c>
      <c r="D567" s="43"/>
      <c r="E567" s="897" t="s">
        <v>132</v>
      </c>
      <c r="F567" s="346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43"/>
      <c r="V567" s="43"/>
      <c r="W567" s="370">
        <f t="shared" si="173"/>
        <v>0</v>
      </c>
    </row>
    <row r="568" spans="1:23" ht="18" customHeight="1">
      <c r="A568" s="40"/>
      <c r="B568" s="17">
        <f t="shared" si="190" ref="B568:B599">B567+1</f>
        <v>2</v>
      </c>
      <c r="C568" s="43">
        <v>182</v>
      </c>
      <c r="D568" s="43" t="s">
        <v>147</v>
      </c>
      <c r="E568" s="358"/>
      <c r="F568" s="118">
        <f>' WP II-I-1.4'!H568</f>
        <v>0</v>
      </c>
      <c r="G568" s="358">
        <v>64</v>
      </c>
      <c r="H568" s="47" t="str">
        <f t="shared" si="191" ref="H568:H573">VLOOKUP(G568,FactorTable,2)</f>
        <v>PLANT</v>
      </c>
      <c r="I568" s="358"/>
      <c r="J568" s="434">
        <f t="shared" si="192" ref="J568:S573">$F568*HLOOKUP(J$1318,FactorTable,$G568+1)</f>
        <v>0</v>
      </c>
      <c r="K568" s="434">
        <f t="shared" si="192"/>
        <v>0</v>
      </c>
      <c r="L568" s="434">
        <f t="shared" si="192"/>
        <v>0</v>
      </c>
      <c r="M568" s="434">
        <f t="shared" si="192"/>
        <v>0</v>
      </c>
      <c r="N568" s="434">
        <f t="shared" si="192"/>
        <v>0</v>
      </c>
      <c r="O568" s="434">
        <f t="shared" si="192"/>
        <v>0</v>
      </c>
      <c r="P568" s="434">
        <f t="shared" si="192"/>
        <v>0</v>
      </c>
      <c r="Q568" s="434">
        <f t="shared" si="192"/>
        <v>0</v>
      </c>
      <c r="R568" s="434">
        <f t="shared" si="192"/>
        <v>0</v>
      </c>
      <c r="S568" s="434">
        <f t="shared" si="192"/>
        <v>0</v>
      </c>
      <c r="T568" s="358"/>
      <c r="U568" s="118">
        <f t="shared" si="193" ref="U568:U574">SUM(I568:T568)</f>
        <v>0</v>
      </c>
      <c r="V568" s="43"/>
      <c r="W568" s="370">
        <f t="shared" si="173"/>
        <v>0</v>
      </c>
    </row>
    <row r="569" spans="1:23" ht="18" customHeight="1">
      <c r="A569" s="40"/>
      <c r="B569" s="17">
        <f>B568+1</f>
        <v>3</v>
      </c>
      <c r="C569" s="43">
        <v>182</v>
      </c>
      <c r="D569" s="43" t="s">
        <v>148</v>
      </c>
      <c r="E569" s="358"/>
      <c r="F569" s="118">
        <f>' WP II-I-1.4'!H569</f>
        <v>0</v>
      </c>
      <c r="G569" s="358">
        <v>64</v>
      </c>
      <c r="H569" s="47" t="str">
        <f t="shared" si="191"/>
        <v>PLANT</v>
      </c>
      <c r="I569" s="358"/>
      <c r="J569" s="434">
        <f t="shared" si="192"/>
        <v>0</v>
      </c>
      <c r="K569" s="434">
        <f t="shared" si="192"/>
        <v>0</v>
      </c>
      <c r="L569" s="434">
        <f t="shared" si="192"/>
        <v>0</v>
      </c>
      <c r="M569" s="434">
        <f t="shared" si="192"/>
        <v>0</v>
      </c>
      <c r="N569" s="434">
        <f t="shared" si="192"/>
        <v>0</v>
      </c>
      <c r="O569" s="434">
        <f t="shared" si="192"/>
        <v>0</v>
      </c>
      <c r="P569" s="434">
        <f t="shared" si="192"/>
        <v>0</v>
      </c>
      <c r="Q569" s="434">
        <f t="shared" si="192"/>
        <v>0</v>
      </c>
      <c r="R569" s="434">
        <f t="shared" si="192"/>
        <v>0</v>
      </c>
      <c r="S569" s="434">
        <f t="shared" si="192"/>
        <v>0</v>
      </c>
      <c r="T569" s="358"/>
      <c r="U569" s="118">
        <f t="shared" si="193"/>
        <v>0</v>
      </c>
      <c r="V569" s="43"/>
      <c r="W569" s="370">
        <f t="shared" si="173"/>
        <v>0</v>
      </c>
    </row>
    <row r="570" spans="1:23" ht="18" customHeight="1">
      <c r="A570" s="40"/>
      <c r="B570" s="17">
        <f t="shared" si="190"/>
        <v>4</v>
      </c>
      <c r="C570" s="43">
        <v>182</v>
      </c>
      <c r="D570" s="43" t="s">
        <v>149</v>
      </c>
      <c r="E570" s="358"/>
      <c r="F570" s="118">
        <f>' WP II-I-1.4'!H570</f>
        <v>0</v>
      </c>
      <c r="G570" s="358">
        <v>37</v>
      </c>
      <c r="H570" s="47" t="str">
        <f t="shared" si="191"/>
        <v>OPEB TOTAL</v>
      </c>
      <c r="I570" s="358"/>
      <c r="J570" s="434">
        <f t="shared" si="192"/>
        <v>0</v>
      </c>
      <c r="K570" s="434">
        <f t="shared" si="192"/>
        <v>0</v>
      </c>
      <c r="L570" s="434">
        <f t="shared" si="192"/>
        <v>0</v>
      </c>
      <c r="M570" s="434">
        <f t="shared" si="192"/>
        <v>0</v>
      </c>
      <c r="N570" s="434">
        <f t="shared" si="192"/>
        <v>0</v>
      </c>
      <c r="O570" s="434">
        <f t="shared" si="192"/>
        <v>0</v>
      </c>
      <c r="P570" s="434">
        <f t="shared" si="192"/>
        <v>0</v>
      </c>
      <c r="Q570" s="434">
        <f t="shared" si="192"/>
        <v>0</v>
      </c>
      <c r="R570" s="434">
        <f t="shared" si="192"/>
        <v>0</v>
      </c>
      <c r="S570" s="434">
        <f t="shared" si="192"/>
        <v>0</v>
      </c>
      <c r="T570" s="358"/>
      <c r="U570" s="118">
        <f t="shared" si="193"/>
        <v>0</v>
      </c>
      <c r="V570" s="43"/>
      <c r="W570" s="370">
        <f t="shared" si="173"/>
        <v>0</v>
      </c>
    </row>
    <row r="571" spans="1:23" ht="18" customHeight="1">
      <c r="A571" s="40"/>
      <c r="B571" s="17">
        <f t="shared" si="190"/>
        <v>5</v>
      </c>
      <c r="C571" s="43">
        <v>182</v>
      </c>
      <c r="D571" s="43" t="s">
        <v>150</v>
      </c>
      <c r="E571" s="358"/>
      <c r="F571" s="118">
        <f>' WP II-I-1.4'!H571</f>
        <v>0</v>
      </c>
      <c r="G571" s="358">
        <v>64</v>
      </c>
      <c r="H571" s="47" t="str">
        <f t="shared" si="191"/>
        <v>PLANT</v>
      </c>
      <c r="I571" s="358"/>
      <c r="J571" s="434">
        <f t="shared" si="192"/>
        <v>0</v>
      </c>
      <c r="K571" s="434">
        <f t="shared" si="192"/>
        <v>0</v>
      </c>
      <c r="L571" s="434">
        <f t="shared" si="192"/>
        <v>0</v>
      </c>
      <c r="M571" s="434">
        <f t="shared" si="192"/>
        <v>0</v>
      </c>
      <c r="N571" s="434">
        <f t="shared" si="192"/>
        <v>0</v>
      </c>
      <c r="O571" s="434">
        <f t="shared" si="192"/>
        <v>0</v>
      </c>
      <c r="P571" s="434">
        <f t="shared" si="192"/>
        <v>0</v>
      </c>
      <c r="Q571" s="434">
        <f t="shared" si="192"/>
        <v>0</v>
      </c>
      <c r="R571" s="434">
        <f t="shared" si="192"/>
        <v>0</v>
      </c>
      <c r="S571" s="434">
        <f t="shared" si="192"/>
        <v>0</v>
      </c>
      <c r="T571" s="358"/>
      <c r="U571" s="118">
        <f t="shared" si="193"/>
        <v>0</v>
      </c>
      <c r="V571" s="43"/>
      <c r="W571" s="370">
        <f t="shared" si="173"/>
        <v>0</v>
      </c>
    </row>
    <row r="572" spans="1:23" ht="18" customHeight="1">
      <c r="A572" s="40"/>
      <c r="B572" s="17">
        <f t="shared" si="190"/>
        <v>6</v>
      </c>
      <c r="C572" s="43">
        <v>182</v>
      </c>
      <c r="D572" s="43" t="s">
        <v>1237</v>
      </c>
      <c r="E572" s="358"/>
      <c r="F572" s="118">
        <f>' WP II-I-1.4'!H572</f>
        <v>16213241.1</v>
      </c>
      <c r="G572" s="358">
        <v>64</v>
      </c>
      <c r="H572" s="47" t="str">
        <f t="shared" si="191"/>
        <v>PLANT</v>
      </c>
      <c r="I572" s="358"/>
      <c r="J572" s="434">
        <f t="shared" si="192"/>
        <v>9038959.9757036157</v>
      </c>
      <c r="K572" s="434">
        <f t="shared" si="192"/>
        <v>1393574.8495491445</v>
      </c>
      <c r="L572" s="434">
        <f t="shared" si="192"/>
        <v>4298529.8317170152</v>
      </c>
      <c r="M572" s="434">
        <f t="shared" si="192"/>
        <v>60357.885506907842</v>
      </c>
      <c r="N572" s="434">
        <f t="shared" si="192"/>
        <v>1259506.4785575212</v>
      </c>
      <c r="O572" s="434">
        <f t="shared" si="192"/>
        <v>43041.122371783131</v>
      </c>
      <c r="P572" s="434">
        <f t="shared" si="192"/>
        <v>93697.212547804811</v>
      </c>
      <c r="Q572" s="434">
        <f t="shared" si="192"/>
        <v>9010.2350253932254</v>
      </c>
      <c r="R572" s="434">
        <f t="shared" si="192"/>
        <v>4966.2833505903636</v>
      </c>
      <c r="S572" s="434">
        <f t="shared" si="192"/>
        <v>11597.22567022743</v>
      </c>
      <c r="T572" s="358"/>
      <c r="U572" s="118">
        <f t="shared" si="193"/>
        <v>16213241.100000003</v>
      </c>
      <c r="V572" s="43"/>
      <c r="W572" s="370">
        <f t="shared" si="173"/>
        <v>0</v>
      </c>
    </row>
    <row r="573" spans="1:23" ht="18" customHeight="1">
      <c r="A573" s="40"/>
      <c r="B573" s="17">
        <f t="shared" si="190"/>
        <v>7</v>
      </c>
      <c r="C573" s="43">
        <v>182</v>
      </c>
      <c r="D573" s="43" t="s">
        <v>1238</v>
      </c>
      <c r="E573" s="358"/>
      <c r="F573" s="118">
        <f>' WP II-I-1.4'!H573</f>
        <v>0</v>
      </c>
      <c r="G573" s="358">
        <v>64</v>
      </c>
      <c r="H573" s="47" t="str">
        <f t="shared" si="191"/>
        <v>PLANT</v>
      </c>
      <c r="I573" s="358"/>
      <c r="J573" s="435">
        <f t="shared" si="192"/>
        <v>0</v>
      </c>
      <c r="K573" s="435">
        <f t="shared" si="192"/>
        <v>0</v>
      </c>
      <c r="L573" s="435">
        <f t="shared" si="192"/>
        <v>0</v>
      </c>
      <c r="M573" s="435">
        <f t="shared" si="192"/>
        <v>0</v>
      </c>
      <c r="N573" s="435">
        <f t="shared" si="192"/>
        <v>0</v>
      </c>
      <c r="O573" s="435">
        <f t="shared" si="192"/>
        <v>0</v>
      </c>
      <c r="P573" s="435">
        <f t="shared" si="192"/>
        <v>0</v>
      </c>
      <c r="Q573" s="435">
        <f t="shared" si="192"/>
        <v>0</v>
      </c>
      <c r="R573" s="435">
        <f t="shared" si="192"/>
        <v>0</v>
      </c>
      <c r="S573" s="435">
        <f t="shared" si="192"/>
        <v>0</v>
      </c>
      <c r="T573" s="358"/>
      <c r="U573" s="118">
        <f t="shared" si="193"/>
        <v>0</v>
      </c>
      <c r="V573" s="43"/>
      <c r="W573" s="370">
        <f t="shared" si="173"/>
        <v>0</v>
      </c>
    </row>
    <row r="574" spans="1:23" ht="18" customHeight="1">
      <c r="A574" s="38"/>
      <c r="B574" s="17">
        <f t="shared" si="190"/>
        <v>8</v>
      </c>
      <c r="C574" s="35"/>
      <c r="D574" s="44" t="s">
        <v>616</v>
      </c>
      <c r="E574" s="37"/>
      <c r="F574" s="21">
        <f>SUM(F568:F573)</f>
        <v>16213241.1</v>
      </c>
      <c r="G574" s="37"/>
      <c r="H574" s="37"/>
      <c r="I574" s="897"/>
      <c r="J574" s="895">
        <f t="shared" si="194" ref="J574:S574">SUM(J568:J573)</f>
        <v>9038959.9757036157</v>
      </c>
      <c r="K574" s="895">
        <f t="shared" si="194"/>
        <v>1393574.8495491445</v>
      </c>
      <c r="L574" s="895">
        <f t="shared" si="194"/>
        <v>4298529.8317170152</v>
      </c>
      <c r="M574" s="895">
        <f t="shared" si="194"/>
        <v>60357.885506907842</v>
      </c>
      <c r="N574" s="895">
        <f t="shared" si="194"/>
        <v>1259506.4785575212</v>
      </c>
      <c r="O574" s="895">
        <f t="shared" si="194"/>
        <v>43041.122371783131</v>
      </c>
      <c r="P574" s="895">
        <f t="shared" si="194"/>
        <v>93697.212547804811</v>
      </c>
      <c r="Q574" s="895">
        <f t="shared" si="194"/>
        <v>9010.2350253932254</v>
      </c>
      <c r="R574" s="895">
        <f t="shared" si="194"/>
        <v>4966.2833505903636</v>
      </c>
      <c r="S574" s="895">
        <f t="shared" si="194"/>
        <v>11597.22567022743</v>
      </c>
      <c r="T574" s="897"/>
      <c r="U574" s="118">
        <f t="shared" si="193"/>
        <v>16213241.100000003</v>
      </c>
      <c r="V574" s="36"/>
      <c r="W574" s="370">
        <f t="shared" si="173"/>
        <v>0</v>
      </c>
    </row>
    <row r="575" spans="1:23" ht="18" customHeight="1">
      <c r="A575" s="38"/>
      <c r="B575" s="17">
        <f t="shared" si="190"/>
        <v>9</v>
      </c>
      <c r="C575" s="35"/>
      <c r="D575" s="44"/>
      <c r="E575" s="37"/>
      <c r="F575" s="21"/>
      <c r="G575" s="37"/>
      <c r="H575" s="37"/>
      <c r="I575" s="897"/>
      <c r="J575" s="897"/>
      <c r="K575" s="897"/>
      <c r="L575" s="897"/>
      <c r="M575" s="897"/>
      <c r="N575" s="897"/>
      <c r="O575" s="897"/>
      <c r="P575" s="897"/>
      <c r="Q575" s="897"/>
      <c r="R575" s="897"/>
      <c r="S575" s="897"/>
      <c r="T575" s="897"/>
      <c r="U575" s="118"/>
      <c r="V575" s="36"/>
      <c r="W575" s="370">
        <f t="shared" si="173"/>
        <v>0</v>
      </c>
    </row>
    <row r="576" spans="1:23" ht="18" customHeight="1">
      <c r="A576" s="40"/>
      <c r="B576" s="17">
        <f t="shared" si="190"/>
        <v>10</v>
      </c>
      <c r="C576" s="36" t="s">
        <v>153</v>
      </c>
      <c r="D576" s="43"/>
      <c r="E576" s="897" t="s">
        <v>132</v>
      </c>
      <c r="F576" s="263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263"/>
      <c r="V576" s="43"/>
      <c r="W576" s="370">
        <f t="shared" si="173"/>
        <v>0</v>
      </c>
    </row>
    <row r="577" spans="1:23" ht="18" customHeight="1">
      <c r="A577" s="40"/>
      <c r="B577" s="17">
        <f t="shared" si="190"/>
        <v>11</v>
      </c>
      <c r="C577" s="43">
        <v>254</v>
      </c>
      <c r="D577" s="43" t="s">
        <v>154</v>
      </c>
      <c r="E577" s="358"/>
      <c r="F577" s="118">
        <f>' WP II-I-1.4'!H577</f>
        <v>0</v>
      </c>
      <c r="G577" s="358">
        <v>64</v>
      </c>
      <c r="H577" s="47" t="str">
        <f t="shared" si="195" ref="H577:H586">VLOOKUP(G577,FactorTable,2)</f>
        <v>PLANT</v>
      </c>
      <c r="I577" s="358"/>
      <c r="J577" s="434">
        <f t="shared" si="196" ref="J577:S586">$F577*HLOOKUP(J$1318,FactorTable,$G577+1)</f>
        <v>0</v>
      </c>
      <c r="K577" s="434">
        <f t="shared" si="196"/>
        <v>0</v>
      </c>
      <c r="L577" s="434">
        <f t="shared" si="196"/>
        <v>0</v>
      </c>
      <c r="M577" s="434">
        <f t="shared" si="196"/>
        <v>0</v>
      </c>
      <c r="N577" s="434">
        <f t="shared" si="196"/>
        <v>0</v>
      </c>
      <c r="O577" s="434">
        <f t="shared" si="196"/>
        <v>0</v>
      </c>
      <c r="P577" s="434">
        <f t="shared" si="196"/>
        <v>0</v>
      </c>
      <c r="Q577" s="434">
        <f t="shared" si="196"/>
        <v>0</v>
      </c>
      <c r="R577" s="434">
        <f t="shared" si="196"/>
        <v>0</v>
      </c>
      <c r="S577" s="434">
        <f t="shared" si="196"/>
        <v>0</v>
      </c>
      <c r="T577" s="358"/>
      <c r="U577" s="118">
        <f t="shared" si="197" ref="U577:U587">SUM(I577:T577)</f>
        <v>0</v>
      </c>
      <c r="V577" s="43"/>
      <c r="W577" s="370">
        <f t="shared" si="173"/>
        <v>0</v>
      </c>
    </row>
    <row r="578" spans="1:23" ht="18" customHeight="1">
      <c r="A578" s="40"/>
      <c r="B578" s="17">
        <f t="shared" si="190"/>
        <v>12</v>
      </c>
      <c r="C578" s="43">
        <v>254</v>
      </c>
      <c r="D578" s="43" t="s">
        <v>1239</v>
      </c>
      <c r="E578" s="358"/>
      <c r="F578" s="118">
        <f>' WP II-I-1.4'!H578</f>
        <v>-25833188.59</v>
      </c>
      <c r="G578" s="358">
        <v>64</v>
      </c>
      <c r="H578" s="47" t="str">
        <f t="shared" si="195"/>
        <v>PLANT</v>
      </c>
      <c r="I578" s="358"/>
      <c r="J578" s="434">
        <f t="shared" si="196"/>
        <v>-14402127.018873068</v>
      </c>
      <c r="K578" s="434">
        <f t="shared" si="196"/>
        <v>-2220437.0909332819</v>
      </c>
      <c r="L578" s="434">
        <f t="shared" si="196"/>
        <v>-6849015.0191183304</v>
      </c>
      <c r="M578" s="434">
        <f t="shared" si="196"/>
        <v>-96170.570065326305</v>
      </c>
      <c r="N578" s="434">
        <f t="shared" si="196"/>
        <v>-2006820.7331415827</v>
      </c>
      <c r="O578" s="434">
        <f t="shared" si="196"/>
        <v>-68579.096831881558</v>
      </c>
      <c r="P578" s="434">
        <f t="shared" si="196"/>
        <v>-149291.41848786522</v>
      </c>
      <c r="Q578" s="434">
        <f t="shared" si="196"/>
        <v>-14356.358436636499</v>
      </c>
      <c r="R578" s="434">
        <f t="shared" si="196"/>
        <v>-7912.9727113709514</v>
      </c>
      <c r="S578" s="434">
        <f t="shared" si="196"/>
        <v>-18478.311400659695</v>
      </c>
      <c r="T578" s="358"/>
      <c r="U578" s="118">
        <f t="shared" si="198" ref="U578:U581">SUM(I578:T578)</f>
        <v>-25833188.59</v>
      </c>
      <c r="V578" s="43"/>
      <c r="W578" s="370">
        <f t="shared" si="199" ref="W578:W581">U578-F578</f>
        <v>0</v>
      </c>
    </row>
    <row r="579" spans="1:23" ht="18" customHeight="1">
      <c r="A579" s="40"/>
      <c r="B579" s="17">
        <f t="shared" si="190"/>
        <v>13</v>
      </c>
      <c r="C579" s="43">
        <v>254</v>
      </c>
      <c r="D579" s="43" t="s">
        <v>1240</v>
      </c>
      <c r="E579" s="358"/>
      <c r="F579" s="118">
        <f>' WP II-I-1.4'!H579</f>
        <v>0</v>
      </c>
      <c r="G579" s="358">
        <v>64</v>
      </c>
      <c r="H579" s="47" t="str">
        <f t="shared" si="195"/>
        <v>PLANT</v>
      </c>
      <c r="I579" s="358"/>
      <c r="J579" s="434">
        <f t="shared" si="196"/>
        <v>0</v>
      </c>
      <c r="K579" s="434">
        <f t="shared" si="196"/>
        <v>0</v>
      </c>
      <c r="L579" s="434">
        <f t="shared" si="196"/>
        <v>0</v>
      </c>
      <c r="M579" s="434">
        <f t="shared" si="196"/>
        <v>0</v>
      </c>
      <c r="N579" s="434">
        <f t="shared" si="196"/>
        <v>0</v>
      </c>
      <c r="O579" s="434">
        <f t="shared" si="196"/>
        <v>0</v>
      </c>
      <c r="P579" s="434">
        <f t="shared" si="196"/>
        <v>0</v>
      </c>
      <c r="Q579" s="434">
        <f t="shared" si="196"/>
        <v>0</v>
      </c>
      <c r="R579" s="434">
        <f t="shared" si="196"/>
        <v>0</v>
      </c>
      <c r="S579" s="434">
        <f t="shared" si="196"/>
        <v>0</v>
      </c>
      <c r="T579" s="358"/>
      <c r="U579" s="118">
        <f t="shared" si="198"/>
        <v>0</v>
      </c>
      <c r="V579" s="43"/>
      <c r="W579" s="370">
        <f t="shared" si="199"/>
        <v>0</v>
      </c>
    </row>
    <row r="580" spans="1:23" ht="18" customHeight="1">
      <c r="A580" s="40"/>
      <c r="B580" s="17">
        <f t="shared" si="190"/>
        <v>14</v>
      </c>
      <c r="C580" s="43">
        <v>254</v>
      </c>
      <c r="D580" s="43" t="s">
        <v>1241</v>
      </c>
      <c r="E580" s="358"/>
      <c r="F580" s="118">
        <f>' WP II-I-1.4'!H580</f>
        <v>-15727006.609999999</v>
      </c>
      <c r="G580" s="358">
        <v>64</v>
      </c>
      <c r="H580" s="47" t="str">
        <f t="shared" si="195"/>
        <v>PLANT</v>
      </c>
      <c r="I580" s="358"/>
      <c r="J580" s="434">
        <f t="shared" si="196"/>
        <v>-8767881.9064385705</v>
      </c>
      <c r="K580" s="434">
        <f t="shared" si="196"/>
        <v>-1351781.5922930518</v>
      </c>
      <c r="L580" s="434">
        <f t="shared" si="196"/>
        <v>-4169617.0839460148</v>
      </c>
      <c r="M580" s="434">
        <f t="shared" si="196"/>
        <v>-58547.754793627464</v>
      </c>
      <c r="N580" s="434">
        <f t="shared" si="196"/>
        <v>-1221733.9266984663</v>
      </c>
      <c r="O580" s="434">
        <f t="shared" si="196"/>
        <v>-41750.320732777618</v>
      </c>
      <c r="P580" s="434">
        <f t="shared" si="196"/>
        <v>-90887.236672123574</v>
      </c>
      <c r="Q580" s="434">
        <f t="shared" si="196"/>
        <v>-8740.0184163062113</v>
      </c>
      <c r="R580" s="434">
        <f t="shared" si="196"/>
        <v>-4817.3446999358812</v>
      </c>
      <c r="S580" s="434">
        <f t="shared" si="196"/>
        <v>-11249.425309127641</v>
      </c>
      <c r="T580" s="358"/>
      <c r="U580" s="118">
        <f t="shared" si="198"/>
        <v>-15727006.610000001</v>
      </c>
      <c r="V580" s="43"/>
      <c r="W580" s="370">
        <f t="shared" si="199"/>
        <v>0</v>
      </c>
    </row>
    <row r="581" spans="1:23" ht="18" customHeight="1">
      <c r="A581" s="40"/>
      <c r="B581" s="17">
        <f t="shared" si="190"/>
        <v>15</v>
      </c>
      <c r="C581" s="43">
        <v>254</v>
      </c>
      <c r="D581" s="43" t="s">
        <v>1242</v>
      </c>
      <c r="E581" s="358"/>
      <c r="F581" s="118">
        <f>' WP II-I-1.4'!H581</f>
        <v>0</v>
      </c>
      <c r="G581" s="358">
        <v>64</v>
      </c>
      <c r="H581" s="47" t="str">
        <f t="shared" si="195"/>
        <v>PLANT</v>
      </c>
      <c r="I581" s="358"/>
      <c r="J581" s="434">
        <f t="shared" si="196"/>
        <v>0</v>
      </c>
      <c r="K581" s="434">
        <f t="shared" si="196"/>
        <v>0</v>
      </c>
      <c r="L581" s="434">
        <f t="shared" si="196"/>
        <v>0</v>
      </c>
      <c r="M581" s="434">
        <f t="shared" si="196"/>
        <v>0</v>
      </c>
      <c r="N581" s="434">
        <f t="shared" si="196"/>
        <v>0</v>
      </c>
      <c r="O581" s="434">
        <f t="shared" si="196"/>
        <v>0</v>
      </c>
      <c r="P581" s="434">
        <f t="shared" si="196"/>
        <v>0</v>
      </c>
      <c r="Q581" s="434">
        <f t="shared" si="196"/>
        <v>0</v>
      </c>
      <c r="R581" s="434">
        <f t="shared" si="196"/>
        <v>0</v>
      </c>
      <c r="S581" s="434">
        <f t="shared" si="196"/>
        <v>0</v>
      </c>
      <c r="T581" s="358"/>
      <c r="U581" s="118">
        <f t="shared" si="198"/>
        <v>0</v>
      </c>
      <c r="V581" s="43"/>
      <c r="W581" s="370">
        <f t="shared" si="199"/>
        <v>0</v>
      </c>
    </row>
    <row r="582" spans="1:23" ht="18" customHeight="1">
      <c r="A582" s="40"/>
      <c r="B582" s="17">
        <f t="shared" si="190"/>
        <v>16</v>
      </c>
      <c r="C582" s="43">
        <v>254</v>
      </c>
      <c r="D582" s="43" t="s">
        <v>1244</v>
      </c>
      <c r="E582" s="358"/>
      <c r="F582" s="118">
        <f>' WP II-I-1.4'!H582</f>
        <v>-3127718</v>
      </c>
      <c r="G582" s="358">
        <v>64</v>
      </c>
      <c r="H582" s="47" t="str">
        <f t="shared" si="195"/>
        <v>PLANT</v>
      </c>
      <c r="I582" s="358"/>
      <c r="J582" s="434">
        <f t="shared" si="196"/>
        <v>-1743717.8441322111</v>
      </c>
      <c r="K582" s="434">
        <f t="shared" si="196"/>
        <v>-268836.3859143593</v>
      </c>
      <c r="L582" s="434">
        <f t="shared" si="196"/>
        <v>-829235.1322770546</v>
      </c>
      <c r="M582" s="434">
        <f t="shared" si="196"/>
        <v>-11643.720325721597</v>
      </c>
      <c r="N582" s="434">
        <f t="shared" si="196"/>
        <v>-242973.07736335171</v>
      </c>
      <c r="O582" s="434">
        <f t="shared" si="196"/>
        <v>-8303.1204157217398</v>
      </c>
      <c r="P582" s="434">
        <f t="shared" si="196"/>
        <v>-18075.254443455786</v>
      </c>
      <c r="Q582" s="434">
        <f t="shared" si="196"/>
        <v>-1738.1764755939421</v>
      </c>
      <c r="R582" s="434">
        <f t="shared" si="196"/>
        <v>-958.0523556602011</v>
      </c>
      <c r="S582" s="434">
        <f t="shared" si="196"/>
        <v>-2237.2362968704879</v>
      </c>
      <c r="T582" s="358"/>
      <c r="U582" s="118">
        <f t="shared" si="197"/>
        <v>-3127718</v>
      </c>
      <c r="V582" s="43"/>
      <c r="W582" s="370">
        <f t="shared" si="173"/>
        <v>0</v>
      </c>
    </row>
    <row r="583" spans="1:23" ht="18" customHeight="1">
      <c r="A583" s="40"/>
      <c r="B583" s="17">
        <f t="shared" si="190"/>
        <v>17</v>
      </c>
      <c r="C583" s="43">
        <v>254</v>
      </c>
      <c r="D583" s="43" t="s">
        <v>1245</v>
      </c>
      <c r="E583" s="358"/>
      <c r="F583" s="118">
        <f>' WP II-I-1.4'!H583</f>
        <v>285153.67999999999</v>
      </c>
      <c r="G583" s="358">
        <v>64</v>
      </c>
      <c r="H583" s="47" t="str">
        <f t="shared" si="195"/>
        <v>PLANT</v>
      </c>
      <c r="I583" s="358"/>
      <c r="J583" s="434">
        <f t="shared" si="196"/>
        <v>158974.54953930195</v>
      </c>
      <c r="K583" s="434">
        <f t="shared" si="196"/>
        <v>24509.781496087471</v>
      </c>
      <c r="L583" s="434">
        <f t="shared" si="196"/>
        <v>75601.268897672009</v>
      </c>
      <c r="M583" s="434">
        <f t="shared" si="196"/>
        <v>1061.5566044542097</v>
      </c>
      <c r="N583" s="434">
        <f t="shared" si="196"/>
        <v>22151.826715542909</v>
      </c>
      <c r="O583" s="434">
        <f t="shared" si="196"/>
        <v>756.99450590692129</v>
      </c>
      <c r="P583" s="434">
        <f t="shared" si="196"/>
        <v>1647.9188090127591</v>
      </c>
      <c r="Q583" s="434">
        <f t="shared" si="196"/>
        <v>158.46934362530215</v>
      </c>
      <c r="R583" s="434">
        <f t="shared" si="196"/>
        <v>87.345519912337096</v>
      </c>
      <c r="S583" s="434">
        <f t="shared" si="196"/>
        <v>203.96856848417667</v>
      </c>
      <c r="T583" s="358"/>
      <c r="U583" s="118">
        <f t="shared" si="197"/>
        <v>285153.68000000005</v>
      </c>
      <c r="V583" s="43"/>
      <c r="W583" s="370">
        <f t="shared" si="173"/>
        <v>0</v>
      </c>
    </row>
    <row r="584" spans="1:23" ht="18" customHeight="1">
      <c r="A584" s="40"/>
      <c r="B584" s="17">
        <f t="shared" si="190"/>
        <v>18</v>
      </c>
      <c r="C584" s="43">
        <v>254</v>
      </c>
      <c r="D584" s="43" t="s">
        <v>1246</v>
      </c>
      <c r="E584" s="358"/>
      <c r="F584" s="118">
        <f>' WP II-I-1.4'!H584</f>
        <v>0</v>
      </c>
      <c r="G584" s="358">
        <v>64</v>
      </c>
      <c r="H584" s="47" t="str">
        <f t="shared" si="195"/>
        <v>PLANT</v>
      </c>
      <c r="I584" s="358"/>
      <c r="J584" s="434">
        <f t="shared" si="196"/>
        <v>0</v>
      </c>
      <c r="K584" s="434">
        <f t="shared" si="196"/>
        <v>0</v>
      </c>
      <c r="L584" s="434">
        <f t="shared" si="196"/>
        <v>0</v>
      </c>
      <c r="M584" s="434">
        <f t="shared" si="196"/>
        <v>0</v>
      </c>
      <c r="N584" s="434">
        <f t="shared" si="196"/>
        <v>0</v>
      </c>
      <c r="O584" s="434">
        <f t="shared" si="196"/>
        <v>0</v>
      </c>
      <c r="P584" s="434">
        <f t="shared" si="196"/>
        <v>0</v>
      </c>
      <c r="Q584" s="434">
        <f t="shared" si="196"/>
        <v>0</v>
      </c>
      <c r="R584" s="434">
        <f t="shared" si="196"/>
        <v>0</v>
      </c>
      <c r="S584" s="434">
        <f t="shared" si="196"/>
        <v>0</v>
      </c>
      <c r="T584" s="358"/>
      <c r="U584" s="118">
        <f t="shared" si="197"/>
        <v>0</v>
      </c>
      <c r="V584" s="43"/>
      <c r="W584" s="370">
        <f t="shared" si="173"/>
        <v>0</v>
      </c>
    </row>
    <row r="585" spans="1:23" ht="18" customHeight="1">
      <c r="A585" s="40"/>
      <c r="B585" s="17">
        <f t="shared" si="190"/>
        <v>19</v>
      </c>
      <c r="C585" s="43">
        <v>254</v>
      </c>
      <c r="D585" s="43" t="s">
        <v>155</v>
      </c>
      <c r="E585" s="358"/>
      <c r="F585" s="118">
        <f>' WP II-I-1.4'!H585</f>
        <v>0</v>
      </c>
      <c r="G585" s="358">
        <v>37</v>
      </c>
      <c r="H585" s="47" t="str">
        <f t="shared" si="195"/>
        <v>OPEB TOTAL</v>
      </c>
      <c r="I585" s="358"/>
      <c r="J585" s="434">
        <f t="shared" si="196"/>
        <v>0</v>
      </c>
      <c r="K585" s="434">
        <f t="shared" si="196"/>
        <v>0</v>
      </c>
      <c r="L585" s="434">
        <f t="shared" si="196"/>
        <v>0</v>
      </c>
      <c r="M585" s="434">
        <f t="shared" si="196"/>
        <v>0</v>
      </c>
      <c r="N585" s="434">
        <f t="shared" si="196"/>
        <v>0</v>
      </c>
      <c r="O585" s="434">
        <f t="shared" si="196"/>
        <v>0</v>
      </c>
      <c r="P585" s="434">
        <f t="shared" si="196"/>
        <v>0</v>
      </c>
      <c r="Q585" s="434">
        <f t="shared" si="196"/>
        <v>0</v>
      </c>
      <c r="R585" s="434">
        <f t="shared" si="196"/>
        <v>0</v>
      </c>
      <c r="S585" s="434">
        <f t="shared" si="196"/>
        <v>0</v>
      </c>
      <c r="T585" s="358"/>
      <c r="U585" s="118">
        <f t="shared" si="197"/>
        <v>0</v>
      </c>
      <c r="V585" s="43"/>
      <c r="W585" s="370">
        <f t="shared" si="173"/>
        <v>0</v>
      </c>
    </row>
    <row r="586" spans="1:23" ht="18" customHeight="1">
      <c r="A586" s="40"/>
      <c r="B586" s="17">
        <f t="shared" si="190"/>
        <v>20</v>
      </c>
      <c r="C586" s="43">
        <v>254</v>
      </c>
      <c r="D586" s="43" t="s">
        <v>156</v>
      </c>
      <c r="E586" s="358"/>
      <c r="F586" s="118">
        <f>' WP II-I-1.4'!H586</f>
        <v>0</v>
      </c>
      <c r="G586" s="358">
        <v>37</v>
      </c>
      <c r="H586" s="47" t="str">
        <f t="shared" si="195"/>
        <v>OPEB TOTAL</v>
      </c>
      <c r="I586" s="358"/>
      <c r="J586" s="435">
        <f t="shared" si="196"/>
        <v>0</v>
      </c>
      <c r="K586" s="435">
        <f t="shared" si="196"/>
        <v>0</v>
      </c>
      <c r="L586" s="435">
        <f t="shared" si="196"/>
        <v>0</v>
      </c>
      <c r="M586" s="435">
        <f t="shared" si="196"/>
        <v>0</v>
      </c>
      <c r="N586" s="435">
        <f t="shared" si="196"/>
        <v>0</v>
      </c>
      <c r="O586" s="435">
        <f t="shared" si="196"/>
        <v>0</v>
      </c>
      <c r="P586" s="435">
        <f t="shared" si="196"/>
        <v>0</v>
      </c>
      <c r="Q586" s="435">
        <f t="shared" si="196"/>
        <v>0</v>
      </c>
      <c r="R586" s="435">
        <f t="shared" si="196"/>
        <v>0</v>
      </c>
      <c r="S586" s="435">
        <f t="shared" si="196"/>
        <v>0</v>
      </c>
      <c r="T586" s="358"/>
      <c r="U586" s="118">
        <f t="shared" si="197"/>
        <v>0</v>
      </c>
      <c r="V586" s="43"/>
      <c r="W586" s="370">
        <f t="shared" si="173"/>
        <v>0</v>
      </c>
    </row>
    <row r="587" spans="1:23" ht="18" customHeight="1">
      <c r="A587" s="38"/>
      <c r="B587" s="17">
        <f t="shared" si="190"/>
        <v>21</v>
      </c>
      <c r="C587" s="35"/>
      <c r="D587" s="44" t="s">
        <v>617</v>
      </c>
      <c r="E587" s="897"/>
      <c r="F587" s="21">
        <f>SUM(F577:F586)</f>
        <v>-44402759.520000003</v>
      </c>
      <c r="G587" s="37"/>
      <c r="H587" s="37"/>
      <c r="I587" s="897"/>
      <c r="J587" s="21">
        <f t="shared" si="200" ref="J587:Q587">SUM(J577:J586)</f>
        <v>-24754752.219904549</v>
      </c>
      <c r="K587" s="21">
        <f t="shared" si="200"/>
        <v>-3816545.2876446056</v>
      </c>
      <c r="L587" s="21">
        <f t="shared" si="200"/>
        <v>-11772265.966443729</v>
      </c>
      <c r="M587" s="21">
        <f t="shared" si="200"/>
        <v>-165300.48858022117</v>
      </c>
      <c r="N587" s="21">
        <f t="shared" si="200"/>
        <v>-3449375.9104878581</v>
      </c>
      <c r="O587" s="21">
        <f>SUM(O577:O586)</f>
        <v>-117875.54347447401</v>
      </c>
      <c r="P587" s="21">
        <f t="shared" si="200"/>
        <v>-256605.9907944318</v>
      </c>
      <c r="Q587" s="21">
        <f t="shared" si="200"/>
        <v>-24676.083984911351</v>
      </c>
      <c r="R587" s="21">
        <f>SUM(R577:R586)</f>
        <v>-13601.024247054696</v>
      </c>
      <c r="S587" s="21">
        <f>SUM(S577:S586)</f>
        <v>-31761.004438173648</v>
      </c>
      <c r="T587" s="37"/>
      <c r="U587" s="21">
        <f t="shared" si="197"/>
        <v>-44402759.520000018</v>
      </c>
      <c r="V587" s="36"/>
      <c r="W587" s="370">
        <f t="shared" si="173"/>
        <v>0</v>
      </c>
    </row>
    <row r="588" spans="1:23" ht="18" customHeight="1" thickBot="1">
      <c r="A588" s="40"/>
      <c r="B588" s="17">
        <f t="shared" si="190"/>
        <v>22</v>
      </c>
      <c r="C588" s="35"/>
      <c r="D588" s="43"/>
      <c r="E588" s="358"/>
      <c r="F588" s="346"/>
      <c r="G588" s="358"/>
      <c r="H588" s="358"/>
      <c r="I588" s="358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58"/>
      <c r="U588" s="43"/>
      <c r="V588" s="43"/>
      <c r="W588" s="370">
        <f t="shared" si="173"/>
        <v>0</v>
      </c>
    </row>
    <row r="589" spans="1:23" ht="18" customHeight="1" thickBot="1">
      <c r="A589" s="38"/>
      <c r="B589" s="17">
        <f t="shared" si="190"/>
        <v>23</v>
      </c>
      <c r="C589" s="356" t="s">
        <v>618</v>
      </c>
      <c r="D589" s="278"/>
      <c r="E589" s="337" t="s">
        <v>132</v>
      </c>
      <c r="F589" s="278">
        <f>F574+F587</f>
        <v>-28189518.420000002</v>
      </c>
      <c r="G589" s="337"/>
      <c r="H589" s="457"/>
      <c r="I589" s="643"/>
      <c r="J589" s="356">
        <f t="shared" si="201" ref="J589:Q589">J574+J587</f>
        <v>-15715792.244200934</v>
      </c>
      <c r="K589" s="905">
        <f t="shared" si="201"/>
        <v>-2422970.4380954611</v>
      </c>
      <c r="L589" s="905">
        <f t="shared" si="201"/>
        <v>-7473736.1347267134</v>
      </c>
      <c r="M589" s="905">
        <f t="shared" si="201"/>
        <v>-104942.60307331332</v>
      </c>
      <c r="N589" s="905">
        <f t="shared" si="201"/>
        <v>-2189869.4319303371</v>
      </c>
      <c r="O589" s="905">
        <f>O574+O587</f>
        <v>-74834.421102690874</v>
      </c>
      <c r="P589" s="905">
        <f t="shared" si="201"/>
        <v>-162908.77824662699</v>
      </c>
      <c r="Q589" s="905">
        <f t="shared" si="201"/>
        <v>-15665.848959518125</v>
      </c>
      <c r="R589" s="905">
        <f>R574+R587</f>
        <v>-8634.7408964643328</v>
      </c>
      <c r="S589" s="279">
        <f>S574+S587</f>
        <v>-20163.77876794622</v>
      </c>
      <c r="T589" s="457"/>
      <c r="U589" s="279">
        <f>SUM(I589:T589)</f>
        <v>-28189518.420000006</v>
      </c>
      <c r="V589" s="36"/>
      <c r="W589" s="370">
        <f t="shared" si="173"/>
        <v>0</v>
      </c>
    </row>
    <row r="590" spans="1:23" ht="18" customHeight="1" thickBot="1">
      <c r="A590" s="40"/>
      <c r="B590" s="17">
        <f t="shared" si="190"/>
        <v>24</v>
      </c>
      <c r="C590" s="46"/>
      <c r="D590" s="36"/>
      <c r="E590" s="37"/>
      <c r="F590" s="39"/>
      <c r="G590" s="37"/>
      <c r="H590" s="37"/>
      <c r="I590" s="37"/>
      <c r="J590" s="898"/>
      <c r="K590" s="898"/>
      <c r="L590" s="898"/>
      <c r="M590" s="898"/>
      <c r="N590" s="898"/>
      <c r="O590" s="898"/>
      <c r="P590" s="898"/>
      <c r="Q590" s="898"/>
      <c r="R590" s="898"/>
      <c r="S590" s="898"/>
      <c r="T590" s="37"/>
      <c r="U590" s="43"/>
      <c r="V590" s="36"/>
      <c r="W590" s="370">
        <f t="shared" si="173"/>
        <v>0</v>
      </c>
    </row>
    <row r="591" spans="1:23" ht="18" customHeight="1" thickBot="1">
      <c r="A591" s="38"/>
      <c r="B591" s="17">
        <f t="shared" si="190"/>
        <v>25</v>
      </c>
      <c r="C591" s="335" t="s">
        <v>619</v>
      </c>
      <c r="D591" s="336"/>
      <c r="E591" s="336"/>
      <c r="F591" s="360">
        <f>F552+F589</f>
        <v>119901695.55999999</v>
      </c>
      <c r="G591" s="336"/>
      <c r="H591" s="464"/>
      <c r="I591" s="335"/>
      <c r="J591" s="465">
        <f t="shared" si="202" ref="J591:S591">J552+J589</f>
        <v>66849413.063035995</v>
      </c>
      <c r="K591" s="360">
        <f t="shared" si="202"/>
        <v>10305746.634127412</v>
      </c>
      <c r="L591" s="360">
        <f t="shared" si="202"/>
        <v>31785943.138779249</v>
      </c>
      <c r="M591" s="360">
        <f t="shared" si="202"/>
        <v>446322.47720873047</v>
      </c>
      <c r="N591" s="360">
        <f t="shared" si="202"/>
        <v>9313368.0061119907</v>
      </c>
      <c r="O591" s="360">
        <f t="shared" si="202"/>
        <v>318272.78781541483</v>
      </c>
      <c r="P591" s="360">
        <f t="shared" si="202"/>
        <v>692837.56575506087</v>
      </c>
      <c r="Q591" s="360">
        <f t="shared" si="202"/>
        <v>68927.865939750496</v>
      </c>
      <c r="R591" s="360">
        <f t="shared" si="202"/>
        <v>36239.303134390146</v>
      </c>
      <c r="S591" s="361">
        <f t="shared" si="202"/>
        <v>84624.718091981209</v>
      </c>
      <c r="T591" s="464"/>
      <c r="U591" s="361">
        <f>SUM(I591:T591)</f>
        <v>119901695.55999999</v>
      </c>
      <c r="V591" s="36"/>
      <c r="W591" s="370">
        <f t="shared" si="173"/>
        <v>0</v>
      </c>
    </row>
    <row r="592" spans="1:23" ht="18" customHeight="1" thickBot="1">
      <c r="A592" s="40"/>
      <c r="B592" s="17">
        <f t="shared" si="190"/>
        <v>26</v>
      </c>
      <c r="C592" s="362"/>
      <c r="D592" s="362"/>
      <c r="E592" s="362"/>
      <c r="F592" s="362"/>
      <c r="G592" s="362"/>
      <c r="H592" s="362"/>
      <c r="I592" s="362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2"/>
      <c r="U592" s="362"/>
      <c r="V592" s="36"/>
      <c r="W592" s="370">
        <f t="shared" si="203" ref="W592:W641">U592-F592</f>
        <v>0</v>
      </c>
    </row>
    <row r="593" spans="1:23" ht="18" customHeight="1" thickBot="1">
      <c r="A593" s="147"/>
      <c r="B593" s="17">
        <f t="shared" si="190"/>
        <v>27</v>
      </c>
      <c r="C593" s="341" t="s">
        <v>620</v>
      </c>
      <c r="D593" s="336"/>
      <c r="E593" s="337" t="s">
        <v>621</v>
      </c>
      <c r="F593" s="278">
        <f>F591+F483+F462+F441+F421+F374</f>
        <v>123137902.77076921</v>
      </c>
      <c r="G593" s="337"/>
      <c r="H593" s="457"/>
      <c r="I593" s="643"/>
      <c r="J593" s="356">
        <f t="shared" si="204" ref="J593:S593">J591+J483+J462+J441+J421+J374</f>
        <v>68155942.618100345</v>
      </c>
      <c r="K593" s="905">
        <f t="shared" si="204"/>
        <v>10381105.464581866</v>
      </c>
      <c r="L593" s="905">
        <f t="shared" si="204"/>
        <v>33161976.956066959</v>
      </c>
      <c r="M593" s="905">
        <f t="shared" si="204"/>
        <v>447643.13294211146</v>
      </c>
      <c r="N593" s="905">
        <f t="shared" si="204"/>
        <v>9531700.1133984365</v>
      </c>
      <c r="O593" s="905">
        <f t="shared" si="204"/>
        <v>338901.8034163207</v>
      </c>
      <c r="P593" s="905">
        <f t="shared" si="204"/>
        <v>917041.28454140632</v>
      </c>
      <c r="Q593" s="905">
        <f t="shared" si="204"/>
        <v>80043.110324530993</v>
      </c>
      <c r="R593" s="905">
        <f t="shared" si="204"/>
        <v>37074.272767446768</v>
      </c>
      <c r="S593" s="279">
        <f t="shared" si="204"/>
        <v>86474.014629771671</v>
      </c>
      <c r="T593" s="457"/>
      <c r="U593" s="279">
        <f>SUM(I593:T593)</f>
        <v>123137902.77076918</v>
      </c>
      <c r="V593" s="133"/>
      <c r="W593" s="370">
        <f t="shared" si="203"/>
        <v>0</v>
      </c>
    </row>
    <row r="594" spans="1:23" ht="18" customHeight="1" thickBot="1">
      <c r="A594" s="47"/>
      <c r="B594" s="17">
        <f t="shared" si="190"/>
        <v>28</v>
      </c>
      <c r="C594" s="36"/>
      <c r="D594" s="36"/>
      <c r="E594" s="363"/>
      <c r="F594" s="39"/>
      <c r="G594" s="363"/>
      <c r="H594" s="363"/>
      <c r="I594" s="363"/>
      <c r="J594" s="898"/>
      <c r="K594" s="898"/>
      <c r="L594" s="898"/>
      <c r="M594" s="898"/>
      <c r="N594" s="898"/>
      <c r="O594" s="898"/>
      <c r="P594" s="898"/>
      <c r="Q594" s="898"/>
      <c r="R594" s="898"/>
      <c r="S594" s="898"/>
      <c r="T594" s="363"/>
      <c r="U594" s="39"/>
      <c r="V594" s="67"/>
      <c r="W594" s="370">
        <f t="shared" si="203"/>
        <v>0</v>
      </c>
    </row>
    <row r="595" spans="1:23" ht="18" customHeight="1" thickBot="1">
      <c r="A595" s="147"/>
      <c r="B595" s="17">
        <f t="shared" si="190"/>
        <v>29</v>
      </c>
      <c r="C595" s="341" t="s">
        <v>622</v>
      </c>
      <c r="D595" s="336"/>
      <c r="E595" s="337" t="s">
        <v>623</v>
      </c>
      <c r="F595" s="278">
        <f>F352+F593+F397</f>
        <v>421320140.15076929</v>
      </c>
      <c r="G595" s="337"/>
      <c r="H595" s="457"/>
      <c r="I595" s="643"/>
      <c r="J595" s="356">
        <f t="shared" si="205" ref="J595:S595">J352+J593+J397</f>
        <v>234393975.62579891</v>
      </c>
      <c r="K595" s="905">
        <f t="shared" si="205"/>
        <v>36010729.056317694</v>
      </c>
      <c r="L595" s="905">
        <f t="shared" si="205"/>
        <v>112217437.53674349</v>
      </c>
      <c r="M595" s="905">
        <f t="shared" si="205"/>
        <v>1557701.8332951001</v>
      </c>
      <c r="N595" s="905">
        <f t="shared" si="205"/>
        <v>32695634.915483546</v>
      </c>
      <c r="O595" s="905">
        <f t="shared" si="205"/>
        <v>1130483.0849754205</v>
      </c>
      <c r="P595" s="905">
        <f t="shared" si="205"/>
        <v>2640252.8436277537</v>
      </c>
      <c r="Q595" s="905">
        <f t="shared" si="205"/>
        <v>245752.85476245178</v>
      </c>
      <c r="R595" s="905">
        <f t="shared" si="205"/>
        <v>128410.57448580445</v>
      </c>
      <c r="S595" s="279">
        <f t="shared" si="205"/>
        <v>299761.82527912949</v>
      </c>
      <c r="T595" s="457"/>
      <c r="U595" s="279">
        <f>SUM(I595:T595)</f>
        <v>421320140.15076929</v>
      </c>
      <c r="V595" s="133"/>
      <c r="W595" s="370">
        <f t="shared" si="203"/>
        <v>0</v>
      </c>
    </row>
    <row r="596" spans="1:23" ht="18" customHeight="1">
      <c r="A596" s="47"/>
      <c r="B596" s="17">
        <f t="shared" si="190"/>
        <v>30</v>
      </c>
      <c r="C596" s="43"/>
      <c r="D596" s="4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43"/>
      <c r="V596" s="67"/>
      <c r="W596" s="370">
        <f t="shared" si="203"/>
        <v>0</v>
      </c>
    </row>
    <row r="597" spans="1:23" ht="18" customHeight="1">
      <c r="A597" s="47"/>
      <c r="B597" s="17">
        <f t="shared" si="190"/>
        <v>31</v>
      </c>
      <c r="C597" s="364" t="s">
        <v>157</v>
      </c>
      <c r="D597" s="365"/>
      <c r="E597" s="36"/>
      <c r="F597" s="202">
        <f>' WP II-I-1.4'!H597</f>
        <v>0.070499999999999993</v>
      </c>
      <c r="G597" s="358">
        <v>1</v>
      </c>
      <c r="H597" s="47" t="str">
        <f>VLOOKUP(G597,FactorTable,2)</f>
        <v>ASSIGNED</v>
      </c>
      <c r="I597" s="36"/>
      <c r="J597" s="365">
        <f t="shared" si="206" ref="J597:S597">$F597</f>
        <v>0.070499999999999993</v>
      </c>
      <c r="K597" s="365">
        <f t="shared" si="206"/>
        <v>0.070499999999999993</v>
      </c>
      <c r="L597" s="365">
        <f t="shared" si="206"/>
        <v>0.070499999999999993</v>
      </c>
      <c r="M597" s="365">
        <f t="shared" si="206"/>
        <v>0.070499999999999993</v>
      </c>
      <c r="N597" s="365">
        <f t="shared" si="206"/>
        <v>0.070499999999999993</v>
      </c>
      <c r="O597" s="365">
        <f t="shared" si="206"/>
        <v>0.070499999999999993</v>
      </c>
      <c r="P597" s="365">
        <f t="shared" si="206"/>
        <v>0.070499999999999993</v>
      </c>
      <c r="Q597" s="365">
        <f t="shared" si="206"/>
        <v>0.070499999999999993</v>
      </c>
      <c r="R597" s="365">
        <f t="shared" si="206"/>
        <v>0.070499999999999993</v>
      </c>
      <c r="S597" s="365">
        <f t="shared" si="206"/>
        <v>0.070499999999999993</v>
      </c>
      <c r="T597" s="36"/>
      <c r="U597" s="282">
        <f>U599/U595</f>
        <v>0.070499999999999993</v>
      </c>
      <c r="V597" s="67"/>
      <c r="W597" s="370">
        <f t="shared" si="203"/>
        <v>0</v>
      </c>
    </row>
    <row r="598" spans="1:23" ht="18" customHeight="1" thickBot="1">
      <c r="A598" s="47"/>
      <c r="B598" s="17">
        <f t="shared" si="190"/>
        <v>32</v>
      </c>
      <c r="C598" s="1"/>
      <c r="D598" s="263"/>
      <c r="E598" s="263"/>
      <c r="F598" s="12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12"/>
      <c r="V598" s="67"/>
      <c r="W598" s="370">
        <f t="shared" si="203"/>
        <v>0</v>
      </c>
    </row>
    <row r="599" spans="1:23" ht="18" customHeight="1" thickBot="1">
      <c r="A599" s="47"/>
      <c r="B599" s="17">
        <f t="shared" si="190"/>
        <v>33</v>
      </c>
      <c r="C599" s="341" t="s">
        <v>624</v>
      </c>
      <c r="D599" s="336"/>
      <c r="E599" s="337"/>
      <c r="F599" s="278">
        <f>+F595*F597</f>
        <v>29703069.880629234</v>
      </c>
      <c r="G599" s="337"/>
      <c r="H599" s="457"/>
      <c r="I599" s="643"/>
      <c r="J599" s="356">
        <f t="shared" si="207" ref="J599:Q599">+J595*J597</f>
        <v>16524775.281618822</v>
      </c>
      <c r="K599" s="905">
        <f t="shared" si="207"/>
        <v>2538756.3984703971</v>
      </c>
      <c r="L599" s="905">
        <f t="shared" si="207"/>
        <v>7911329.3463404151</v>
      </c>
      <c r="M599" s="905">
        <f t="shared" si="207"/>
        <v>109817.97924730455</v>
      </c>
      <c r="N599" s="905">
        <f t="shared" si="207"/>
        <v>2305042.2615415896</v>
      </c>
      <c r="O599" s="905">
        <f>+O595*O597</f>
        <v>79699.05749076714</v>
      </c>
      <c r="P599" s="905">
        <f t="shared" si="207"/>
        <v>186137.8254757566</v>
      </c>
      <c r="Q599" s="905">
        <f t="shared" si="207"/>
        <v>17325.576260752849</v>
      </c>
      <c r="R599" s="905">
        <f>+R595*R597</f>
        <v>9052.9455012492126</v>
      </c>
      <c r="S599" s="279">
        <f>+S595*S597</f>
        <v>21133.208682178629</v>
      </c>
      <c r="T599" s="457"/>
      <c r="U599" s="256">
        <f>SUM(I599:T599)</f>
        <v>29703069.880629234</v>
      </c>
      <c r="V599" s="67"/>
      <c r="W599" s="370">
        <f t="shared" si="203"/>
        <v>0</v>
      </c>
    </row>
    <row r="600" spans="1:23" ht="18" customHeight="1">
      <c r="A600" s="4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370">
        <f t="shared" si="203"/>
        <v>0</v>
      </c>
    </row>
    <row r="601" spans="1:23" ht="18" customHeight="1">
      <c r="A601" s="47"/>
      <c r="B601" s="67"/>
      <c r="C601" s="67"/>
      <c r="D601" s="67"/>
      <c r="E601" s="67"/>
      <c r="F601" s="67"/>
      <c r="G601" s="67"/>
      <c r="H601" s="134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134"/>
      <c r="V601" s="134">
        <f>$H$2</f>
        <v>0</v>
      </c>
      <c r="W601" s="370"/>
    </row>
    <row r="602" spans="1:23" ht="18" customHeight="1" thickBot="1">
      <c r="A602" s="4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370"/>
    </row>
    <row r="603" spans="1:23" ht="18" customHeight="1">
      <c r="A603" s="47"/>
      <c r="B603" s="920" t="str">
        <f>+$B$4</f>
        <v>2022 RATE CASE</v>
      </c>
      <c r="C603" s="935"/>
      <c r="D603" s="969"/>
      <c r="F603" s="332"/>
      <c r="U603" s="134" t="s">
        <v>0</v>
      </c>
      <c r="W603" s="370"/>
    </row>
    <row r="604" spans="1:23" ht="18" customHeight="1">
      <c r="A604" s="47"/>
      <c r="B604" s="917" t="str">
        <f>+$B$5</f>
        <v>ONCOR ELECTRIC DELIVERY COMPANY LLC</v>
      </c>
      <c r="C604" s="8"/>
      <c r="D604" s="970"/>
      <c r="F604" s="332"/>
      <c r="U604" s="134"/>
      <c r="V604" s="67"/>
      <c r="W604" s="370"/>
    </row>
    <row r="605" spans="1:23" ht="18" customHeight="1">
      <c r="A605" s="47"/>
      <c r="B605" s="917" t="str">
        <f>+$B$6</f>
        <v>II-I-1-MET:  CLASS REVENUE REQUIREMENT</v>
      </c>
      <c r="C605" s="85"/>
      <c r="D605" s="970"/>
      <c r="F605" s="332"/>
      <c r="U605" s="332"/>
      <c r="V605" s="67"/>
      <c r="W605" s="370"/>
    </row>
    <row r="606" spans="1:23" ht="18" customHeight="1">
      <c r="A606" s="47"/>
      <c r="B606" s="406" t="str">
        <f>+$B$7</f>
        <v>TEST YEAR ENDING 12/31/2021</v>
      </c>
      <c r="C606" s="85"/>
      <c r="D606" s="970"/>
      <c r="F606" s="332"/>
      <c r="U606" s="332"/>
      <c r="V606" s="67"/>
      <c r="W606" s="370"/>
    </row>
    <row r="607" spans="1:23" ht="18" customHeight="1">
      <c r="A607" s="47"/>
      <c r="B607" s="406" t="str">
        <f>+$B$8</f>
        <v>SPONSOR:  MATTHEW A. TROXLE</v>
      </c>
      <c r="C607" s="85"/>
      <c r="D607" s="970"/>
      <c r="F607" s="332"/>
      <c r="U607" s="332"/>
      <c r="V607" s="67"/>
      <c r="W607" s="370"/>
    </row>
    <row r="608" spans="1:23" ht="18" customHeight="1" thickBot="1">
      <c r="A608" s="47"/>
      <c r="B608" s="410"/>
      <c r="C608" s="934"/>
      <c r="D608" s="936"/>
      <c r="F608" s="332"/>
      <c r="U608" s="332"/>
      <c r="V608" s="67"/>
      <c r="W608" s="370"/>
    </row>
    <row r="609" spans="1:23" ht="18" customHeight="1" thickBot="1">
      <c r="A609" s="47"/>
      <c r="B609" s="13"/>
      <c r="C609" s="14"/>
      <c r="D609" s="14"/>
      <c r="E609" s="14"/>
      <c r="F609" s="13"/>
      <c r="G609" s="14"/>
      <c r="H609" s="14"/>
      <c r="I609" s="14"/>
      <c r="J609" s="238"/>
      <c r="K609" s="238"/>
      <c r="L609" s="14"/>
      <c r="M609" s="238"/>
      <c r="N609" s="238"/>
      <c r="O609" s="238"/>
      <c r="P609" s="238"/>
      <c r="Q609" s="14"/>
      <c r="R609" s="393" t="str">
        <f>R$10</f>
        <v xml:space="preserve"> </v>
      </c>
      <c r="S609" s="394"/>
      <c r="T609" s="238"/>
      <c r="U609" s="13"/>
      <c r="V609" s="67"/>
      <c r="W609" s="370"/>
    </row>
    <row r="610" spans="1:23" ht="18" customHeight="1">
      <c r="A610" s="47"/>
      <c r="B610" s="15" t="s">
        <v>2</v>
      </c>
      <c r="C610" s="15" t="s">
        <v>370</v>
      </c>
      <c r="D610" s="287" t="s">
        <v>625</v>
      </c>
      <c r="E610" s="15" t="s">
        <v>371</v>
      </c>
      <c r="F610" s="287" t="str">
        <f>F$11</f>
        <v>MET</v>
      </c>
      <c r="G610" s="242" t="s">
        <v>741</v>
      </c>
      <c r="H610" s="242" t="s">
        <v>376</v>
      </c>
      <c r="I610" s="15"/>
      <c r="J610" s="242" t="s">
        <v>730</v>
      </c>
      <c r="K610" s="242" t="s">
        <v>409</v>
      </c>
      <c r="L610" s="15" t="s">
        <v>409</v>
      </c>
      <c r="M610" s="242" t="s">
        <v>410</v>
      </c>
      <c r="N610" s="242" t="s">
        <v>410</v>
      </c>
      <c r="O610" s="242" t="s">
        <v>410</v>
      </c>
      <c r="P610" s="242" t="s">
        <v>411</v>
      </c>
      <c r="Q610" s="15" t="s">
        <v>412</v>
      </c>
      <c r="R610" s="396" t="str">
        <f>R$11</f>
        <v>Wholesale</v>
      </c>
      <c r="S610" s="13" t="str">
        <f>S$11</f>
        <v>Wholesale</v>
      </c>
      <c r="T610" s="242"/>
      <c r="U610" s="15" t="s">
        <v>10</v>
      </c>
      <c r="V610" s="67"/>
      <c r="W610" s="370"/>
    </row>
    <row r="611" spans="1:23" ht="18" customHeight="1">
      <c r="A611" s="47"/>
      <c r="B611" s="15"/>
      <c r="C611" s="15"/>
      <c r="D611" s="15"/>
      <c r="E611" s="15"/>
      <c r="F611" s="15"/>
      <c r="G611" s="242" t="s">
        <v>742</v>
      </c>
      <c r="H611" s="242" t="s">
        <v>743</v>
      </c>
      <c r="I611" s="15"/>
      <c r="J611" s="242"/>
      <c r="K611" s="242" t="s">
        <v>731</v>
      </c>
      <c r="L611" s="15" t="s">
        <v>732</v>
      </c>
      <c r="M611" s="242" t="s">
        <v>731</v>
      </c>
      <c r="N611" s="242" t="s">
        <v>732</v>
      </c>
      <c r="O611" s="242" t="s">
        <v>414</v>
      </c>
      <c r="P611" s="242"/>
      <c r="Q611" s="15"/>
      <c r="R611" s="235" t="str">
        <f>R$12</f>
        <v>XFMR</v>
      </c>
      <c r="S611" s="15" t="str">
        <f>S$12</f>
        <v>DLS</v>
      </c>
      <c r="T611" s="242"/>
      <c r="U611" s="15"/>
      <c r="V611" s="67"/>
      <c r="W611" s="370"/>
    </row>
    <row r="612" spans="1:23" ht="18" customHeight="1" thickBot="1">
      <c r="A612" s="47"/>
      <c r="B612" s="16"/>
      <c r="C612" s="16"/>
      <c r="D612" s="16"/>
      <c r="E612" s="16"/>
      <c r="F612" s="16" t="s">
        <v>13</v>
      </c>
      <c r="G612" s="16" t="s">
        <v>14</v>
      </c>
      <c r="H612" s="16" t="s">
        <v>15</v>
      </c>
      <c r="I612" s="16"/>
      <c r="J612" s="243" t="str">
        <f t="shared" si="208" ref="J612:Q612">J$13</f>
        <v>(d)</v>
      </c>
      <c r="K612" s="243" t="str">
        <f t="shared" si="208"/>
        <v>(e)</v>
      </c>
      <c r="L612" s="16" t="str">
        <f t="shared" si="208"/>
        <v>(f)</v>
      </c>
      <c r="M612" s="243" t="str">
        <f t="shared" si="208"/>
        <v>(g)</v>
      </c>
      <c r="N612" s="243" t="str">
        <f t="shared" si="208"/>
        <v>(h)</v>
      </c>
      <c r="O612" s="243" t="str">
        <f>O$13</f>
        <v>(i)</v>
      </c>
      <c r="P612" s="243" t="str">
        <f t="shared" si="208"/>
        <v>(j)</v>
      </c>
      <c r="Q612" s="243" t="str">
        <f t="shared" si="208"/>
        <v>(k)</v>
      </c>
      <c r="R612" s="243" t="str">
        <f>R$13</f>
        <v>(l)</v>
      </c>
      <c r="S612" s="16" t="str">
        <f>S$13</f>
        <v>(m)</v>
      </c>
      <c r="T612" s="16"/>
      <c r="U612" s="16" t="s">
        <v>734</v>
      </c>
      <c r="V612" s="67"/>
      <c r="W612" s="370"/>
    </row>
    <row r="613" spans="1:23" ht="18" customHeight="1">
      <c r="A613" s="47"/>
      <c r="B613" s="47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43"/>
      <c r="V613" s="67"/>
      <c r="W613" s="370">
        <f t="shared" si="203"/>
        <v>0</v>
      </c>
    </row>
    <row r="614" spans="1:23" ht="18" customHeight="1">
      <c r="A614" s="47"/>
      <c r="B614" s="17">
        <f t="shared" si="209" ref="B614:B640">B613+1</f>
        <v>1</v>
      </c>
      <c r="C614" s="8" t="s">
        <v>625</v>
      </c>
      <c r="D614" s="8"/>
      <c r="E614" s="20"/>
      <c r="F614" s="8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8"/>
      <c r="V614" s="67"/>
      <c r="W614" s="370">
        <f t="shared" si="203"/>
        <v>0</v>
      </c>
    </row>
    <row r="615" spans="1:23" ht="18" customHeight="1">
      <c r="A615" s="47"/>
      <c r="B615" s="17">
        <f t="shared" si="209"/>
        <v>2</v>
      </c>
      <c r="C615" s="8"/>
      <c r="D615" s="8"/>
      <c r="E615" s="20"/>
      <c r="F615" s="8"/>
      <c r="G615" s="20"/>
      <c r="H615" s="20"/>
      <c r="I615" s="1010"/>
      <c r="J615" s="20"/>
      <c r="K615" s="20"/>
      <c r="L615" s="20"/>
      <c r="M615" s="20"/>
      <c r="N615" s="20"/>
      <c r="O615" s="20"/>
      <c r="P615" s="20"/>
      <c r="Q615" s="20"/>
      <c r="R615" s="20"/>
      <c r="S615" s="1059"/>
      <c r="T615" s="20"/>
      <c r="U615" s="8"/>
      <c r="V615" s="67"/>
      <c r="W615" s="370">
        <f t="shared" si="203"/>
        <v>0</v>
      </c>
    </row>
    <row r="616" spans="1:23" ht="18" customHeight="1">
      <c r="A616" s="47"/>
      <c r="B616" s="17">
        <f t="shared" si="209"/>
        <v>3</v>
      </c>
      <c r="C616" s="8"/>
      <c r="D616" s="366" t="s">
        <v>626</v>
      </c>
      <c r="E616" s="20" t="s">
        <v>160</v>
      </c>
      <c r="F616" s="8"/>
      <c r="G616" s="20"/>
      <c r="H616" s="20"/>
      <c r="I616" s="1010"/>
      <c r="J616" s="1059"/>
      <c r="K616" s="1059"/>
      <c r="L616" s="1059"/>
      <c r="M616" s="1059"/>
      <c r="N616" s="1059"/>
      <c r="O616" s="1059"/>
      <c r="P616" s="1059"/>
      <c r="Q616" s="1059"/>
      <c r="R616" s="1059"/>
      <c r="S616" s="1059"/>
      <c r="T616" s="1010"/>
      <c r="U616" s="8"/>
      <c r="V616" s="67"/>
      <c r="W616" s="370">
        <f t="shared" si="203"/>
        <v>0</v>
      </c>
    </row>
    <row r="617" spans="1:23" ht="18" customHeight="1">
      <c r="A617" s="47"/>
      <c r="B617" s="17">
        <f t="shared" si="209"/>
        <v>4</v>
      </c>
      <c r="C617" s="28" t="s">
        <v>161</v>
      </c>
      <c r="D617" s="1" t="s">
        <v>162</v>
      </c>
      <c r="E617" s="17"/>
      <c r="F617" s="118">
        <f>' WP II-I-1.4'!H617</f>
        <v>1929.49</v>
      </c>
      <c r="G617" s="17">
        <v>28</v>
      </c>
      <c r="H617" s="47" t="str">
        <f t="shared" si="210" ref="H617:H624">VLOOKUP(G617,FactorTable,2)</f>
        <v>NCP XHV</v>
      </c>
      <c r="I617" s="17"/>
      <c r="J617" s="434">
        <f t="shared" si="211" ref="J617:S624">$F617*HLOOKUP(J$1318,FactorTable,$G617+1)</f>
        <v>1015.5349342775228</v>
      </c>
      <c r="K617" s="434">
        <f t="shared" si="211"/>
        <v>24.799582131527689</v>
      </c>
      <c r="L617" s="434">
        <f t="shared" si="211"/>
        <v>653.87485022203134</v>
      </c>
      <c r="M617" s="434">
        <f t="shared" si="211"/>
        <v>0.3696624047712927</v>
      </c>
      <c r="N617" s="434">
        <f t="shared" si="211"/>
        <v>156.45974052009245</v>
      </c>
      <c r="O617" s="434">
        <f t="shared" si="211"/>
        <v>56.581275843126306</v>
      </c>
      <c r="P617" s="434">
        <f t="shared" si="211"/>
        <v>0</v>
      </c>
      <c r="Q617" s="434">
        <f t="shared" si="211"/>
        <v>6.5952658575215386</v>
      </c>
      <c r="R617" s="434">
        <f t="shared" si="211"/>
        <v>6.7816200452311852</v>
      </c>
      <c r="S617" s="434">
        <f t="shared" si="211"/>
        <v>8.4930686981754615</v>
      </c>
      <c r="T617" s="17"/>
      <c r="U617" s="121">
        <f t="shared" si="212" ref="U617:U625">SUM(I617:T617)</f>
        <v>1929.49</v>
      </c>
      <c r="V617" s="67"/>
      <c r="W617" s="370">
        <f t="shared" si="203"/>
        <v>0</v>
      </c>
    </row>
    <row r="618" spans="1:23" ht="18" customHeight="1">
      <c r="A618" s="47"/>
      <c r="B618" s="17">
        <f t="shared" si="209"/>
        <v>5</v>
      </c>
      <c r="C618" s="1" t="s">
        <v>163</v>
      </c>
      <c r="D618" s="1" t="s">
        <v>164</v>
      </c>
      <c r="E618" s="17"/>
      <c r="F618" s="118">
        <f>' WP II-I-1.4'!H618</f>
        <v>0</v>
      </c>
      <c r="G618" s="17">
        <v>28</v>
      </c>
      <c r="H618" s="47" t="str">
        <f t="shared" si="210"/>
        <v>NCP XHV</v>
      </c>
      <c r="I618" s="17"/>
      <c r="J618" s="434">
        <f t="shared" si="211"/>
        <v>0</v>
      </c>
      <c r="K618" s="434">
        <f t="shared" si="211"/>
        <v>0</v>
      </c>
      <c r="L618" s="434">
        <f t="shared" si="211"/>
        <v>0</v>
      </c>
      <c r="M618" s="434">
        <f t="shared" si="211"/>
        <v>0</v>
      </c>
      <c r="N618" s="434">
        <f t="shared" si="211"/>
        <v>0</v>
      </c>
      <c r="O618" s="434">
        <f t="shared" si="211"/>
        <v>0</v>
      </c>
      <c r="P618" s="434">
        <f t="shared" si="211"/>
        <v>0</v>
      </c>
      <c r="Q618" s="434">
        <f t="shared" si="211"/>
        <v>0</v>
      </c>
      <c r="R618" s="434">
        <f t="shared" si="211"/>
        <v>0</v>
      </c>
      <c r="S618" s="434">
        <f t="shared" si="211"/>
        <v>0</v>
      </c>
      <c r="T618" s="17"/>
      <c r="U618" s="121">
        <f t="shared" si="212"/>
        <v>0</v>
      </c>
      <c r="V618" s="67"/>
      <c r="W618" s="370">
        <f t="shared" si="203"/>
        <v>0</v>
      </c>
    </row>
    <row r="619" spans="1:23" ht="18" customHeight="1">
      <c r="A619" s="47"/>
      <c r="B619" s="17">
        <f t="shared" si="209"/>
        <v>6</v>
      </c>
      <c r="C619" s="1" t="s">
        <v>165</v>
      </c>
      <c r="D619" s="1" t="s">
        <v>166</v>
      </c>
      <c r="E619" s="17"/>
      <c r="F619" s="118">
        <f>' WP II-I-1.4'!H619</f>
        <v>0</v>
      </c>
      <c r="G619" s="17">
        <v>28</v>
      </c>
      <c r="H619" s="47" t="str">
        <f t="shared" si="210"/>
        <v>NCP XHV</v>
      </c>
      <c r="I619" s="17"/>
      <c r="J619" s="434">
        <f t="shared" si="211"/>
        <v>0</v>
      </c>
      <c r="K619" s="434">
        <f t="shared" si="211"/>
        <v>0</v>
      </c>
      <c r="L619" s="434">
        <f t="shared" si="211"/>
        <v>0</v>
      </c>
      <c r="M619" s="434">
        <f t="shared" si="211"/>
        <v>0</v>
      </c>
      <c r="N619" s="434">
        <f t="shared" si="211"/>
        <v>0</v>
      </c>
      <c r="O619" s="434">
        <f t="shared" si="211"/>
        <v>0</v>
      </c>
      <c r="P619" s="434">
        <f t="shared" si="211"/>
        <v>0</v>
      </c>
      <c r="Q619" s="434">
        <f t="shared" si="211"/>
        <v>0</v>
      </c>
      <c r="R619" s="434">
        <f t="shared" si="211"/>
        <v>0</v>
      </c>
      <c r="S619" s="434">
        <f t="shared" si="211"/>
        <v>0</v>
      </c>
      <c r="T619" s="17"/>
      <c r="U619" s="121">
        <f t="shared" si="212"/>
        <v>0</v>
      </c>
      <c r="V619" s="67"/>
      <c r="W619" s="370">
        <f t="shared" si="203"/>
        <v>0</v>
      </c>
    </row>
    <row r="620" spans="1:23" ht="18" customHeight="1">
      <c r="A620" s="47"/>
      <c r="B620" s="17">
        <f t="shared" si="209"/>
        <v>7</v>
      </c>
      <c r="C620" s="1" t="s">
        <v>167</v>
      </c>
      <c r="D620" s="1" t="s">
        <v>168</v>
      </c>
      <c r="E620" s="17"/>
      <c r="F620" s="118">
        <f>' WP II-I-1.4'!H620</f>
        <v>0</v>
      </c>
      <c r="G620" s="17">
        <v>28</v>
      </c>
      <c r="H620" s="47" t="str">
        <f t="shared" si="210"/>
        <v>NCP XHV</v>
      </c>
      <c r="I620" s="17"/>
      <c r="J620" s="434">
        <f t="shared" si="211"/>
        <v>0</v>
      </c>
      <c r="K620" s="434">
        <f t="shared" si="211"/>
        <v>0</v>
      </c>
      <c r="L620" s="434">
        <f t="shared" si="211"/>
        <v>0</v>
      </c>
      <c r="M620" s="434">
        <f t="shared" si="211"/>
        <v>0</v>
      </c>
      <c r="N620" s="434">
        <f t="shared" si="211"/>
        <v>0</v>
      </c>
      <c r="O620" s="434">
        <f t="shared" si="211"/>
        <v>0</v>
      </c>
      <c r="P620" s="434">
        <f t="shared" si="211"/>
        <v>0</v>
      </c>
      <c r="Q620" s="434">
        <f t="shared" si="211"/>
        <v>0</v>
      </c>
      <c r="R620" s="434">
        <f t="shared" si="211"/>
        <v>0</v>
      </c>
      <c r="S620" s="434">
        <f t="shared" si="211"/>
        <v>0</v>
      </c>
      <c r="T620" s="17"/>
      <c r="U620" s="121">
        <f t="shared" si="212"/>
        <v>0</v>
      </c>
      <c r="V620" s="67"/>
      <c r="W620" s="370">
        <f t="shared" si="203"/>
        <v>0</v>
      </c>
    </row>
    <row r="621" spans="1:23" ht="18" customHeight="1">
      <c r="A621" s="47"/>
      <c r="B621" s="17">
        <f t="shared" si="209"/>
        <v>8</v>
      </c>
      <c r="C621" s="1" t="s">
        <v>169</v>
      </c>
      <c r="D621" s="1" t="s">
        <v>170</v>
      </c>
      <c r="E621" s="17"/>
      <c r="F621" s="118">
        <f>' WP II-I-1.4'!H621</f>
        <v>0</v>
      </c>
      <c r="G621" s="17">
        <v>28</v>
      </c>
      <c r="H621" s="47" t="str">
        <f t="shared" si="210"/>
        <v>NCP XHV</v>
      </c>
      <c r="I621" s="17"/>
      <c r="J621" s="434">
        <f t="shared" si="211"/>
        <v>0</v>
      </c>
      <c r="K621" s="434">
        <f t="shared" si="211"/>
        <v>0</v>
      </c>
      <c r="L621" s="434">
        <f t="shared" si="211"/>
        <v>0</v>
      </c>
      <c r="M621" s="434">
        <f t="shared" si="211"/>
        <v>0</v>
      </c>
      <c r="N621" s="434">
        <f t="shared" si="211"/>
        <v>0</v>
      </c>
      <c r="O621" s="434">
        <f t="shared" si="211"/>
        <v>0</v>
      </c>
      <c r="P621" s="434">
        <f t="shared" si="211"/>
        <v>0</v>
      </c>
      <c r="Q621" s="434">
        <f t="shared" si="211"/>
        <v>0</v>
      </c>
      <c r="R621" s="434">
        <f t="shared" si="211"/>
        <v>0</v>
      </c>
      <c r="S621" s="434">
        <f t="shared" si="211"/>
        <v>0</v>
      </c>
      <c r="T621" s="17"/>
      <c r="U621" s="121">
        <f t="shared" si="212"/>
        <v>0</v>
      </c>
      <c r="V621" s="67"/>
      <c r="W621" s="370">
        <f t="shared" si="203"/>
        <v>0</v>
      </c>
    </row>
    <row r="622" spans="1:23" ht="18" customHeight="1">
      <c r="A622" s="612"/>
      <c r="B622" s="17">
        <f t="shared" si="209"/>
        <v>9</v>
      </c>
      <c r="C622" s="1" t="s">
        <v>171</v>
      </c>
      <c r="D622" s="1" t="s">
        <v>172</v>
      </c>
      <c r="E622" s="17"/>
      <c r="F622" s="118">
        <f>' WP II-I-1.4'!H622</f>
        <v>0</v>
      </c>
      <c r="G622" s="17">
        <v>23</v>
      </c>
      <c r="H622" s="47" t="str">
        <f t="shared" si="210"/>
        <v>4CP RTL</v>
      </c>
      <c r="I622" s="17"/>
      <c r="J622" s="434">
        <f t="shared" si="211"/>
        <v>0</v>
      </c>
      <c r="K622" s="434">
        <f t="shared" si="211"/>
        <v>0</v>
      </c>
      <c r="L622" s="434">
        <f t="shared" si="211"/>
        <v>0</v>
      </c>
      <c r="M622" s="434">
        <f t="shared" si="211"/>
        <v>0</v>
      </c>
      <c r="N622" s="434">
        <f t="shared" si="211"/>
        <v>0</v>
      </c>
      <c r="O622" s="434">
        <f t="shared" si="211"/>
        <v>0</v>
      </c>
      <c r="P622" s="434">
        <f t="shared" si="211"/>
        <v>0</v>
      </c>
      <c r="Q622" s="434">
        <f t="shared" si="211"/>
        <v>0</v>
      </c>
      <c r="R622" s="434">
        <f t="shared" si="211"/>
        <v>0</v>
      </c>
      <c r="S622" s="434">
        <f t="shared" si="211"/>
        <v>0</v>
      </c>
      <c r="T622" s="17"/>
      <c r="U622" s="121">
        <f t="shared" si="212"/>
        <v>0</v>
      </c>
      <c r="V622" s="367"/>
      <c r="W622" s="370">
        <f t="shared" si="203"/>
        <v>0</v>
      </c>
    </row>
    <row r="623" spans="1:23" ht="18" customHeight="1">
      <c r="A623" s="47"/>
      <c r="B623" s="17">
        <f t="shared" si="209"/>
        <v>10</v>
      </c>
      <c r="C623" s="1" t="s">
        <v>173</v>
      </c>
      <c r="D623" s="31" t="s">
        <v>174</v>
      </c>
      <c r="E623" s="17"/>
      <c r="F623" s="118">
        <f>' WP II-I-1.4'!H623</f>
        <v>0</v>
      </c>
      <c r="G623" s="17">
        <v>28</v>
      </c>
      <c r="H623" s="47" t="str">
        <f t="shared" si="210"/>
        <v>NCP XHV</v>
      </c>
      <c r="I623" s="17"/>
      <c r="J623" s="434">
        <f t="shared" si="211"/>
        <v>0</v>
      </c>
      <c r="K623" s="434">
        <f t="shared" si="211"/>
        <v>0</v>
      </c>
      <c r="L623" s="434">
        <f t="shared" si="211"/>
        <v>0</v>
      </c>
      <c r="M623" s="434">
        <f t="shared" si="211"/>
        <v>0</v>
      </c>
      <c r="N623" s="434">
        <f t="shared" si="211"/>
        <v>0</v>
      </c>
      <c r="O623" s="434">
        <f t="shared" si="211"/>
        <v>0</v>
      </c>
      <c r="P623" s="434">
        <f t="shared" si="211"/>
        <v>0</v>
      </c>
      <c r="Q623" s="434">
        <f t="shared" si="211"/>
        <v>0</v>
      </c>
      <c r="R623" s="434">
        <f t="shared" si="211"/>
        <v>0</v>
      </c>
      <c r="S623" s="434">
        <f t="shared" si="211"/>
        <v>0</v>
      </c>
      <c r="T623" s="17"/>
      <c r="U623" s="121">
        <f t="shared" si="212"/>
        <v>0</v>
      </c>
      <c r="V623" s="67"/>
      <c r="W623" s="370">
        <f t="shared" si="203"/>
        <v>0</v>
      </c>
    </row>
    <row r="624" spans="1:23" ht="18" customHeight="1">
      <c r="A624" s="47"/>
      <c r="B624" s="17">
        <f t="shared" si="209"/>
        <v>11</v>
      </c>
      <c r="C624" s="1" t="s">
        <v>175</v>
      </c>
      <c r="D624" s="1" t="s">
        <v>176</v>
      </c>
      <c r="E624" s="17"/>
      <c r="F624" s="118">
        <f>' WP II-I-1.4'!H624</f>
        <v>0</v>
      </c>
      <c r="G624" s="17">
        <v>28</v>
      </c>
      <c r="H624" s="47" t="str">
        <f t="shared" si="210"/>
        <v>NCP XHV</v>
      </c>
      <c r="I624" s="17"/>
      <c r="J624" s="435">
        <f t="shared" si="211"/>
        <v>0</v>
      </c>
      <c r="K624" s="435">
        <f t="shared" si="211"/>
        <v>0</v>
      </c>
      <c r="L624" s="435">
        <f t="shared" si="211"/>
        <v>0</v>
      </c>
      <c r="M624" s="435">
        <f t="shared" si="211"/>
        <v>0</v>
      </c>
      <c r="N624" s="435">
        <f t="shared" si="211"/>
        <v>0</v>
      </c>
      <c r="O624" s="435">
        <f t="shared" si="211"/>
        <v>0</v>
      </c>
      <c r="P624" s="435">
        <f t="shared" si="211"/>
        <v>0</v>
      </c>
      <c r="Q624" s="435">
        <f t="shared" si="211"/>
        <v>0</v>
      </c>
      <c r="R624" s="435">
        <f t="shared" si="211"/>
        <v>0</v>
      </c>
      <c r="S624" s="435">
        <f t="shared" si="211"/>
        <v>0</v>
      </c>
      <c r="T624" s="17"/>
      <c r="U624" s="121">
        <f t="shared" si="212"/>
        <v>0</v>
      </c>
      <c r="V624" s="67"/>
      <c r="W624" s="370">
        <f t="shared" si="203"/>
        <v>0</v>
      </c>
    </row>
    <row r="625" spans="1:23" ht="18" customHeight="1">
      <c r="A625" s="47"/>
      <c r="B625" s="17">
        <f t="shared" si="209"/>
        <v>12</v>
      </c>
      <c r="C625" s="8"/>
      <c r="D625" s="297" t="s">
        <v>491</v>
      </c>
      <c r="E625" s="20"/>
      <c r="F625" s="22">
        <f>SUM(F617:F624)</f>
        <v>1929.49</v>
      </c>
      <c r="G625" s="20"/>
      <c r="H625" s="20"/>
      <c r="I625" s="1010"/>
      <c r="J625" s="896">
        <f t="shared" si="213" ref="J625:Q625">SUM(J617:J624)</f>
        <v>1015.5349342775228</v>
      </c>
      <c r="K625" s="896">
        <f t="shared" si="213"/>
        <v>24.799582131527689</v>
      </c>
      <c r="L625" s="896">
        <f t="shared" si="213"/>
        <v>653.87485022203134</v>
      </c>
      <c r="M625" s="896">
        <f t="shared" si="213"/>
        <v>0.3696624047712927</v>
      </c>
      <c r="N625" s="896">
        <f t="shared" si="213"/>
        <v>156.45974052009245</v>
      </c>
      <c r="O625" s="896">
        <f>SUM(O617:O624)</f>
        <v>56.581275843126306</v>
      </c>
      <c r="P625" s="896">
        <f t="shared" si="213"/>
        <v>0</v>
      </c>
      <c r="Q625" s="896">
        <f t="shared" si="213"/>
        <v>6.5952658575215386</v>
      </c>
      <c r="R625" s="896">
        <f>SUM(R617:R624)</f>
        <v>6.7816200452311852</v>
      </c>
      <c r="S625" s="896">
        <f>SUM(S617:S624)</f>
        <v>8.4930686981754615</v>
      </c>
      <c r="T625" s="1010"/>
      <c r="U625" s="299">
        <f t="shared" si="212"/>
        <v>1929.49</v>
      </c>
      <c r="V625" s="67"/>
      <c r="W625" s="370">
        <f t="shared" si="203"/>
        <v>0</v>
      </c>
    </row>
    <row r="626" spans="1:23" ht="18" customHeight="1">
      <c r="A626" s="47"/>
      <c r="B626" s="17">
        <f t="shared" si="209"/>
        <v>13</v>
      </c>
      <c r="C626" s="8"/>
      <c r="D626" s="20"/>
      <c r="E626" s="20"/>
      <c r="F626" s="22"/>
      <c r="G626" s="20"/>
      <c r="H626" s="20"/>
      <c r="I626" s="1010"/>
      <c r="J626" s="896"/>
      <c r="K626" s="896"/>
      <c r="L626" s="896"/>
      <c r="M626" s="896"/>
      <c r="N626" s="896"/>
      <c r="O626" s="896"/>
      <c r="P626" s="896"/>
      <c r="Q626" s="896"/>
      <c r="R626" s="896"/>
      <c r="S626" s="896"/>
      <c r="T626" s="1010"/>
      <c r="U626" s="8"/>
      <c r="V626" s="67"/>
      <c r="W626" s="370">
        <f t="shared" si="203"/>
        <v>0</v>
      </c>
    </row>
    <row r="627" spans="1:23" ht="18" customHeight="1">
      <c r="A627" s="47"/>
      <c r="B627" s="17">
        <f t="shared" si="209"/>
        <v>14</v>
      </c>
      <c r="C627" s="8"/>
      <c r="D627" s="297" t="s">
        <v>627</v>
      </c>
      <c r="E627" s="20"/>
      <c r="F627" s="22">
        <f>F625-F622</f>
        <v>1929.49</v>
      </c>
      <c r="G627" s="20"/>
      <c r="H627" s="20"/>
      <c r="I627" s="1010"/>
      <c r="J627" s="896">
        <f t="shared" si="214" ref="J627:Q627">J625-J622</f>
        <v>1015.5349342775228</v>
      </c>
      <c r="K627" s="896">
        <f t="shared" si="214"/>
        <v>24.799582131527689</v>
      </c>
      <c r="L627" s="896">
        <f t="shared" si="214"/>
        <v>653.87485022203134</v>
      </c>
      <c r="M627" s="896">
        <f t="shared" si="214"/>
        <v>0.3696624047712927</v>
      </c>
      <c r="N627" s="896">
        <f t="shared" si="214"/>
        <v>156.45974052009245</v>
      </c>
      <c r="O627" s="896">
        <f>O625-O622</f>
        <v>56.581275843126306</v>
      </c>
      <c r="P627" s="896">
        <f t="shared" si="214"/>
        <v>0</v>
      </c>
      <c r="Q627" s="896">
        <f t="shared" si="214"/>
        <v>6.5952658575215386</v>
      </c>
      <c r="R627" s="896">
        <f>R625-R622</f>
        <v>6.7816200452311852</v>
      </c>
      <c r="S627" s="896">
        <f>S625-S622</f>
        <v>8.4930686981754615</v>
      </c>
      <c r="T627" s="1010"/>
      <c r="U627" s="299">
        <f>SUM(I627:T627)</f>
        <v>1929.49</v>
      </c>
      <c r="V627" s="67"/>
      <c r="W627" s="370">
        <f t="shared" si="203"/>
        <v>0</v>
      </c>
    </row>
    <row r="628" spans="1:23" ht="18" customHeight="1">
      <c r="A628" s="47"/>
      <c r="B628" s="17">
        <f t="shared" si="209"/>
        <v>15</v>
      </c>
      <c r="C628" s="8"/>
      <c r="D628" s="20"/>
      <c r="E628" s="20"/>
      <c r="F628" s="22"/>
      <c r="G628" s="20"/>
      <c r="H628" s="20"/>
      <c r="I628" s="1010"/>
      <c r="J628" s="1059"/>
      <c r="K628" s="1059"/>
      <c r="L628" s="1059"/>
      <c r="M628" s="1059"/>
      <c r="N628" s="1059"/>
      <c r="O628" s="1059"/>
      <c r="P628" s="1059"/>
      <c r="Q628" s="1059"/>
      <c r="R628" s="1059"/>
      <c r="S628" s="1059"/>
      <c r="T628" s="1010"/>
      <c r="U628" s="8"/>
      <c r="V628" s="67"/>
      <c r="W628" s="370">
        <f t="shared" si="203"/>
        <v>0</v>
      </c>
    </row>
    <row r="629" spans="1:23" ht="18" customHeight="1">
      <c r="A629" s="47"/>
      <c r="B629" s="17">
        <f t="shared" si="209"/>
        <v>16</v>
      </c>
      <c r="C629" s="8"/>
      <c r="D629" s="366" t="s">
        <v>628</v>
      </c>
      <c r="E629" s="20" t="s">
        <v>160</v>
      </c>
      <c r="F629" s="22"/>
      <c r="G629" s="20"/>
      <c r="H629" s="20"/>
      <c r="I629" s="1010"/>
      <c r="J629" s="1059"/>
      <c r="K629" s="1059"/>
      <c r="L629" s="1059"/>
      <c r="M629" s="1059"/>
      <c r="N629" s="1059"/>
      <c r="O629" s="1059"/>
      <c r="P629" s="1059"/>
      <c r="Q629" s="1059"/>
      <c r="R629" s="1059"/>
      <c r="S629" s="1059"/>
      <c r="T629" s="1010"/>
      <c r="U629" s="8"/>
      <c r="V629" s="67"/>
      <c r="W629" s="370">
        <f t="shared" si="203"/>
        <v>0</v>
      </c>
    </row>
    <row r="630" spans="1:23" ht="18" customHeight="1">
      <c r="A630" s="47"/>
      <c r="B630" s="17">
        <f t="shared" si="209"/>
        <v>17</v>
      </c>
      <c r="C630" s="1" t="s">
        <v>178</v>
      </c>
      <c r="D630" s="1" t="s">
        <v>179</v>
      </c>
      <c r="E630" s="17"/>
      <c r="F630" s="118">
        <f>' WP II-I-1.4'!H630</f>
        <v>291.72000000000003</v>
      </c>
      <c r="G630" s="17">
        <v>28</v>
      </c>
      <c r="H630" s="47" t="str">
        <f t="shared" si="215" ref="H630:H635">VLOOKUP(G630,FactorTable,2)</f>
        <v>NCP XHV</v>
      </c>
      <c r="I630" s="17"/>
      <c r="J630" s="434">
        <f t="shared" si="216" ref="J630:S635">$F630*HLOOKUP(J$1318,FactorTable,$G630+1)</f>
        <v>153.53894087424084</v>
      </c>
      <c r="K630" s="434">
        <f t="shared" si="216"/>
        <v>3.7494540523191402</v>
      </c>
      <c r="L630" s="434">
        <f t="shared" si="216"/>
        <v>98.85947649729772</v>
      </c>
      <c r="M630" s="434">
        <f t="shared" si="216"/>
        <v>0.055889336933532444</v>
      </c>
      <c r="N630" s="434">
        <f t="shared" si="216"/>
        <v>23.655181164204723</v>
      </c>
      <c r="O630" s="434">
        <f t="shared" si="216"/>
        <v>8.5545350268500009</v>
      </c>
      <c r="P630" s="434">
        <f t="shared" si="216"/>
        <v>0</v>
      </c>
      <c r="Q630" s="434">
        <f t="shared" si="216"/>
        <v>0.9971396358396174</v>
      </c>
      <c r="R630" s="434">
        <f t="shared" si="216"/>
        <v>1.0253145647786937</v>
      </c>
      <c r="S630" s="434">
        <f t="shared" si="216"/>
        <v>1.2840688475357458</v>
      </c>
      <c r="T630" s="17"/>
      <c r="U630" s="118">
        <f t="shared" si="217" ref="U630:U636">SUM(I630:T630)</f>
        <v>291.72000000000008</v>
      </c>
      <c r="V630" s="67"/>
      <c r="W630" s="370">
        <f t="shared" si="203"/>
        <v>0</v>
      </c>
    </row>
    <row r="631" spans="1:23" ht="18" customHeight="1">
      <c r="A631" s="47"/>
      <c r="B631" s="17">
        <f t="shared" si="209"/>
        <v>18</v>
      </c>
      <c r="C631" s="1" t="s">
        <v>180</v>
      </c>
      <c r="D631" s="31" t="s">
        <v>181</v>
      </c>
      <c r="E631" s="17"/>
      <c r="F631" s="118">
        <f>' WP II-I-1.4'!H631</f>
        <v>0</v>
      </c>
      <c r="G631" s="17">
        <v>28</v>
      </c>
      <c r="H631" s="47" t="str">
        <f t="shared" si="215"/>
        <v>NCP XHV</v>
      </c>
      <c r="I631" s="17"/>
      <c r="J631" s="434">
        <f t="shared" si="216"/>
        <v>0</v>
      </c>
      <c r="K631" s="434">
        <f t="shared" si="216"/>
        <v>0</v>
      </c>
      <c r="L631" s="434">
        <f t="shared" si="216"/>
        <v>0</v>
      </c>
      <c r="M631" s="434">
        <f t="shared" si="216"/>
        <v>0</v>
      </c>
      <c r="N631" s="434">
        <f t="shared" si="216"/>
        <v>0</v>
      </c>
      <c r="O631" s="434">
        <f t="shared" si="216"/>
        <v>0</v>
      </c>
      <c r="P631" s="434">
        <f t="shared" si="216"/>
        <v>0</v>
      </c>
      <c r="Q631" s="434">
        <f t="shared" si="216"/>
        <v>0</v>
      </c>
      <c r="R631" s="434">
        <f t="shared" si="216"/>
        <v>0</v>
      </c>
      <c r="S631" s="434">
        <f t="shared" si="216"/>
        <v>0</v>
      </c>
      <c r="T631" s="17"/>
      <c r="U631" s="118">
        <f t="shared" si="217"/>
        <v>0</v>
      </c>
      <c r="V631" s="67"/>
      <c r="W631" s="370">
        <f t="shared" si="203"/>
        <v>0</v>
      </c>
    </row>
    <row r="632" spans="1:23" ht="18" customHeight="1">
      <c r="A632" s="47"/>
      <c r="B632" s="17">
        <f t="shared" si="209"/>
        <v>19</v>
      </c>
      <c r="C632" s="1" t="s">
        <v>182</v>
      </c>
      <c r="D632" s="1" t="s">
        <v>183</v>
      </c>
      <c r="E632" s="17"/>
      <c r="F632" s="118">
        <f>' WP II-I-1.4'!H632</f>
        <v>0</v>
      </c>
      <c r="G632" s="17">
        <v>28</v>
      </c>
      <c r="H632" s="47" t="str">
        <f t="shared" si="215"/>
        <v>NCP XHV</v>
      </c>
      <c r="I632" s="17"/>
      <c r="J632" s="434">
        <f t="shared" si="216"/>
        <v>0</v>
      </c>
      <c r="K632" s="434">
        <f t="shared" si="216"/>
        <v>0</v>
      </c>
      <c r="L632" s="434">
        <f t="shared" si="216"/>
        <v>0</v>
      </c>
      <c r="M632" s="434">
        <f t="shared" si="216"/>
        <v>0</v>
      </c>
      <c r="N632" s="434">
        <f t="shared" si="216"/>
        <v>0</v>
      </c>
      <c r="O632" s="434">
        <f t="shared" si="216"/>
        <v>0</v>
      </c>
      <c r="P632" s="434">
        <f t="shared" si="216"/>
        <v>0</v>
      </c>
      <c r="Q632" s="434">
        <f t="shared" si="216"/>
        <v>0</v>
      </c>
      <c r="R632" s="434">
        <f t="shared" si="216"/>
        <v>0</v>
      </c>
      <c r="S632" s="434">
        <f t="shared" si="216"/>
        <v>0</v>
      </c>
      <c r="T632" s="17"/>
      <c r="U632" s="118">
        <f t="shared" si="217"/>
        <v>0</v>
      </c>
      <c r="V632" s="67"/>
      <c r="W632" s="370">
        <f t="shared" si="203"/>
        <v>0</v>
      </c>
    </row>
    <row r="633" spans="1:23" ht="18" customHeight="1">
      <c r="A633" s="47"/>
      <c r="B633" s="17">
        <f t="shared" si="209"/>
        <v>20</v>
      </c>
      <c r="C633" s="1" t="s">
        <v>184</v>
      </c>
      <c r="D633" s="1" t="s">
        <v>185</v>
      </c>
      <c r="E633" s="17"/>
      <c r="F633" s="118">
        <f>' WP II-I-1.4'!H633</f>
        <v>0</v>
      </c>
      <c r="G633" s="17">
        <v>28</v>
      </c>
      <c r="H633" s="47" t="str">
        <f t="shared" si="215"/>
        <v>NCP XHV</v>
      </c>
      <c r="I633" s="17"/>
      <c r="J633" s="434">
        <f t="shared" si="216"/>
        <v>0</v>
      </c>
      <c r="K633" s="434">
        <f t="shared" si="216"/>
        <v>0</v>
      </c>
      <c r="L633" s="434">
        <f t="shared" si="216"/>
        <v>0</v>
      </c>
      <c r="M633" s="434">
        <f t="shared" si="216"/>
        <v>0</v>
      </c>
      <c r="N633" s="434">
        <f t="shared" si="216"/>
        <v>0</v>
      </c>
      <c r="O633" s="434">
        <f t="shared" si="216"/>
        <v>0</v>
      </c>
      <c r="P633" s="434">
        <f t="shared" si="216"/>
        <v>0</v>
      </c>
      <c r="Q633" s="434">
        <f t="shared" si="216"/>
        <v>0</v>
      </c>
      <c r="R633" s="434">
        <f t="shared" si="216"/>
        <v>0</v>
      </c>
      <c r="S633" s="434">
        <f t="shared" si="216"/>
        <v>0</v>
      </c>
      <c r="T633" s="17"/>
      <c r="U633" s="118">
        <f t="shared" si="217"/>
        <v>0</v>
      </c>
      <c r="V633" s="67"/>
      <c r="W633" s="370">
        <f t="shared" si="203"/>
        <v>0</v>
      </c>
    </row>
    <row r="634" spans="1:23" ht="18" customHeight="1">
      <c r="A634" s="47"/>
      <c r="B634" s="17">
        <f t="shared" si="209"/>
        <v>21</v>
      </c>
      <c r="C634" s="1" t="s">
        <v>186</v>
      </c>
      <c r="D634" s="31" t="s">
        <v>187</v>
      </c>
      <c r="E634" s="17"/>
      <c r="F634" s="118">
        <f>' WP II-I-1.4'!H634</f>
        <v>0</v>
      </c>
      <c r="G634" s="17">
        <v>28</v>
      </c>
      <c r="H634" s="47" t="str">
        <f t="shared" si="215"/>
        <v>NCP XHV</v>
      </c>
      <c r="I634" s="17"/>
      <c r="J634" s="434">
        <f t="shared" si="216"/>
        <v>0</v>
      </c>
      <c r="K634" s="434">
        <f t="shared" si="216"/>
        <v>0</v>
      </c>
      <c r="L634" s="434">
        <f t="shared" si="216"/>
        <v>0</v>
      </c>
      <c r="M634" s="434">
        <f t="shared" si="216"/>
        <v>0</v>
      </c>
      <c r="N634" s="434">
        <f t="shared" si="216"/>
        <v>0</v>
      </c>
      <c r="O634" s="434">
        <f t="shared" si="216"/>
        <v>0</v>
      </c>
      <c r="P634" s="434">
        <f t="shared" si="216"/>
        <v>0</v>
      </c>
      <c r="Q634" s="434">
        <f t="shared" si="216"/>
        <v>0</v>
      </c>
      <c r="R634" s="434">
        <f t="shared" si="216"/>
        <v>0</v>
      </c>
      <c r="S634" s="434">
        <f t="shared" si="216"/>
        <v>0</v>
      </c>
      <c r="T634" s="17"/>
      <c r="U634" s="118">
        <f t="shared" si="217"/>
        <v>0</v>
      </c>
      <c r="V634" s="67"/>
      <c r="W634" s="370">
        <f t="shared" si="203"/>
        <v>0</v>
      </c>
    </row>
    <row r="635" spans="1:23" ht="18" customHeight="1">
      <c r="A635" s="47"/>
      <c r="B635" s="17">
        <f t="shared" si="209"/>
        <v>22</v>
      </c>
      <c r="C635" s="1" t="s">
        <v>188</v>
      </c>
      <c r="D635" s="31" t="s">
        <v>189</v>
      </c>
      <c r="E635" s="17"/>
      <c r="F635" s="118">
        <f>' WP II-I-1.4'!H635</f>
        <v>0</v>
      </c>
      <c r="G635" s="17">
        <v>28</v>
      </c>
      <c r="H635" s="47" t="str">
        <f t="shared" si="215"/>
        <v>NCP XHV</v>
      </c>
      <c r="I635" s="17"/>
      <c r="J635" s="435">
        <f t="shared" si="216"/>
        <v>0</v>
      </c>
      <c r="K635" s="435">
        <f t="shared" si="216"/>
        <v>0</v>
      </c>
      <c r="L635" s="435">
        <f t="shared" si="216"/>
        <v>0</v>
      </c>
      <c r="M635" s="435">
        <f t="shared" si="216"/>
        <v>0</v>
      </c>
      <c r="N635" s="435">
        <f t="shared" si="216"/>
        <v>0</v>
      </c>
      <c r="O635" s="435">
        <f t="shared" si="216"/>
        <v>0</v>
      </c>
      <c r="P635" s="435">
        <f t="shared" si="216"/>
        <v>0</v>
      </c>
      <c r="Q635" s="435">
        <f t="shared" si="216"/>
        <v>0</v>
      </c>
      <c r="R635" s="435">
        <f t="shared" si="216"/>
        <v>0</v>
      </c>
      <c r="S635" s="435">
        <f t="shared" si="216"/>
        <v>0</v>
      </c>
      <c r="T635" s="17"/>
      <c r="U635" s="118">
        <f t="shared" si="217"/>
        <v>0</v>
      </c>
      <c r="V635" s="67"/>
      <c r="W635" s="370">
        <f t="shared" si="203"/>
        <v>0</v>
      </c>
    </row>
    <row r="636" spans="1:23" ht="18" customHeight="1">
      <c r="A636" s="47"/>
      <c r="B636" s="17">
        <f t="shared" si="209"/>
        <v>23</v>
      </c>
      <c r="C636" s="8"/>
      <c r="D636" s="297" t="s">
        <v>491</v>
      </c>
      <c r="E636" s="20"/>
      <c r="F636" s="22">
        <f>SUM(F630:F635)</f>
        <v>291.72000000000003</v>
      </c>
      <c r="G636" s="20"/>
      <c r="H636" s="20"/>
      <c r="I636" s="1010"/>
      <c r="J636" s="896">
        <f t="shared" si="218" ref="J636:Q636">SUM(J630:J635)</f>
        <v>153.53894087424084</v>
      </c>
      <c r="K636" s="896">
        <f t="shared" si="218"/>
        <v>3.7494540523191402</v>
      </c>
      <c r="L636" s="896">
        <f t="shared" si="218"/>
        <v>98.85947649729772</v>
      </c>
      <c r="M636" s="896">
        <f t="shared" si="218"/>
        <v>0.055889336933532444</v>
      </c>
      <c r="N636" s="896">
        <f t="shared" si="218"/>
        <v>23.655181164204723</v>
      </c>
      <c r="O636" s="896">
        <f>SUM(O630:O635)</f>
        <v>8.5545350268500009</v>
      </c>
      <c r="P636" s="896">
        <f t="shared" si="218"/>
        <v>0</v>
      </c>
      <c r="Q636" s="896">
        <f t="shared" si="218"/>
        <v>0.9971396358396174</v>
      </c>
      <c r="R636" s="896">
        <f>SUM(R630:R635)</f>
        <v>1.0253145647786937</v>
      </c>
      <c r="S636" s="896">
        <f>SUM(S630:S635)</f>
        <v>1.2840688475357458</v>
      </c>
      <c r="T636" s="1010"/>
      <c r="U636" s="299">
        <f t="shared" si="217"/>
        <v>291.72000000000008</v>
      </c>
      <c r="V636" s="67"/>
      <c r="W636" s="370">
        <f t="shared" si="203"/>
        <v>0</v>
      </c>
    </row>
    <row r="637" spans="1:23" ht="18" customHeight="1" thickBot="1">
      <c r="A637" s="47"/>
      <c r="B637" s="17">
        <f t="shared" si="209"/>
        <v>24</v>
      </c>
      <c r="C637" s="8"/>
      <c r="D637" s="297"/>
      <c r="E637" s="20"/>
      <c r="F637" s="22"/>
      <c r="G637" s="20"/>
      <c r="H637" s="20"/>
      <c r="I637" s="20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1010"/>
      <c r="U637" s="8"/>
      <c r="V637" s="67"/>
      <c r="W637" s="370">
        <f t="shared" si="203"/>
        <v>0</v>
      </c>
    </row>
    <row r="638" spans="1:23" ht="18" customHeight="1" thickBot="1">
      <c r="A638" s="47"/>
      <c r="B638" s="17">
        <f t="shared" si="209"/>
        <v>25</v>
      </c>
      <c r="C638" s="870" t="s">
        <v>629</v>
      </c>
      <c r="D638" s="1017"/>
      <c r="E638" s="1013"/>
      <c r="F638" s="1014">
        <f>+F636+F625</f>
        <v>2221.21</v>
      </c>
      <c r="G638" s="1013"/>
      <c r="H638" s="1013"/>
      <c r="I638" s="1016"/>
      <c r="J638" s="1014">
        <f t="shared" si="219" ref="J638:Q638">+J636+J625</f>
        <v>1169.0738751517636</v>
      </c>
      <c r="K638" s="1014">
        <f t="shared" si="219"/>
        <v>28.54903618384683</v>
      </c>
      <c r="L638" s="1014">
        <f t="shared" si="219"/>
        <v>752.73432671932903</v>
      </c>
      <c r="M638" s="1014">
        <f t="shared" si="219"/>
        <v>0.42555174170482513</v>
      </c>
      <c r="N638" s="1014">
        <f t="shared" si="219"/>
        <v>180.11492168429717</v>
      </c>
      <c r="O638" s="1014">
        <f>+O636+O625</f>
        <v>65.135810869976311</v>
      </c>
      <c r="P638" s="1014">
        <f t="shared" si="219"/>
        <v>0</v>
      </c>
      <c r="Q638" s="1014">
        <f t="shared" si="219"/>
        <v>7.5924054933611558</v>
      </c>
      <c r="R638" s="1014">
        <f>+R636+R625</f>
        <v>7.8069346100098791</v>
      </c>
      <c r="S638" s="1014">
        <f>+S636+S625</f>
        <v>9.7771375457112075</v>
      </c>
      <c r="T638" s="1016"/>
      <c r="U638" s="1015">
        <f>SUM(I638:T638)</f>
        <v>2221.2100000000005</v>
      </c>
      <c r="V638" s="67"/>
      <c r="W638" s="370">
        <f t="shared" si="203"/>
        <v>0</v>
      </c>
    </row>
    <row r="639" spans="1:23" ht="18" customHeight="1" thickBot="1">
      <c r="A639" s="47"/>
      <c r="B639" s="17">
        <f t="shared" si="209"/>
        <v>26</v>
      </c>
      <c r="C639" s="8"/>
      <c r="D639" s="8"/>
      <c r="E639" s="20"/>
      <c r="F639" s="22"/>
      <c r="G639" s="20"/>
      <c r="H639" s="20"/>
      <c r="I639" s="20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0"/>
      <c r="U639" s="8"/>
      <c r="V639" s="67"/>
      <c r="W639" s="370">
        <f t="shared" si="203"/>
        <v>0</v>
      </c>
    </row>
    <row r="640" spans="1:23" ht="18" customHeight="1" thickBot="1">
      <c r="A640" s="47"/>
      <c r="B640" s="17">
        <f t="shared" si="209"/>
        <v>27</v>
      </c>
      <c r="C640" s="870" t="s">
        <v>630</v>
      </c>
      <c r="D640" s="1017"/>
      <c r="E640" s="1013"/>
      <c r="F640" s="1014">
        <f>F638-F622</f>
        <v>2221.21</v>
      </c>
      <c r="G640" s="1013"/>
      <c r="H640" s="1013"/>
      <c r="I640" s="1016"/>
      <c r="J640" s="1014">
        <f t="shared" si="220" ref="J640:Q640">J638-J622</f>
        <v>1169.0738751517636</v>
      </c>
      <c r="K640" s="1014">
        <f t="shared" si="220"/>
        <v>28.54903618384683</v>
      </c>
      <c r="L640" s="1014">
        <f t="shared" si="220"/>
        <v>752.73432671932903</v>
      </c>
      <c r="M640" s="1014">
        <f t="shared" si="220"/>
        <v>0.42555174170482513</v>
      </c>
      <c r="N640" s="1014">
        <f t="shared" si="220"/>
        <v>180.11492168429717</v>
      </c>
      <c r="O640" s="1014">
        <f>O638-O622</f>
        <v>65.135810869976311</v>
      </c>
      <c r="P640" s="1014">
        <f t="shared" si="220"/>
        <v>0</v>
      </c>
      <c r="Q640" s="1014">
        <f t="shared" si="220"/>
        <v>7.5924054933611558</v>
      </c>
      <c r="R640" s="1014">
        <f>R638-R622</f>
        <v>7.8069346100098791</v>
      </c>
      <c r="S640" s="1014">
        <f>S638-S622</f>
        <v>9.7771375457112075</v>
      </c>
      <c r="T640" s="1016"/>
      <c r="U640" s="1015">
        <f>SUM(I640:T640)</f>
        <v>2221.2100000000005</v>
      </c>
      <c r="V640" s="67"/>
      <c r="W640" s="370">
        <f t="shared" si="203"/>
        <v>0</v>
      </c>
    </row>
    <row r="641" spans="1:23" ht="18" customHeight="1">
      <c r="A641" s="47"/>
      <c r="B641" s="17"/>
      <c r="C641" s="8"/>
      <c r="D641" s="8"/>
      <c r="E641" s="20"/>
      <c r="F641" s="2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8"/>
      <c r="V641" s="67"/>
      <c r="W641" s="370">
        <f t="shared" si="203"/>
        <v>0</v>
      </c>
    </row>
    <row r="642" spans="1:22" ht="18" customHeight="1">
      <c r="A642" s="47"/>
      <c r="B642" s="17"/>
      <c r="C642" s="8"/>
      <c r="D642" s="8"/>
      <c r="E642" s="20"/>
      <c r="F642" s="22"/>
      <c r="G642" s="20"/>
      <c r="H642" s="13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134"/>
      <c r="V642" s="134">
        <f>$H$2</f>
        <v>0</v>
      </c>
    </row>
    <row r="643" spans="1:22" ht="18" customHeight="1" thickBot="1">
      <c r="A643" s="47"/>
      <c r="B643" s="17"/>
      <c r="C643" s="8"/>
      <c r="D643" s="8"/>
      <c r="E643" s="20"/>
      <c r="F643" s="2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8"/>
      <c r="V643" s="67"/>
    </row>
    <row r="644" spans="1:21" ht="18" customHeight="1">
      <c r="A644" s="47"/>
      <c r="B644" s="920" t="str">
        <f>+$B$4</f>
        <v>2022 RATE CASE</v>
      </c>
      <c r="C644" s="935"/>
      <c r="D644" s="969"/>
      <c r="F644" s="332"/>
      <c r="U644" s="134"/>
    </row>
    <row r="645" spans="1:22" ht="18" customHeight="1">
      <c r="A645" s="47"/>
      <c r="B645" s="917" t="str">
        <f>+$B$5</f>
        <v>ONCOR ELECTRIC DELIVERY COMPANY LLC</v>
      </c>
      <c r="C645" s="8"/>
      <c r="D645" s="970"/>
      <c r="F645" s="332"/>
      <c r="U645" s="134"/>
      <c r="V645" s="67"/>
    </row>
    <row r="646" spans="1:22" ht="18" customHeight="1">
      <c r="A646" s="47"/>
      <c r="B646" s="917" t="str">
        <f>+$B$6</f>
        <v>II-I-1-MET:  CLASS REVENUE REQUIREMENT</v>
      </c>
      <c r="C646" s="85"/>
      <c r="D646" s="970"/>
      <c r="F646" s="332"/>
      <c r="U646" s="332"/>
      <c r="V646" s="67"/>
    </row>
    <row r="647" spans="1:22" ht="18" customHeight="1">
      <c r="A647" s="47"/>
      <c r="B647" s="406" t="str">
        <f>+$B$7</f>
        <v>TEST YEAR ENDING 12/31/2021</v>
      </c>
      <c r="C647" s="85"/>
      <c r="D647" s="970"/>
      <c r="F647" s="332"/>
      <c r="U647" s="332"/>
      <c r="V647" s="67"/>
    </row>
    <row r="648" spans="1:22" ht="18" customHeight="1">
      <c r="A648" s="47"/>
      <c r="B648" s="406" t="str">
        <f>+$B$8</f>
        <v>SPONSOR:  MATTHEW A. TROXLE</v>
      </c>
      <c r="C648" s="85"/>
      <c r="D648" s="970"/>
      <c r="F648" s="332"/>
      <c r="U648" s="332"/>
      <c r="V648" s="67"/>
    </row>
    <row r="649" spans="1:22" ht="18" customHeight="1" thickBot="1">
      <c r="A649" s="47"/>
      <c r="B649" s="410"/>
      <c r="C649" s="934"/>
      <c r="D649" s="936"/>
      <c r="F649" s="332"/>
      <c r="U649" s="332"/>
      <c r="V649" s="67"/>
    </row>
    <row r="650" spans="1:22" ht="18" customHeight="1" thickBot="1">
      <c r="A650" s="47"/>
      <c r="B650" s="13"/>
      <c r="C650" s="14"/>
      <c r="D650" s="14"/>
      <c r="E650" s="14"/>
      <c r="F650" s="13"/>
      <c r="G650" s="14"/>
      <c r="H650" s="14"/>
      <c r="I650" s="14"/>
      <c r="J650" s="238"/>
      <c r="K650" s="238"/>
      <c r="L650" s="14"/>
      <c r="M650" s="238"/>
      <c r="N650" s="238"/>
      <c r="O650" s="238"/>
      <c r="P650" s="238"/>
      <c r="Q650" s="14"/>
      <c r="R650" s="393" t="str">
        <f>R$10</f>
        <v xml:space="preserve"> </v>
      </c>
      <c r="S650" s="394"/>
      <c r="T650" s="238"/>
      <c r="U650" s="13"/>
      <c r="V650" s="67"/>
    </row>
    <row r="651" spans="1:22" ht="18" customHeight="1">
      <c r="A651" s="47"/>
      <c r="B651" s="15" t="s">
        <v>2</v>
      </c>
      <c r="C651" s="15" t="s">
        <v>370</v>
      </c>
      <c r="D651" s="287" t="s">
        <v>631</v>
      </c>
      <c r="E651" s="15" t="s">
        <v>371</v>
      </c>
      <c r="F651" s="287" t="str">
        <f>F$11</f>
        <v>MET</v>
      </c>
      <c r="G651" s="242" t="s">
        <v>741</v>
      </c>
      <c r="H651" s="242" t="s">
        <v>376</v>
      </c>
      <c r="I651" s="15"/>
      <c r="J651" s="242" t="s">
        <v>730</v>
      </c>
      <c r="K651" s="242" t="s">
        <v>409</v>
      </c>
      <c r="L651" s="15" t="s">
        <v>409</v>
      </c>
      <c r="M651" s="242" t="s">
        <v>410</v>
      </c>
      <c r="N651" s="242" t="s">
        <v>410</v>
      </c>
      <c r="O651" s="242" t="s">
        <v>410</v>
      </c>
      <c r="P651" s="242" t="s">
        <v>411</v>
      </c>
      <c r="Q651" s="15" t="s">
        <v>412</v>
      </c>
      <c r="R651" s="396" t="str">
        <f>R$11</f>
        <v>Wholesale</v>
      </c>
      <c r="S651" s="13" t="str">
        <f>S$11</f>
        <v>Wholesale</v>
      </c>
      <c r="T651" s="242"/>
      <c r="U651" s="15" t="s">
        <v>10</v>
      </c>
      <c r="V651" s="67"/>
    </row>
    <row r="652" spans="1:22" ht="18" customHeight="1">
      <c r="A652" s="47"/>
      <c r="B652" s="15"/>
      <c r="C652" s="15"/>
      <c r="D652" s="15"/>
      <c r="E652" s="15"/>
      <c r="F652" s="15"/>
      <c r="G652" s="242" t="s">
        <v>742</v>
      </c>
      <c r="H652" s="242" t="s">
        <v>743</v>
      </c>
      <c r="I652" s="15"/>
      <c r="J652" s="242"/>
      <c r="K652" s="242" t="s">
        <v>731</v>
      </c>
      <c r="L652" s="15" t="s">
        <v>732</v>
      </c>
      <c r="M652" s="242" t="s">
        <v>731</v>
      </c>
      <c r="N652" s="242" t="s">
        <v>732</v>
      </c>
      <c r="O652" s="242" t="s">
        <v>414</v>
      </c>
      <c r="P652" s="242"/>
      <c r="Q652" s="15"/>
      <c r="R652" s="235" t="str">
        <f>R$12</f>
        <v>XFMR</v>
      </c>
      <c r="S652" s="15" t="str">
        <f>S$12</f>
        <v>DLS</v>
      </c>
      <c r="T652" s="242"/>
      <c r="U652" s="15"/>
      <c r="V652" s="67"/>
    </row>
    <row r="653" spans="1:22" ht="18" customHeight="1" thickBot="1">
      <c r="A653" s="47"/>
      <c r="B653" s="16"/>
      <c r="C653" s="16"/>
      <c r="D653" s="16"/>
      <c r="E653" s="16"/>
      <c r="F653" s="16" t="s">
        <v>13</v>
      </c>
      <c r="G653" s="16" t="s">
        <v>14</v>
      </c>
      <c r="H653" s="16" t="s">
        <v>15</v>
      </c>
      <c r="I653" s="16"/>
      <c r="J653" s="243" t="str">
        <f t="shared" si="221" ref="J653:Q653">J$13</f>
        <v>(d)</v>
      </c>
      <c r="K653" s="243" t="str">
        <f t="shared" si="221"/>
        <v>(e)</v>
      </c>
      <c r="L653" s="16" t="str">
        <f t="shared" si="221"/>
        <v>(f)</v>
      </c>
      <c r="M653" s="243" t="str">
        <f t="shared" si="221"/>
        <v>(g)</v>
      </c>
      <c r="N653" s="243" t="str">
        <f t="shared" si="221"/>
        <v>(h)</v>
      </c>
      <c r="O653" s="243" t="str">
        <f>O$13</f>
        <v>(i)</v>
      </c>
      <c r="P653" s="243" t="str">
        <f t="shared" si="221"/>
        <v>(j)</v>
      </c>
      <c r="Q653" s="243" t="str">
        <f t="shared" si="221"/>
        <v>(k)</v>
      </c>
      <c r="R653" s="243" t="str">
        <f>R$13</f>
        <v>(l)</v>
      </c>
      <c r="S653" s="16" t="str">
        <f>S$13</f>
        <v>(m)</v>
      </c>
      <c r="T653" s="16"/>
      <c r="U653" s="16" t="s">
        <v>734</v>
      </c>
      <c r="V653" s="67"/>
    </row>
    <row r="654" spans="1:22" ht="18" customHeight="1">
      <c r="A654" s="47"/>
      <c r="B654" s="47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43"/>
      <c r="V654" s="67"/>
    </row>
    <row r="655" spans="1:22" ht="18" customHeight="1">
      <c r="A655" s="47"/>
      <c r="B655" s="17">
        <f t="shared" si="222" ref="B655:B686">B654+1</f>
        <v>1</v>
      </c>
      <c r="C655" s="8" t="s">
        <v>631</v>
      </c>
      <c r="D655" s="8"/>
      <c r="E655" s="20"/>
      <c r="F655" s="8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8"/>
      <c r="V655" s="67"/>
    </row>
    <row r="656" spans="1:22" ht="18" customHeight="1">
      <c r="A656" s="47"/>
      <c r="B656" s="17">
        <f t="shared" si="222"/>
        <v>2</v>
      </c>
      <c r="C656" s="8"/>
      <c r="D656" s="366" t="s">
        <v>626</v>
      </c>
      <c r="E656" s="20" t="s">
        <v>160</v>
      </c>
      <c r="F656" s="8"/>
      <c r="G656" s="20"/>
      <c r="H656" s="20"/>
      <c r="I656" s="1010"/>
      <c r="J656" s="1059"/>
      <c r="K656" s="1059"/>
      <c r="L656" s="1059"/>
      <c r="M656" s="1059"/>
      <c r="N656" s="1059"/>
      <c r="O656" s="1059"/>
      <c r="P656" s="1059"/>
      <c r="Q656" s="1059"/>
      <c r="R656" s="1059"/>
      <c r="S656" s="1059"/>
      <c r="T656" s="1010"/>
      <c r="U656" s="8"/>
      <c r="V656" s="67"/>
    </row>
    <row r="657" spans="1:22" ht="18" customHeight="1">
      <c r="A657" s="47"/>
      <c r="B657" s="17">
        <f t="shared" si="222"/>
        <v>3</v>
      </c>
      <c r="C657" s="1" t="s">
        <v>191</v>
      </c>
      <c r="D657" s="28" t="s">
        <v>162</v>
      </c>
      <c r="E657" s="67"/>
      <c r="F657" s="118">
        <f>' WP II-I-1.4'!H657</f>
        <v>580269.81000000006</v>
      </c>
      <c r="G657" s="68">
        <v>71</v>
      </c>
      <c r="H657" s="47" t="str">
        <f t="shared" si="223" ref="H657:H666">VLOOKUP(G657,FactorTable,2)</f>
        <v>DIST OPS</v>
      </c>
      <c r="I657" s="12"/>
      <c r="J657" s="434">
        <f t="shared" si="224" ref="J657:S666">$F657*HLOOKUP(J$1318,FactorTable,$G657+1)</f>
        <v>323503.22852349188</v>
      </c>
      <c r="K657" s="434">
        <f t="shared" si="224"/>
        <v>49875.866718083831</v>
      </c>
      <c r="L657" s="434">
        <f t="shared" si="224"/>
        <v>153843.83626023855</v>
      </c>
      <c r="M657" s="434">
        <f t="shared" si="224"/>
        <v>2160.2010497691153</v>
      </c>
      <c r="N657" s="434">
        <f t="shared" si="224"/>
        <v>45077.57676268449</v>
      </c>
      <c r="O657" s="434">
        <f t="shared" si="224"/>
        <v>1540.4362984207887</v>
      </c>
      <c r="P657" s="434">
        <f t="shared" si="224"/>
        <v>3353.4113265621786</v>
      </c>
      <c r="Q657" s="434">
        <f t="shared" si="224"/>
        <v>322.47516620331731</v>
      </c>
      <c r="R657" s="434">
        <f t="shared" si="224"/>
        <v>177.73425815640061</v>
      </c>
      <c r="S657" s="434">
        <f t="shared" si="224"/>
        <v>415.04363638961763</v>
      </c>
      <c r="T657" s="12"/>
      <c r="U657" s="118">
        <f t="shared" si="225" ref="U657:U667">SUM(I657:T657)</f>
        <v>580269.81000000017</v>
      </c>
      <c r="V657" s="67"/>
    </row>
    <row r="658" spans="1:23" ht="18" customHeight="1">
      <c r="A658" s="47"/>
      <c r="B658" s="17">
        <f t="shared" si="222"/>
        <v>4</v>
      </c>
      <c r="C658" s="1" t="s">
        <v>192</v>
      </c>
      <c r="D658" s="1" t="s">
        <v>193</v>
      </c>
      <c r="E658" s="19"/>
      <c r="F658" s="290">
        <f>' WP II-I-1.4'!H658</f>
        <v>0</v>
      </c>
      <c r="G658" s="466">
        <v>28</v>
      </c>
      <c r="H658" s="47" t="str">
        <f t="shared" si="223"/>
        <v>NCP XHV</v>
      </c>
      <c r="I658" s="19"/>
      <c r="J658" s="434">
        <f t="shared" si="224"/>
        <v>0</v>
      </c>
      <c r="K658" s="434">
        <f t="shared" si="224"/>
        <v>0</v>
      </c>
      <c r="L658" s="434">
        <f t="shared" si="224"/>
        <v>0</v>
      </c>
      <c r="M658" s="434">
        <f t="shared" si="224"/>
        <v>0</v>
      </c>
      <c r="N658" s="434">
        <f t="shared" si="224"/>
        <v>0</v>
      </c>
      <c r="O658" s="434">
        <f t="shared" si="224"/>
        <v>0</v>
      </c>
      <c r="P658" s="434">
        <f t="shared" si="224"/>
        <v>0</v>
      </c>
      <c r="Q658" s="434">
        <f t="shared" si="224"/>
        <v>0</v>
      </c>
      <c r="R658" s="434">
        <f t="shared" si="224"/>
        <v>0</v>
      </c>
      <c r="S658" s="434">
        <f t="shared" si="224"/>
        <v>0</v>
      </c>
      <c r="T658" s="19"/>
      <c r="U658" s="118">
        <f t="shared" si="225"/>
        <v>0</v>
      </c>
      <c r="V658" s="67"/>
      <c r="W658" s="370">
        <f t="shared" si="226" ref="W658:W669">U658-F658</f>
        <v>0</v>
      </c>
    </row>
    <row r="659" spans="1:23" ht="18" customHeight="1">
      <c r="A659" s="47"/>
      <c r="B659" s="17">
        <f t="shared" si="222"/>
        <v>5</v>
      </c>
      <c r="C659" s="1" t="s">
        <v>194</v>
      </c>
      <c r="D659" s="1" t="s">
        <v>166</v>
      </c>
      <c r="E659" s="19"/>
      <c r="F659" s="290">
        <f>' WP II-I-1.4'!H659</f>
        <v>0</v>
      </c>
      <c r="G659" s="466">
        <v>44</v>
      </c>
      <c r="H659" s="47" t="str">
        <f t="shared" si="223"/>
        <v>PLT 362</v>
      </c>
      <c r="I659" s="19"/>
      <c r="J659" s="434">
        <f t="shared" si="224"/>
        <v>0</v>
      </c>
      <c r="K659" s="434">
        <f t="shared" si="224"/>
        <v>0</v>
      </c>
      <c r="L659" s="434">
        <f t="shared" si="224"/>
        <v>0</v>
      </c>
      <c r="M659" s="434">
        <f t="shared" si="224"/>
        <v>0</v>
      </c>
      <c r="N659" s="434">
        <f t="shared" si="224"/>
        <v>0</v>
      </c>
      <c r="O659" s="434">
        <f t="shared" si="224"/>
        <v>0</v>
      </c>
      <c r="P659" s="434">
        <f t="shared" si="224"/>
        <v>0</v>
      </c>
      <c r="Q659" s="434">
        <f t="shared" si="224"/>
        <v>0</v>
      </c>
      <c r="R659" s="434">
        <f t="shared" si="224"/>
        <v>0</v>
      </c>
      <c r="S659" s="434">
        <f t="shared" si="224"/>
        <v>0</v>
      </c>
      <c r="T659" s="19"/>
      <c r="U659" s="118">
        <f t="shared" si="225"/>
        <v>0</v>
      </c>
      <c r="V659" s="67"/>
      <c r="W659" s="370">
        <f t="shared" si="226"/>
        <v>0</v>
      </c>
    </row>
    <row r="660" spans="1:23" ht="18" customHeight="1">
      <c r="A660" s="47"/>
      <c r="B660" s="17">
        <f t="shared" si="222"/>
        <v>6</v>
      </c>
      <c r="C660" s="1" t="s">
        <v>195</v>
      </c>
      <c r="D660" s="1" t="s">
        <v>168</v>
      </c>
      <c r="E660" s="19"/>
      <c r="F660" s="290">
        <f>' WP II-I-1.4'!H660</f>
        <v>92030.289999999994</v>
      </c>
      <c r="G660" s="466">
        <v>51</v>
      </c>
      <c r="H660" s="47" t="str">
        <f t="shared" si="223"/>
        <v>PLT 370</v>
      </c>
      <c r="I660" s="19"/>
      <c r="J660" s="434">
        <f t="shared" si="224"/>
        <v>51307.329776425533</v>
      </c>
      <c r="K660" s="434">
        <f t="shared" si="224"/>
        <v>7910.2689431241533</v>
      </c>
      <c r="L660" s="434">
        <f t="shared" si="224"/>
        <v>24399.498196974815</v>
      </c>
      <c r="M660" s="434">
        <f t="shared" si="224"/>
        <v>342.60600164562555</v>
      </c>
      <c r="N660" s="434">
        <f t="shared" si="224"/>
        <v>7149.2643428664869</v>
      </c>
      <c r="O660" s="434">
        <f t="shared" si="224"/>
        <v>244.31185284728102</v>
      </c>
      <c r="P660" s="434">
        <f t="shared" si="224"/>
        <v>531.84811042908098</v>
      </c>
      <c r="Q660" s="434">
        <f t="shared" si="224"/>
        <v>51.144279989464643</v>
      </c>
      <c r="R660" s="434">
        <f t="shared" si="224"/>
        <v>28.18982917468627</v>
      </c>
      <c r="S660" s="434">
        <f t="shared" si="224"/>
        <v>65.82866652285054</v>
      </c>
      <c r="T660" s="19"/>
      <c r="U660" s="118">
        <f t="shared" si="225"/>
        <v>92030.289999999994</v>
      </c>
      <c r="V660" s="67"/>
      <c r="W660" s="370">
        <f t="shared" si="226"/>
        <v>0</v>
      </c>
    </row>
    <row r="661" spans="1:23" ht="18" customHeight="1">
      <c r="A661" s="47"/>
      <c r="B661" s="17">
        <f t="shared" si="222"/>
        <v>7</v>
      </c>
      <c r="C661" s="1" t="s">
        <v>196</v>
      </c>
      <c r="D661" s="1" t="s">
        <v>170</v>
      </c>
      <c r="E661" s="19"/>
      <c r="F661" s="290">
        <f>' WP II-I-1.4'!H661</f>
        <v>7711.7299999999996</v>
      </c>
      <c r="G661" s="466">
        <v>51</v>
      </c>
      <c r="H661" s="47" t="str">
        <f t="shared" si="223"/>
        <v>PLT 370</v>
      </c>
      <c r="I661" s="19"/>
      <c r="J661" s="434">
        <f t="shared" si="224"/>
        <v>4299.3266049335944</v>
      </c>
      <c r="K661" s="434">
        <f t="shared" si="224"/>
        <v>662.84544269890739</v>
      </c>
      <c r="L661" s="434">
        <f t="shared" si="224"/>
        <v>2044.5696979826598</v>
      </c>
      <c r="M661" s="434">
        <f t="shared" si="224"/>
        <v>28.708862930570138</v>
      </c>
      <c r="N661" s="434">
        <f t="shared" si="224"/>
        <v>599.07663347375933</v>
      </c>
      <c r="O661" s="434">
        <f t="shared" si="224"/>
        <v>20.472249353533087</v>
      </c>
      <c r="P661" s="434">
        <f t="shared" si="224"/>
        <v>44.566512054229719</v>
      </c>
      <c r="Q661" s="434">
        <f t="shared" si="224"/>
        <v>4.2856637561736921</v>
      </c>
      <c r="R661" s="434">
        <f t="shared" si="224"/>
        <v>2.362182617715356</v>
      </c>
      <c r="S661" s="434">
        <f t="shared" si="224"/>
        <v>5.5161501988558568</v>
      </c>
      <c r="T661" s="19"/>
      <c r="U661" s="118">
        <f t="shared" si="225"/>
        <v>7711.7299999999977</v>
      </c>
      <c r="V661" s="67"/>
      <c r="W661" s="370">
        <f t="shared" si="226"/>
        <v>0</v>
      </c>
    </row>
    <row r="662" spans="1:23" ht="18" customHeight="1">
      <c r="A662" s="47"/>
      <c r="B662" s="17">
        <f t="shared" si="222"/>
        <v>8</v>
      </c>
      <c r="C662" s="1" t="s">
        <v>197</v>
      </c>
      <c r="D662" s="1" t="s">
        <v>198</v>
      </c>
      <c r="E662" s="19"/>
      <c r="F662" s="290">
        <f>' WP II-I-1.4'!H662</f>
        <v>0</v>
      </c>
      <c r="G662" s="466">
        <v>33</v>
      </c>
      <c r="H662" s="47" t="str">
        <f t="shared" si="223"/>
        <v>NCP LGT</v>
      </c>
      <c r="I662" s="19"/>
      <c r="J662" s="434">
        <f t="shared" si="224"/>
        <v>0</v>
      </c>
      <c r="K662" s="434">
        <f t="shared" si="224"/>
        <v>0</v>
      </c>
      <c r="L662" s="434">
        <f t="shared" si="224"/>
        <v>0</v>
      </c>
      <c r="M662" s="434">
        <f t="shared" si="224"/>
        <v>0</v>
      </c>
      <c r="N662" s="434">
        <f t="shared" si="224"/>
        <v>0</v>
      </c>
      <c r="O662" s="434">
        <f t="shared" si="224"/>
        <v>0</v>
      </c>
      <c r="P662" s="434">
        <f t="shared" si="224"/>
        <v>0</v>
      </c>
      <c r="Q662" s="434">
        <f t="shared" si="224"/>
        <v>0</v>
      </c>
      <c r="R662" s="434">
        <f t="shared" si="224"/>
        <v>0</v>
      </c>
      <c r="S662" s="434">
        <f t="shared" si="224"/>
        <v>0</v>
      </c>
      <c r="T662" s="19"/>
      <c r="U662" s="118">
        <f t="shared" si="225"/>
        <v>0</v>
      </c>
      <c r="V662" s="67"/>
      <c r="W662" s="370">
        <f t="shared" si="226"/>
        <v>0</v>
      </c>
    </row>
    <row r="663" spans="1:23" ht="18" customHeight="1">
      <c r="A663" s="47"/>
      <c r="B663" s="17">
        <f t="shared" si="222"/>
        <v>9</v>
      </c>
      <c r="C663" s="1" t="s">
        <v>199</v>
      </c>
      <c r="D663" s="1" t="s">
        <v>200</v>
      </c>
      <c r="E663" s="19"/>
      <c r="F663" s="290">
        <f>' WP II-I-1.4'!H663</f>
        <v>28413340.77</v>
      </c>
      <c r="G663" s="466">
        <v>6</v>
      </c>
      <c r="H663" s="47" t="str">
        <f t="shared" si="223"/>
        <v>CUS W ALL</v>
      </c>
      <c r="I663" s="19"/>
      <c r="J663" s="434">
        <f t="shared" si="224"/>
        <v>15840574.281971153</v>
      </c>
      <c r="K663" s="434">
        <f t="shared" si="224"/>
        <v>2442208.6148303389</v>
      </c>
      <c r="L663" s="434">
        <f t="shared" si="224"/>
        <v>7533076.9563764948</v>
      </c>
      <c r="M663" s="434">
        <f t="shared" si="224"/>
        <v>105775.83830936902</v>
      </c>
      <c r="N663" s="434">
        <f t="shared" si="224"/>
        <v>2207256.8067391259</v>
      </c>
      <c r="O663" s="434">
        <f t="shared" si="224"/>
        <v>75428.599965292859</v>
      </c>
      <c r="P663" s="434">
        <f t="shared" si="224"/>
        <v>164202.25992444521</v>
      </c>
      <c r="Q663" s="434">
        <f t="shared" si="224"/>
        <v>15790.234451906556</v>
      </c>
      <c r="R663" s="434">
        <f t="shared" si="224"/>
        <v>8703.2999959953304</v>
      </c>
      <c r="S663" s="434">
        <f t="shared" si="224"/>
        <v>20323.877435879469</v>
      </c>
      <c r="T663" s="19"/>
      <c r="U663" s="118">
        <f t="shared" si="225"/>
        <v>28413340.77</v>
      </c>
      <c r="V663" s="67"/>
      <c r="W663" s="370">
        <f t="shared" si="226"/>
        <v>0</v>
      </c>
    </row>
    <row r="664" spans="1:23" ht="18" customHeight="1">
      <c r="A664" s="47"/>
      <c r="B664" s="17">
        <f t="shared" si="222"/>
        <v>10</v>
      </c>
      <c r="C664" s="1" t="s">
        <v>201</v>
      </c>
      <c r="D664" s="1" t="s">
        <v>202</v>
      </c>
      <c r="E664" s="19"/>
      <c r="F664" s="290">
        <f>' WP II-I-1.4'!H664</f>
        <v>1344.8599999999999</v>
      </c>
      <c r="G664" s="466">
        <v>8</v>
      </c>
      <c r="H664" s="47" t="str">
        <f t="shared" si="223"/>
        <v>CUS W RTL</v>
      </c>
      <c r="I664" s="19"/>
      <c r="J664" s="434">
        <f t="shared" si="224"/>
        <v>750.53267218797873</v>
      </c>
      <c r="K664" s="434">
        <f t="shared" si="224"/>
        <v>115.71280971898128</v>
      </c>
      <c r="L664" s="434">
        <f t="shared" si="224"/>
        <v>356.92016446031221</v>
      </c>
      <c r="M664" s="434">
        <f t="shared" si="224"/>
        <v>5.0117010384913572</v>
      </c>
      <c r="N664" s="434">
        <f t="shared" si="224"/>
        <v>104.58070016138812</v>
      </c>
      <c r="O664" s="434">
        <f t="shared" si="224"/>
        <v>3.5738368877056117</v>
      </c>
      <c r="P664" s="434">
        <f t="shared" si="224"/>
        <v>7.7799679940052924</v>
      </c>
      <c r="Q664" s="434">
        <f t="shared" si="224"/>
        <v>0.74814755113723053</v>
      </c>
      <c r="R664" s="434">
        <f t="shared" si="224"/>
        <v>0</v>
      </c>
      <c r="S664" s="434">
        <f t="shared" si="224"/>
        <v>0</v>
      </c>
      <c r="T664" s="19"/>
      <c r="U664" s="118">
        <f t="shared" si="225"/>
        <v>1344.8599999999997</v>
      </c>
      <c r="V664" s="67"/>
      <c r="W664" s="370">
        <f t="shared" si="226"/>
        <v>0</v>
      </c>
    </row>
    <row r="665" spans="1:23" ht="18" customHeight="1">
      <c r="A665" s="47"/>
      <c r="B665" s="17">
        <f t="shared" si="222"/>
        <v>11</v>
      </c>
      <c r="C665" s="1" t="s">
        <v>203</v>
      </c>
      <c r="D665" s="1" t="s">
        <v>204</v>
      </c>
      <c r="E665" s="19"/>
      <c r="F665" s="290">
        <f>' WP II-I-1.4'!H665</f>
        <v>3498684.9199999999</v>
      </c>
      <c r="G665" s="466">
        <v>71</v>
      </c>
      <c r="H665" s="47" t="str">
        <f t="shared" si="223"/>
        <v>DIST OPS</v>
      </c>
      <c r="I665" s="19"/>
      <c r="J665" s="434">
        <f t="shared" si="224"/>
        <v>1950533.7822184041</v>
      </c>
      <c r="K665" s="434">
        <f t="shared" si="224"/>
        <v>300722.0774737355</v>
      </c>
      <c r="L665" s="434">
        <f t="shared" si="224"/>
        <v>927587.65092163894</v>
      </c>
      <c r="M665" s="434">
        <f t="shared" si="224"/>
        <v>13024.739020965733</v>
      </c>
      <c r="N665" s="434">
        <f t="shared" si="224"/>
        <v>271791.21734723129</v>
      </c>
      <c r="O665" s="434">
        <f t="shared" si="224"/>
        <v>9287.9228845378548</v>
      </c>
      <c r="P665" s="434">
        <f t="shared" si="224"/>
        <v>20219.093664032403</v>
      </c>
      <c r="Q665" s="434">
        <f t="shared" si="224"/>
        <v>1944.3351724089173</v>
      </c>
      <c r="R665" s="434">
        <f t="shared" si="224"/>
        <v>1071.632812982612</v>
      </c>
      <c r="S665" s="434">
        <f t="shared" si="224"/>
        <v>2502.4684840631608</v>
      </c>
      <c r="T665" s="19"/>
      <c r="U665" s="118">
        <f t="shared" si="225"/>
        <v>3498684.9199999999</v>
      </c>
      <c r="V665" s="67"/>
      <c r="W665" s="370">
        <f t="shared" si="226"/>
        <v>0</v>
      </c>
    </row>
    <row r="666" spans="1:23" ht="18" customHeight="1">
      <c r="A666" s="47"/>
      <c r="B666" s="17">
        <f t="shared" si="222"/>
        <v>12</v>
      </c>
      <c r="C666" s="1" t="s">
        <v>205</v>
      </c>
      <c r="D666" s="1" t="s">
        <v>206</v>
      </c>
      <c r="E666" s="19"/>
      <c r="F666" s="290">
        <f>' WP II-I-1.4'!H666</f>
        <v>0</v>
      </c>
      <c r="G666" s="466">
        <v>30</v>
      </c>
      <c r="H666" s="47" t="str">
        <f t="shared" si="223"/>
        <v>NCP XSS</v>
      </c>
      <c r="I666" s="19"/>
      <c r="J666" s="435">
        <f t="shared" si="224"/>
        <v>0</v>
      </c>
      <c r="K666" s="435">
        <f t="shared" si="224"/>
        <v>0</v>
      </c>
      <c r="L666" s="435">
        <f t="shared" si="224"/>
        <v>0</v>
      </c>
      <c r="M666" s="435">
        <f t="shared" si="224"/>
        <v>0</v>
      </c>
      <c r="N666" s="435">
        <f t="shared" si="224"/>
        <v>0</v>
      </c>
      <c r="O666" s="435">
        <f t="shared" si="224"/>
        <v>0</v>
      </c>
      <c r="P666" s="435">
        <f t="shared" si="224"/>
        <v>0</v>
      </c>
      <c r="Q666" s="435">
        <f t="shared" si="224"/>
        <v>0</v>
      </c>
      <c r="R666" s="435">
        <f t="shared" si="224"/>
        <v>0</v>
      </c>
      <c r="S666" s="435">
        <f t="shared" si="224"/>
        <v>0</v>
      </c>
      <c r="T666" s="19"/>
      <c r="U666" s="118">
        <f t="shared" si="225"/>
        <v>0</v>
      </c>
      <c r="V666" s="67"/>
      <c r="W666" s="370">
        <f t="shared" si="226"/>
        <v>0</v>
      </c>
    </row>
    <row r="667" spans="1:23" ht="18" customHeight="1">
      <c r="A667" s="47"/>
      <c r="B667" s="17">
        <f t="shared" si="222"/>
        <v>13</v>
      </c>
      <c r="C667" s="8"/>
      <c r="D667" s="297" t="s">
        <v>632</v>
      </c>
      <c r="E667" s="20"/>
      <c r="F667" s="22">
        <f>SUM(F657:F666)</f>
        <v>32593382.380000003</v>
      </c>
      <c r="G667" s="20"/>
      <c r="H667" s="20"/>
      <c r="I667" s="1010"/>
      <c r="J667" s="896">
        <f t="shared" si="227" ref="J667:Q667">SUM(J657:J666)</f>
        <v>18170968.481766596</v>
      </c>
      <c r="K667" s="896">
        <f t="shared" si="227"/>
        <v>2801495.3862177003</v>
      </c>
      <c r="L667" s="896">
        <f t="shared" si="227"/>
        <v>8641309.431617789</v>
      </c>
      <c r="M667" s="896">
        <f t="shared" si="227"/>
        <v>121337.10494571854</v>
      </c>
      <c r="N667" s="896">
        <f t="shared" si="227"/>
        <v>2531978.5225255433</v>
      </c>
      <c r="O667" s="896">
        <f>SUM(O657:O666)</f>
        <v>86525.317087340023</v>
      </c>
      <c r="P667" s="896">
        <f t="shared" si="227"/>
        <v>188358.95950551709</v>
      </c>
      <c r="Q667" s="896">
        <f t="shared" si="227"/>
        <v>18113.222881815567</v>
      </c>
      <c r="R667" s="896">
        <f>SUM(R657:R666)</f>
        <v>9983.2190789267443</v>
      </c>
      <c r="S667" s="896">
        <f>SUM(S657:S666)</f>
        <v>23312.734373053954</v>
      </c>
      <c r="T667" s="1010"/>
      <c r="U667" s="299">
        <f t="shared" si="225"/>
        <v>32593382.380000003</v>
      </c>
      <c r="V667" s="67"/>
      <c r="W667" s="370">
        <f t="shared" si="226"/>
        <v>0</v>
      </c>
    </row>
    <row r="668" spans="1:23" ht="18" customHeight="1">
      <c r="A668" s="47"/>
      <c r="B668" s="17">
        <f t="shared" si="222"/>
        <v>14</v>
      </c>
      <c r="C668" s="8"/>
      <c r="D668" s="297"/>
      <c r="E668" s="20"/>
      <c r="F668" s="22"/>
      <c r="G668" s="20"/>
      <c r="H668" s="20"/>
      <c r="I668" s="1010"/>
      <c r="J668" s="896"/>
      <c r="K668" s="896"/>
      <c r="L668" s="896"/>
      <c r="M668" s="896"/>
      <c r="N668" s="896"/>
      <c r="O668" s="896"/>
      <c r="P668" s="896"/>
      <c r="Q668" s="896"/>
      <c r="R668" s="896"/>
      <c r="S668" s="896"/>
      <c r="T668" s="1010"/>
      <c r="U668" s="299"/>
      <c r="V668" s="67"/>
      <c r="W668" s="370">
        <f t="shared" si="226"/>
        <v>0</v>
      </c>
    </row>
    <row r="669" spans="1:23" ht="18" customHeight="1">
      <c r="A669" s="47"/>
      <c r="B669" s="17">
        <f t="shared" si="222"/>
        <v>15</v>
      </c>
      <c r="C669" s="8"/>
      <c r="D669" s="297" t="s">
        <v>633</v>
      </c>
      <c r="E669" s="20"/>
      <c r="F669" s="22">
        <f>SUM(F658:F664)+F666</f>
        <v>28514427.649999999</v>
      </c>
      <c r="G669" s="20"/>
      <c r="H669" s="20"/>
      <c r="I669" s="1010"/>
      <c r="J669" s="896">
        <f t="shared" si="228" ref="J669:Q669">SUM(J658:J664)+J666</f>
        <v>15896931.4710247</v>
      </c>
      <c r="K669" s="896">
        <f t="shared" si="228"/>
        <v>2450897.4420258813</v>
      </c>
      <c r="L669" s="896">
        <f t="shared" si="228"/>
        <v>7559877.9444359122</v>
      </c>
      <c r="M669" s="896">
        <f t="shared" si="228"/>
        <v>106152.1648749837</v>
      </c>
      <c r="N669" s="896">
        <f t="shared" si="228"/>
        <v>2215109.7284156275</v>
      </c>
      <c r="O669" s="896">
        <f>SUM(O658:O664)+O666</f>
        <v>75696.957904381372</v>
      </c>
      <c r="P669" s="896">
        <f t="shared" si="228"/>
        <v>164786.45451492252</v>
      </c>
      <c r="Q669" s="896">
        <f t="shared" si="228"/>
        <v>15846.412543203331</v>
      </c>
      <c r="R669" s="896">
        <f>SUM(R658:R664)+R666</f>
        <v>8733.8520077877329</v>
      </c>
      <c r="S669" s="896">
        <f>SUM(S658:S664)+S666</f>
        <v>20395.222252601176</v>
      </c>
      <c r="T669" s="1010"/>
      <c r="U669" s="299">
        <f>SUM(I669:T669)</f>
        <v>28514427.649999995</v>
      </c>
      <c r="V669" s="67"/>
      <c r="W669" s="370">
        <f t="shared" si="226"/>
        <v>0</v>
      </c>
    </row>
    <row r="670" spans="1:22" ht="18" customHeight="1">
      <c r="A670" s="47"/>
      <c r="B670" s="17">
        <f t="shared" si="222"/>
        <v>16</v>
      </c>
      <c r="C670" s="1"/>
      <c r="D670" s="30"/>
      <c r="E670" s="17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"/>
      <c r="V670" s="67"/>
    </row>
    <row r="671" spans="1:22" ht="18" customHeight="1">
      <c r="A671" s="47"/>
      <c r="B671" s="17">
        <f t="shared" si="222"/>
        <v>17</v>
      </c>
      <c r="C671" s="366"/>
      <c r="D671" s="8"/>
      <c r="E671" s="20"/>
      <c r="F671" s="22"/>
      <c r="G671" s="20"/>
      <c r="H671" s="20"/>
      <c r="I671" s="1010"/>
      <c r="J671" s="1059"/>
      <c r="K671" s="1059"/>
      <c r="L671" s="1059"/>
      <c r="M671" s="1059"/>
      <c r="N671" s="1059"/>
      <c r="O671" s="1059"/>
      <c r="P671" s="1059"/>
      <c r="Q671" s="1059"/>
      <c r="R671" s="1059"/>
      <c r="S671" s="1059"/>
      <c r="T671" s="1010"/>
      <c r="U671" s="8"/>
      <c r="V671" s="67"/>
    </row>
    <row r="672" spans="1:22" ht="18" customHeight="1">
      <c r="A672" s="47"/>
      <c r="B672" s="17">
        <f t="shared" si="222"/>
        <v>18</v>
      </c>
      <c r="C672" s="8"/>
      <c r="D672" s="366" t="s">
        <v>628</v>
      </c>
      <c r="E672" s="20" t="s">
        <v>160</v>
      </c>
      <c r="F672" s="22"/>
      <c r="G672" s="20"/>
      <c r="H672" s="20"/>
      <c r="I672" s="1010"/>
      <c r="J672" s="1059"/>
      <c r="K672" s="1059"/>
      <c r="L672" s="1059"/>
      <c r="M672" s="1059"/>
      <c r="N672" s="1059"/>
      <c r="O672" s="1059"/>
      <c r="P672" s="1059"/>
      <c r="Q672" s="1059"/>
      <c r="R672" s="1059"/>
      <c r="S672" s="1059"/>
      <c r="T672" s="1010"/>
      <c r="U672" s="8"/>
      <c r="V672" s="67"/>
    </row>
    <row r="673" spans="1:23" ht="18" customHeight="1">
      <c r="A673" s="47"/>
      <c r="B673" s="17">
        <f t="shared" si="222"/>
        <v>19</v>
      </c>
      <c r="C673" s="1" t="s">
        <v>208</v>
      </c>
      <c r="D673" s="1" t="s">
        <v>179</v>
      </c>
      <c r="E673" s="17"/>
      <c r="F673" s="118">
        <f>' WP II-I-1.4'!H673</f>
        <v>732702.13</v>
      </c>
      <c r="G673" s="17">
        <v>72</v>
      </c>
      <c r="H673" s="47" t="str">
        <f t="shared" si="229" ref="H673:H681">VLOOKUP(G673,FactorTable,2)</f>
        <v>DIST MAINT</v>
      </c>
      <c r="I673" s="17"/>
      <c r="J673" s="434">
        <f t="shared" si="230" ref="J673:S681">$F673*HLOOKUP(J$1318,FactorTable,$G673+1)</f>
        <v>408096.71407373965</v>
      </c>
      <c r="K673" s="434">
        <f t="shared" si="230"/>
        <v>62918.003669171223</v>
      </c>
      <c r="L673" s="434">
        <f t="shared" si="230"/>
        <v>194072.7588557672</v>
      </c>
      <c r="M673" s="434">
        <f t="shared" si="230"/>
        <v>2725.0762045653019</v>
      </c>
      <c r="N673" s="434">
        <f t="shared" si="230"/>
        <v>56864.999583527926</v>
      </c>
      <c r="O673" s="434">
        <f t="shared" si="230"/>
        <v>1943.2479684813654</v>
      </c>
      <c r="P673" s="434">
        <f t="shared" si="230"/>
        <v>4230.3013467709725</v>
      </c>
      <c r="Q673" s="434">
        <f t="shared" si="230"/>
        <v>1103.2084577407338</v>
      </c>
      <c r="R673" s="434">
        <f t="shared" si="230"/>
        <v>224.22091944015756</v>
      </c>
      <c r="S673" s="434">
        <f t="shared" si="230"/>
        <v>523.59892079542317</v>
      </c>
      <c r="T673" s="17"/>
      <c r="U673" s="118">
        <f t="shared" si="231" ref="U673:U682">SUM(I673:T673)</f>
        <v>732702.13</v>
      </c>
      <c r="V673" s="67"/>
      <c r="W673" s="370">
        <f>U673-F673</f>
        <v>0</v>
      </c>
    </row>
    <row r="674" spans="1:23" ht="18" customHeight="1">
      <c r="A674" s="47"/>
      <c r="B674" s="17">
        <f t="shared" si="222"/>
        <v>20</v>
      </c>
      <c r="C674" s="1" t="s">
        <v>209</v>
      </c>
      <c r="D674" s="31" t="s">
        <v>181</v>
      </c>
      <c r="E674" s="17"/>
      <c r="F674" s="118">
        <f>' WP II-I-1.4'!H674</f>
        <v>0</v>
      </c>
      <c r="G674" s="17">
        <v>43</v>
      </c>
      <c r="H674" s="47" t="str">
        <f t="shared" si="229"/>
        <v>PLT 361</v>
      </c>
      <c r="I674" s="17"/>
      <c r="J674" s="434">
        <f t="shared" si="230"/>
        <v>0</v>
      </c>
      <c r="K674" s="434">
        <f t="shared" si="230"/>
        <v>0</v>
      </c>
      <c r="L674" s="434">
        <f t="shared" si="230"/>
        <v>0</v>
      </c>
      <c r="M674" s="434">
        <f t="shared" si="230"/>
        <v>0</v>
      </c>
      <c r="N674" s="434">
        <f t="shared" si="230"/>
        <v>0</v>
      </c>
      <c r="O674" s="434">
        <f t="shared" si="230"/>
        <v>0</v>
      </c>
      <c r="P674" s="434">
        <f t="shared" si="230"/>
        <v>0</v>
      </c>
      <c r="Q674" s="434">
        <f t="shared" si="230"/>
        <v>0</v>
      </c>
      <c r="R674" s="434">
        <f t="shared" si="230"/>
        <v>0</v>
      </c>
      <c r="S674" s="434">
        <f t="shared" si="230"/>
        <v>0</v>
      </c>
      <c r="T674" s="17"/>
      <c r="U674" s="118">
        <f t="shared" si="231"/>
        <v>0</v>
      </c>
      <c r="V674" s="67"/>
      <c r="W674" s="370">
        <f t="shared" si="232" ref="W674:W681">U674-F674</f>
        <v>0</v>
      </c>
    </row>
    <row r="675" spans="1:23" ht="18" customHeight="1">
      <c r="A675" s="47"/>
      <c r="B675" s="17">
        <f t="shared" si="222"/>
        <v>21</v>
      </c>
      <c r="C675" s="1" t="s">
        <v>210</v>
      </c>
      <c r="D675" s="1" t="s">
        <v>183</v>
      </c>
      <c r="E675" s="17"/>
      <c r="F675" s="118">
        <f>' WP II-I-1.4'!H675</f>
        <v>0</v>
      </c>
      <c r="G675" s="17">
        <v>44</v>
      </c>
      <c r="H675" s="47" t="str">
        <f t="shared" si="229"/>
        <v>PLT 362</v>
      </c>
      <c r="I675" s="17"/>
      <c r="J675" s="434">
        <f t="shared" si="230"/>
        <v>0</v>
      </c>
      <c r="K675" s="434">
        <f t="shared" si="230"/>
        <v>0</v>
      </c>
      <c r="L675" s="434">
        <f t="shared" si="230"/>
        <v>0</v>
      </c>
      <c r="M675" s="434">
        <f t="shared" si="230"/>
        <v>0</v>
      </c>
      <c r="N675" s="434">
        <f t="shared" si="230"/>
        <v>0</v>
      </c>
      <c r="O675" s="434">
        <f t="shared" si="230"/>
        <v>0</v>
      </c>
      <c r="P675" s="434">
        <f t="shared" si="230"/>
        <v>0</v>
      </c>
      <c r="Q675" s="434">
        <f t="shared" si="230"/>
        <v>0</v>
      </c>
      <c r="R675" s="434">
        <f t="shared" si="230"/>
        <v>0</v>
      </c>
      <c r="S675" s="434">
        <f t="shared" si="230"/>
        <v>0</v>
      </c>
      <c r="T675" s="17"/>
      <c r="U675" s="118">
        <f t="shared" si="231"/>
        <v>0</v>
      </c>
      <c r="V675" s="67"/>
      <c r="W675" s="370">
        <f t="shared" si="232"/>
        <v>0</v>
      </c>
    </row>
    <row r="676" spans="1:23" ht="18" customHeight="1">
      <c r="A676" s="47"/>
      <c r="B676" s="17">
        <f t="shared" si="222"/>
        <v>22</v>
      </c>
      <c r="C676" s="1" t="s">
        <v>211</v>
      </c>
      <c r="D676" s="31" t="s">
        <v>185</v>
      </c>
      <c r="E676" s="17"/>
      <c r="F676" s="118">
        <f>' WP II-I-1.4'!H676</f>
        <v>174493.46000000002</v>
      </c>
      <c r="G676" s="17">
        <v>51</v>
      </c>
      <c r="H676" s="47" t="str">
        <f t="shared" si="229"/>
        <v>PLT 370</v>
      </c>
      <c r="I676" s="17"/>
      <c r="J676" s="434">
        <f t="shared" si="230"/>
        <v>97280.944089706987</v>
      </c>
      <c r="K676" s="434">
        <f t="shared" si="230"/>
        <v>14998.216320042859</v>
      </c>
      <c r="L676" s="434">
        <f t="shared" si="230"/>
        <v>46262.517076213691</v>
      </c>
      <c r="M676" s="434">
        <f t="shared" si="230"/>
        <v>649.59598240873629</v>
      </c>
      <c r="N676" s="434">
        <f t="shared" si="230"/>
        <v>13555.318272292741</v>
      </c>
      <c r="O676" s="434">
        <f t="shared" si="230"/>
        <v>463.22597182224382</v>
      </c>
      <c r="P676" s="434">
        <f t="shared" si="230"/>
        <v>1008.4073078899614</v>
      </c>
      <c r="Q676" s="434">
        <f t="shared" si="230"/>
        <v>96.971794553406824</v>
      </c>
      <c r="R676" s="434">
        <f t="shared" si="230"/>
        <v>53.449150594874283</v>
      </c>
      <c r="S676" s="434">
        <f t="shared" si="230"/>
        <v>124.8140344745014</v>
      </c>
      <c r="T676" s="17"/>
      <c r="U676" s="118">
        <f t="shared" si="231"/>
        <v>174493.45999999999</v>
      </c>
      <c r="V676" s="67"/>
      <c r="W676" s="370">
        <f t="shared" si="232"/>
        <v>0</v>
      </c>
    </row>
    <row r="677" spans="1:23" ht="18" customHeight="1">
      <c r="A677" s="47"/>
      <c r="B677" s="17">
        <f t="shared" si="222"/>
        <v>23</v>
      </c>
      <c r="C677" s="1" t="s">
        <v>212</v>
      </c>
      <c r="D677" s="1" t="s">
        <v>187</v>
      </c>
      <c r="E677" s="17"/>
      <c r="F677" s="118">
        <f>' WP II-I-1.4'!H677</f>
        <v>38016.459999999999</v>
      </c>
      <c r="G677" s="17">
        <v>51</v>
      </c>
      <c r="H677" s="47" t="str">
        <f t="shared" si="229"/>
        <v>PLT 370</v>
      </c>
      <c r="I677" s="17"/>
      <c r="J677" s="434">
        <f t="shared" si="230"/>
        <v>21194.359489166993</v>
      </c>
      <c r="K677" s="434">
        <f t="shared" si="230"/>
        <v>3267.6244187160733</v>
      </c>
      <c r="L677" s="434">
        <f t="shared" si="230"/>
        <v>10079.100557277014</v>
      </c>
      <c r="M677" s="434">
        <f t="shared" si="230"/>
        <v>141.52587541906971</v>
      </c>
      <c r="N677" s="434">
        <f t="shared" si="230"/>
        <v>2953.26377782804</v>
      </c>
      <c r="O677" s="434">
        <f t="shared" si="230"/>
        <v>100.92190061874787</v>
      </c>
      <c r="P677" s="434">
        <f t="shared" si="230"/>
        <v>219.69921442388957</v>
      </c>
      <c r="Q677" s="434">
        <f t="shared" si="230"/>
        <v>21.127005841753657</v>
      </c>
      <c r="R677" s="434">
        <f t="shared" si="230"/>
        <v>11.6448346867786</v>
      </c>
      <c r="S677" s="434">
        <f t="shared" si="230"/>
        <v>27.192926021631429</v>
      </c>
      <c r="T677" s="17"/>
      <c r="U677" s="118">
        <f t="shared" si="231"/>
        <v>38016.459999999992</v>
      </c>
      <c r="V677" s="67"/>
      <c r="W677" s="370">
        <f t="shared" si="232"/>
        <v>0</v>
      </c>
    </row>
    <row r="678" spans="1:23" ht="18" customHeight="1">
      <c r="A678" s="47"/>
      <c r="B678" s="17">
        <f t="shared" si="222"/>
        <v>24</v>
      </c>
      <c r="C678" s="1" t="s">
        <v>213</v>
      </c>
      <c r="D678" s="1" t="s">
        <v>214</v>
      </c>
      <c r="E678" s="17"/>
      <c r="F678" s="118">
        <f>' WP II-I-1.4'!H678</f>
        <v>229.10999999999999</v>
      </c>
      <c r="G678" s="17">
        <v>51</v>
      </c>
      <c r="H678" s="47" t="str">
        <f t="shared" si="229"/>
        <v>PLT 370</v>
      </c>
      <c r="I678" s="17"/>
      <c r="J678" s="434">
        <f t="shared" si="230"/>
        <v>127.72992810385422</v>
      </c>
      <c r="K678" s="434">
        <f t="shared" si="230"/>
        <v>19.692665507836331</v>
      </c>
      <c r="L678" s="434">
        <f t="shared" si="230"/>
        <v>60.742707992215387</v>
      </c>
      <c r="M678" s="434">
        <f t="shared" si="230"/>
        <v>0.85291984885660221</v>
      </c>
      <c r="N678" s="434">
        <f t="shared" si="230"/>
        <v>17.798139651566249</v>
      </c>
      <c r="O678" s="434">
        <f t="shared" si="230"/>
        <v>0.60821593201369417</v>
      </c>
      <c r="P678" s="434">
        <f t="shared" si="230"/>
        <v>1.3240392981528879</v>
      </c>
      <c r="Q678" s="434">
        <f t="shared" si="230"/>
        <v>0.12732401460851905</v>
      </c>
      <c r="R678" s="434">
        <f t="shared" si="230"/>
        <v>0.070178761386195485</v>
      </c>
      <c r="S678" s="434">
        <f t="shared" si="230"/>
        <v>0.16388088950985905</v>
      </c>
      <c r="T678" s="17"/>
      <c r="U678" s="118">
        <f t="shared" si="231"/>
        <v>229.10999999999999</v>
      </c>
      <c r="V678" s="67"/>
      <c r="W678" s="370">
        <f t="shared" si="232"/>
        <v>0</v>
      </c>
    </row>
    <row r="679" spans="1:23" ht="18" customHeight="1">
      <c r="A679" s="47"/>
      <c r="B679" s="17">
        <f t="shared" si="222"/>
        <v>25</v>
      </c>
      <c r="C679" s="1" t="s">
        <v>215</v>
      </c>
      <c r="D679" s="1" t="s">
        <v>216</v>
      </c>
      <c r="E679" s="17"/>
      <c r="F679" s="118">
        <f>' WP II-I-1.4'!H679</f>
        <v>16033.25</v>
      </c>
      <c r="G679" s="17">
        <v>33</v>
      </c>
      <c r="H679" s="47" t="str">
        <f t="shared" si="229"/>
        <v>NCP LGT</v>
      </c>
      <c r="I679" s="17"/>
      <c r="J679" s="434">
        <f t="shared" si="230"/>
        <v>0</v>
      </c>
      <c r="K679" s="434">
        <f t="shared" si="230"/>
        <v>0</v>
      </c>
      <c r="L679" s="434">
        <f t="shared" si="230"/>
        <v>0</v>
      </c>
      <c r="M679" s="434">
        <f t="shared" si="230"/>
        <v>0</v>
      </c>
      <c r="N679" s="434">
        <f t="shared" si="230"/>
        <v>0</v>
      </c>
      <c r="O679" s="434">
        <f t="shared" si="230"/>
        <v>0</v>
      </c>
      <c r="P679" s="434">
        <f t="shared" si="230"/>
        <v>0</v>
      </c>
      <c r="Q679" s="434">
        <f t="shared" si="230"/>
        <v>16033.25</v>
      </c>
      <c r="R679" s="434">
        <f t="shared" si="230"/>
        <v>0</v>
      </c>
      <c r="S679" s="434">
        <f t="shared" si="230"/>
        <v>0</v>
      </c>
      <c r="T679" s="17"/>
      <c r="U679" s="118">
        <f t="shared" si="231"/>
        <v>16033.25</v>
      </c>
      <c r="V679" s="67"/>
      <c r="W679" s="370">
        <f t="shared" si="232"/>
        <v>0</v>
      </c>
    </row>
    <row r="680" spans="1:23" ht="18" customHeight="1">
      <c r="A680" s="47"/>
      <c r="B680" s="17">
        <f t="shared" si="222"/>
        <v>26</v>
      </c>
      <c r="C680" s="1" t="s">
        <v>217</v>
      </c>
      <c r="D680" s="1" t="s">
        <v>218</v>
      </c>
      <c r="E680" s="17"/>
      <c r="F680" s="118">
        <f>' WP II-I-1.4'!H680</f>
        <v>16640054.180000002</v>
      </c>
      <c r="G680" s="17">
        <v>6</v>
      </c>
      <c r="H680" s="47" t="str">
        <f t="shared" si="229"/>
        <v>CUS W ALL</v>
      </c>
      <c r="I680" s="17"/>
      <c r="J680" s="434">
        <f t="shared" si="230"/>
        <v>9276910.3227953371</v>
      </c>
      <c r="K680" s="434">
        <f t="shared" si="230"/>
        <v>1430260.6651783593</v>
      </c>
      <c r="L680" s="434">
        <f t="shared" si="230"/>
        <v>4411688.4991069073</v>
      </c>
      <c r="M680" s="434">
        <f t="shared" si="230"/>
        <v>61946.805011441123</v>
      </c>
      <c r="N680" s="434">
        <f t="shared" si="230"/>
        <v>1292662.9483884112</v>
      </c>
      <c r="O680" s="434">
        <f t="shared" si="230"/>
        <v>44174.178612225878</v>
      </c>
      <c r="P680" s="434">
        <f t="shared" si="230"/>
        <v>96163.788825076321</v>
      </c>
      <c r="Q680" s="434">
        <f t="shared" si="230"/>
        <v>9247.4291890396289</v>
      </c>
      <c r="R680" s="434">
        <f t="shared" si="230"/>
        <v>5097.0206091029859</v>
      </c>
      <c r="S680" s="434">
        <f t="shared" si="230"/>
        <v>11902.522284102175</v>
      </c>
      <c r="T680" s="17"/>
      <c r="U680" s="118">
        <f t="shared" si="231"/>
        <v>16640054.180000003</v>
      </c>
      <c r="V680" s="67"/>
      <c r="W680" s="370">
        <f t="shared" si="232"/>
        <v>0</v>
      </c>
    </row>
    <row r="681" spans="1:23" ht="18" customHeight="1">
      <c r="A681" s="47"/>
      <c r="B681" s="17">
        <f t="shared" si="222"/>
        <v>27</v>
      </c>
      <c r="C681" s="1" t="s">
        <v>219</v>
      </c>
      <c r="D681" s="1" t="s">
        <v>220</v>
      </c>
      <c r="E681" s="17"/>
      <c r="F681" s="118">
        <f>' WP II-I-1.4'!H681</f>
        <v>38103.449999999997</v>
      </c>
      <c r="G681" s="17">
        <v>72</v>
      </c>
      <c r="H681" s="47" t="str">
        <f t="shared" si="229"/>
        <v>DIST MAINT</v>
      </c>
      <c r="I681" s="17"/>
      <c r="J681" s="435">
        <f t="shared" si="230"/>
        <v>21222.666214813697</v>
      </c>
      <c r="K681" s="435">
        <f t="shared" si="230"/>
        <v>3271.9885868327997</v>
      </c>
      <c r="L681" s="435">
        <f t="shared" si="230"/>
        <v>10092.561984803813</v>
      </c>
      <c r="M681" s="435">
        <f t="shared" si="230"/>
        <v>141.71489430069454</v>
      </c>
      <c r="N681" s="435">
        <f t="shared" si="230"/>
        <v>2957.2080927088023</v>
      </c>
      <c r="O681" s="435">
        <f t="shared" si="230"/>
        <v>101.05668971459285</v>
      </c>
      <c r="P681" s="435">
        <f t="shared" si="230"/>
        <v>219.99263991715213</v>
      </c>
      <c r="Q681" s="435">
        <f t="shared" si="230"/>
        <v>57.371265331385295</v>
      </c>
      <c r="R681" s="435">
        <f t="shared" si="230"/>
        <v>11.660387274760714</v>
      </c>
      <c r="S681" s="435">
        <f t="shared" si="230"/>
        <v>27.229244302295623</v>
      </c>
      <c r="T681" s="17"/>
      <c r="U681" s="118">
        <f t="shared" si="231"/>
        <v>38103.44999999999</v>
      </c>
      <c r="V681" s="67"/>
      <c r="W681" s="370">
        <f t="shared" si="232"/>
        <v>0</v>
      </c>
    </row>
    <row r="682" spans="1:23" ht="18" customHeight="1">
      <c r="A682" s="47"/>
      <c r="B682" s="17">
        <f t="shared" si="222"/>
        <v>28</v>
      </c>
      <c r="C682" s="8"/>
      <c r="D682" s="297" t="s">
        <v>634</v>
      </c>
      <c r="E682" s="20"/>
      <c r="F682" s="22">
        <f>SUM(F673:F681)</f>
        <v>17639632.039999999</v>
      </c>
      <c r="G682" s="20"/>
      <c r="H682" s="20"/>
      <c r="I682" s="1010"/>
      <c r="J682" s="896">
        <f t="shared" si="233" ref="J682:Q682">SUM(J673:J681)</f>
        <v>9824832.7365908697</v>
      </c>
      <c r="K682" s="896">
        <f t="shared" si="233"/>
        <v>1514736.1908386301</v>
      </c>
      <c r="L682" s="896">
        <f t="shared" si="233"/>
        <v>4672256.1802889612</v>
      </c>
      <c r="M682" s="896">
        <f t="shared" si="233"/>
        <v>65605.570887983777</v>
      </c>
      <c r="N682" s="896">
        <f t="shared" si="233"/>
        <v>1369011.5362544204</v>
      </c>
      <c r="O682" s="896">
        <f>SUM(O673:O681)</f>
        <v>46783.239358794839</v>
      </c>
      <c r="P682" s="896">
        <f t="shared" si="233"/>
        <v>101843.51337337645</v>
      </c>
      <c r="Q682" s="896">
        <f t="shared" si="233"/>
        <v>26559.485036521517</v>
      </c>
      <c r="R682" s="896">
        <f>SUM(R673:R681)</f>
        <v>5398.0660798609433</v>
      </c>
      <c r="S682" s="896">
        <f>SUM(S673:S681)</f>
        <v>12605.521290585537</v>
      </c>
      <c r="T682" s="20"/>
      <c r="U682" s="299">
        <f t="shared" si="231"/>
        <v>17639632.040000003</v>
      </c>
      <c r="V682" s="67"/>
      <c r="W682" s="370">
        <f>U682-F682</f>
        <v>0</v>
      </c>
    </row>
    <row r="683" spans="1:22" ht="18" customHeight="1">
      <c r="A683" s="47"/>
      <c r="B683" s="17">
        <f t="shared" si="222"/>
        <v>29</v>
      </c>
      <c r="C683" s="1"/>
      <c r="D683" s="1"/>
      <c r="E683" s="17"/>
      <c r="F683" s="19"/>
      <c r="G683" s="17"/>
      <c r="H683" s="17"/>
      <c r="I683" s="17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7"/>
      <c r="U683" s="1"/>
      <c r="V683" s="67"/>
    </row>
    <row r="684" spans="1:23" ht="18" customHeight="1">
      <c r="A684" s="47"/>
      <c r="B684" s="17">
        <f t="shared" si="222"/>
        <v>30</v>
      </c>
      <c r="C684" s="8"/>
      <c r="D684" s="297" t="s">
        <v>635</v>
      </c>
      <c r="E684" s="20"/>
      <c r="F684" s="22">
        <f>SUM(F674:F680)</f>
        <v>16868826.460000001</v>
      </c>
      <c r="G684" s="20"/>
      <c r="H684" s="20"/>
      <c r="I684" s="20"/>
      <c r="J684" s="22">
        <f t="shared" si="234" ref="J684:Q684">SUM(J674:J680)</f>
        <v>9395513.3563023154</v>
      </c>
      <c r="K684" s="22">
        <f t="shared" si="234"/>
        <v>1448546.198582626</v>
      </c>
      <c r="L684" s="22">
        <f t="shared" si="234"/>
        <v>4468090.8594483901</v>
      </c>
      <c r="M684" s="22">
        <f t="shared" si="234"/>
        <v>62738.779789117783</v>
      </c>
      <c r="N684" s="22">
        <f t="shared" si="234"/>
        <v>1309189.3285781837</v>
      </c>
      <c r="O684" s="22">
        <f>SUM(O674:O680)</f>
        <v>44738.934700598882</v>
      </c>
      <c r="P684" s="22">
        <f t="shared" si="234"/>
        <v>97393.219386688332</v>
      </c>
      <c r="Q684" s="22">
        <f t="shared" si="234"/>
        <v>25398.905313449395</v>
      </c>
      <c r="R684" s="22">
        <f>SUM(R674:R680)</f>
        <v>5162.1847731460248</v>
      </c>
      <c r="S684" s="22">
        <f>SUM(S674:S680)</f>
        <v>12054.693125487818</v>
      </c>
      <c r="T684" s="20"/>
      <c r="U684" s="299">
        <f>SUM(I684:T684)</f>
        <v>16868826.460000005</v>
      </c>
      <c r="V684" s="67"/>
      <c r="W684" s="370">
        <f>U684-F684</f>
        <v>0</v>
      </c>
    </row>
    <row r="685" spans="1:22" ht="18" customHeight="1" thickBot="1">
      <c r="A685" s="47"/>
      <c r="B685" s="17">
        <f t="shared" si="222"/>
        <v>31</v>
      </c>
      <c r="C685" s="1"/>
      <c r="D685" s="1"/>
      <c r="E685" s="17"/>
      <c r="F685" s="19"/>
      <c r="G685" s="17"/>
      <c r="H685" s="17"/>
      <c r="I685" s="17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7"/>
      <c r="U685" s="1"/>
      <c r="V685" s="67"/>
    </row>
    <row r="686" spans="1:23" ht="18" customHeight="1" thickBot="1">
      <c r="A686" s="47"/>
      <c r="B686" s="17">
        <f t="shared" si="222"/>
        <v>32</v>
      </c>
      <c r="C686" s="870" t="s">
        <v>636</v>
      </c>
      <c r="D686" s="1017"/>
      <c r="E686" s="1013" t="s">
        <v>160</v>
      </c>
      <c r="F686" s="1014">
        <f>+F682+F667</f>
        <v>50233014.420000002</v>
      </c>
      <c r="G686" s="1013"/>
      <c r="H686" s="1013"/>
      <c r="I686" s="1016"/>
      <c r="J686" s="1014">
        <f t="shared" si="235" ref="J686:Q686">+J682+J667</f>
        <v>27995801.218357466</v>
      </c>
      <c r="K686" s="1014">
        <f t="shared" si="235"/>
        <v>4316231.5770563306</v>
      </c>
      <c r="L686" s="1014">
        <f t="shared" si="235"/>
        <v>13313565.61190675</v>
      </c>
      <c r="M686" s="1014">
        <f t="shared" si="235"/>
        <v>186942.67583370232</v>
      </c>
      <c r="N686" s="1014">
        <f t="shared" si="235"/>
        <v>3900990.0587799638</v>
      </c>
      <c r="O686" s="1014">
        <f>+O682+O667</f>
        <v>133308.55644613487</v>
      </c>
      <c r="P686" s="1014">
        <f t="shared" si="235"/>
        <v>290202.47287889355</v>
      </c>
      <c r="Q686" s="1014">
        <f t="shared" si="235"/>
        <v>44672.707918337081</v>
      </c>
      <c r="R686" s="1014">
        <f>+R682+R667</f>
        <v>15381.285158787687</v>
      </c>
      <c r="S686" s="1014">
        <f>+S682+S667</f>
        <v>35918.255663639487</v>
      </c>
      <c r="T686" s="1016"/>
      <c r="U686" s="1015">
        <f>SUM(I686:T686)</f>
        <v>50233014.420000009</v>
      </c>
      <c r="V686" s="67"/>
      <c r="W686" s="370">
        <f>U686-F686</f>
        <v>0</v>
      </c>
    </row>
    <row r="687" spans="1:22" ht="18" customHeight="1">
      <c r="A687" s="47"/>
      <c r="B687" s="17"/>
      <c r="C687" s="1"/>
      <c r="D687" s="8"/>
      <c r="E687" s="20"/>
      <c r="F687" s="2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1"/>
      <c r="V687" s="67"/>
    </row>
    <row r="688" spans="1:22" ht="18" customHeight="1" thickBot="1">
      <c r="A688" s="47"/>
      <c r="B688" s="17"/>
      <c r="C688" s="1"/>
      <c r="D688" s="8"/>
      <c r="E688" s="20"/>
      <c r="F688" s="22"/>
      <c r="G688" s="20"/>
      <c r="H688" s="13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134"/>
      <c r="V688" s="134">
        <f>$H$2</f>
        <v>0</v>
      </c>
    </row>
    <row r="689" spans="1:21" ht="18" customHeight="1">
      <c r="A689" s="47"/>
      <c r="B689" s="920" t="str">
        <f>+$B$4</f>
        <v>2022 RATE CASE</v>
      </c>
      <c r="C689" s="935"/>
      <c r="D689" s="969"/>
      <c r="F689" s="332"/>
      <c r="U689" s="134"/>
    </row>
    <row r="690" spans="1:22" ht="18" customHeight="1">
      <c r="A690" s="47"/>
      <c r="B690" s="917" t="str">
        <f>+$B$5</f>
        <v>ONCOR ELECTRIC DELIVERY COMPANY LLC</v>
      </c>
      <c r="C690" s="8"/>
      <c r="D690" s="970"/>
      <c r="F690" s="332"/>
      <c r="U690" s="134"/>
      <c r="V690" s="67"/>
    </row>
    <row r="691" spans="1:22" ht="18" customHeight="1">
      <c r="A691" s="47"/>
      <c r="B691" s="917" t="str">
        <f>+$B$6</f>
        <v>II-I-1-MET:  CLASS REVENUE REQUIREMENT</v>
      </c>
      <c r="C691" s="85"/>
      <c r="D691" s="970"/>
      <c r="F691" s="332"/>
      <c r="U691" s="332"/>
      <c r="V691" s="67"/>
    </row>
    <row r="692" spans="1:22" ht="18" customHeight="1">
      <c r="A692" s="47"/>
      <c r="B692" s="406" t="str">
        <f>+$B$7</f>
        <v>TEST YEAR ENDING 12/31/2021</v>
      </c>
      <c r="C692" s="85"/>
      <c r="D692" s="970"/>
      <c r="F692" s="332"/>
      <c r="U692" s="332"/>
      <c r="V692" s="67"/>
    </row>
    <row r="693" spans="1:22" ht="18" customHeight="1">
      <c r="A693" s="47"/>
      <c r="B693" s="406" t="str">
        <f>+$B$8</f>
        <v>SPONSOR:  MATTHEW A. TROXLE</v>
      </c>
      <c r="C693" s="85"/>
      <c r="D693" s="970"/>
      <c r="F693" s="332"/>
      <c r="U693" s="332"/>
      <c r="V693" s="67"/>
    </row>
    <row r="694" spans="1:22" ht="18" customHeight="1" thickBot="1">
      <c r="A694" s="47"/>
      <c r="B694" s="410"/>
      <c r="C694" s="934"/>
      <c r="D694" s="936"/>
      <c r="F694" s="332"/>
      <c r="U694" s="332"/>
      <c r="V694" s="67"/>
    </row>
    <row r="695" spans="1:22" ht="18" customHeight="1" thickBot="1">
      <c r="A695" s="47"/>
      <c r="B695" s="13"/>
      <c r="C695" s="14"/>
      <c r="D695" s="14"/>
      <c r="E695" s="14"/>
      <c r="F695" s="13"/>
      <c r="G695" s="14"/>
      <c r="H695" s="14"/>
      <c r="I695" s="14"/>
      <c r="J695" s="238"/>
      <c r="K695" s="238"/>
      <c r="L695" s="14"/>
      <c r="M695" s="238"/>
      <c r="N695" s="238"/>
      <c r="O695" s="238"/>
      <c r="P695" s="238"/>
      <c r="Q695" s="14"/>
      <c r="R695" s="393" t="str">
        <f>R$10</f>
        <v xml:space="preserve"> </v>
      </c>
      <c r="S695" s="394"/>
      <c r="T695" s="238"/>
      <c r="U695" s="13"/>
      <c r="V695" s="67"/>
    </row>
    <row r="696" spans="1:22" ht="18" customHeight="1">
      <c r="A696" s="47"/>
      <c r="B696" s="15" t="s">
        <v>2</v>
      </c>
      <c r="C696" s="15" t="s">
        <v>370</v>
      </c>
      <c r="D696" s="287" t="s">
        <v>637</v>
      </c>
      <c r="E696" s="15" t="s">
        <v>371</v>
      </c>
      <c r="F696" s="287" t="str">
        <f>F$11</f>
        <v>MET</v>
      </c>
      <c r="G696" s="242" t="s">
        <v>741</v>
      </c>
      <c r="H696" s="242" t="s">
        <v>376</v>
      </c>
      <c r="I696" s="15"/>
      <c r="J696" s="242" t="s">
        <v>730</v>
      </c>
      <c r="K696" s="242" t="s">
        <v>409</v>
      </c>
      <c r="L696" s="15" t="s">
        <v>409</v>
      </c>
      <c r="M696" s="242" t="s">
        <v>410</v>
      </c>
      <c r="N696" s="242" t="s">
        <v>410</v>
      </c>
      <c r="O696" s="242" t="s">
        <v>410</v>
      </c>
      <c r="P696" s="242" t="s">
        <v>411</v>
      </c>
      <c r="Q696" s="15" t="s">
        <v>412</v>
      </c>
      <c r="R696" s="396" t="str">
        <f>R$11</f>
        <v>Wholesale</v>
      </c>
      <c r="S696" s="13" t="str">
        <f>S$11</f>
        <v>Wholesale</v>
      </c>
      <c r="T696" s="242"/>
      <c r="U696" s="15" t="s">
        <v>10</v>
      </c>
      <c r="V696" s="67"/>
    </row>
    <row r="697" spans="1:22" ht="18" customHeight="1">
      <c r="A697" s="47"/>
      <c r="B697" s="15"/>
      <c r="C697" s="15"/>
      <c r="D697" s="15"/>
      <c r="E697" s="15"/>
      <c r="F697" s="15"/>
      <c r="G697" s="242" t="s">
        <v>742</v>
      </c>
      <c r="H697" s="242" t="s">
        <v>743</v>
      </c>
      <c r="I697" s="15"/>
      <c r="J697" s="242"/>
      <c r="K697" s="242" t="s">
        <v>731</v>
      </c>
      <c r="L697" s="15" t="s">
        <v>732</v>
      </c>
      <c r="M697" s="242" t="s">
        <v>731</v>
      </c>
      <c r="N697" s="242" t="s">
        <v>732</v>
      </c>
      <c r="O697" s="242" t="s">
        <v>414</v>
      </c>
      <c r="P697" s="242"/>
      <c r="Q697" s="15"/>
      <c r="R697" s="235" t="str">
        <f>R$12</f>
        <v>XFMR</v>
      </c>
      <c r="S697" s="15" t="str">
        <f>S$12</f>
        <v>DLS</v>
      </c>
      <c r="T697" s="242"/>
      <c r="U697" s="15"/>
      <c r="V697" s="67"/>
    </row>
    <row r="698" spans="1:22" ht="18" customHeight="1" thickBot="1">
      <c r="A698" s="47"/>
      <c r="B698" s="16"/>
      <c r="C698" s="16"/>
      <c r="D698" s="16"/>
      <c r="E698" s="16"/>
      <c r="F698" s="16" t="s">
        <v>13</v>
      </c>
      <c r="G698" s="16" t="s">
        <v>14</v>
      </c>
      <c r="H698" s="16" t="s">
        <v>15</v>
      </c>
      <c r="I698" s="16"/>
      <c r="J698" s="243" t="str">
        <f t="shared" si="236" ref="J698:Q698">J$13</f>
        <v>(d)</v>
      </c>
      <c r="K698" s="243" t="str">
        <f t="shared" si="236"/>
        <v>(e)</v>
      </c>
      <c r="L698" s="16" t="str">
        <f t="shared" si="236"/>
        <v>(f)</v>
      </c>
      <c r="M698" s="243" t="str">
        <f t="shared" si="236"/>
        <v>(g)</v>
      </c>
      <c r="N698" s="243" t="str">
        <f t="shared" si="236"/>
        <v>(h)</v>
      </c>
      <c r="O698" s="243" t="str">
        <f>O$13</f>
        <v>(i)</v>
      </c>
      <c r="P698" s="243" t="str">
        <f t="shared" si="236"/>
        <v>(j)</v>
      </c>
      <c r="Q698" s="243" t="str">
        <f t="shared" si="236"/>
        <v>(k)</v>
      </c>
      <c r="R698" s="243" t="str">
        <f>R$13</f>
        <v>(l)</v>
      </c>
      <c r="S698" s="16" t="str">
        <f>S$13</f>
        <v>(m)</v>
      </c>
      <c r="T698" s="16"/>
      <c r="U698" s="16" t="s">
        <v>734</v>
      </c>
      <c r="V698" s="67"/>
    </row>
    <row r="699" spans="1:22" ht="18" customHeight="1">
      <c r="A699" s="47"/>
      <c r="B699" s="47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43"/>
      <c r="V699" s="67"/>
    </row>
    <row r="700" spans="1:22" ht="18" customHeight="1">
      <c r="A700" s="47"/>
      <c r="B700" s="17">
        <f>B687+1</f>
        <v>1</v>
      </c>
      <c r="C700" s="8"/>
      <c r="D700" s="366" t="s">
        <v>638</v>
      </c>
      <c r="E700" s="20" t="s">
        <v>160</v>
      </c>
      <c r="F700" s="8"/>
      <c r="G700" s="20"/>
      <c r="H700" s="20"/>
      <c r="I700" s="1010"/>
      <c r="J700" s="1059"/>
      <c r="K700" s="1059"/>
      <c r="L700" s="1059"/>
      <c r="M700" s="1059"/>
      <c r="N700" s="1059"/>
      <c r="O700" s="1059"/>
      <c r="P700" s="1059"/>
      <c r="Q700" s="1059"/>
      <c r="R700" s="1059"/>
      <c r="S700" s="1059"/>
      <c r="T700" s="1010"/>
      <c r="U700" s="8"/>
      <c r="V700" s="67"/>
    </row>
    <row r="701" spans="1:23" ht="18" customHeight="1">
      <c r="A701" s="47"/>
      <c r="B701" s="17">
        <f t="shared" si="237" ref="B701:B731">B700+1</f>
        <v>2</v>
      </c>
      <c r="C701" s="1" t="s">
        <v>222</v>
      </c>
      <c r="D701" s="1" t="s">
        <v>223</v>
      </c>
      <c r="E701" s="17"/>
      <c r="F701" s="118">
        <f>' WP II-I-1.4'!H701</f>
        <v>13613.24</v>
      </c>
      <c r="G701" s="17">
        <v>73</v>
      </c>
      <c r="H701" s="47" t="str">
        <f>VLOOKUP(G701,FactorTable,2)</f>
        <v>CUS ACCT</v>
      </c>
      <c r="I701" s="17"/>
      <c r="J701" s="434">
        <f t="shared" si="238" ref="J701:S705">$F701*HLOOKUP(J$1318,FactorTable,$G701+1)</f>
        <v>7589.446844138246</v>
      </c>
      <c r="K701" s="434">
        <f t="shared" si="238"/>
        <v>1170.0972537117457</v>
      </c>
      <c r="L701" s="434">
        <f t="shared" si="238"/>
        <v>3609.2054565402932</v>
      </c>
      <c r="M701" s="434">
        <f t="shared" si="238"/>
        <v>50.678724644269813</v>
      </c>
      <c r="N701" s="434">
        <f t="shared" si="238"/>
        <v>1057.528465061708</v>
      </c>
      <c r="O701" s="434">
        <f t="shared" si="238"/>
        <v>36.138926517070864</v>
      </c>
      <c r="P701" s="434">
        <f t="shared" si="238"/>
        <v>78.671663110238882</v>
      </c>
      <c r="Q701" s="434">
        <f t="shared" si="238"/>
        <v>7.5653283079275324</v>
      </c>
      <c r="R701" s="434">
        <f t="shared" si="238"/>
        <v>4.1698761365851</v>
      </c>
      <c r="S701" s="434">
        <f t="shared" si="238"/>
        <v>9.737461831920017</v>
      </c>
      <c r="T701" s="17"/>
      <c r="U701" s="118">
        <f t="shared" si="239" ref="U701:U706">SUM(I701:T701)</f>
        <v>13613.240000000005</v>
      </c>
      <c r="V701" s="67"/>
      <c r="W701" s="118">
        <f>U701-F701</f>
        <v>0</v>
      </c>
    </row>
    <row r="702" spans="1:23" ht="18" customHeight="1">
      <c r="A702" s="47"/>
      <c r="B702" s="17">
        <f t="shared" si="237"/>
        <v>3</v>
      </c>
      <c r="C702" s="1" t="s">
        <v>224</v>
      </c>
      <c r="D702" s="1" t="s">
        <v>225</v>
      </c>
      <c r="E702" s="17"/>
      <c r="F702" s="118">
        <f>' WP II-I-1.4'!H702</f>
        <v>71275.660000000003</v>
      </c>
      <c r="G702" s="17">
        <v>6</v>
      </c>
      <c r="H702" s="47" t="str">
        <f>VLOOKUP(G702,FactorTable,2)</f>
        <v>CUS W ALL</v>
      </c>
      <c r="I702" s="17"/>
      <c r="J702" s="434">
        <f t="shared" si="238"/>
        <v>39736.523623389468</v>
      </c>
      <c r="K702" s="434">
        <f t="shared" si="238"/>
        <v>6126.3486152078476</v>
      </c>
      <c r="L702" s="434">
        <f t="shared" si="238"/>
        <v>18896.934233915708</v>
      </c>
      <c r="M702" s="434">
        <f t="shared" si="238"/>
        <v>265.34164879033904</v>
      </c>
      <c r="N702" s="434">
        <f t="shared" si="238"/>
        <v>5536.9654333619446</v>
      </c>
      <c r="O702" s="434">
        <f t="shared" si="238"/>
        <v>189.2147526375592</v>
      </c>
      <c r="P702" s="434">
        <f t="shared" si="238"/>
        <v>411.90596151099425</v>
      </c>
      <c r="Q702" s="434">
        <f t="shared" si="238"/>
        <v>39.610244751743004</v>
      </c>
      <c r="R702" s="434">
        <f t="shared" si="238"/>
        <v>21.83247145817991</v>
      </c>
      <c r="S702" s="434">
        <f t="shared" si="238"/>
        <v>50.983014976222272</v>
      </c>
      <c r="T702" s="17"/>
      <c r="U702" s="118">
        <f t="shared" si="239"/>
        <v>71275.660000000018</v>
      </c>
      <c r="V702" s="67"/>
      <c r="W702" s="118">
        <f>U702-F702</f>
        <v>0</v>
      </c>
    </row>
    <row r="703" spans="1:23" ht="18" customHeight="1">
      <c r="A703" s="47"/>
      <c r="B703" s="17">
        <f t="shared" si="237"/>
        <v>4</v>
      </c>
      <c r="C703" s="1" t="s">
        <v>226</v>
      </c>
      <c r="D703" s="1" t="s">
        <v>227</v>
      </c>
      <c r="E703" s="17"/>
      <c r="F703" s="118">
        <f>' WP II-I-1.4'!H703</f>
        <v>8608120.5200000014</v>
      </c>
      <c r="G703" s="17">
        <v>6</v>
      </c>
      <c r="H703" s="47" t="str">
        <f>VLOOKUP(G703,FactorTable,2)</f>
        <v>CUS W ALL</v>
      </c>
      <c r="I703" s="17"/>
      <c r="J703" s="434">
        <f t="shared" si="238"/>
        <v>4799068.6357160872</v>
      </c>
      <c r="K703" s="434">
        <f t="shared" si="238"/>
        <v>739892.79407927289</v>
      </c>
      <c r="L703" s="434">
        <f t="shared" si="238"/>
        <v>2282224.9186336584</v>
      </c>
      <c r="M703" s="434">
        <f t="shared" si="238"/>
        <v>32045.903072139226</v>
      </c>
      <c r="N703" s="434">
        <f t="shared" si="238"/>
        <v>668711.6719151201</v>
      </c>
      <c r="O703" s="434">
        <f t="shared" si="238"/>
        <v>22851.887935742689</v>
      </c>
      <c r="P703" s="434">
        <f t="shared" si="238"/>
        <v>49746.802198578313</v>
      </c>
      <c r="Q703" s="434">
        <f t="shared" si="238"/>
        <v>4783.8176545780325</v>
      </c>
      <c r="R703" s="434">
        <f t="shared" si="238"/>
        <v>2636.7563002780025</v>
      </c>
      <c r="S703" s="434">
        <f t="shared" si="238"/>
        <v>6157.3324945470349</v>
      </c>
      <c r="T703" s="17"/>
      <c r="U703" s="118">
        <f t="shared" si="239"/>
        <v>8608120.5200000014</v>
      </c>
      <c r="V703" s="67"/>
      <c r="W703" s="118">
        <f t="shared" si="240" ref="W703:W764">U703-F703</f>
        <v>0</v>
      </c>
    </row>
    <row r="704" spans="1:23" ht="18" customHeight="1">
      <c r="A704" s="47"/>
      <c r="B704" s="17">
        <f t="shared" si="237"/>
        <v>5</v>
      </c>
      <c r="C704" s="1" t="s">
        <v>228</v>
      </c>
      <c r="D704" s="1" t="s">
        <v>229</v>
      </c>
      <c r="E704" s="17"/>
      <c r="F704" s="118">
        <f>' WP II-I-1.4'!H704</f>
        <v>0</v>
      </c>
      <c r="G704" s="17">
        <v>15</v>
      </c>
      <c r="H704" s="47" t="str">
        <f>VLOOKUP(G704,FactorTable,2)</f>
        <v>REVENUE RTL</v>
      </c>
      <c r="I704" s="17"/>
      <c r="J704" s="434">
        <f t="shared" si="238"/>
        <v>0</v>
      </c>
      <c r="K704" s="434">
        <f t="shared" si="238"/>
        <v>0</v>
      </c>
      <c r="L704" s="434">
        <f t="shared" si="238"/>
        <v>0</v>
      </c>
      <c r="M704" s="434">
        <f t="shared" si="238"/>
        <v>0</v>
      </c>
      <c r="N704" s="434">
        <f t="shared" si="238"/>
        <v>0</v>
      </c>
      <c r="O704" s="434">
        <f t="shared" si="238"/>
        <v>0</v>
      </c>
      <c r="P704" s="434">
        <f t="shared" si="238"/>
        <v>0</v>
      </c>
      <c r="Q704" s="434">
        <f t="shared" si="238"/>
        <v>0</v>
      </c>
      <c r="R704" s="434">
        <f t="shared" si="238"/>
        <v>0</v>
      </c>
      <c r="S704" s="434">
        <f t="shared" si="238"/>
        <v>0</v>
      </c>
      <c r="T704" s="17"/>
      <c r="U704" s="118">
        <f t="shared" si="239"/>
        <v>0</v>
      </c>
      <c r="V704" s="67"/>
      <c r="W704" s="118">
        <f t="shared" si="240"/>
        <v>0</v>
      </c>
    </row>
    <row r="705" spans="1:23" ht="18" customHeight="1">
      <c r="A705" s="47"/>
      <c r="B705" s="17">
        <f t="shared" si="237"/>
        <v>6</v>
      </c>
      <c r="C705" s="1" t="s">
        <v>230</v>
      </c>
      <c r="D705" s="31" t="s">
        <v>231</v>
      </c>
      <c r="E705" s="17"/>
      <c r="F705" s="118">
        <f>' WP II-I-1.4'!H705</f>
        <v>0</v>
      </c>
      <c r="G705" s="17">
        <v>73</v>
      </c>
      <c r="H705" s="47" t="str">
        <f>VLOOKUP(G705,FactorTable,2)</f>
        <v>CUS ACCT</v>
      </c>
      <c r="I705" s="17"/>
      <c r="J705" s="435">
        <f t="shared" si="238"/>
        <v>0</v>
      </c>
      <c r="K705" s="435">
        <f t="shared" si="238"/>
        <v>0</v>
      </c>
      <c r="L705" s="435">
        <f t="shared" si="238"/>
        <v>0</v>
      </c>
      <c r="M705" s="435">
        <f t="shared" si="238"/>
        <v>0</v>
      </c>
      <c r="N705" s="435">
        <f t="shared" si="238"/>
        <v>0</v>
      </c>
      <c r="O705" s="435">
        <f t="shared" si="238"/>
        <v>0</v>
      </c>
      <c r="P705" s="435">
        <f t="shared" si="238"/>
        <v>0</v>
      </c>
      <c r="Q705" s="435">
        <f t="shared" si="238"/>
        <v>0</v>
      </c>
      <c r="R705" s="435">
        <f t="shared" si="238"/>
        <v>0</v>
      </c>
      <c r="S705" s="435">
        <f t="shared" si="238"/>
        <v>0</v>
      </c>
      <c r="T705" s="17"/>
      <c r="U705" s="118">
        <f t="shared" si="239"/>
        <v>0</v>
      </c>
      <c r="V705" s="67"/>
      <c r="W705" s="118">
        <f t="shared" si="240"/>
        <v>0</v>
      </c>
    </row>
    <row r="706" spans="1:23" ht="18" customHeight="1">
      <c r="A706" s="47"/>
      <c r="B706" s="17">
        <f t="shared" si="237"/>
        <v>7</v>
      </c>
      <c r="C706" s="8"/>
      <c r="D706" s="297" t="s">
        <v>639</v>
      </c>
      <c r="E706" s="20"/>
      <c r="F706" s="22">
        <f>SUM(F701:F705)</f>
        <v>8693009.4200000018</v>
      </c>
      <c r="G706" s="20"/>
      <c r="H706" s="20"/>
      <c r="I706" s="1010"/>
      <c r="J706" s="896">
        <f t="shared" si="241" ref="J706:Q706">SUM(J701:J705)</f>
        <v>4846394.6061836146</v>
      </c>
      <c r="K706" s="896">
        <f t="shared" si="241"/>
        <v>747189.23994819249</v>
      </c>
      <c r="L706" s="896">
        <f t="shared" si="241"/>
        <v>2304731.0583241144</v>
      </c>
      <c r="M706" s="896">
        <f t="shared" si="241"/>
        <v>32361.923445573837</v>
      </c>
      <c r="N706" s="896">
        <f t="shared" si="241"/>
        <v>675306.16581354372</v>
      </c>
      <c r="O706" s="896">
        <f>SUM(O701:O705)</f>
        <v>23077.241614897317</v>
      </c>
      <c r="P706" s="896">
        <f t="shared" si="241"/>
        <v>50237.379823199546</v>
      </c>
      <c r="Q706" s="896">
        <f t="shared" si="241"/>
        <v>4830.9932276377031</v>
      </c>
      <c r="R706" s="896">
        <f>SUM(R701:R705)</f>
        <v>2662.7586478727676</v>
      </c>
      <c r="S706" s="896">
        <f>SUM(S701:S705)</f>
        <v>6218.0529713551769</v>
      </c>
      <c r="T706" s="1010"/>
      <c r="U706" s="299">
        <f t="shared" si="239"/>
        <v>8693009.4200000018</v>
      </c>
      <c r="V706" s="67"/>
      <c r="W706" s="118">
        <f t="shared" si="240"/>
        <v>0</v>
      </c>
    </row>
    <row r="707" spans="1:23" ht="18" customHeight="1">
      <c r="A707" s="47"/>
      <c r="B707" s="17">
        <f t="shared" si="237"/>
        <v>8</v>
      </c>
      <c r="C707" s="1"/>
      <c r="D707" s="1"/>
      <c r="E707" s="17"/>
      <c r="F707" s="19"/>
      <c r="G707" s="17"/>
      <c r="H707" s="17"/>
      <c r="I707" s="17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7"/>
      <c r="U707" s="1"/>
      <c r="V707" s="67"/>
      <c r="W707" s="118">
        <f t="shared" si="240"/>
        <v>0</v>
      </c>
    </row>
    <row r="708" spans="1:23" ht="18" customHeight="1">
      <c r="A708" s="47"/>
      <c r="B708" s="17">
        <f t="shared" si="237"/>
        <v>9</v>
      </c>
      <c r="C708" s="8"/>
      <c r="D708" s="297" t="s">
        <v>649</v>
      </c>
      <c r="E708" s="20"/>
      <c r="F708" s="22">
        <f>SUM(F702:F703)</f>
        <v>8679396.1800000016</v>
      </c>
      <c r="G708" s="20"/>
      <c r="H708" s="20"/>
      <c r="I708" s="1010"/>
      <c r="J708" s="896">
        <f t="shared" si="242" ref="J708:Q708">SUM(J702:J703)</f>
        <v>4838805.1593394764</v>
      </c>
      <c r="K708" s="896">
        <f t="shared" si="242"/>
        <v>746019.14269448072</v>
      </c>
      <c r="L708" s="896">
        <f t="shared" si="242"/>
        <v>2301121.852867574</v>
      </c>
      <c r="M708" s="896">
        <f t="shared" si="242"/>
        <v>32311.244720929564</v>
      </c>
      <c r="N708" s="896">
        <f t="shared" si="242"/>
        <v>674248.63734848204</v>
      </c>
      <c r="O708" s="896">
        <f>SUM(O702:O703)</f>
        <v>23041.102688380248</v>
      </c>
      <c r="P708" s="896">
        <f t="shared" si="242"/>
        <v>50158.708160089307</v>
      </c>
      <c r="Q708" s="896">
        <f t="shared" si="242"/>
        <v>4823.4278993297758</v>
      </c>
      <c r="R708" s="896">
        <f>SUM(R702:R703)</f>
        <v>2658.5887717361825</v>
      </c>
      <c r="S708" s="896">
        <f>SUM(S702:S703)</f>
        <v>6208.3155095232569</v>
      </c>
      <c r="T708" s="1010"/>
      <c r="U708" s="299">
        <f>SUM(I708:T708)</f>
        <v>8679396.1799999978</v>
      </c>
      <c r="V708" s="67"/>
      <c r="W708" s="118">
        <f t="shared" si="240"/>
        <v>0</v>
      </c>
    </row>
    <row r="709" spans="1:23" ht="18" customHeight="1">
      <c r="A709" s="47"/>
      <c r="B709" s="17">
        <f t="shared" si="237"/>
        <v>10</v>
      </c>
      <c r="C709" s="1"/>
      <c r="D709" s="1"/>
      <c r="E709" s="17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"/>
      <c r="V709" s="67"/>
      <c r="W709" s="118">
        <f t="shared" si="240"/>
        <v>0</v>
      </c>
    </row>
    <row r="710" spans="1:23" ht="18" customHeight="1">
      <c r="A710" s="47"/>
      <c r="B710" s="17">
        <f t="shared" si="237"/>
        <v>11</v>
      </c>
      <c r="C710" s="8"/>
      <c r="D710" s="366" t="s">
        <v>650</v>
      </c>
      <c r="E710" s="20" t="s">
        <v>160</v>
      </c>
      <c r="F710" s="22"/>
      <c r="G710" s="20"/>
      <c r="H710" s="20"/>
      <c r="I710" s="1010"/>
      <c r="J710" s="1059"/>
      <c r="K710" s="1059"/>
      <c r="L710" s="1059"/>
      <c r="M710" s="1059"/>
      <c r="N710" s="1059"/>
      <c r="O710" s="1059"/>
      <c r="P710" s="1059"/>
      <c r="Q710" s="1059"/>
      <c r="R710" s="1059"/>
      <c r="S710" s="1059"/>
      <c r="T710" s="1010"/>
      <c r="U710" s="8"/>
      <c r="V710" s="67"/>
      <c r="W710" s="118">
        <f t="shared" si="240"/>
        <v>0</v>
      </c>
    </row>
    <row r="711" spans="1:23" ht="18" customHeight="1">
      <c r="A711" s="47"/>
      <c r="B711" s="17">
        <f t="shared" si="237"/>
        <v>12</v>
      </c>
      <c r="C711" s="1" t="s">
        <v>233</v>
      </c>
      <c r="D711" s="1" t="s">
        <v>234</v>
      </c>
      <c r="E711" s="17"/>
      <c r="F711" s="118">
        <f>' WP II-I-1.4'!H711</f>
        <v>0</v>
      </c>
      <c r="G711" s="17">
        <v>9</v>
      </c>
      <c r="H711" s="47" t="str">
        <f>VLOOKUP(G711,FactorTable,2)</f>
        <v>CUS U ALL</v>
      </c>
      <c r="I711" s="17"/>
      <c r="J711" s="434">
        <f t="shared" si="243" ref="J711:S715">$F711*HLOOKUP(J$1318,FactorTable,$G711+1)</f>
        <v>0</v>
      </c>
      <c r="K711" s="434">
        <f t="shared" si="243"/>
        <v>0</v>
      </c>
      <c r="L711" s="434">
        <f t="shared" si="243"/>
        <v>0</v>
      </c>
      <c r="M711" s="434">
        <f t="shared" si="243"/>
        <v>0</v>
      </c>
      <c r="N711" s="434">
        <f t="shared" si="243"/>
        <v>0</v>
      </c>
      <c r="O711" s="434">
        <f t="shared" si="243"/>
        <v>0</v>
      </c>
      <c r="P711" s="434">
        <f t="shared" si="243"/>
        <v>0</v>
      </c>
      <c r="Q711" s="434">
        <f t="shared" si="243"/>
        <v>0</v>
      </c>
      <c r="R711" s="434">
        <f t="shared" si="243"/>
        <v>0</v>
      </c>
      <c r="S711" s="434">
        <f t="shared" si="243"/>
        <v>0</v>
      </c>
      <c r="T711" s="17"/>
      <c r="U711" s="118">
        <f t="shared" si="244" ref="U711:U716">SUM(I711:T711)</f>
        <v>0</v>
      </c>
      <c r="V711" s="67"/>
      <c r="W711" s="118">
        <f t="shared" si="240"/>
        <v>0</v>
      </c>
    </row>
    <row r="712" spans="1:23" ht="18" customHeight="1">
      <c r="A712" s="47"/>
      <c r="B712" s="17">
        <f t="shared" si="237"/>
        <v>13</v>
      </c>
      <c r="C712" s="1" t="s">
        <v>235</v>
      </c>
      <c r="D712" s="1" t="s">
        <v>223</v>
      </c>
      <c r="E712" s="17"/>
      <c r="F712" s="118">
        <f>' WP II-I-1.4'!H712</f>
        <v>0</v>
      </c>
      <c r="G712" s="17">
        <v>74</v>
      </c>
      <c r="H712" s="47" t="str">
        <f>VLOOKUP(G712,FactorTable,2)</f>
        <v>CUS SVC INFO</v>
      </c>
      <c r="I712" s="17"/>
      <c r="J712" s="434">
        <f t="shared" si="243"/>
        <v>0</v>
      </c>
      <c r="K712" s="434">
        <f t="shared" si="243"/>
        <v>0</v>
      </c>
      <c r="L712" s="434">
        <f t="shared" si="243"/>
        <v>0</v>
      </c>
      <c r="M712" s="434">
        <f t="shared" si="243"/>
        <v>0</v>
      </c>
      <c r="N712" s="434">
        <f t="shared" si="243"/>
        <v>0</v>
      </c>
      <c r="O712" s="434">
        <f t="shared" si="243"/>
        <v>0</v>
      </c>
      <c r="P712" s="434">
        <f t="shared" si="243"/>
        <v>0</v>
      </c>
      <c r="Q712" s="434">
        <f t="shared" si="243"/>
        <v>0</v>
      </c>
      <c r="R712" s="434">
        <f t="shared" si="243"/>
        <v>0</v>
      </c>
      <c r="S712" s="434">
        <f t="shared" si="243"/>
        <v>0</v>
      </c>
      <c r="T712" s="17"/>
      <c r="U712" s="118">
        <f t="shared" si="244"/>
        <v>0</v>
      </c>
      <c r="V712" s="67"/>
      <c r="W712" s="118">
        <f t="shared" si="240"/>
        <v>0</v>
      </c>
    </row>
    <row r="713" spans="1:23" ht="18" customHeight="1">
      <c r="A713" s="47"/>
      <c r="B713" s="17">
        <f t="shared" si="237"/>
        <v>14</v>
      </c>
      <c r="C713" s="1" t="s">
        <v>236</v>
      </c>
      <c r="D713" s="1" t="s">
        <v>237</v>
      </c>
      <c r="E713" s="20"/>
      <c r="F713" s="118">
        <f>' WP II-I-1.4'!H713</f>
        <v>106713.10999999999</v>
      </c>
      <c r="G713" s="17">
        <v>9</v>
      </c>
      <c r="H713" s="47" t="str">
        <f>VLOOKUP(G713,FactorTable,2)</f>
        <v>CUS U ALL</v>
      </c>
      <c r="I713" s="1010"/>
      <c r="J713" s="434">
        <f t="shared" si="243"/>
        <v>90730.525558949259</v>
      </c>
      <c r="K713" s="434">
        <f t="shared" si="243"/>
        <v>8477.1930172765606</v>
      </c>
      <c r="L713" s="434">
        <f t="shared" si="243"/>
        <v>5669.13501297934</v>
      </c>
      <c r="M713" s="434">
        <f t="shared" si="243"/>
        <v>86.350804935698235</v>
      </c>
      <c r="N713" s="434">
        <f t="shared" si="243"/>
        <v>199.32249652683908</v>
      </c>
      <c r="O713" s="434">
        <f t="shared" si="243"/>
        <v>3.6199950472882203</v>
      </c>
      <c r="P713" s="434">
        <f t="shared" si="243"/>
        <v>7.8804507567889717</v>
      </c>
      <c r="Q713" s="434">
        <f t="shared" si="243"/>
        <v>1537.3283582360621</v>
      </c>
      <c r="R713" s="434">
        <f t="shared" si="243"/>
        <v>0.41769173622556388</v>
      </c>
      <c r="S713" s="434">
        <f t="shared" si="243"/>
        <v>1.3366135559218044</v>
      </c>
      <c r="T713" s="1010"/>
      <c r="U713" s="118">
        <f t="shared" si="244"/>
        <v>106713.10999999999</v>
      </c>
      <c r="V713" s="67"/>
      <c r="W713" s="118">
        <f t="shared" si="240"/>
        <v>0</v>
      </c>
    </row>
    <row r="714" spans="1:23" ht="18" customHeight="1">
      <c r="A714" s="47"/>
      <c r="B714" s="17">
        <f t="shared" si="237"/>
        <v>15</v>
      </c>
      <c r="C714" s="1" t="s">
        <v>238</v>
      </c>
      <c r="D714" s="1" t="s">
        <v>239</v>
      </c>
      <c r="E714" s="17"/>
      <c r="F714" s="118">
        <f>' WP II-I-1.4'!H714</f>
        <v>0</v>
      </c>
      <c r="G714" s="17">
        <v>10</v>
      </c>
      <c r="H714" s="47" t="str">
        <f>VLOOKUP(G714,FactorTable,2)</f>
        <v>CUS U RTL</v>
      </c>
      <c r="I714" s="17"/>
      <c r="J714" s="434">
        <f t="shared" si="243"/>
        <v>0</v>
      </c>
      <c r="K714" s="434">
        <f t="shared" si="243"/>
        <v>0</v>
      </c>
      <c r="L714" s="434">
        <f t="shared" si="243"/>
        <v>0</v>
      </c>
      <c r="M714" s="434">
        <f t="shared" si="243"/>
        <v>0</v>
      </c>
      <c r="N714" s="434">
        <f t="shared" si="243"/>
        <v>0</v>
      </c>
      <c r="O714" s="434">
        <f t="shared" si="243"/>
        <v>0</v>
      </c>
      <c r="P714" s="434">
        <f t="shared" si="243"/>
        <v>0</v>
      </c>
      <c r="Q714" s="434">
        <f t="shared" si="243"/>
        <v>0</v>
      </c>
      <c r="R714" s="434">
        <f t="shared" si="243"/>
        <v>0</v>
      </c>
      <c r="S714" s="434">
        <f t="shared" si="243"/>
        <v>0</v>
      </c>
      <c r="T714" s="17"/>
      <c r="U714" s="118">
        <f t="shared" si="244"/>
        <v>0</v>
      </c>
      <c r="V714" s="67"/>
      <c r="W714" s="118">
        <f t="shared" si="240"/>
        <v>0</v>
      </c>
    </row>
    <row r="715" spans="1:23" ht="18" customHeight="1">
      <c r="A715" s="47"/>
      <c r="B715" s="17">
        <f t="shared" si="237"/>
        <v>16</v>
      </c>
      <c r="C715" s="1" t="s">
        <v>240</v>
      </c>
      <c r="D715" s="1" t="s">
        <v>241</v>
      </c>
      <c r="E715" s="17"/>
      <c r="F715" s="118">
        <f>' WP II-I-1.4'!H715</f>
        <v>0</v>
      </c>
      <c r="G715" s="17">
        <v>74</v>
      </c>
      <c r="H715" s="47" t="str">
        <f>VLOOKUP(G715,FactorTable,2)</f>
        <v>CUS SVC INFO</v>
      </c>
      <c r="I715" s="17"/>
      <c r="J715" s="435">
        <f t="shared" si="243"/>
        <v>0</v>
      </c>
      <c r="K715" s="435">
        <f t="shared" si="243"/>
        <v>0</v>
      </c>
      <c r="L715" s="435">
        <f t="shared" si="243"/>
        <v>0</v>
      </c>
      <c r="M715" s="435">
        <f t="shared" si="243"/>
        <v>0</v>
      </c>
      <c r="N715" s="435">
        <f t="shared" si="243"/>
        <v>0</v>
      </c>
      <c r="O715" s="435">
        <f t="shared" si="243"/>
        <v>0</v>
      </c>
      <c r="P715" s="435">
        <f t="shared" si="243"/>
        <v>0</v>
      </c>
      <c r="Q715" s="435">
        <f t="shared" si="243"/>
        <v>0</v>
      </c>
      <c r="R715" s="435">
        <f t="shared" si="243"/>
        <v>0</v>
      </c>
      <c r="S715" s="435">
        <f t="shared" si="243"/>
        <v>0</v>
      </c>
      <c r="T715" s="17"/>
      <c r="U715" s="118">
        <f t="shared" si="244"/>
        <v>0</v>
      </c>
      <c r="V715" s="67"/>
      <c r="W715" s="118">
        <f t="shared" si="240"/>
        <v>0</v>
      </c>
    </row>
    <row r="716" spans="1:23" ht="18" customHeight="1">
      <c r="A716" s="47"/>
      <c r="B716" s="17">
        <f t="shared" si="237"/>
        <v>17</v>
      </c>
      <c r="C716" s="8"/>
      <c r="D716" s="297" t="s">
        <v>651</v>
      </c>
      <c r="E716" s="20"/>
      <c r="F716" s="22">
        <f>SUM(F711:F715)</f>
        <v>106713.10999999999</v>
      </c>
      <c r="G716" s="20"/>
      <c r="H716" s="20"/>
      <c r="I716" s="1010"/>
      <c r="J716" s="896">
        <f t="shared" si="245" ref="J716:Q716">SUM(J711:J715)</f>
        <v>90730.525558949259</v>
      </c>
      <c r="K716" s="896">
        <f t="shared" si="245"/>
        <v>8477.1930172765606</v>
      </c>
      <c r="L716" s="896">
        <f t="shared" si="245"/>
        <v>5669.13501297934</v>
      </c>
      <c r="M716" s="896">
        <f t="shared" si="245"/>
        <v>86.350804935698235</v>
      </c>
      <c r="N716" s="896">
        <f t="shared" si="245"/>
        <v>199.32249652683908</v>
      </c>
      <c r="O716" s="896">
        <f>SUM(O711:O715)</f>
        <v>3.6199950472882203</v>
      </c>
      <c r="P716" s="896">
        <f t="shared" si="245"/>
        <v>7.8804507567889717</v>
      </c>
      <c r="Q716" s="896">
        <f t="shared" si="245"/>
        <v>1537.3283582360621</v>
      </c>
      <c r="R716" s="896">
        <f>SUM(R711:R715)</f>
        <v>0.41769173622556388</v>
      </c>
      <c r="S716" s="896">
        <f>SUM(S711:S715)</f>
        <v>1.3366135559218044</v>
      </c>
      <c r="T716" s="1010"/>
      <c r="U716" s="299">
        <f t="shared" si="244"/>
        <v>106713.10999999999</v>
      </c>
      <c r="V716" s="67"/>
      <c r="W716" s="118">
        <f t="shared" si="240"/>
        <v>0</v>
      </c>
    </row>
    <row r="717" spans="1:23" ht="18" customHeight="1">
      <c r="A717" s="47"/>
      <c r="B717" s="17">
        <f t="shared" si="237"/>
        <v>18</v>
      </c>
      <c r="C717" s="8"/>
      <c r="D717" s="297"/>
      <c r="E717" s="20"/>
      <c r="F717" s="22"/>
      <c r="G717" s="20"/>
      <c r="H717" s="20"/>
      <c r="I717" s="1010"/>
      <c r="J717" s="896"/>
      <c r="K717" s="896"/>
      <c r="L717" s="896"/>
      <c r="M717" s="896"/>
      <c r="N717" s="896"/>
      <c r="O717" s="896"/>
      <c r="P717" s="896"/>
      <c r="Q717" s="896"/>
      <c r="R717" s="896"/>
      <c r="S717" s="896"/>
      <c r="T717" s="1010"/>
      <c r="U717" s="299"/>
      <c r="V717" s="67"/>
      <c r="W717" s="118">
        <f t="shared" si="240"/>
        <v>0</v>
      </c>
    </row>
    <row r="718" spans="1:23" ht="18" customHeight="1">
      <c r="A718" s="47"/>
      <c r="B718" s="17">
        <f t="shared" si="237"/>
        <v>19</v>
      </c>
      <c r="C718" s="8"/>
      <c r="D718" s="297" t="s">
        <v>652</v>
      </c>
      <c r="E718" s="20"/>
      <c r="F718" s="22">
        <f>F711+F713+F714</f>
        <v>106713.10999999999</v>
      </c>
      <c r="G718" s="20"/>
      <c r="H718" s="20"/>
      <c r="I718" s="1010"/>
      <c r="J718" s="896">
        <f t="shared" si="246" ref="J718:Q718">J711+J713+J714</f>
        <v>90730.525558949259</v>
      </c>
      <c r="K718" s="896">
        <f t="shared" si="246"/>
        <v>8477.1930172765606</v>
      </c>
      <c r="L718" s="896">
        <f t="shared" si="246"/>
        <v>5669.13501297934</v>
      </c>
      <c r="M718" s="896">
        <f t="shared" si="246"/>
        <v>86.350804935698235</v>
      </c>
      <c r="N718" s="896">
        <f t="shared" si="246"/>
        <v>199.32249652683908</v>
      </c>
      <c r="O718" s="896">
        <f>O711+O713+O714</f>
        <v>3.6199950472882203</v>
      </c>
      <c r="P718" s="896">
        <f t="shared" si="246"/>
        <v>7.8804507567889717</v>
      </c>
      <c r="Q718" s="896">
        <f t="shared" si="246"/>
        <v>1537.3283582360621</v>
      </c>
      <c r="R718" s="896">
        <f>R711+R713+R714</f>
        <v>0.41769173622556388</v>
      </c>
      <c r="S718" s="896">
        <f>S711+S713+S714</f>
        <v>1.3366135559218044</v>
      </c>
      <c r="T718" s="1010"/>
      <c r="U718" s="299">
        <f>SUM(I718:T718)</f>
        <v>106713.10999999999</v>
      </c>
      <c r="V718" s="67"/>
      <c r="W718" s="118">
        <f t="shared" si="240"/>
        <v>0</v>
      </c>
    </row>
    <row r="719" spans="1:23" ht="18" customHeight="1">
      <c r="A719" s="47"/>
      <c r="B719" s="17">
        <f t="shared" si="237"/>
        <v>20</v>
      </c>
      <c r="C719" s="1"/>
      <c r="D719" s="1"/>
      <c r="E719" s="17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"/>
      <c r="V719" s="67"/>
      <c r="W719" s="118">
        <f t="shared" si="240"/>
        <v>0</v>
      </c>
    </row>
    <row r="720" spans="1:23" ht="18" customHeight="1">
      <c r="A720" s="47"/>
      <c r="B720" s="17">
        <f t="shared" si="237"/>
        <v>21</v>
      </c>
      <c r="C720" s="8"/>
      <c r="D720" s="368" t="s">
        <v>242</v>
      </c>
      <c r="E720" s="20" t="s">
        <v>160</v>
      </c>
      <c r="F720" s="22"/>
      <c r="G720" s="20"/>
      <c r="H720" s="20"/>
      <c r="I720" s="1010"/>
      <c r="J720" s="1059"/>
      <c r="K720" s="1059"/>
      <c r="L720" s="1059"/>
      <c r="M720" s="1059"/>
      <c r="N720" s="1059"/>
      <c r="O720" s="1059"/>
      <c r="P720" s="1059"/>
      <c r="Q720" s="1059"/>
      <c r="R720" s="1059"/>
      <c r="S720" s="1059"/>
      <c r="T720" s="1010"/>
      <c r="U720" s="8"/>
      <c r="V720" s="67"/>
      <c r="W720" s="118">
        <f t="shared" si="240"/>
        <v>0</v>
      </c>
    </row>
    <row r="721" spans="1:23" ht="18" customHeight="1">
      <c r="A721" s="47"/>
      <c r="B721" s="17">
        <f t="shared" si="237"/>
        <v>22</v>
      </c>
      <c r="C721" s="1" t="s">
        <v>243</v>
      </c>
      <c r="D721" s="51" t="s">
        <v>223</v>
      </c>
      <c r="E721" s="17"/>
      <c r="F721" s="118">
        <f>' WP II-I-1.4'!H721</f>
        <v>0</v>
      </c>
      <c r="G721" s="17">
        <v>10</v>
      </c>
      <c r="H721" s="47" t="str">
        <f>VLOOKUP(G721,FactorTable,2)</f>
        <v>CUS U RTL</v>
      </c>
      <c r="I721" s="17"/>
      <c r="J721" s="434">
        <f t="shared" si="247" ref="J721:S725">$F721*HLOOKUP(J$1318,FactorTable,$G721+1)</f>
        <v>0</v>
      </c>
      <c r="K721" s="434">
        <f t="shared" si="247"/>
        <v>0</v>
      </c>
      <c r="L721" s="434">
        <f t="shared" si="247"/>
        <v>0</v>
      </c>
      <c r="M721" s="434">
        <f t="shared" si="247"/>
        <v>0</v>
      </c>
      <c r="N721" s="434">
        <f t="shared" si="247"/>
        <v>0</v>
      </c>
      <c r="O721" s="434">
        <f t="shared" si="247"/>
        <v>0</v>
      </c>
      <c r="P721" s="434">
        <f t="shared" si="247"/>
        <v>0</v>
      </c>
      <c r="Q721" s="434">
        <f t="shared" si="247"/>
        <v>0</v>
      </c>
      <c r="R721" s="434">
        <f t="shared" si="247"/>
        <v>0</v>
      </c>
      <c r="S721" s="434">
        <f t="shared" si="247"/>
        <v>0</v>
      </c>
      <c r="T721" s="17"/>
      <c r="U721" s="118">
        <f t="shared" si="248" ref="U721:U726">SUM(I721:T721)</f>
        <v>0</v>
      </c>
      <c r="V721" s="67"/>
      <c r="W721" s="118">
        <f t="shared" si="240"/>
        <v>0</v>
      </c>
    </row>
    <row r="722" spans="1:23" ht="18" customHeight="1">
      <c r="A722" s="47"/>
      <c r="B722" s="17">
        <f t="shared" si="237"/>
        <v>23</v>
      </c>
      <c r="C722" s="1" t="s">
        <v>244</v>
      </c>
      <c r="D722" s="51" t="s">
        <v>245</v>
      </c>
      <c r="E722" s="17"/>
      <c r="F722" s="118">
        <f>' WP II-I-1.4'!H722</f>
        <v>0</v>
      </c>
      <c r="G722" s="17">
        <v>10</v>
      </c>
      <c r="H722" s="47" t="str">
        <f>VLOOKUP(G722,FactorTable,2)</f>
        <v>CUS U RTL</v>
      </c>
      <c r="I722" s="17"/>
      <c r="J722" s="434">
        <f t="shared" si="247"/>
        <v>0</v>
      </c>
      <c r="K722" s="434">
        <f t="shared" si="247"/>
        <v>0</v>
      </c>
      <c r="L722" s="434">
        <f t="shared" si="247"/>
        <v>0</v>
      </c>
      <c r="M722" s="434">
        <f t="shared" si="247"/>
        <v>0</v>
      </c>
      <c r="N722" s="434">
        <f t="shared" si="247"/>
        <v>0</v>
      </c>
      <c r="O722" s="434">
        <f t="shared" si="247"/>
        <v>0</v>
      </c>
      <c r="P722" s="434">
        <f t="shared" si="247"/>
        <v>0</v>
      </c>
      <c r="Q722" s="434">
        <f t="shared" si="247"/>
        <v>0</v>
      </c>
      <c r="R722" s="434">
        <f t="shared" si="247"/>
        <v>0</v>
      </c>
      <c r="S722" s="434">
        <f t="shared" si="247"/>
        <v>0</v>
      </c>
      <c r="T722" s="17"/>
      <c r="U722" s="118">
        <f t="shared" si="248"/>
        <v>0</v>
      </c>
      <c r="V722" s="67"/>
      <c r="W722" s="118">
        <f t="shared" si="240"/>
        <v>0</v>
      </c>
    </row>
    <row r="723" spans="1:23" ht="18" customHeight="1">
      <c r="A723" s="47"/>
      <c r="B723" s="17">
        <f t="shared" si="237"/>
        <v>24</v>
      </c>
      <c r="C723" s="1" t="s">
        <v>246</v>
      </c>
      <c r="D723" s="51" t="s">
        <v>247</v>
      </c>
      <c r="E723" s="17"/>
      <c r="F723" s="118">
        <f>' WP II-I-1.4'!H723</f>
        <v>0</v>
      </c>
      <c r="G723" s="17">
        <v>10</v>
      </c>
      <c r="H723" s="47" t="str">
        <f>VLOOKUP(G723,FactorTable,2)</f>
        <v>CUS U RTL</v>
      </c>
      <c r="I723" s="17"/>
      <c r="J723" s="434">
        <f t="shared" si="247"/>
        <v>0</v>
      </c>
      <c r="K723" s="434">
        <f t="shared" si="247"/>
        <v>0</v>
      </c>
      <c r="L723" s="434">
        <f t="shared" si="247"/>
        <v>0</v>
      </c>
      <c r="M723" s="434">
        <f t="shared" si="247"/>
        <v>0</v>
      </c>
      <c r="N723" s="434">
        <f t="shared" si="247"/>
        <v>0</v>
      </c>
      <c r="O723" s="434">
        <f t="shared" si="247"/>
        <v>0</v>
      </c>
      <c r="P723" s="434">
        <f t="shared" si="247"/>
        <v>0</v>
      </c>
      <c r="Q723" s="434">
        <f t="shared" si="247"/>
        <v>0</v>
      </c>
      <c r="R723" s="434">
        <f t="shared" si="247"/>
        <v>0</v>
      </c>
      <c r="S723" s="434">
        <f t="shared" si="247"/>
        <v>0</v>
      </c>
      <c r="T723" s="17"/>
      <c r="U723" s="118">
        <f t="shared" si="248"/>
        <v>0</v>
      </c>
      <c r="V723" s="67"/>
      <c r="W723" s="118">
        <f t="shared" si="240"/>
        <v>0</v>
      </c>
    </row>
    <row r="724" spans="1:23" ht="18" customHeight="1">
      <c r="A724" s="47"/>
      <c r="B724" s="17">
        <f t="shared" si="237"/>
        <v>25</v>
      </c>
      <c r="C724" s="1" t="s">
        <v>248</v>
      </c>
      <c r="D724" s="51" t="s">
        <v>249</v>
      </c>
      <c r="E724" s="17"/>
      <c r="F724" s="118">
        <f>' WP II-I-1.4'!H724</f>
        <v>0</v>
      </c>
      <c r="G724" s="17">
        <v>10</v>
      </c>
      <c r="H724" s="47" t="str">
        <f>VLOOKUP(G724,FactorTable,2)</f>
        <v>CUS U RTL</v>
      </c>
      <c r="I724" s="17"/>
      <c r="J724" s="434">
        <f t="shared" si="247"/>
        <v>0</v>
      </c>
      <c r="K724" s="434">
        <f t="shared" si="247"/>
        <v>0</v>
      </c>
      <c r="L724" s="434">
        <f t="shared" si="247"/>
        <v>0</v>
      </c>
      <c r="M724" s="434">
        <f t="shared" si="247"/>
        <v>0</v>
      </c>
      <c r="N724" s="434">
        <f t="shared" si="247"/>
        <v>0</v>
      </c>
      <c r="O724" s="434">
        <f t="shared" si="247"/>
        <v>0</v>
      </c>
      <c r="P724" s="434">
        <f t="shared" si="247"/>
        <v>0</v>
      </c>
      <c r="Q724" s="434">
        <f t="shared" si="247"/>
        <v>0</v>
      </c>
      <c r="R724" s="434">
        <f t="shared" si="247"/>
        <v>0</v>
      </c>
      <c r="S724" s="434">
        <f t="shared" si="247"/>
        <v>0</v>
      </c>
      <c r="T724" s="17"/>
      <c r="U724" s="118">
        <f t="shared" si="248"/>
        <v>0</v>
      </c>
      <c r="V724" s="67"/>
      <c r="W724" s="118">
        <f t="shared" si="240"/>
        <v>0</v>
      </c>
    </row>
    <row r="725" spans="1:23" ht="18" customHeight="1">
      <c r="A725" s="47"/>
      <c r="B725" s="17">
        <f t="shared" si="237"/>
        <v>26</v>
      </c>
      <c r="C725" s="1" t="s">
        <v>250</v>
      </c>
      <c r="D725" s="51" t="s">
        <v>251</v>
      </c>
      <c r="E725" s="17"/>
      <c r="F725" s="118">
        <f>' WP II-I-1.4'!H725</f>
        <v>0</v>
      </c>
      <c r="G725" s="17">
        <v>10</v>
      </c>
      <c r="H725" s="47" t="str">
        <f>VLOOKUP(G725,FactorTable,2)</f>
        <v>CUS U RTL</v>
      </c>
      <c r="I725" s="17"/>
      <c r="J725" s="434">
        <f t="shared" si="247"/>
        <v>0</v>
      </c>
      <c r="K725" s="434">
        <f t="shared" si="247"/>
        <v>0</v>
      </c>
      <c r="L725" s="434">
        <f t="shared" si="247"/>
        <v>0</v>
      </c>
      <c r="M725" s="434">
        <f t="shared" si="247"/>
        <v>0</v>
      </c>
      <c r="N725" s="434">
        <f t="shared" si="247"/>
        <v>0</v>
      </c>
      <c r="O725" s="434">
        <f t="shared" si="247"/>
        <v>0</v>
      </c>
      <c r="P725" s="434">
        <f t="shared" si="247"/>
        <v>0</v>
      </c>
      <c r="Q725" s="434">
        <f t="shared" si="247"/>
        <v>0</v>
      </c>
      <c r="R725" s="434">
        <f t="shared" si="247"/>
        <v>0</v>
      </c>
      <c r="S725" s="434">
        <f t="shared" si="247"/>
        <v>0</v>
      </c>
      <c r="T725" s="17"/>
      <c r="U725" s="118">
        <f t="shared" si="248"/>
        <v>0</v>
      </c>
      <c r="V725" s="67"/>
      <c r="W725" s="118">
        <f t="shared" si="240"/>
        <v>0</v>
      </c>
    </row>
    <row r="726" spans="1:23" ht="18" customHeight="1">
      <c r="A726" s="47"/>
      <c r="B726" s="17">
        <f t="shared" si="237"/>
        <v>27</v>
      </c>
      <c r="C726" s="8"/>
      <c r="D726" s="297" t="s">
        <v>653</v>
      </c>
      <c r="E726" s="20"/>
      <c r="F726" s="22">
        <f>SUM(F721:F725)</f>
        <v>0</v>
      </c>
      <c r="G726" s="20"/>
      <c r="H726" s="20"/>
      <c r="I726" s="1010"/>
      <c r="J726" s="896">
        <f t="shared" si="249" ref="J726:Q726">SUM(J721:J725)</f>
        <v>0</v>
      </c>
      <c r="K726" s="896">
        <f t="shared" si="249"/>
        <v>0</v>
      </c>
      <c r="L726" s="896">
        <f t="shared" si="249"/>
        <v>0</v>
      </c>
      <c r="M726" s="896">
        <f t="shared" si="249"/>
        <v>0</v>
      </c>
      <c r="N726" s="896">
        <f t="shared" si="249"/>
        <v>0</v>
      </c>
      <c r="O726" s="896">
        <f>SUM(O721:O725)</f>
        <v>0</v>
      </c>
      <c r="P726" s="896">
        <f t="shared" si="249"/>
        <v>0</v>
      </c>
      <c r="Q726" s="896">
        <f t="shared" si="249"/>
        <v>0</v>
      </c>
      <c r="R726" s="896">
        <f>SUM(R721:R725)</f>
        <v>0</v>
      </c>
      <c r="S726" s="896">
        <f>SUM(S721:S725)</f>
        <v>0</v>
      </c>
      <c r="T726" s="1010"/>
      <c r="U726" s="299">
        <f t="shared" si="248"/>
        <v>0</v>
      </c>
      <c r="V726" s="67"/>
      <c r="W726" s="118">
        <f t="shared" si="240"/>
        <v>0</v>
      </c>
    </row>
    <row r="727" spans="1:23" ht="18" customHeight="1">
      <c r="A727" s="47"/>
      <c r="B727" s="17">
        <f t="shared" si="237"/>
        <v>28</v>
      </c>
      <c r="C727" s="8"/>
      <c r="D727" s="369"/>
      <c r="E727" s="20"/>
      <c r="F727" s="22"/>
      <c r="G727" s="20"/>
      <c r="H727" s="20"/>
      <c r="I727" s="20"/>
      <c r="J727" s="896"/>
      <c r="K727" s="896"/>
      <c r="L727" s="896"/>
      <c r="M727" s="896"/>
      <c r="N727" s="896"/>
      <c r="O727" s="896"/>
      <c r="P727" s="896"/>
      <c r="Q727" s="896"/>
      <c r="R727" s="896"/>
      <c r="S727" s="896"/>
      <c r="T727" s="20"/>
      <c r="U727" s="8"/>
      <c r="V727" s="67"/>
      <c r="W727" s="118">
        <f t="shared" si="240"/>
        <v>0</v>
      </c>
    </row>
    <row r="728" spans="1:23" ht="18" customHeight="1">
      <c r="A728" s="47"/>
      <c r="B728" s="17">
        <f t="shared" si="237"/>
        <v>29</v>
      </c>
      <c r="C728" s="8"/>
      <c r="D728" s="297" t="s">
        <v>654</v>
      </c>
      <c r="E728" s="20"/>
      <c r="F728" s="22">
        <f>SUM(F722:F725)</f>
        <v>0</v>
      </c>
      <c r="G728" s="20"/>
      <c r="H728" s="20"/>
      <c r="I728" s="20"/>
      <c r="J728" s="896">
        <f t="shared" si="250" ref="J728:Q728">SUM(J722:J725)</f>
        <v>0</v>
      </c>
      <c r="K728" s="896">
        <f t="shared" si="250"/>
        <v>0</v>
      </c>
      <c r="L728" s="896">
        <f t="shared" si="250"/>
        <v>0</v>
      </c>
      <c r="M728" s="896">
        <f t="shared" si="250"/>
        <v>0</v>
      </c>
      <c r="N728" s="896">
        <f t="shared" si="250"/>
        <v>0</v>
      </c>
      <c r="O728" s="896">
        <f>SUM(O722:O725)</f>
        <v>0</v>
      </c>
      <c r="P728" s="896">
        <f t="shared" si="250"/>
        <v>0</v>
      </c>
      <c r="Q728" s="896">
        <f t="shared" si="250"/>
        <v>0</v>
      </c>
      <c r="R728" s="896">
        <f>SUM(R722:R725)</f>
        <v>0</v>
      </c>
      <c r="S728" s="896">
        <f>SUM(S722:S725)</f>
        <v>0</v>
      </c>
      <c r="T728" s="20"/>
      <c r="U728" s="299">
        <f>SUM(I728:T728)</f>
        <v>0</v>
      </c>
      <c r="V728" s="67"/>
      <c r="W728" s="118">
        <f t="shared" si="240"/>
        <v>0</v>
      </c>
    </row>
    <row r="729" spans="1:23" ht="18" customHeight="1" thickBot="1">
      <c r="A729" s="47"/>
      <c r="B729" s="17">
        <f t="shared" si="237"/>
        <v>30</v>
      </c>
      <c r="C729" s="8"/>
      <c r="D729" s="369"/>
      <c r="E729" s="20"/>
      <c r="F729" s="22"/>
      <c r="G729" s="20"/>
      <c r="H729" s="20"/>
      <c r="I729" s="20"/>
      <c r="J729" s="896"/>
      <c r="K729" s="896"/>
      <c r="L729" s="896"/>
      <c r="M729" s="896"/>
      <c r="N729" s="896"/>
      <c r="O729" s="896"/>
      <c r="P729" s="896"/>
      <c r="Q729" s="896"/>
      <c r="R729" s="896"/>
      <c r="S729" s="896"/>
      <c r="T729" s="20"/>
      <c r="U729" s="8"/>
      <c r="V729" s="67"/>
      <c r="W729" s="118">
        <f t="shared" si="240"/>
        <v>0</v>
      </c>
    </row>
    <row r="730" spans="1:23" ht="18" customHeight="1">
      <c r="A730" s="47"/>
      <c r="B730" s="17">
        <f t="shared" si="237"/>
        <v>31</v>
      </c>
      <c r="C730" s="319" t="s">
        <v>655</v>
      </c>
      <c r="D730" s="304"/>
      <c r="E730" s="305" t="s">
        <v>160</v>
      </c>
      <c r="F730" s="306">
        <f>+F726+F716+F706+F686+F638</f>
        <v>59034958.160000004</v>
      </c>
      <c r="G730" s="305"/>
      <c r="H730" s="437"/>
      <c r="I730" s="857"/>
      <c r="J730" s="439">
        <f t="shared" si="251" ref="J730:Q730">+J726+J716+J706+J686+J638</f>
        <v>32934095.423975181</v>
      </c>
      <c r="K730" s="908">
        <f t="shared" si="251"/>
        <v>5071926.5590579836</v>
      </c>
      <c r="L730" s="908">
        <f t="shared" si="251"/>
        <v>15624718.539570564</v>
      </c>
      <c r="M730" s="908">
        <f t="shared" si="251"/>
        <v>219391.37563595356</v>
      </c>
      <c r="N730" s="908">
        <f t="shared" si="251"/>
        <v>4576675.6620117184</v>
      </c>
      <c r="O730" s="908">
        <f>+O726+O716+O706+O686+O638</f>
        <v>156454.55386694946</v>
      </c>
      <c r="P730" s="908">
        <f t="shared" si="251"/>
        <v>340447.73315284989</v>
      </c>
      <c r="Q730" s="908">
        <f t="shared" si="251"/>
        <v>51048.621909704212</v>
      </c>
      <c r="R730" s="908">
        <f>+R726+R716+R706+R686+R638</f>
        <v>18052.268433006688</v>
      </c>
      <c r="S730" s="641">
        <f>+S726+S716+S706+S686+S638</f>
        <v>42147.422386096296</v>
      </c>
      <c r="T730" s="437"/>
      <c r="U730" s="307">
        <f>SUM(I730:T730)</f>
        <v>59034958.160000011</v>
      </c>
      <c r="V730" s="67"/>
      <c r="W730" s="118">
        <f t="shared" si="240"/>
        <v>0</v>
      </c>
    </row>
    <row r="731" spans="1:23" ht="18" customHeight="1" thickBot="1">
      <c r="A731" s="47"/>
      <c r="B731" s="17">
        <f t="shared" si="237"/>
        <v>32</v>
      </c>
      <c r="C731" s="326" t="s">
        <v>656</v>
      </c>
      <c r="D731" s="310"/>
      <c r="E731" s="311" t="s">
        <v>160</v>
      </c>
      <c r="F731" s="312">
        <f>F730-F622</f>
        <v>59034958.160000004</v>
      </c>
      <c r="G731" s="311"/>
      <c r="H731" s="440"/>
      <c r="I731" s="1062"/>
      <c r="J731" s="442">
        <f t="shared" si="252" ref="J731:Q731">J730-J622</f>
        <v>32934095.423975181</v>
      </c>
      <c r="K731" s="312">
        <f t="shared" si="252"/>
        <v>5071926.5590579836</v>
      </c>
      <c r="L731" s="312">
        <f t="shared" si="252"/>
        <v>15624718.539570564</v>
      </c>
      <c r="M731" s="312">
        <f t="shared" si="252"/>
        <v>219391.37563595356</v>
      </c>
      <c r="N731" s="312">
        <f t="shared" si="252"/>
        <v>4576675.6620117184</v>
      </c>
      <c r="O731" s="312">
        <f>O730-O622</f>
        <v>156454.55386694946</v>
      </c>
      <c r="P731" s="312">
        <f t="shared" si="252"/>
        <v>340447.73315284989</v>
      </c>
      <c r="Q731" s="312">
        <f t="shared" si="252"/>
        <v>51048.621909704212</v>
      </c>
      <c r="R731" s="312">
        <f>R730-R622</f>
        <v>18052.268433006688</v>
      </c>
      <c r="S731" s="443">
        <f>S730-S622</f>
        <v>42147.422386096296</v>
      </c>
      <c r="T731" s="440"/>
      <c r="U731" s="313">
        <f>SUM(I731:T731)</f>
        <v>59034958.160000011</v>
      </c>
      <c r="V731" s="67"/>
      <c r="W731" s="118">
        <f t="shared" si="240"/>
        <v>0</v>
      </c>
    </row>
    <row r="732" spans="1:23" ht="18" customHeight="1">
      <c r="A732" s="47"/>
      <c r="B732" s="17"/>
      <c r="C732" s="8"/>
      <c r="D732" s="8"/>
      <c r="E732" s="20"/>
      <c r="F732" s="22"/>
      <c r="G732" s="20"/>
      <c r="H732" s="13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134"/>
      <c r="V732" s="134">
        <f>$H$2</f>
        <v>0</v>
      </c>
      <c r="W732" s="118"/>
    </row>
    <row r="733" spans="1:23" ht="18" customHeight="1" thickBot="1">
      <c r="A733" s="47"/>
      <c r="B733" s="17"/>
      <c r="C733" s="8"/>
      <c r="D733" s="8"/>
      <c r="E733" s="20"/>
      <c r="F733" s="2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52"/>
      <c r="V733" s="67"/>
      <c r="W733" s="118"/>
    </row>
    <row r="734" spans="1:23" ht="18" customHeight="1">
      <c r="A734" s="47"/>
      <c r="B734" s="920" t="str">
        <f>+$B$4</f>
        <v>2022 RATE CASE</v>
      </c>
      <c r="C734" s="935"/>
      <c r="D734" s="969"/>
      <c r="F734" s="332"/>
      <c r="U734" s="134"/>
      <c r="W734" s="118"/>
    </row>
    <row r="735" spans="1:23" ht="18" customHeight="1">
      <c r="A735" s="47"/>
      <c r="B735" s="917" t="str">
        <f>+$B$5</f>
        <v>ONCOR ELECTRIC DELIVERY COMPANY LLC</v>
      </c>
      <c r="C735" s="8"/>
      <c r="D735" s="970"/>
      <c r="F735" s="371"/>
      <c r="U735" s="134"/>
      <c r="V735" s="67"/>
      <c r="W735" s="118"/>
    </row>
    <row r="736" spans="1:23" ht="18" customHeight="1">
      <c r="A736" s="47"/>
      <c r="B736" s="917" t="str">
        <f>+$B$6</f>
        <v>II-I-1-MET:  CLASS REVENUE REQUIREMENT</v>
      </c>
      <c r="C736" s="85"/>
      <c r="D736" s="970"/>
      <c r="F736" s="371"/>
      <c r="U736" s="332"/>
      <c r="V736" s="67"/>
      <c r="W736" s="118"/>
    </row>
    <row r="737" spans="1:23" ht="18" customHeight="1">
      <c r="A737" s="47"/>
      <c r="B737" s="406" t="str">
        <f>+$B$7</f>
        <v>TEST YEAR ENDING 12/31/2021</v>
      </c>
      <c r="C737" s="85"/>
      <c r="D737" s="970"/>
      <c r="F737" s="371"/>
      <c r="U737" s="332"/>
      <c r="V737" s="67"/>
      <c r="W737" s="118"/>
    </row>
    <row r="738" spans="1:23" ht="18" customHeight="1">
      <c r="A738" s="47"/>
      <c r="B738" s="406" t="str">
        <f>+$B$8</f>
        <v>SPONSOR:  MATTHEW A. TROXLE</v>
      </c>
      <c r="C738" s="85"/>
      <c r="D738" s="970"/>
      <c r="F738" s="371"/>
      <c r="U738" s="332"/>
      <c r="V738" s="67"/>
      <c r="W738" s="118"/>
    </row>
    <row r="739" spans="1:23" ht="18" customHeight="1" thickBot="1">
      <c r="A739" s="47"/>
      <c r="B739" s="410"/>
      <c r="C739" s="934"/>
      <c r="D739" s="936"/>
      <c r="F739" s="371"/>
      <c r="U739" s="332"/>
      <c r="V739" s="67"/>
      <c r="W739" s="118"/>
    </row>
    <row r="740" spans="1:23" ht="18" customHeight="1" thickBot="1">
      <c r="A740" s="47"/>
      <c r="B740" s="13"/>
      <c r="C740" s="14"/>
      <c r="D740" s="14"/>
      <c r="E740" s="14"/>
      <c r="F740" s="13"/>
      <c r="G740" s="14"/>
      <c r="H740" s="14"/>
      <c r="I740" s="14"/>
      <c r="J740" s="238"/>
      <c r="K740" s="238"/>
      <c r="L740" s="14"/>
      <c r="M740" s="238"/>
      <c r="N740" s="238"/>
      <c r="O740" s="238"/>
      <c r="P740" s="238"/>
      <c r="Q740" s="14"/>
      <c r="R740" s="393" t="str">
        <f>R$10</f>
        <v xml:space="preserve"> </v>
      </c>
      <c r="S740" s="394"/>
      <c r="T740" s="238"/>
      <c r="U740" s="13"/>
      <c r="V740" s="67"/>
      <c r="W740" s="118"/>
    </row>
    <row r="741" spans="1:23" ht="18" customHeight="1">
      <c r="A741" s="47"/>
      <c r="B741" s="15" t="s">
        <v>2</v>
      </c>
      <c r="C741" s="15" t="s">
        <v>370</v>
      </c>
      <c r="D741" s="287" t="s">
        <v>252</v>
      </c>
      <c r="E741" s="15" t="s">
        <v>371</v>
      </c>
      <c r="F741" s="287" t="str">
        <f>F$11</f>
        <v>MET</v>
      </c>
      <c r="G741" s="242" t="s">
        <v>741</v>
      </c>
      <c r="H741" s="242" t="s">
        <v>376</v>
      </c>
      <c r="I741" s="15"/>
      <c r="J741" s="242" t="s">
        <v>730</v>
      </c>
      <c r="K741" s="242" t="s">
        <v>409</v>
      </c>
      <c r="L741" s="15" t="s">
        <v>409</v>
      </c>
      <c r="M741" s="242" t="s">
        <v>410</v>
      </c>
      <c r="N741" s="242" t="s">
        <v>410</v>
      </c>
      <c r="O741" s="242" t="s">
        <v>410</v>
      </c>
      <c r="P741" s="242" t="s">
        <v>411</v>
      </c>
      <c r="Q741" s="15" t="s">
        <v>412</v>
      </c>
      <c r="R741" s="396" t="str">
        <f>R$11</f>
        <v>Wholesale</v>
      </c>
      <c r="S741" s="13" t="str">
        <f>S$11</f>
        <v>Wholesale</v>
      </c>
      <c r="T741" s="242"/>
      <c r="U741" s="15" t="s">
        <v>10</v>
      </c>
      <c r="V741" s="67"/>
      <c r="W741" s="118"/>
    </row>
    <row r="742" spans="1:23" ht="18" customHeight="1">
      <c r="A742" s="47"/>
      <c r="B742" s="15"/>
      <c r="C742" s="15"/>
      <c r="D742" s="15"/>
      <c r="E742" s="15"/>
      <c r="F742" s="15"/>
      <c r="G742" s="242" t="s">
        <v>742</v>
      </c>
      <c r="H742" s="242" t="s">
        <v>743</v>
      </c>
      <c r="I742" s="15"/>
      <c r="J742" s="242"/>
      <c r="K742" s="242" t="s">
        <v>731</v>
      </c>
      <c r="L742" s="15" t="s">
        <v>732</v>
      </c>
      <c r="M742" s="242" t="s">
        <v>731</v>
      </c>
      <c r="N742" s="242" t="s">
        <v>732</v>
      </c>
      <c r="O742" s="242" t="s">
        <v>414</v>
      </c>
      <c r="P742" s="242"/>
      <c r="Q742" s="15"/>
      <c r="R742" s="235" t="str">
        <f>R$12</f>
        <v>XFMR</v>
      </c>
      <c r="S742" s="15" t="str">
        <f>S$12</f>
        <v>DLS</v>
      </c>
      <c r="T742" s="242"/>
      <c r="U742" s="15"/>
      <c r="V742" s="67"/>
      <c r="W742" s="118"/>
    </row>
    <row r="743" spans="1:23" ht="18" customHeight="1" thickBot="1">
      <c r="A743" s="47"/>
      <c r="B743" s="16"/>
      <c r="C743" s="16"/>
      <c r="D743" s="16"/>
      <c r="E743" s="16"/>
      <c r="F743" s="16" t="s">
        <v>13</v>
      </c>
      <c r="G743" s="16" t="s">
        <v>14</v>
      </c>
      <c r="H743" s="16" t="s">
        <v>15</v>
      </c>
      <c r="I743" s="16"/>
      <c r="J743" s="243" t="str">
        <f t="shared" si="253" ref="J743:Q743">J$13</f>
        <v>(d)</v>
      </c>
      <c r="K743" s="243" t="str">
        <f t="shared" si="253"/>
        <v>(e)</v>
      </c>
      <c r="L743" s="16" t="str">
        <f t="shared" si="253"/>
        <v>(f)</v>
      </c>
      <c r="M743" s="243" t="str">
        <f t="shared" si="253"/>
        <v>(g)</v>
      </c>
      <c r="N743" s="243" t="str">
        <f t="shared" si="253"/>
        <v>(h)</v>
      </c>
      <c r="O743" s="243" t="str">
        <f>O$13</f>
        <v>(i)</v>
      </c>
      <c r="P743" s="243" t="str">
        <f t="shared" si="253"/>
        <v>(j)</v>
      </c>
      <c r="Q743" s="243" t="str">
        <f t="shared" si="253"/>
        <v>(k)</v>
      </c>
      <c r="R743" s="243" t="str">
        <f>R$13</f>
        <v>(l)</v>
      </c>
      <c r="S743" s="16" t="str">
        <f>S$13</f>
        <v>(m)</v>
      </c>
      <c r="T743" s="16"/>
      <c r="U743" s="16" t="s">
        <v>734</v>
      </c>
      <c r="V743" s="67"/>
      <c r="W743" s="118"/>
    </row>
    <row r="744" spans="1:23" ht="18" customHeight="1">
      <c r="A744" s="47"/>
      <c r="B744" s="67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43"/>
      <c r="V744" s="67"/>
      <c r="W744" s="118"/>
    </row>
    <row r="745" spans="1:22" ht="18" customHeight="1">
      <c r="A745" s="47"/>
      <c r="B745" s="17">
        <f t="shared" si="254" ref="B745:B764">B744+1</f>
        <v>1</v>
      </c>
      <c r="C745" s="8" t="s">
        <v>252</v>
      </c>
      <c r="D745" s="8"/>
      <c r="E745" s="20" t="s">
        <v>253</v>
      </c>
      <c r="F745" s="8"/>
      <c r="G745" s="20"/>
      <c r="H745" s="20"/>
      <c r="I745" s="1010"/>
      <c r="J745" s="1059"/>
      <c r="K745" s="1059"/>
      <c r="L745" s="1059"/>
      <c r="M745" s="1059"/>
      <c r="N745" s="1059"/>
      <c r="O745" s="1059"/>
      <c r="P745" s="1059"/>
      <c r="Q745" s="1059"/>
      <c r="R745" s="1059"/>
      <c r="S745" s="1059"/>
      <c r="T745" s="1010"/>
      <c r="U745" s="8"/>
      <c r="V745" s="67"/>
    </row>
    <row r="746" spans="1:23" ht="18" customHeight="1">
      <c r="A746" s="47"/>
      <c r="B746" s="17">
        <f t="shared" si="254"/>
        <v>2</v>
      </c>
      <c r="C746" s="1" t="s">
        <v>254</v>
      </c>
      <c r="D746" s="1" t="s">
        <v>255</v>
      </c>
      <c r="E746" s="17"/>
      <c r="F746" s="118">
        <f>' WP II-I-1.4'!H746</f>
        <v>13067186.82</v>
      </c>
      <c r="G746" s="17">
        <v>77</v>
      </c>
      <c r="H746" s="47" t="str">
        <f t="shared" si="255" ref="H746:H758">VLOOKUP(G746,FactorTable,2)</f>
        <v>O&amp;M x565</v>
      </c>
      <c r="I746" s="17"/>
      <c r="J746" s="434">
        <f t="shared" si="256" ref="J746:S758">$F746*HLOOKUP(J$1318,FactorTable,$G746+1)</f>
        <v>7289849.7952080313</v>
      </c>
      <c r="K746" s="434">
        <f t="shared" si="256"/>
        <v>1122653.6606480831</v>
      </c>
      <c r="L746" s="434">
        <f t="shared" si="256"/>
        <v>3458478.2056274111</v>
      </c>
      <c r="M746" s="434">
        <f t="shared" si="256"/>
        <v>48561.533394534737</v>
      </c>
      <c r="N746" s="434">
        <f t="shared" si="256"/>
        <v>1013031.5622138536</v>
      </c>
      <c r="O746" s="434">
        <f t="shared" si="256"/>
        <v>34630.682360750936</v>
      </c>
      <c r="P746" s="434">
        <f t="shared" si="256"/>
        <v>75356.945616810379</v>
      </c>
      <c r="Q746" s="434">
        <f t="shared" si="256"/>
        <v>11299.438505397766</v>
      </c>
      <c r="R746" s="434">
        <f t="shared" si="256"/>
        <v>3995.8081023714408</v>
      </c>
      <c r="S746" s="434">
        <f t="shared" si="256"/>
        <v>9329.188322754464</v>
      </c>
      <c r="T746" s="17"/>
      <c r="U746" s="118">
        <f t="shared" si="257" ref="U746:U758">SUM(I746:T746)</f>
        <v>13067186.819999998</v>
      </c>
      <c r="V746" s="67"/>
      <c r="W746" s="118">
        <f t="shared" si="240"/>
        <v>0</v>
      </c>
    </row>
    <row r="747" spans="1:23" ht="18" customHeight="1">
      <c r="A747" s="47"/>
      <c r="B747" s="17">
        <f t="shared" si="254"/>
        <v>3</v>
      </c>
      <c r="C747" s="1" t="s">
        <v>256</v>
      </c>
      <c r="D747" s="1" t="s">
        <v>257</v>
      </c>
      <c r="E747" s="17"/>
      <c r="F747" s="118">
        <f>' WP II-I-1.4'!H747</f>
        <v>1153337.02</v>
      </c>
      <c r="G747" s="17">
        <v>77</v>
      </c>
      <c r="H747" s="47" t="str">
        <f t="shared" si="255"/>
        <v>O&amp;M x565</v>
      </c>
      <c r="I747" s="17"/>
      <c r="J747" s="434">
        <f t="shared" si="256"/>
        <v>643417.26760839566</v>
      </c>
      <c r="K747" s="434">
        <f t="shared" si="256"/>
        <v>99087.741324873117</v>
      </c>
      <c r="L747" s="434">
        <f t="shared" si="256"/>
        <v>305252.46193834284</v>
      </c>
      <c r="M747" s="434">
        <f t="shared" si="256"/>
        <v>4286.1416908925148</v>
      </c>
      <c r="N747" s="434">
        <f t="shared" si="256"/>
        <v>89412.267477604677</v>
      </c>
      <c r="O747" s="434">
        <f t="shared" si="256"/>
        <v>3056.5758754886351</v>
      </c>
      <c r="P747" s="434">
        <f t="shared" si="256"/>
        <v>6651.1603676600798</v>
      </c>
      <c r="Q747" s="434">
        <f t="shared" si="256"/>
        <v>997.31188610102936</v>
      </c>
      <c r="R747" s="434">
        <f t="shared" si="256"/>
        <v>352.67831345514753</v>
      </c>
      <c r="S747" s="434">
        <f t="shared" si="256"/>
        <v>823.4135171861293</v>
      </c>
      <c r="T747" s="17"/>
      <c r="U747" s="118">
        <f t="shared" si="257"/>
        <v>1153337.0199999996</v>
      </c>
      <c r="V747" s="67"/>
      <c r="W747" s="118">
        <f t="shared" si="240"/>
        <v>0</v>
      </c>
    </row>
    <row r="748" spans="1:23" ht="18" customHeight="1">
      <c r="A748" s="47"/>
      <c r="B748" s="17">
        <f t="shared" si="254"/>
        <v>4</v>
      </c>
      <c r="C748" s="1" t="s">
        <v>258</v>
      </c>
      <c r="D748" s="1" t="s">
        <v>259</v>
      </c>
      <c r="E748" s="17"/>
      <c r="F748" s="118">
        <f>' WP II-I-1.4'!H748</f>
        <v>0</v>
      </c>
      <c r="G748" s="17">
        <v>77</v>
      </c>
      <c r="H748" s="47" t="str">
        <f t="shared" si="255"/>
        <v>O&amp;M x565</v>
      </c>
      <c r="I748" s="17"/>
      <c r="J748" s="434">
        <f t="shared" si="256"/>
        <v>0</v>
      </c>
      <c r="K748" s="434">
        <f t="shared" si="256"/>
        <v>0</v>
      </c>
      <c r="L748" s="434">
        <f t="shared" si="256"/>
        <v>0</v>
      </c>
      <c r="M748" s="434">
        <f t="shared" si="256"/>
        <v>0</v>
      </c>
      <c r="N748" s="434">
        <f t="shared" si="256"/>
        <v>0</v>
      </c>
      <c r="O748" s="434">
        <f t="shared" si="256"/>
        <v>0</v>
      </c>
      <c r="P748" s="434">
        <f t="shared" si="256"/>
        <v>0</v>
      </c>
      <c r="Q748" s="434">
        <f t="shared" si="256"/>
        <v>0</v>
      </c>
      <c r="R748" s="434">
        <f t="shared" si="256"/>
        <v>0</v>
      </c>
      <c r="S748" s="434">
        <f t="shared" si="256"/>
        <v>0</v>
      </c>
      <c r="T748" s="17"/>
      <c r="U748" s="118">
        <f t="shared" si="257"/>
        <v>0</v>
      </c>
      <c r="V748" s="67"/>
      <c r="W748" s="118">
        <f t="shared" si="240"/>
        <v>0</v>
      </c>
    </row>
    <row r="749" spans="1:23" ht="18" customHeight="1">
      <c r="A749" s="47"/>
      <c r="B749" s="17">
        <f t="shared" si="254"/>
        <v>5</v>
      </c>
      <c r="C749" s="1" t="s">
        <v>260</v>
      </c>
      <c r="D749" s="31" t="s">
        <v>261</v>
      </c>
      <c r="E749" s="17"/>
      <c r="F749" s="118">
        <f>' WP II-I-1.4'!H749</f>
        <v>16915520.880000003</v>
      </c>
      <c r="G749" s="17">
        <v>77</v>
      </c>
      <c r="H749" s="47" t="str">
        <f t="shared" si="255"/>
        <v>O&amp;M x565</v>
      </c>
      <c r="I749" s="17"/>
      <c r="J749" s="434">
        <f t="shared" si="256"/>
        <v>9436737.0820910316</v>
      </c>
      <c r="K749" s="434">
        <f t="shared" si="256"/>
        <v>1453279.2481879497</v>
      </c>
      <c r="L749" s="434">
        <f t="shared" si="256"/>
        <v>4477012.619944727</v>
      </c>
      <c r="M749" s="434">
        <f t="shared" si="256"/>
        <v>62863.08165754607</v>
      </c>
      <c r="N749" s="434">
        <f t="shared" si="256"/>
        <v>1311373.0429337707</v>
      </c>
      <c r="O749" s="434">
        <f t="shared" si="256"/>
        <v>44829.544310588673</v>
      </c>
      <c r="P749" s="434">
        <f t="shared" si="256"/>
        <v>97549.840267316278</v>
      </c>
      <c r="Q749" s="434">
        <f t="shared" si="256"/>
        <v>14627.164255261785</v>
      </c>
      <c r="R749" s="434">
        <f t="shared" si="256"/>
        <v>5172.5881262128687</v>
      </c>
      <c r="S749" s="434">
        <f t="shared" si="256"/>
        <v>12076.668225594814</v>
      </c>
      <c r="T749" s="17"/>
      <c r="U749" s="118">
        <f t="shared" si="257"/>
        <v>16915520.879999999</v>
      </c>
      <c r="V749" s="67"/>
      <c r="W749" s="118">
        <f t="shared" si="240"/>
        <v>0</v>
      </c>
    </row>
    <row r="750" spans="1:23" ht="18" customHeight="1">
      <c r="A750" s="47"/>
      <c r="B750" s="17">
        <f t="shared" si="254"/>
        <v>6</v>
      </c>
      <c r="C750" s="1" t="s">
        <v>262</v>
      </c>
      <c r="D750" s="1" t="s">
        <v>263</v>
      </c>
      <c r="E750" s="17"/>
      <c r="F750" s="118">
        <f>' WP II-I-1.4'!H750</f>
        <v>0</v>
      </c>
      <c r="G750" s="17">
        <v>64</v>
      </c>
      <c r="H750" s="47" t="str">
        <f t="shared" si="255"/>
        <v>PLANT</v>
      </c>
      <c r="I750" s="17"/>
      <c r="J750" s="434">
        <f t="shared" si="256"/>
        <v>0</v>
      </c>
      <c r="K750" s="434">
        <f t="shared" si="256"/>
        <v>0</v>
      </c>
      <c r="L750" s="434">
        <f t="shared" si="256"/>
        <v>0</v>
      </c>
      <c r="M750" s="434">
        <f t="shared" si="256"/>
        <v>0</v>
      </c>
      <c r="N750" s="434">
        <f t="shared" si="256"/>
        <v>0</v>
      </c>
      <c r="O750" s="434">
        <f t="shared" si="256"/>
        <v>0</v>
      </c>
      <c r="P750" s="434">
        <f t="shared" si="256"/>
        <v>0</v>
      </c>
      <c r="Q750" s="434">
        <f t="shared" si="256"/>
        <v>0</v>
      </c>
      <c r="R750" s="434">
        <f t="shared" si="256"/>
        <v>0</v>
      </c>
      <c r="S750" s="434">
        <f t="shared" si="256"/>
        <v>0</v>
      </c>
      <c r="T750" s="17"/>
      <c r="U750" s="118">
        <f t="shared" si="257"/>
        <v>0</v>
      </c>
      <c r="V750" s="67"/>
      <c r="W750" s="118">
        <f t="shared" si="240"/>
        <v>0</v>
      </c>
    </row>
    <row r="751" spans="1:23" ht="18" customHeight="1">
      <c r="A751" s="47"/>
      <c r="B751" s="17">
        <f t="shared" si="254"/>
        <v>7</v>
      </c>
      <c r="C751" s="1" t="s">
        <v>264</v>
      </c>
      <c r="D751" s="1" t="s">
        <v>265</v>
      </c>
      <c r="E751" s="17"/>
      <c r="F751" s="118">
        <f>' WP II-I-1.4'!H751</f>
        <v>0</v>
      </c>
      <c r="G751" s="17">
        <v>77</v>
      </c>
      <c r="H751" s="47" t="str">
        <f t="shared" si="255"/>
        <v>O&amp;M x565</v>
      </c>
      <c r="I751" s="17"/>
      <c r="J751" s="434">
        <f t="shared" si="256"/>
        <v>0</v>
      </c>
      <c r="K751" s="434">
        <f t="shared" si="256"/>
        <v>0</v>
      </c>
      <c r="L751" s="434">
        <f t="shared" si="256"/>
        <v>0</v>
      </c>
      <c r="M751" s="434">
        <f t="shared" si="256"/>
        <v>0</v>
      </c>
      <c r="N751" s="434">
        <f t="shared" si="256"/>
        <v>0</v>
      </c>
      <c r="O751" s="434">
        <f t="shared" si="256"/>
        <v>0</v>
      </c>
      <c r="P751" s="434">
        <f t="shared" si="256"/>
        <v>0</v>
      </c>
      <c r="Q751" s="434">
        <f t="shared" si="256"/>
        <v>0</v>
      </c>
      <c r="R751" s="434">
        <f t="shared" si="256"/>
        <v>0</v>
      </c>
      <c r="S751" s="434">
        <f t="shared" si="256"/>
        <v>0</v>
      </c>
      <c r="T751" s="17"/>
      <c r="U751" s="118">
        <f t="shared" si="257"/>
        <v>0</v>
      </c>
      <c r="V751" s="67"/>
      <c r="W751" s="118">
        <f t="shared" si="240"/>
        <v>0</v>
      </c>
    </row>
    <row r="752" spans="1:23" ht="18" customHeight="1">
      <c r="A752" s="47"/>
      <c r="B752" s="17">
        <f t="shared" si="254"/>
        <v>8</v>
      </c>
      <c r="C752" s="1" t="s">
        <v>266</v>
      </c>
      <c r="D752" s="1" t="s">
        <v>267</v>
      </c>
      <c r="E752" s="17"/>
      <c r="F752" s="118">
        <f>' WP II-I-1.4'!H752</f>
        <v>16815082.920000002</v>
      </c>
      <c r="G752" s="17">
        <v>88</v>
      </c>
      <c r="H752" s="47" t="str">
        <f t="shared" si="255"/>
        <v>PAYROLL</v>
      </c>
      <c r="I752" s="17"/>
      <c r="J752" s="434">
        <f t="shared" si="256"/>
        <v>9376328.619975863</v>
      </c>
      <c r="K752" s="434">
        <f t="shared" si="256"/>
        <v>1445111.0470355281</v>
      </c>
      <c r="L752" s="434">
        <f t="shared" si="256"/>
        <v>4455824.71740261</v>
      </c>
      <c r="M752" s="434">
        <f t="shared" si="256"/>
        <v>62566.258219999472</v>
      </c>
      <c r="N752" s="434">
        <f t="shared" si="256"/>
        <v>1305468.609183738</v>
      </c>
      <c r="O752" s="434">
        <f t="shared" si="256"/>
        <v>44616.489418239071</v>
      </c>
      <c r="P752" s="434">
        <f t="shared" si="256"/>
        <v>97114.712442566844</v>
      </c>
      <c r="Q752" s="434">
        <f t="shared" si="256"/>
        <v>10883.970705016494</v>
      </c>
      <c r="R752" s="434">
        <f t="shared" si="256"/>
        <v>5147.8827121511204</v>
      </c>
      <c r="S752" s="434">
        <f t="shared" si="256"/>
        <v>12020.61290429009</v>
      </c>
      <c r="T752" s="17"/>
      <c r="U752" s="118">
        <f t="shared" si="257"/>
        <v>16815082.920000006</v>
      </c>
      <c r="V752" s="67"/>
      <c r="W752" s="118">
        <f t="shared" si="240"/>
        <v>0</v>
      </c>
    </row>
    <row r="753" spans="1:23" ht="18" customHeight="1">
      <c r="A753" s="47"/>
      <c r="B753" s="17">
        <f t="shared" si="254"/>
        <v>9</v>
      </c>
      <c r="C753" s="1" t="s">
        <v>268</v>
      </c>
      <c r="D753" s="1" t="s">
        <v>269</v>
      </c>
      <c r="E753" s="17"/>
      <c r="F753" s="118">
        <f>' WP II-I-1.4'!H753</f>
        <v>16015.940000000002</v>
      </c>
      <c r="G753" s="17">
        <v>14</v>
      </c>
      <c r="H753" s="47" t="str">
        <f t="shared" si="255"/>
        <v>REVENUE</v>
      </c>
      <c r="I753" s="17"/>
      <c r="J753" s="434">
        <f t="shared" si="256"/>
        <v>7699.7744410356418</v>
      </c>
      <c r="K753" s="434">
        <f t="shared" si="256"/>
        <v>382.99579418354955</v>
      </c>
      <c r="L753" s="434">
        <f t="shared" si="256"/>
        <v>5997.1328255692033</v>
      </c>
      <c r="M753" s="434">
        <f t="shared" si="256"/>
        <v>4.9390319732796986</v>
      </c>
      <c r="N753" s="434">
        <f t="shared" si="256"/>
        <v>1092.1100856578628</v>
      </c>
      <c r="O753" s="434">
        <f t="shared" si="256"/>
        <v>126.52798393069283</v>
      </c>
      <c r="P753" s="434">
        <f t="shared" si="256"/>
        <v>459.3806059430234</v>
      </c>
      <c r="Q753" s="434">
        <f t="shared" si="256"/>
        <v>241.98281562478826</v>
      </c>
      <c r="R753" s="434">
        <f t="shared" si="256"/>
        <v>2.4383074817404613</v>
      </c>
      <c r="S753" s="434">
        <f t="shared" si="256"/>
        <v>8.6581086002207428</v>
      </c>
      <c r="T753" s="17"/>
      <c r="U753" s="118">
        <f t="shared" si="257"/>
        <v>16015.940000000001</v>
      </c>
      <c r="V753" s="67"/>
      <c r="W753" s="118">
        <f t="shared" si="240"/>
        <v>0</v>
      </c>
    </row>
    <row r="754" spans="1:23" ht="18" customHeight="1">
      <c r="A754" s="47"/>
      <c r="B754" s="17">
        <f t="shared" si="254"/>
        <v>10</v>
      </c>
      <c r="C754" s="28" t="s">
        <v>270</v>
      </c>
      <c r="D754" s="1" t="s">
        <v>271</v>
      </c>
      <c r="E754" s="17"/>
      <c r="F754" s="118">
        <f>' WP II-I-1.4'!H754</f>
        <v>0</v>
      </c>
      <c r="G754" s="17">
        <v>10</v>
      </c>
      <c r="H754" s="47" t="str">
        <f t="shared" si="255"/>
        <v>CUS U RTL</v>
      </c>
      <c r="I754" s="17"/>
      <c r="J754" s="434">
        <f t="shared" si="256"/>
        <v>0</v>
      </c>
      <c r="K754" s="434">
        <f t="shared" si="256"/>
        <v>0</v>
      </c>
      <c r="L754" s="434">
        <f t="shared" si="256"/>
        <v>0</v>
      </c>
      <c r="M754" s="434">
        <f t="shared" si="256"/>
        <v>0</v>
      </c>
      <c r="N754" s="434">
        <f t="shared" si="256"/>
        <v>0</v>
      </c>
      <c r="O754" s="434">
        <f t="shared" si="256"/>
        <v>0</v>
      </c>
      <c r="P754" s="434">
        <f t="shared" si="256"/>
        <v>0</v>
      </c>
      <c r="Q754" s="434">
        <f t="shared" si="256"/>
        <v>0</v>
      </c>
      <c r="R754" s="434">
        <f t="shared" si="256"/>
        <v>0</v>
      </c>
      <c r="S754" s="434">
        <f t="shared" si="256"/>
        <v>0</v>
      </c>
      <c r="T754" s="17"/>
      <c r="U754" s="118">
        <f t="shared" si="257"/>
        <v>0</v>
      </c>
      <c r="V754" s="67"/>
      <c r="W754" s="118">
        <f t="shared" si="240"/>
        <v>0</v>
      </c>
    </row>
    <row r="755" spans="1:23" ht="18" customHeight="1">
      <c r="A755" s="47"/>
      <c r="B755" s="17">
        <f t="shared" si="254"/>
        <v>11</v>
      </c>
      <c r="C755" s="1" t="s">
        <v>272</v>
      </c>
      <c r="D755" s="1" t="s">
        <v>273</v>
      </c>
      <c r="E755" s="17"/>
      <c r="F755" s="118">
        <f>' WP II-I-1.4'!H755</f>
        <v>1946608.24</v>
      </c>
      <c r="G755" s="17">
        <v>77</v>
      </c>
      <c r="H755" s="47" t="str">
        <f t="shared" si="255"/>
        <v>O&amp;M x565</v>
      </c>
      <c r="I755" s="17"/>
      <c r="J755" s="434">
        <f t="shared" si="256"/>
        <v>1085963.0213593491</v>
      </c>
      <c r="K755" s="434">
        <f t="shared" si="256"/>
        <v>167240.80680769833</v>
      </c>
      <c r="L755" s="434">
        <f t="shared" si="256"/>
        <v>515206.69794286543</v>
      </c>
      <c r="M755" s="434">
        <f t="shared" si="256"/>
        <v>7234.1723092343827</v>
      </c>
      <c r="N755" s="434">
        <f t="shared" si="256"/>
        <v>150910.49156558703</v>
      </c>
      <c r="O755" s="434">
        <f t="shared" si="256"/>
        <v>5158.90471062083</v>
      </c>
      <c r="P755" s="434">
        <f t="shared" si="256"/>
        <v>11225.86317158929</v>
      </c>
      <c r="Q755" s="434">
        <f t="shared" si="256"/>
        <v>1683.2682049295574</v>
      </c>
      <c r="R755" s="434">
        <f t="shared" si="256"/>
        <v>595.25229758175374</v>
      </c>
      <c r="S755" s="434">
        <f t="shared" si="256"/>
        <v>1389.7616305439506</v>
      </c>
      <c r="T755" s="17"/>
      <c r="U755" s="118">
        <f t="shared" si="257"/>
        <v>1946608.2399999995</v>
      </c>
      <c r="V755" s="67"/>
      <c r="W755" s="118">
        <f t="shared" si="240"/>
        <v>0</v>
      </c>
    </row>
    <row r="756" spans="1:23" ht="18" customHeight="1">
      <c r="A756" s="47"/>
      <c r="B756" s="17">
        <f t="shared" si="254"/>
        <v>12</v>
      </c>
      <c r="C756" s="1" t="s">
        <v>274</v>
      </c>
      <c r="D756" s="1" t="s">
        <v>206</v>
      </c>
      <c r="E756" s="17"/>
      <c r="F756" s="118">
        <f>' WP II-I-1.4'!H756</f>
        <v>211823.87</v>
      </c>
      <c r="G756" s="17">
        <v>77</v>
      </c>
      <c r="H756" s="47" t="str">
        <f t="shared" si="255"/>
        <v>O&amp;M x565</v>
      </c>
      <c r="I756" s="17"/>
      <c r="J756" s="434">
        <f t="shared" si="256"/>
        <v>118171.12716076348</v>
      </c>
      <c r="K756" s="434">
        <f t="shared" si="256"/>
        <v>18198.625790225262</v>
      </c>
      <c r="L756" s="434">
        <f t="shared" si="256"/>
        <v>56063.194620083799</v>
      </c>
      <c r="M756" s="434">
        <f t="shared" si="256"/>
        <v>787.20018918077926</v>
      </c>
      <c r="N756" s="434">
        <f t="shared" si="256"/>
        <v>16421.611544716878</v>
      </c>
      <c r="O756" s="434">
        <f t="shared" si="256"/>
        <v>561.37600689748149</v>
      </c>
      <c r="P756" s="434">
        <f t="shared" si="256"/>
        <v>1221.563605986029</v>
      </c>
      <c r="Q756" s="434">
        <f t="shared" si="256"/>
        <v>183.16802430474246</v>
      </c>
      <c r="R756" s="434">
        <f t="shared" si="256"/>
        <v>64.773508459081995</v>
      </c>
      <c r="S756" s="434">
        <f t="shared" si="256"/>
        <v>151.2295493824324</v>
      </c>
      <c r="T756" s="17"/>
      <c r="U756" s="118">
        <f t="shared" si="257"/>
        <v>211823.86999999997</v>
      </c>
      <c r="V756" s="67"/>
      <c r="W756" s="118">
        <f t="shared" si="240"/>
        <v>0</v>
      </c>
    </row>
    <row r="757" spans="1:23" ht="18" customHeight="1">
      <c r="A757" s="47"/>
      <c r="B757" s="17">
        <f t="shared" si="254"/>
        <v>13</v>
      </c>
      <c r="C757" s="1" t="s">
        <v>275</v>
      </c>
      <c r="D757" s="1" t="s">
        <v>276</v>
      </c>
      <c r="E757" s="17"/>
      <c r="F757" s="118">
        <f>' WP II-I-1.4'!H757</f>
        <v>9773.869999999999</v>
      </c>
      <c r="G757" s="17">
        <v>62</v>
      </c>
      <c r="H757" s="47" t="str">
        <f t="shared" si="255"/>
        <v>PLTGEN</v>
      </c>
      <c r="I757" s="17"/>
      <c r="J757" s="434">
        <f t="shared" si="256"/>
        <v>5448.9795835904943</v>
      </c>
      <c r="K757" s="434">
        <f t="shared" si="256"/>
        <v>840.09232520220144</v>
      </c>
      <c r="L757" s="434">
        <f t="shared" si="256"/>
        <v>2591.2938386097258</v>
      </c>
      <c r="M757" s="434">
        <f t="shared" si="256"/>
        <v>36.385699983170014</v>
      </c>
      <c r="N757" s="434">
        <f t="shared" si="256"/>
        <v>759.27154291062743</v>
      </c>
      <c r="O757" s="434">
        <f t="shared" si="256"/>
        <v>25.946590945094869</v>
      </c>
      <c r="P757" s="434">
        <f t="shared" si="256"/>
        <v>56.48373259586036</v>
      </c>
      <c r="Q757" s="434">
        <f t="shared" si="256"/>
        <v>5.4316632476180251</v>
      </c>
      <c r="R757" s="434">
        <f t="shared" si="256"/>
        <v>2.9938374167417163</v>
      </c>
      <c r="S757" s="434">
        <f t="shared" si="256"/>
        <v>6.991185498466792</v>
      </c>
      <c r="T757" s="17"/>
      <c r="U757" s="118">
        <f t="shared" si="257"/>
        <v>9773.8700000000026</v>
      </c>
      <c r="V757" s="67"/>
      <c r="W757" s="118">
        <f t="shared" si="240"/>
        <v>0</v>
      </c>
    </row>
    <row r="758" spans="1:23" ht="18" customHeight="1">
      <c r="A758" s="47"/>
      <c r="B758" s="17">
        <f t="shared" si="254"/>
        <v>14</v>
      </c>
      <c r="C758" s="1" t="s">
        <v>277</v>
      </c>
      <c r="D758" s="1" t="s">
        <v>276</v>
      </c>
      <c r="E758" s="17"/>
      <c r="F758" s="118">
        <f>' WP II-I-1.4'!H758</f>
        <v>409.06</v>
      </c>
      <c r="G758" s="17">
        <v>62</v>
      </c>
      <c r="H758" s="47" t="str">
        <f t="shared" si="255"/>
        <v>PLTGEN</v>
      </c>
      <c r="I758" s="17"/>
      <c r="J758" s="434">
        <f t="shared" si="256"/>
        <v>228.05291951535347</v>
      </c>
      <c r="K758" s="434">
        <f t="shared" si="256"/>
        <v>35.159887183604091</v>
      </c>
      <c r="L758" s="434">
        <f t="shared" si="256"/>
        <v>108.45188831258187</v>
      </c>
      <c r="M758" s="434">
        <f t="shared" si="256"/>
        <v>1.5228291797533144</v>
      </c>
      <c r="N758" s="434">
        <f t="shared" si="256"/>
        <v>31.77734278673865</v>
      </c>
      <c r="O758" s="434">
        <f t="shared" si="256"/>
        <v>1.0859273237725189</v>
      </c>
      <c r="P758" s="434">
        <f t="shared" si="256"/>
        <v>2.3639802509817138</v>
      </c>
      <c r="Q758" s="434">
        <f t="shared" si="256"/>
        <v>0.22732818914827288</v>
      </c>
      <c r="R758" s="434">
        <f t="shared" si="256"/>
        <v>0.12529930658913682</v>
      </c>
      <c r="S758" s="434">
        <f t="shared" si="256"/>
        <v>0.29259795147703277</v>
      </c>
      <c r="T758" s="17"/>
      <c r="U758" s="118">
        <f t="shared" si="257"/>
        <v>409.06000000000006</v>
      </c>
      <c r="V758" s="67"/>
      <c r="W758" s="118">
        <f t="shared" si="240"/>
        <v>0</v>
      </c>
    </row>
    <row r="759" spans="1:22" ht="18" customHeight="1" thickBot="1">
      <c r="A759" s="47"/>
      <c r="B759" s="17">
        <f t="shared" si="254"/>
        <v>15</v>
      </c>
      <c r="C759" s="1"/>
      <c r="D759" s="1"/>
      <c r="E759" s="17"/>
      <c r="F759" s="18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4"/>
      <c r="V759" s="67"/>
    </row>
    <row r="760" spans="1:23" ht="18" customHeight="1">
      <c r="A760" s="47"/>
      <c r="B760" s="17">
        <f t="shared" si="254"/>
        <v>16</v>
      </c>
      <c r="C760" s="319" t="s">
        <v>657</v>
      </c>
      <c r="D760" s="861"/>
      <c r="E760" s="305"/>
      <c r="F760" s="306">
        <f>SUM(F746:F758)</f>
        <v>50135758.619999997</v>
      </c>
      <c r="G760" s="305"/>
      <c r="H760" s="305"/>
      <c r="I760" s="438"/>
      <c r="J760" s="1069">
        <f t="shared" si="258" ref="J760:Q760">SUM(J746:J758)</f>
        <v>27963843.720347583</v>
      </c>
      <c r="K760" s="1070">
        <f t="shared" si="258"/>
        <v>4306829.3778009275</v>
      </c>
      <c r="L760" s="1070">
        <f t="shared" si="258"/>
        <v>13276534.776028531</v>
      </c>
      <c r="M760" s="1070">
        <f t="shared" si="258"/>
        <v>186341.23502252414</v>
      </c>
      <c r="N760" s="1070">
        <f t="shared" si="258"/>
        <v>3888500.7438906259</v>
      </c>
      <c r="O760" s="1070">
        <f>SUM(O746:O758)</f>
        <v>133007.13318478517</v>
      </c>
      <c r="P760" s="1070">
        <f t="shared" si="258"/>
        <v>289638.31379071868</v>
      </c>
      <c r="Q760" s="1070">
        <f t="shared" si="258"/>
        <v>39921.963388072931</v>
      </c>
      <c r="R760" s="1070">
        <f>SUM(R746:R758)</f>
        <v>15334.540504436483</v>
      </c>
      <c r="S760" s="1070">
        <f>SUM(S746:S758)</f>
        <v>35806.816041802049</v>
      </c>
      <c r="T760" s="438"/>
      <c r="U760" s="307">
        <f>SUM(I760:T760)</f>
        <v>50135758.619999997</v>
      </c>
      <c r="V760" s="67"/>
      <c r="W760" s="118">
        <f t="shared" si="240"/>
        <v>0</v>
      </c>
    </row>
    <row r="761" spans="1:23" ht="18" customHeight="1">
      <c r="A761" s="47"/>
      <c r="B761" s="17">
        <f t="shared" si="254"/>
        <v>17</v>
      </c>
      <c r="C761" s="863" t="s">
        <v>1269</v>
      </c>
      <c r="D761" s="864"/>
      <c r="E761" s="865"/>
      <c r="F761" s="866">
        <f>SUM(F746:F759)</f>
        <v>50135758.619999997</v>
      </c>
      <c r="G761" s="865"/>
      <c r="H761" s="865"/>
      <c r="I761" s="869"/>
      <c r="J761" s="1071">
        <f t="shared" si="259" ref="J761:S761">SUM(J746:J759)</f>
        <v>27963843.720347583</v>
      </c>
      <c r="K761" s="866">
        <f t="shared" si="259"/>
        <v>4306829.3778009275</v>
      </c>
      <c r="L761" s="866">
        <f t="shared" si="259"/>
        <v>13276534.776028531</v>
      </c>
      <c r="M761" s="866">
        <f t="shared" si="259"/>
        <v>186341.23502252414</v>
      </c>
      <c r="N761" s="866">
        <f t="shared" si="259"/>
        <v>3888500.7438906259</v>
      </c>
      <c r="O761" s="866">
        <f t="shared" si="259"/>
        <v>133007.13318478517</v>
      </c>
      <c r="P761" s="866">
        <f t="shared" si="259"/>
        <v>289638.31379071868</v>
      </c>
      <c r="Q761" s="866">
        <f t="shared" si="259"/>
        <v>39921.963388072931</v>
      </c>
      <c r="R761" s="866">
        <f t="shared" si="259"/>
        <v>15334.540504436483</v>
      </c>
      <c r="S761" s="866">
        <f t="shared" si="259"/>
        <v>35806.816041802049</v>
      </c>
      <c r="T761" s="869"/>
      <c r="U761" s="1024">
        <f>SUM(I761:T761)</f>
        <v>50135758.619999997</v>
      </c>
      <c r="V761" s="67"/>
      <c r="W761" s="118">
        <f t="shared" si="240"/>
        <v>0</v>
      </c>
    </row>
    <row r="762" spans="1:23" ht="18" customHeight="1" thickBot="1">
      <c r="A762" s="47"/>
      <c r="B762" s="17">
        <f t="shared" si="254"/>
        <v>18</v>
      </c>
      <c r="C762" s="326" t="s">
        <v>658</v>
      </c>
      <c r="D762" s="862"/>
      <c r="E762" s="311"/>
      <c r="F762" s="312">
        <f>+F760+F730</f>
        <v>109170716.78</v>
      </c>
      <c r="G762" s="311"/>
      <c r="H762" s="311"/>
      <c r="I762" s="441"/>
      <c r="J762" s="312">
        <f t="shared" si="260" ref="J762:Q762">+J760+J730</f>
        <v>60897939.144322768</v>
      </c>
      <c r="K762" s="312">
        <f t="shared" si="260"/>
        <v>9378755.9368589111</v>
      </c>
      <c r="L762" s="312">
        <f t="shared" si="260"/>
        <v>28901253.315599095</v>
      </c>
      <c r="M762" s="312">
        <f t="shared" si="260"/>
        <v>405732.6106584777</v>
      </c>
      <c r="N762" s="312">
        <f t="shared" si="260"/>
        <v>8465176.4059023447</v>
      </c>
      <c r="O762" s="312">
        <f>+O760+O730</f>
        <v>289461.68705173465</v>
      </c>
      <c r="P762" s="312">
        <f t="shared" si="260"/>
        <v>630086.04694356862</v>
      </c>
      <c r="Q762" s="312">
        <f t="shared" si="260"/>
        <v>90970.585297777143</v>
      </c>
      <c r="R762" s="312">
        <f>+R760+R730</f>
        <v>33386.808937443173</v>
      </c>
      <c r="S762" s="312">
        <f>+S760+S730</f>
        <v>77954.238427898352</v>
      </c>
      <c r="T762" s="441"/>
      <c r="U762" s="313">
        <f>SUM(I762:T762)</f>
        <v>109170716.78000002</v>
      </c>
      <c r="V762" s="67"/>
      <c r="W762" s="118">
        <f t="shared" si="240"/>
        <v>0</v>
      </c>
    </row>
    <row r="763" spans="1:23" ht="18" customHeight="1" thickBot="1">
      <c r="A763" s="47"/>
      <c r="B763" s="17">
        <f t="shared" si="254"/>
        <v>19</v>
      </c>
      <c r="C763" s="8"/>
      <c r="D763" s="8"/>
      <c r="E763" s="20"/>
      <c r="F763" s="22"/>
      <c r="G763" s="20"/>
      <c r="H763" s="20"/>
      <c r="I763" s="20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0"/>
      <c r="U763" s="8"/>
      <c r="V763" s="67"/>
      <c r="W763" s="118">
        <f t="shared" si="240"/>
        <v>0</v>
      </c>
    </row>
    <row r="764" spans="1:23" ht="18" customHeight="1" thickBot="1">
      <c r="A764" s="47"/>
      <c r="B764" s="17">
        <f t="shared" si="254"/>
        <v>20</v>
      </c>
      <c r="C764" s="284" t="s">
        <v>1271</v>
      </c>
      <c r="D764" s="372"/>
      <c r="E764" s="316"/>
      <c r="F764" s="255">
        <f>F762-F622</f>
        <v>109170716.78</v>
      </c>
      <c r="G764" s="316"/>
      <c r="H764" s="444"/>
      <c r="I764" s="445"/>
      <c r="J764" s="255">
        <f t="shared" si="261" ref="J764:S764">J762-J622</f>
        <v>60897939.144322768</v>
      </c>
      <c r="K764" s="255">
        <f t="shared" si="261"/>
        <v>9378755.9368589111</v>
      </c>
      <c r="L764" s="255">
        <f t="shared" si="261"/>
        <v>28901253.315599095</v>
      </c>
      <c r="M764" s="255">
        <f t="shared" si="261"/>
        <v>405732.6106584777</v>
      </c>
      <c r="N764" s="255">
        <f t="shared" si="261"/>
        <v>8465176.4059023447</v>
      </c>
      <c r="O764" s="255">
        <f t="shared" si="261"/>
        <v>289461.68705173465</v>
      </c>
      <c r="P764" s="255">
        <f t="shared" si="261"/>
        <v>630086.04694356862</v>
      </c>
      <c r="Q764" s="255">
        <f t="shared" si="261"/>
        <v>90970.585297777143</v>
      </c>
      <c r="R764" s="255">
        <f t="shared" si="261"/>
        <v>33386.808937443173</v>
      </c>
      <c r="S764" s="255">
        <f t="shared" si="261"/>
        <v>77954.238427898352</v>
      </c>
      <c r="T764" s="445"/>
      <c r="U764" s="256">
        <f>SUM(I764:T764)</f>
        <v>109170716.78000002</v>
      </c>
      <c r="V764" s="67"/>
      <c r="W764" s="118">
        <f t="shared" si="240"/>
        <v>0</v>
      </c>
    </row>
    <row r="765" spans="1:22" ht="18" customHeight="1">
      <c r="A765" s="4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 spans="1:22" ht="18" customHeight="1">
      <c r="A766" s="47"/>
      <c r="B766" s="67"/>
      <c r="C766" s="67"/>
      <c r="D766" s="67"/>
      <c r="E766" s="67"/>
      <c r="F766" s="67"/>
      <c r="G766" s="67"/>
      <c r="H766" s="134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134"/>
      <c r="V766" s="134">
        <f>$H$2</f>
        <v>0</v>
      </c>
    </row>
    <row r="767" spans="1:22" ht="18" customHeight="1" thickBot="1">
      <c r="A767" s="4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 spans="1:21" ht="18" customHeight="1">
      <c r="A768" s="47"/>
      <c r="B768" s="920" t="str">
        <f>+$B$4</f>
        <v>2022 RATE CASE</v>
      </c>
      <c r="C768" s="935"/>
      <c r="D768" s="620"/>
      <c r="F768" s="12"/>
      <c r="U768" s="134"/>
    </row>
    <row r="769" spans="1:22" ht="18" customHeight="1">
      <c r="A769" s="47"/>
      <c r="B769" s="917" t="str">
        <f>+$B$5</f>
        <v>ONCOR ELECTRIC DELIVERY COMPANY LLC</v>
      </c>
      <c r="C769" s="8"/>
      <c r="D769" s="621"/>
      <c r="F769" s="12"/>
      <c r="U769" s="134"/>
      <c r="V769" s="67"/>
    </row>
    <row r="770" spans="1:22" ht="18" customHeight="1">
      <c r="A770" s="47"/>
      <c r="B770" s="917" t="str">
        <f>+$B$6</f>
        <v>II-I-1-MET:  CLASS REVENUE REQUIREMENT</v>
      </c>
      <c r="C770" s="85"/>
      <c r="D770" s="621"/>
      <c r="F770" s="12"/>
      <c r="U770" s="12"/>
      <c r="V770" s="67"/>
    </row>
    <row r="771" spans="1:22" ht="18" customHeight="1">
      <c r="A771" s="47"/>
      <c r="B771" s="406" t="str">
        <f>+$B$7</f>
        <v>TEST YEAR ENDING 12/31/2021</v>
      </c>
      <c r="C771" s="85"/>
      <c r="D771" s="621"/>
      <c r="F771" s="12"/>
      <c r="U771" s="12"/>
      <c r="V771" s="67"/>
    </row>
    <row r="772" spans="1:22" ht="18" customHeight="1">
      <c r="A772" s="47"/>
      <c r="B772" s="406" t="str">
        <f>+$B$8</f>
        <v>SPONSOR:  MATTHEW A. TROXLE</v>
      </c>
      <c r="C772" s="85"/>
      <c r="D772" s="621"/>
      <c r="F772" s="12"/>
      <c r="U772" s="12"/>
      <c r="V772" s="67"/>
    </row>
    <row r="773" spans="1:22" ht="18" customHeight="1" thickBot="1">
      <c r="A773" s="47"/>
      <c r="B773" s="410"/>
      <c r="C773" s="934"/>
      <c r="D773" s="622"/>
      <c r="F773" s="12"/>
      <c r="U773" s="12"/>
      <c r="V773" s="67"/>
    </row>
    <row r="774" spans="1:23" ht="18" customHeight="1" thickBot="1">
      <c r="A774" s="47"/>
      <c r="B774" s="13"/>
      <c r="C774" s="14"/>
      <c r="D774" s="14"/>
      <c r="E774" s="14"/>
      <c r="F774" s="13"/>
      <c r="G774" s="14"/>
      <c r="H774" s="14"/>
      <c r="I774" s="14"/>
      <c r="J774" s="238"/>
      <c r="K774" s="238"/>
      <c r="L774" s="14"/>
      <c r="M774" s="238"/>
      <c r="N774" s="238"/>
      <c r="O774" s="238"/>
      <c r="P774" s="238"/>
      <c r="Q774" s="14"/>
      <c r="R774" s="393" t="str">
        <f>R$10</f>
        <v xml:space="preserve"> </v>
      </c>
      <c r="S774" s="394"/>
      <c r="T774" s="238"/>
      <c r="U774" s="13"/>
      <c r="V774" s="67"/>
      <c r="W774" s="118">
        <f t="shared" si="262" ref="W774:W837">U774-F774</f>
        <v>0</v>
      </c>
    </row>
    <row r="775" spans="1:23" ht="18" customHeight="1">
      <c r="A775" s="47"/>
      <c r="B775" s="15" t="s">
        <v>2</v>
      </c>
      <c r="C775" s="15" t="s">
        <v>370</v>
      </c>
      <c r="D775" s="287" t="s">
        <v>659</v>
      </c>
      <c r="E775" s="15" t="s">
        <v>371</v>
      </c>
      <c r="F775" s="287" t="str">
        <f>F$11</f>
        <v>MET</v>
      </c>
      <c r="G775" s="242" t="s">
        <v>741</v>
      </c>
      <c r="H775" s="242" t="s">
        <v>376</v>
      </c>
      <c r="I775" s="15"/>
      <c r="J775" s="242" t="s">
        <v>730</v>
      </c>
      <c r="K775" s="242" t="s">
        <v>409</v>
      </c>
      <c r="L775" s="15" t="s">
        <v>409</v>
      </c>
      <c r="M775" s="242" t="s">
        <v>410</v>
      </c>
      <c r="N775" s="242" t="s">
        <v>410</v>
      </c>
      <c r="O775" s="242" t="s">
        <v>410</v>
      </c>
      <c r="P775" s="242" t="s">
        <v>411</v>
      </c>
      <c r="Q775" s="15" t="s">
        <v>412</v>
      </c>
      <c r="R775" s="396" t="str">
        <f>R$11</f>
        <v>Wholesale</v>
      </c>
      <c r="S775" s="13" t="str">
        <f>S$11</f>
        <v>Wholesale</v>
      </c>
      <c r="T775" s="242"/>
      <c r="U775" s="15" t="s">
        <v>10</v>
      </c>
      <c r="V775" s="67"/>
      <c r="W775" s="118"/>
    </row>
    <row r="776" spans="1:23" ht="18" customHeight="1">
      <c r="A776" s="47"/>
      <c r="B776" s="15"/>
      <c r="C776" s="15"/>
      <c r="D776" s="15"/>
      <c r="E776" s="15"/>
      <c r="F776" s="15"/>
      <c r="G776" s="242" t="s">
        <v>742</v>
      </c>
      <c r="H776" s="242" t="s">
        <v>743</v>
      </c>
      <c r="I776" s="15"/>
      <c r="J776" s="242"/>
      <c r="K776" s="242" t="s">
        <v>731</v>
      </c>
      <c r="L776" s="15" t="s">
        <v>732</v>
      </c>
      <c r="M776" s="242" t="s">
        <v>731</v>
      </c>
      <c r="N776" s="242" t="s">
        <v>732</v>
      </c>
      <c r="O776" s="242" t="s">
        <v>414</v>
      </c>
      <c r="P776" s="242"/>
      <c r="Q776" s="15"/>
      <c r="R776" s="235" t="str">
        <f>R$12</f>
        <v>XFMR</v>
      </c>
      <c r="S776" s="15" t="str">
        <f>S$12</f>
        <v>DLS</v>
      </c>
      <c r="T776" s="242"/>
      <c r="U776" s="15"/>
      <c r="V776" s="67"/>
      <c r="W776" s="118"/>
    </row>
    <row r="777" spans="1:23" ht="18" customHeight="1" thickBot="1">
      <c r="A777" s="47"/>
      <c r="B777" s="16"/>
      <c r="C777" s="16"/>
      <c r="D777" s="16"/>
      <c r="E777" s="16"/>
      <c r="F777" s="16" t="s">
        <v>13</v>
      </c>
      <c r="G777" s="16" t="s">
        <v>14</v>
      </c>
      <c r="H777" s="16" t="s">
        <v>15</v>
      </c>
      <c r="I777" s="16"/>
      <c r="J777" s="243" t="str">
        <f t="shared" si="263" ref="J777:Q777">J$13</f>
        <v>(d)</v>
      </c>
      <c r="K777" s="243" t="str">
        <f t="shared" si="263"/>
        <v>(e)</v>
      </c>
      <c r="L777" s="16" t="str">
        <f t="shared" si="263"/>
        <v>(f)</v>
      </c>
      <c r="M777" s="243" t="str">
        <f t="shared" si="263"/>
        <v>(g)</v>
      </c>
      <c r="N777" s="243" t="str">
        <f t="shared" si="263"/>
        <v>(h)</v>
      </c>
      <c r="O777" s="243" t="str">
        <f>O$13</f>
        <v>(i)</v>
      </c>
      <c r="P777" s="243" t="str">
        <f t="shared" si="263"/>
        <v>(j)</v>
      </c>
      <c r="Q777" s="243" t="str">
        <f t="shared" si="263"/>
        <v>(k)</v>
      </c>
      <c r="R777" s="243" t="str">
        <f>R$13</f>
        <v>(l)</v>
      </c>
      <c r="S777" s="16" t="str">
        <f>S$13</f>
        <v>(m)</v>
      </c>
      <c r="T777" s="16"/>
      <c r="U777" s="16" t="s">
        <v>734</v>
      </c>
      <c r="V777" s="67"/>
      <c r="W777" s="118"/>
    </row>
    <row r="778" spans="1:23" ht="18" customHeight="1">
      <c r="A778" s="47"/>
      <c r="B778" s="67"/>
      <c r="C778" s="100"/>
      <c r="D778" s="100"/>
      <c r="E778" s="315"/>
      <c r="F778" s="373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1"/>
      <c r="V778" s="67"/>
      <c r="W778" s="118"/>
    </row>
    <row r="779" spans="1:23" ht="18" customHeight="1">
      <c r="A779" s="47"/>
      <c r="B779" s="17">
        <f t="shared" si="264" ref="B779:B803">B778+1</f>
        <v>1</v>
      </c>
      <c r="C779" s="8" t="s">
        <v>659</v>
      </c>
      <c r="D779" s="1"/>
      <c r="E779" s="20"/>
      <c r="F779" s="19"/>
      <c r="G779" s="20"/>
      <c r="H779" s="20"/>
      <c r="I779" s="101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1"/>
      <c r="V779" s="67"/>
      <c r="W779" s="118">
        <f t="shared" si="262"/>
        <v>0</v>
      </c>
    </row>
    <row r="780" spans="1:23" ht="18" customHeight="1">
      <c r="A780" s="47"/>
      <c r="B780" s="17">
        <f t="shared" si="264"/>
        <v>2</v>
      </c>
      <c r="C780" s="8"/>
      <c r="D780" s="366" t="s">
        <v>660</v>
      </c>
      <c r="E780" s="20" t="s">
        <v>279</v>
      </c>
      <c r="F780" s="22"/>
      <c r="G780" s="20"/>
      <c r="H780" s="20"/>
      <c r="I780" s="1010"/>
      <c r="J780" s="1059"/>
      <c r="K780" s="1059"/>
      <c r="L780" s="1059"/>
      <c r="M780" s="1059"/>
      <c r="N780" s="1059"/>
      <c r="O780" s="1059"/>
      <c r="P780" s="1059"/>
      <c r="Q780" s="1059"/>
      <c r="R780" s="1059"/>
      <c r="S780" s="1059"/>
      <c r="T780" s="1010"/>
      <c r="U780" s="8"/>
      <c r="V780" s="67"/>
      <c r="W780" s="118">
        <f t="shared" si="262"/>
        <v>0</v>
      </c>
    </row>
    <row r="781" spans="1:23" ht="18" customHeight="1">
      <c r="A781" s="47"/>
      <c r="B781" s="17">
        <f t="shared" si="264"/>
        <v>3</v>
      </c>
      <c r="C781" s="1" t="s">
        <v>161</v>
      </c>
      <c r="D781" s="1" t="s">
        <v>162</v>
      </c>
      <c r="E781" s="17"/>
      <c r="F781" s="118">
        <f>' WP II-I-1.4'!H781</f>
        <v>0</v>
      </c>
      <c r="G781" s="17">
        <v>28</v>
      </c>
      <c r="H781" s="47" t="str">
        <f t="shared" si="265" ref="H781:H788">VLOOKUP(G781,FactorTable,2)</f>
        <v>NCP XHV</v>
      </c>
      <c r="I781" s="17"/>
      <c r="J781" s="434">
        <f t="shared" si="266" ref="J781:S788">$F781*HLOOKUP(J$1318,FactorTable,$G781+1)</f>
        <v>0</v>
      </c>
      <c r="K781" s="434">
        <f t="shared" si="266"/>
        <v>0</v>
      </c>
      <c r="L781" s="434">
        <f t="shared" si="266"/>
        <v>0</v>
      </c>
      <c r="M781" s="434">
        <f t="shared" si="266"/>
        <v>0</v>
      </c>
      <c r="N781" s="434">
        <f t="shared" si="266"/>
        <v>0</v>
      </c>
      <c r="O781" s="434">
        <f t="shared" si="266"/>
        <v>0</v>
      </c>
      <c r="P781" s="434">
        <f t="shared" si="266"/>
        <v>0</v>
      </c>
      <c r="Q781" s="434">
        <f t="shared" si="266"/>
        <v>0</v>
      </c>
      <c r="R781" s="434">
        <f t="shared" si="266"/>
        <v>0</v>
      </c>
      <c r="S781" s="434">
        <f t="shared" si="266"/>
        <v>0</v>
      </c>
      <c r="T781" s="17"/>
      <c r="U781" s="118">
        <f t="shared" si="267" ref="U781:U789">SUM(I781:T781)</f>
        <v>0</v>
      </c>
      <c r="V781" s="67"/>
      <c r="W781" s="118">
        <f t="shared" si="262"/>
        <v>0</v>
      </c>
    </row>
    <row r="782" spans="1:23" ht="18" customHeight="1">
      <c r="A782" s="47"/>
      <c r="B782" s="17">
        <f t="shared" si="264"/>
        <v>4</v>
      </c>
      <c r="C782" s="1" t="s">
        <v>163</v>
      </c>
      <c r="D782" s="1" t="s">
        <v>164</v>
      </c>
      <c r="E782" s="17"/>
      <c r="F782" s="290">
        <f>' WP II-I-1.4'!H782</f>
        <v>0</v>
      </c>
      <c r="G782" s="17">
        <v>28</v>
      </c>
      <c r="H782" s="47" t="str">
        <f t="shared" si="265"/>
        <v>NCP XHV</v>
      </c>
      <c r="I782" s="17"/>
      <c r="J782" s="434">
        <f t="shared" si="266"/>
        <v>0</v>
      </c>
      <c r="K782" s="434">
        <f t="shared" si="266"/>
        <v>0</v>
      </c>
      <c r="L782" s="434">
        <f t="shared" si="266"/>
        <v>0</v>
      </c>
      <c r="M782" s="434">
        <f t="shared" si="266"/>
        <v>0</v>
      </c>
      <c r="N782" s="434">
        <f t="shared" si="266"/>
        <v>0</v>
      </c>
      <c r="O782" s="434">
        <f t="shared" si="266"/>
        <v>0</v>
      </c>
      <c r="P782" s="434">
        <f t="shared" si="266"/>
        <v>0</v>
      </c>
      <c r="Q782" s="434">
        <f t="shared" si="266"/>
        <v>0</v>
      </c>
      <c r="R782" s="434">
        <f t="shared" si="266"/>
        <v>0</v>
      </c>
      <c r="S782" s="434">
        <f t="shared" si="266"/>
        <v>0</v>
      </c>
      <c r="T782" s="17"/>
      <c r="U782" s="118">
        <f t="shared" si="267"/>
        <v>0</v>
      </c>
      <c r="V782" s="67"/>
      <c r="W782" s="118">
        <f t="shared" si="262"/>
        <v>0</v>
      </c>
    </row>
    <row r="783" spans="1:23" ht="18" customHeight="1">
      <c r="A783" s="47"/>
      <c r="B783" s="17">
        <f t="shared" si="264"/>
        <v>5</v>
      </c>
      <c r="C783" s="1" t="s">
        <v>165</v>
      </c>
      <c r="D783" s="1" t="s">
        <v>166</v>
      </c>
      <c r="E783" s="17"/>
      <c r="F783" s="290">
        <f>' WP II-I-1.4'!H783</f>
        <v>0</v>
      </c>
      <c r="G783" s="17">
        <v>28</v>
      </c>
      <c r="H783" s="47" t="str">
        <f t="shared" si="265"/>
        <v>NCP XHV</v>
      </c>
      <c r="I783" s="17"/>
      <c r="J783" s="434">
        <f t="shared" si="266"/>
        <v>0</v>
      </c>
      <c r="K783" s="434">
        <f t="shared" si="266"/>
        <v>0</v>
      </c>
      <c r="L783" s="434">
        <f t="shared" si="266"/>
        <v>0</v>
      </c>
      <c r="M783" s="434">
        <f t="shared" si="266"/>
        <v>0</v>
      </c>
      <c r="N783" s="434">
        <f t="shared" si="266"/>
        <v>0</v>
      </c>
      <c r="O783" s="434">
        <f t="shared" si="266"/>
        <v>0</v>
      </c>
      <c r="P783" s="434">
        <f t="shared" si="266"/>
        <v>0</v>
      </c>
      <c r="Q783" s="434">
        <f t="shared" si="266"/>
        <v>0</v>
      </c>
      <c r="R783" s="434">
        <f t="shared" si="266"/>
        <v>0</v>
      </c>
      <c r="S783" s="434">
        <f t="shared" si="266"/>
        <v>0</v>
      </c>
      <c r="T783" s="17"/>
      <c r="U783" s="118">
        <f t="shared" si="267"/>
        <v>0</v>
      </c>
      <c r="V783" s="67"/>
      <c r="W783" s="118">
        <f t="shared" si="262"/>
        <v>0</v>
      </c>
    </row>
    <row r="784" spans="1:23" ht="18" customHeight="1">
      <c r="A784" s="47"/>
      <c r="B784" s="17">
        <f t="shared" si="264"/>
        <v>6</v>
      </c>
      <c r="C784" s="1" t="s">
        <v>167</v>
      </c>
      <c r="D784" s="1" t="s">
        <v>168</v>
      </c>
      <c r="E784" s="17"/>
      <c r="F784" s="290">
        <f>' WP II-I-1.4'!H784</f>
        <v>0</v>
      </c>
      <c r="G784" s="17">
        <v>28</v>
      </c>
      <c r="H784" s="47" t="str">
        <f t="shared" si="265"/>
        <v>NCP XHV</v>
      </c>
      <c r="I784" s="17"/>
      <c r="J784" s="434">
        <f t="shared" si="266"/>
        <v>0</v>
      </c>
      <c r="K784" s="434">
        <f t="shared" si="266"/>
        <v>0</v>
      </c>
      <c r="L784" s="434">
        <f t="shared" si="266"/>
        <v>0</v>
      </c>
      <c r="M784" s="434">
        <f t="shared" si="266"/>
        <v>0</v>
      </c>
      <c r="N784" s="434">
        <f t="shared" si="266"/>
        <v>0</v>
      </c>
      <c r="O784" s="434">
        <f t="shared" si="266"/>
        <v>0</v>
      </c>
      <c r="P784" s="434">
        <f t="shared" si="266"/>
        <v>0</v>
      </c>
      <c r="Q784" s="434">
        <f t="shared" si="266"/>
        <v>0</v>
      </c>
      <c r="R784" s="434">
        <f t="shared" si="266"/>
        <v>0</v>
      </c>
      <c r="S784" s="434">
        <f t="shared" si="266"/>
        <v>0</v>
      </c>
      <c r="T784" s="17"/>
      <c r="U784" s="118">
        <f t="shared" si="267"/>
        <v>0</v>
      </c>
      <c r="V784" s="67"/>
      <c r="W784" s="118">
        <f t="shared" si="262"/>
        <v>0</v>
      </c>
    </row>
    <row r="785" spans="1:23" ht="18" customHeight="1">
      <c r="A785" s="47"/>
      <c r="B785" s="17">
        <f t="shared" si="264"/>
        <v>7</v>
      </c>
      <c r="C785" s="1" t="s">
        <v>169</v>
      </c>
      <c r="D785" s="1" t="s">
        <v>170</v>
      </c>
      <c r="E785" s="17"/>
      <c r="F785" s="290">
        <f>' WP II-I-1.4'!H785</f>
        <v>0</v>
      </c>
      <c r="G785" s="17">
        <v>28</v>
      </c>
      <c r="H785" s="47" t="str">
        <f t="shared" si="265"/>
        <v>NCP XHV</v>
      </c>
      <c r="I785" s="17"/>
      <c r="J785" s="434">
        <f t="shared" si="266"/>
        <v>0</v>
      </c>
      <c r="K785" s="434">
        <f t="shared" si="266"/>
        <v>0</v>
      </c>
      <c r="L785" s="434">
        <f t="shared" si="266"/>
        <v>0</v>
      </c>
      <c r="M785" s="434">
        <f t="shared" si="266"/>
        <v>0</v>
      </c>
      <c r="N785" s="434">
        <f t="shared" si="266"/>
        <v>0</v>
      </c>
      <c r="O785" s="434">
        <f t="shared" si="266"/>
        <v>0</v>
      </c>
      <c r="P785" s="434">
        <f t="shared" si="266"/>
        <v>0</v>
      </c>
      <c r="Q785" s="434">
        <f t="shared" si="266"/>
        <v>0</v>
      </c>
      <c r="R785" s="434">
        <f t="shared" si="266"/>
        <v>0</v>
      </c>
      <c r="S785" s="434">
        <f t="shared" si="266"/>
        <v>0</v>
      </c>
      <c r="T785" s="17"/>
      <c r="U785" s="118">
        <f t="shared" si="267"/>
        <v>0</v>
      </c>
      <c r="V785" s="67"/>
      <c r="W785" s="118">
        <f t="shared" si="262"/>
        <v>0</v>
      </c>
    </row>
    <row r="786" spans="1:23" ht="18" customHeight="1">
      <c r="A786" s="147"/>
      <c r="B786" s="17">
        <f t="shared" si="264"/>
        <v>8</v>
      </c>
      <c r="C786" s="1" t="s">
        <v>171</v>
      </c>
      <c r="D786" s="31" t="s">
        <v>172</v>
      </c>
      <c r="E786" s="20"/>
      <c r="F786" s="290">
        <f>' WP II-I-1.4'!H786</f>
        <v>0</v>
      </c>
      <c r="G786" s="17">
        <v>23</v>
      </c>
      <c r="H786" s="47" t="str">
        <f t="shared" si="265"/>
        <v>4CP RTL</v>
      </c>
      <c r="I786" s="1010"/>
      <c r="J786" s="434">
        <f t="shared" si="266"/>
        <v>0</v>
      </c>
      <c r="K786" s="434">
        <f t="shared" si="266"/>
        <v>0</v>
      </c>
      <c r="L786" s="434">
        <f t="shared" si="266"/>
        <v>0</v>
      </c>
      <c r="M786" s="434">
        <f t="shared" si="266"/>
        <v>0</v>
      </c>
      <c r="N786" s="434">
        <f t="shared" si="266"/>
        <v>0</v>
      </c>
      <c r="O786" s="434">
        <f t="shared" si="266"/>
        <v>0</v>
      </c>
      <c r="P786" s="434">
        <f t="shared" si="266"/>
        <v>0</v>
      </c>
      <c r="Q786" s="434">
        <f t="shared" si="266"/>
        <v>0</v>
      </c>
      <c r="R786" s="434">
        <f t="shared" si="266"/>
        <v>0</v>
      </c>
      <c r="S786" s="434">
        <f t="shared" si="266"/>
        <v>0</v>
      </c>
      <c r="T786" s="1010"/>
      <c r="U786" s="299">
        <f t="shared" si="267"/>
        <v>0</v>
      </c>
      <c r="V786" s="133"/>
      <c r="W786" s="118">
        <f t="shared" si="262"/>
        <v>0</v>
      </c>
    </row>
    <row r="787" spans="1:23" ht="18" customHeight="1">
      <c r="A787" s="47"/>
      <c r="B787" s="17">
        <f t="shared" si="264"/>
        <v>9</v>
      </c>
      <c r="C787" s="1" t="s">
        <v>173</v>
      </c>
      <c r="D787" s="31" t="s">
        <v>174</v>
      </c>
      <c r="E787" s="17"/>
      <c r="F787" s="290">
        <f>' WP II-I-1.4'!H787</f>
        <v>0</v>
      </c>
      <c r="G787" s="17">
        <v>28</v>
      </c>
      <c r="H787" s="47" t="str">
        <f t="shared" si="265"/>
        <v>NCP XHV</v>
      </c>
      <c r="I787" s="17"/>
      <c r="J787" s="434">
        <f t="shared" si="266"/>
        <v>0</v>
      </c>
      <c r="K787" s="434">
        <f t="shared" si="266"/>
        <v>0</v>
      </c>
      <c r="L787" s="434">
        <f t="shared" si="266"/>
        <v>0</v>
      </c>
      <c r="M787" s="434">
        <f t="shared" si="266"/>
        <v>0</v>
      </c>
      <c r="N787" s="434">
        <f t="shared" si="266"/>
        <v>0</v>
      </c>
      <c r="O787" s="434">
        <f t="shared" si="266"/>
        <v>0</v>
      </c>
      <c r="P787" s="434">
        <f t="shared" si="266"/>
        <v>0</v>
      </c>
      <c r="Q787" s="434">
        <f t="shared" si="266"/>
        <v>0</v>
      </c>
      <c r="R787" s="434">
        <f t="shared" si="266"/>
        <v>0</v>
      </c>
      <c r="S787" s="434">
        <f t="shared" si="266"/>
        <v>0</v>
      </c>
      <c r="T787" s="17"/>
      <c r="U787" s="118">
        <f t="shared" si="267"/>
        <v>0</v>
      </c>
      <c r="V787" s="67"/>
      <c r="W787" s="118">
        <f t="shared" si="262"/>
        <v>0</v>
      </c>
    </row>
    <row r="788" spans="1:23" ht="18" customHeight="1">
      <c r="A788" s="47"/>
      <c r="B788" s="17">
        <f t="shared" si="264"/>
        <v>10</v>
      </c>
      <c r="C788" s="1" t="s">
        <v>175</v>
      </c>
      <c r="D788" s="1" t="s">
        <v>176</v>
      </c>
      <c r="E788" s="17"/>
      <c r="F788" s="290">
        <f>' WP II-I-1.4'!H788</f>
        <v>0</v>
      </c>
      <c r="G788" s="17">
        <v>28</v>
      </c>
      <c r="H788" s="47" t="str">
        <f t="shared" si="265"/>
        <v>NCP XHV</v>
      </c>
      <c r="I788" s="17"/>
      <c r="J788" s="435">
        <f t="shared" si="266"/>
        <v>0</v>
      </c>
      <c r="K788" s="435">
        <f t="shared" si="266"/>
        <v>0</v>
      </c>
      <c r="L788" s="435">
        <f t="shared" si="266"/>
        <v>0</v>
      </c>
      <c r="M788" s="435">
        <f t="shared" si="266"/>
        <v>0</v>
      </c>
      <c r="N788" s="435">
        <f t="shared" si="266"/>
        <v>0</v>
      </c>
      <c r="O788" s="435">
        <f t="shared" si="266"/>
        <v>0</v>
      </c>
      <c r="P788" s="435">
        <f t="shared" si="266"/>
        <v>0</v>
      </c>
      <c r="Q788" s="435">
        <f t="shared" si="266"/>
        <v>0</v>
      </c>
      <c r="R788" s="435">
        <f t="shared" si="266"/>
        <v>0</v>
      </c>
      <c r="S788" s="435">
        <f t="shared" si="266"/>
        <v>0</v>
      </c>
      <c r="T788" s="17"/>
      <c r="U788" s="118">
        <f t="shared" si="267"/>
        <v>0</v>
      </c>
      <c r="V788" s="67"/>
      <c r="W788" s="118">
        <f t="shared" si="262"/>
        <v>0</v>
      </c>
    </row>
    <row r="789" spans="1:23" ht="18" customHeight="1">
      <c r="A789" s="47"/>
      <c r="B789" s="17">
        <f t="shared" si="264"/>
        <v>11</v>
      </c>
      <c r="C789" s="8"/>
      <c r="D789" s="26" t="s">
        <v>491</v>
      </c>
      <c r="E789" s="20"/>
      <c r="F789" s="22">
        <f>SUM(F781:F788)</f>
        <v>0</v>
      </c>
      <c r="G789" s="20"/>
      <c r="H789" s="20"/>
      <c r="I789" s="1010"/>
      <c r="J789" s="896">
        <f t="shared" si="268" ref="J789:Q789">SUM(J781:J788)</f>
        <v>0</v>
      </c>
      <c r="K789" s="896">
        <f t="shared" si="268"/>
        <v>0</v>
      </c>
      <c r="L789" s="896">
        <f t="shared" si="268"/>
        <v>0</v>
      </c>
      <c r="M789" s="896">
        <f t="shared" si="268"/>
        <v>0</v>
      </c>
      <c r="N789" s="896">
        <f t="shared" si="268"/>
        <v>0</v>
      </c>
      <c r="O789" s="896">
        <f>SUM(O781:O788)</f>
        <v>0</v>
      </c>
      <c r="P789" s="896">
        <f t="shared" si="268"/>
        <v>0</v>
      </c>
      <c r="Q789" s="896">
        <f t="shared" si="268"/>
        <v>0</v>
      </c>
      <c r="R789" s="896">
        <f>SUM(R781:R788)</f>
        <v>0</v>
      </c>
      <c r="S789" s="896">
        <f>SUM(S781:S788)</f>
        <v>0</v>
      </c>
      <c r="T789" s="1010"/>
      <c r="U789" s="299">
        <f t="shared" si="267"/>
        <v>0</v>
      </c>
      <c r="V789" s="67"/>
      <c r="W789" s="118">
        <f t="shared" si="262"/>
        <v>0</v>
      </c>
    </row>
    <row r="790" spans="1:23" ht="18" customHeight="1">
      <c r="A790" s="47"/>
      <c r="B790" s="17">
        <f t="shared" si="264"/>
        <v>12</v>
      </c>
      <c r="C790" s="1"/>
      <c r="D790" s="1"/>
      <c r="E790" s="17"/>
      <c r="F790" s="19"/>
      <c r="G790" s="17"/>
      <c r="H790" s="17"/>
      <c r="I790" s="17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7"/>
      <c r="U790" s="1"/>
      <c r="V790" s="67"/>
      <c r="W790" s="118">
        <f t="shared" si="262"/>
        <v>0</v>
      </c>
    </row>
    <row r="791" spans="1:23" ht="18" customHeight="1">
      <c r="A791" s="47"/>
      <c r="B791" s="17">
        <f t="shared" si="264"/>
        <v>13</v>
      </c>
      <c r="C791" s="8"/>
      <c r="D791" s="26" t="s">
        <v>661</v>
      </c>
      <c r="E791" s="20"/>
      <c r="F791" s="22">
        <f>SUM(F782:F788)</f>
        <v>0</v>
      </c>
      <c r="G791" s="20"/>
      <c r="H791" s="20"/>
      <c r="I791" s="1010"/>
      <c r="J791" s="896">
        <f t="shared" si="269" ref="J791:Q791">SUM(J782:J788)</f>
        <v>0</v>
      </c>
      <c r="K791" s="896">
        <f t="shared" si="269"/>
        <v>0</v>
      </c>
      <c r="L791" s="896">
        <f t="shared" si="269"/>
        <v>0</v>
      </c>
      <c r="M791" s="896">
        <f t="shared" si="269"/>
        <v>0</v>
      </c>
      <c r="N791" s="896">
        <f t="shared" si="269"/>
        <v>0</v>
      </c>
      <c r="O791" s="896">
        <f>SUM(O782:O788)</f>
        <v>0</v>
      </c>
      <c r="P791" s="896">
        <f t="shared" si="269"/>
        <v>0</v>
      </c>
      <c r="Q791" s="896">
        <f t="shared" si="269"/>
        <v>0</v>
      </c>
      <c r="R791" s="896">
        <f>SUM(R782:R788)</f>
        <v>0</v>
      </c>
      <c r="S791" s="896">
        <f>SUM(S782:S788)</f>
        <v>0</v>
      </c>
      <c r="T791" s="1010"/>
      <c r="U791" s="299">
        <f>SUM(I791:T791)</f>
        <v>0</v>
      </c>
      <c r="V791" s="67"/>
      <c r="W791" s="118">
        <f t="shared" si="262"/>
        <v>0</v>
      </c>
    </row>
    <row r="792" spans="1:23" ht="18" customHeight="1">
      <c r="A792" s="47"/>
      <c r="B792" s="17">
        <f t="shared" si="264"/>
        <v>14</v>
      </c>
      <c r="C792" s="1"/>
      <c r="D792" s="1"/>
      <c r="E792" s="17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"/>
      <c r="V792" s="67"/>
      <c r="W792" s="118">
        <f t="shared" si="262"/>
        <v>0</v>
      </c>
    </row>
    <row r="793" spans="1:23" ht="18" customHeight="1">
      <c r="A793" s="47"/>
      <c r="B793" s="17">
        <f t="shared" si="264"/>
        <v>15</v>
      </c>
      <c r="C793" s="8"/>
      <c r="D793" s="366" t="s">
        <v>662</v>
      </c>
      <c r="E793" s="20" t="s">
        <v>279</v>
      </c>
      <c r="F793" s="22"/>
      <c r="G793" s="20"/>
      <c r="H793" s="20"/>
      <c r="I793" s="1010"/>
      <c r="J793" s="1059"/>
      <c r="K793" s="1059"/>
      <c r="L793" s="1059"/>
      <c r="M793" s="1059"/>
      <c r="N793" s="1059"/>
      <c r="O793" s="1059"/>
      <c r="P793" s="1059"/>
      <c r="Q793" s="1059"/>
      <c r="R793" s="1059"/>
      <c r="S793" s="1059"/>
      <c r="T793" s="1010"/>
      <c r="U793" s="8"/>
      <c r="V793" s="67"/>
      <c r="W793" s="118">
        <f t="shared" si="262"/>
        <v>0</v>
      </c>
    </row>
    <row r="794" spans="1:23" ht="18" customHeight="1">
      <c r="A794" s="47"/>
      <c r="B794" s="17">
        <f t="shared" si="264"/>
        <v>16</v>
      </c>
      <c r="C794" s="1" t="s">
        <v>178</v>
      </c>
      <c r="D794" s="1" t="s">
        <v>179</v>
      </c>
      <c r="E794" s="17"/>
      <c r="F794" s="290">
        <f>' WP II-I-1.4'!H794</f>
        <v>0</v>
      </c>
      <c r="G794" s="17">
        <v>28</v>
      </c>
      <c r="H794" s="47" t="str">
        <f t="shared" si="270" ref="H794:H799">VLOOKUP(G794,FactorTable,2)</f>
        <v>NCP XHV</v>
      </c>
      <c r="I794" s="17"/>
      <c r="J794" s="434">
        <f t="shared" si="271" ref="J794:S799">$F794*HLOOKUP(J$1318,FactorTable,$G794+1)</f>
        <v>0</v>
      </c>
      <c r="K794" s="434">
        <f t="shared" si="271"/>
        <v>0</v>
      </c>
      <c r="L794" s="434">
        <f t="shared" si="271"/>
        <v>0</v>
      </c>
      <c r="M794" s="434">
        <f t="shared" si="271"/>
        <v>0</v>
      </c>
      <c r="N794" s="434">
        <f t="shared" si="271"/>
        <v>0</v>
      </c>
      <c r="O794" s="434">
        <f t="shared" si="271"/>
        <v>0</v>
      </c>
      <c r="P794" s="434">
        <f t="shared" si="271"/>
        <v>0</v>
      </c>
      <c r="Q794" s="434">
        <f t="shared" si="271"/>
        <v>0</v>
      </c>
      <c r="R794" s="434">
        <f t="shared" si="271"/>
        <v>0</v>
      </c>
      <c r="S794" s="434">
        <f t="shared" si="271"/>
        <v>0</v>
      </c>
      <c r="T794" s="17"/>
      <c r="U794" s="118">
        <f t="shared" si="272" ref="U794:U800">SUM(I794:T794)</f>
        <v>0</v>
      </c>
      <c r="V794" s="67"/>
      <c r="W794" s="118">
        <f t="shared" si="262"/>
        <v>0</v>
      </c>
    </row>
    <row r="795" spans="1:23" ht="18" customHeight="1">
      <c r="A795" s="47"/>
      <c r="B795" s="17">
        <f t="shared" si="264"/>
        <v>17</v>
      </c>
      <c r="C795" s="1" t="s">
        <v>180</v>
      </c>
      <c r="D795" s="31" t="s">
        <v>181</v>
      </c>
      <c r="E795" s="17"/>
      <c r="F795" s="290">
        <f>' WP II-I-1.4'!H795</f>
        <v>0</v>
      </c>
      <c r="G795" s="17">
        <v>28</v>
      </c>
      <c r="H795" s="47" t="str">
        <f t="shared" si="270"/>
        <v>NCP XHV</v>
      </c>
      <c r="I795" s="17"/>
      <c r="J795" s="434">
        <f t="shared" si="271"/>
        <v>0</v>
      </c>
      <c r="K795" s="434">
        <f t="shared" si="271"/>
        <v>0</v>
      </c>
      <c r="L795" s="434">
        <f t="shared" si="271"/>
        <v>0</v>
      </c>
      <c r="M795" s="434">
        <f t="shared" si="271"/>
        <v>0</v>
      </c>
      <c r="N795" s="434">
        <f t="shared" si="271"/>
        <v>0</v>
      </c>
      <c r="O795" s="434">
        <f t="shared" si="271"/>
        <v>0</v>
      </c>
      <c r="P795" s="434">
        <f t="shared" si="271"/>
        <v>0</v>
      </c>
      <c r="Q795" s="434">
        <f t="shared" si="271"/>
        <v>0</v>
      </c>
      <c r="R795" s="434">
        <f t="shared" si="271"/>
        <v>0</v>
      </c>
      <c r="S795" s="434">
        <f t="shared" si="271"/>
        <v>0</v>
      </c>
      <c r="T795" s="17"/>
      <c r="U795" s="118">
        <f t="shared" si="272"/>
        <v>0</v>
      </c>
      <c r="V795" s="67"/>
      <c r="W795" s="118">
        <f t="shared" si="262"/>
        <v>0</v>
      </c>
    </row>
    <row r="796" spans="1:23" ht="18" customHeight="1">
      <c r="A796" s="47"/>
      <c r="B796" s="17">
        <f t="shared" si="264"/>
        <v>18</v>
      </c>
      <c r="C796" s="1" t="s">
        <v>182</v>
      </c>
      <c r="D796" s="1" t="s">
        <v>183</v>
      </c>
      <c r="E796" s="17"/>
      <c r="F796" s="290">
        <f>' WP II-I-1.4'!H796</f>
        <v>0</v>
      </c>
      <c r="G796" s="17">
        <v>28</v>
      </c>
      <c r="H796" s="47" t="str">
        <f t="shared" si="270"/>
        <v>NCP XHV</v>
      </c>
      <c r="I796" s="17"/>
      <c r="J796" s="434">
        <f t="shared" si="271"/>
        <v>0</v>
      </c>
      <c r="K796" s="434">
        <f t="shared" si="271"/>
        <v>0</v>
      </c>
      <c r="L796" s="434">
        <f t="shared" si="271"/>
        <v>0</v>
      </c>
      <c r="M796" s="434">
        <f t="shared" si="271"/>
        <v>0</v>
      </c>
      <c r="N796" s="434">
        <f t="shared" si="271"/>
        <v>0</v>
      </c>
      <c r="O796" s="434">
        <f t="shared" si="271"/>
        <v>0</v>
      </c>
      <c r="P796" s="434">
        <f t="shared" si="271"/>
        <v>0</v>
      </c>
      <c r="Q796" s="434">
        <f t="shared" si="271"/>
        <v>0</v>
      </c>
      <c r="R796" s="434">
        <f t="shared" si="271"/>
        <v>0</v>
      </c>
      <c r="S796" s="434">
        <f t="shared" si="271"/>
        <v>0</v>
      </c>
      <c r="T796" s="17"/>
      <c r="U796" s="118">
        <f t="shared" si="272"/>
        <v>0</v>
      </c>
      <c r="V796" s="67"/>
      <c r="W796" s="118">
        <f t="shared" si="262"/>
        <v>0</v>
      </c>
    </row>
    <row r="797" spans="1:23" ht="18" customHeight="1">
      <c r="A797" s="47"/>
      <c r="B797" s="17">
        <f t="shared" si="264"/>
        <v>19</v>
      </c>
      <c r="C797" s="1" t="s">
        <v>184</v>
      </c>
      <c r="D797" s="1" t="s">
        <v>185</v>
      </c>
      <c r="E797" s="17"/>
      <c r="F797" s="290">
        <f>' WP II-I-1.4'!H797</f>
        <v>0</v>
      </c>
      <c r="G797" s="17">
        <v>28</v>
      </c>
      <c r="H797" s="47" t="str">
        <f t="shared" si="270"/>
        <v>NCP XHV</v>
      </c>
      <c r="I797" s="17"/>
      <c r="J797" s="434">
        <f t="shared" si="271"/>
        <v>0</v>
      </c>
      <c r="K797" s="434">
        <f t="shared" si="271"/>
        <v>0</v>
      </c>
      <c r="L797" s="434">
        <f t="shared" si="271"/>
        <v>0</v>
      </c>
      <c r="M797" s="434">
        <f t="shared" si="271"/>
        <v>0</v>
      </c>
      <c r="N797" s="434">
        <f t="shared" si="271"/>
        <v>0</v>
      </c>
      <c r="O797" s="434">
        <f t="shared" si="271"/>
        <v>0</v>
      </c>
      <c r="P797" s="434">
        <f t="shared" si="271"/>
        <v>0</v>
      </c>
      <c r="Q797" s="434">
        <f t="shared" si="271"/>
        <v>0</v>
      </c>
      <c r="R797" s="434">
        <f t="shared" si="271"/>
        <v>0</v>
      </c>
      <c r="S797" s="434">
        <f t="shared" si="271"/>
        <v>0</v>
      </c>
      <c r="T797" s="17"/>
      <c r="U797" s="118">
        <f t="shared" si="272"/>
        <v>0</v>
      </c>
      <c r="V797" s="67"/>
      <c r="W797" s="118">
        <f t="shared" si="262"/>
        <v>0</v>
      </c>
    </row>
    <row r="798" spans="1:23" ht="18" customHeight="1">
      <c r="A798" s="47"/>
      <c r="B798" s="17">
        <f t="shared" si="264"/>
        <v>20</v>
      </c>
      <c r="C798" s="1" t="s">
        <v>186</v>
      </c>
      <c r="D798" s="31" t="s">
        <v>187</v>
      </c>
      <c r="E798" s="17"/>
      <c r="F798" s="290">
        <f>' WP II-I-1.4'!H798</f>
        <v>0</v>
      </c>
      <c r="G798" s="17">
        <v>28</v>
      </c>
      <c r="H798" s="47" t="str">
        <f t="shared" si="270"/>
        <v>NCP XHV</v>
      </c>
      <c r="I798" s="17"/>
      <c r="J798" s="434">
        <f t="shared" si="271"/>
        <v>0</v>
      </c>
      <c r="K798" s="434">
        <f t="shared" si="271"/>
        <v>0</v>
      </c>
      <c r="L798" s="434">
        <f t="shared" si="271"/>
        <v>0</v>
      </c>
      <c r="M798" s="434">
        <f t="shared" si="271"/>
        <v>0</v>
      </c>
      <c r="N798" s="434">
        <f t="shared" si="271"/>
        <v>0</v>
      </c>
      <c r="O798" s="434">
        <f t="shared" si="271"/>
        <v>0</v>
      </c>
      <c r="P798" s="434">
        <f t="shared" si="271"/>
        <v>0</v>
      </c>
      <c r="Q798" s="434">
        <f t="shared" si="271"/>
        <v>0</v>
      </c>
      <c r="R798" s="434">
        <f t="shared" si="271"/>
        <v>0</v>
      </c>
      <c r="S798" s="434">
        <f t="shared" si="271"/>
        <v>0</v>
      </c>
      <c r="T798" s="17"/>
      <c r="U798" s="118">
        <f t="shared" si="272"/>
        <v>0</v>
      </c>
      <c r="V798" s="67"/>
      <c r="W798" s="118">
        <f t="shared" si="262"/>
        <v>0</v>
      </c>
    </row>
    <row r="799" spans="1:23" ht="18" customHeight="1">
      <c r="A799" s="47"/>
      <c r="B799" s="17">
        <f t="shared" si="264"/>
        <v>21</v>
      </c>
      <c r="C799" s="1" t="s">
        <v>188</v>
      </c>
      <c r="D799" s="31" t="s">
        <v>189</v>
      </c>
      <c r="E799" s="17"/>
      <c r="F799" s="290">
        <f>' WP II-I-1.4'!H799</f>
        <v>0</v>
      </c>
      <c r="G799" s="17">
        <v>28</v>
      </c>
      <c r="H799" s="47" t="str">
        <f t="shared" si="270"/>
        <v>NCP XHV</v>
      </c>
      <c r="I799" s="17"/>
      <c r="J799" s="435">
        <f t="shared" si="271"/>
        <v>0</v>
      </c>
      <c r="K799" s="435">
        <f t="shared" si="271"/>
        <v>0</v>
      </c>
      <c r="L799" s="435">
        <f t="shared" si="271"/>
        <v>0</v>
      </c>
      <c r="M799" s="435">
        <f t="shared" si="271"/>
        <v>0</v>
      </c>
      <c r="N799" s="435">
        <f t="shared" si="271"/>
        <v>0</v>
      </c>
      <c r="O799" s="435">
        <f t="shared" si="271"/>
        <v>0</v>
      </c>
      <c r="P799" s="435">
        <f t="shared" si="271"/>
        <v>0</v>
      </c>
      <c r="Q799" s="435">
        <f t="shared" si="271"/>
        <v>0</v>
      </c>
      <c r="R799" s="435">
        <f t="shared" si="271"/>
        <v>0</v>
      </c>
      <c r="S799" s="435">
        <f t="shared" si="271"/>
        <v>0</v>
      </c>
      <c r="T799" s="17"/>
      <c r="U799" s="118">
        <f t="shared" si="272"/>
        <v>0</v>
      </c>
      <c r="V799" s="67"/>
      <c r="W799" s="118">
        <f t="shared" si="262"/>
        <v>0</v>
      </c>
    </row>
    <row r="800" spans="1:23" ht="18" customHeight="1">
      <c r="A800" s="47"/>
      <c r="B800" s="17">
        <f t="shared" si="264"/>
        <v>22</v>
      </c>
      <c r="C800" s="8"/>
      <c r="D800" s="26" t="s">
        <v>491</v>
      </c>
      <c r="E800" s="20"/>
      <c r="F800" s="22">
        <f>SUM(F794:F799)</f>
        <v>0</v>
      </c>
      <c r="G800" s="20"/>
      <c r="H800" s="20"/>
      <c r="I800" s="1010"/>
      <c r="J800" s="896">
        <f t="shared" si="273" ref="J800:Q800">SUM(J794:J799)</f>
        <v>0</v>
      </c>
      <c r="K800" s="896">
        <f t="shared" si="273"/>
        <v>0</v>
      </c>
      <c r="L800" s="896">
        <f t="shared" si="273"/>
        <v>0</v>
      </c>
      <c r="M800" s="896">
        <f t="shared" si="273"/>
        <v>0</v>
      </c>
      <c r="N800" s="896">
        <f t="shared" si="273"/>
        <v>0</v>
      </c>
      <c r="O800" s="896">
        <f>SUM(O794:O799)</f>
        <v>0</v>
      </c>
      <c r="P800" s="896">
        <f t="shared" si="273"/>
        <v>0</v>
      </c>
      <c r="Q800" s="896">
        <f t="shared" si="273"/>
        <v>0</v>
      </c>
      <c r="R800" s="896">
        <f>SUM(R794:R799)</f>
        <v>0</v>
      </c>
      <c r="S800" s="896">
        <f>SUM(S794:S799)</f>
        <v>0</v>
      </c>
      <c r="T800" s="1010"/>
      <c r="U800" s="299">
        <f t="shared" si="272"/>
        <v>0</v>
      </c>
      <c r="V800" s="67"/>
      <c r="W800" s="118">
        <f t="shared" si="262"/>
        <v>0</v>
      </c>
    </row>
    <row r="801" spans="1:23" ht="18" customHeight="1">
      <c r="A801" s="47"/>
      <c r="B801" s="17">
        <f t="shared" si="264"/>
        <v>23</v>
      </c>
      <c r="C801" s="1"/>
      <c r="D801" s="1"/>
      <c r="E801" s="17"/>
      <c r="F801" s="19"/>
      <c r="G801" s="17"/>
      <c r="H801" s="17"/>
      <c r="I801" s="17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7"/>
      <c r="U801" s="1"/>
      <c r="V801" s="67"/>
      <c r="W801" s="118">
        <f t="shared" si="262"/>
        <v>0</v>
      </c>
    </row>
    <row r="802" spans="1:23" ht="18" customHeight="1">
      <c r="A802" s="47"/>
      <c r="B802" s="17">
        <f t="shared" si="264"/>
        <v>24</v>
      </c>
      <c r="C802" s="8"/>
      <c r="D802" s="26" t="s">
        <v>663</v>
      </c>
      <c r="E802" s="20"/>
      <c r="F802" s="22">
        <f>SUM(F795:F799)</f>
        <v>0</v>
      </c>
      <c r="G802" s="20"/>
      <c r="H802" s="20"/>
      <c r="I802" s="20"/>
      <c r="J802" s="22">
        <f t="shared" si="274" ref="J802:Q802">SUM(J795:J799)</f>
        <v>0</v>
      </c>
      <c r="K802" s="22">
        <f t="shared" si="274"/>
        <v>0</v>
      </c>
      <c r="L802" s="22">
        <f t="shared" si="274"/>
        <v>0</v>
      </c>
      <c r="M802" s="22">
        <f t="shared" si="274"/>
        <v>0</v>
      </c>
      <c r="N802" s="22">
        <f t="shared" si="274"/>
        <v>0</v>
      </c>
      <c r="O802" s="22">
        <f>SUM(O795:O799)</f>
        <v>0</v>
      </c>
      <c r="P802" s="22">
        <f t="shared" si="274"/>
        <v>0</v>
      </c>
      <c r="Q802" s="22">
        <f t="shared" si="274"/>
        <v>0</v>
      </c>
      <c r="R802" s="22">
        <f>SUM(R795:R799)</f>
        <v>0</v>
      </c>
      <c r="S802" s="22">
        <f>SUM(S795:S799)</f>
        <v>0</v>
      </c>
      <c r="T802" s="20"/>
      <c r="U802" s="299">
        <f>SUM(I802:T802)</f>
        <v>0</v>
      </c>
      <c r="V802" s="67"/>
      <c r="W802" s="118">
        <f t="shared" si="262"/>
        <v>0</v>
      </c>
    </row>
    <row r="803" spans="1:23" ht="18" customHeight="1" thickBot="1">
      <c r="A803" s="47"/>
      <c r="B803" s="17">
        <f t="shared" si="264"/>
        <v>25</v>
      </c>
      <c r="C803" s="1"/>
      <c r="D803" s="1"/>
      <c r="E803" s="17"/>
      <c r="F803" s="19"/>
      <c r="G803" s="17"/>
      <c r="H803" s="17"/>
      <c r="I803" s="17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7"/>
      <c r="U803" s="1"/>
      <c r="V803" s="67"/>
      <c r="W803" s="118">
        <f>U803-F803</f>
        <v>0</v>
      </c>
    </row>
    <row r="804" spans="1:23" ht="18" customHeight="1" thickBot="1">
      <c r="A804" s="47"/>
      <c r="B804" s="17">
        <f>B801+1</f>
        <v>24</v>
      </c>
      <c r="C804" s="870" t="s">
        <v>664</v>
      </c>
      <c r="D804" s="1017"/>
      <c r="E804" s="1013"/>
      <c r="F804" s="1014">
        <f>+F800+F789</f>
        <v>0</v>
      </c>
      <c r="G804" s="1013"/>
      <c r="H804" s="1013"/>
      <c r="I804" s="1016"/>
      <c r="J804" s="1014">
        <f t="shared" si="275" ref="J804:S804">+J800+J789</f>
        <v>0</v>
      </c>
      <c r="K804" s="1014">
        <f t="shared" si="275"/>
        <v>0</v>
      </c>
      <c r="L804" s="1014">
        <f t="shared" si="275"/>
        <v>0</v>
      </c>
      <c r="M804" s="1014">
        <f t="shared" si="275"/>
        <v>0</v>
      </c>
      <c r="N804" s="1014">
        <f t="shared" si="275"/>
        <v>0</v>
      </c>
      <c r="O804" s="1014">
        <f t="shared" si="275"/>
        <v>0</v>
      </c>
      <c r="P804" s="1014">
        <f t="shared" si="275"/>
        <v>0</v>
      </c>
      <c r="Q804" s="1014">
        <f t="shared" si="275"/>
        <v>0</v>
      </c>
      <c r="R804" s="1014">
        <f t="shared" si="275"/>
        <v>0</v>
      </c>
      <c r="S804" s="1014">
        <f t="shared" si="275"/>
        <v>0</v>
      </c>
      <c r="T804" s="1016"/>
      <c r="U804" s="1015">
        <f>SUM(I804:T804)</f>
        <v>0</v>
      </c>
      <c r="V804" s="67"/>
      <c r="W804" s="118">
        <f>U804-F804</f>
        <v>0</v>
      </c>
    </row>
    <row r="805" spans="1:23" ht="18" customHeight="1">
      <c r="A805" s="47"/>
      <c r="B805" s="17"/>
      <c r="C805" s="1"/>
      <c r="D805" s="1"/>
      <c r="E805" s="17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"/>
      <c r="V805" s="67"/>
      <c r="W805" s="118">
        <f t="shared" si="262"/>
        <v>0</v>
      </c>
    </row>
    <row r="806" spans="1:23" ht="18" customHeight="1">
      <c r="A806" s="47"/>
      <c r="B806" s="17"/>
      <c r="C806" s="1"/>
      <c r="D806" s="1"/>
      <c r="E806" s="17"/>
      <c r="F806" s="19"/>
      <c r="G806" s="17"/>
      <c r="H806" s="13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34"/>
      <c r="V806" s="134">
        <f>$H$2</f>
        <v>0</v>
      </c>
      <c r="W806" s="118"/>
    </row>
    <row r="807" spans="1:23" ht="18" customHeight="1" thickBot="1">
      <c r="A807" s="47"/>
      <c r="B807" s="17"/>
      <c r="C807" s="1"/>
      <c r="D807" s="1"/>
      <c r="E807" s="17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"/>
      <c r="V807" s="67"/>
      <c r="W807" s="118"/>
    </row>
    <row r="808" spans="1:23" ht="18" customHeight="1">
      <c r="A808" s="47"/>
      <c r="B808" s="920" t="str">
        <f>+$B$4</f>
        <v>2022 RATE CASE</v>
      </c>
      <c r="C808" s="935"/>
      <c r="D808" s="620"/>
      <c r="F808" s="12"/>
      <c r="U808" s="134"/>
      <c r="W808" s="118"/>
    </row>
    <row r="809" spans="1:23" ht="18" customHeight="1">
      <c r="A809" s="47"/>
      <c r="B809" s="917" t="str">
        <f>+$B$5</f>
        <v>ONCOR ELECTRIC DELIVERY COMPANY LLC</v>
      </c>
      <c r="C809" s="8"/>
      <c r="D809" s="621"/>
      <c r="F809" s="12"/>
      <c r="U809" s="134"/>
      <c r="V809" s="67"/>
      <c r="W809" s="118"/>
    </row>
    <row r="810" spans="1:23" ht="18" customHeight="1">
      <c r="A810" s="47"/>
      <c r="B810" s="917" t="str">
        <f>+$B$6</f>
        <v>II-I-1-MET:  CLASS REVENUE REQUIREMENT</v>
      </c>
      <c r="C810" s="85"/>
      <c r="D810" s="621"/>
      <c r="F810" s="12"/>
      <c r="U810" s="12"/>
      <c r="V810" s="67"/>
      <c r="W810" s="118"/>
    </row>
    <row r="811" spans="1:23" ht="18" customHeight="1">
      <c r="A811" s="47"/>
      <c r="B811" s="406" t="str">
        <f>+$B$7</f>
        <v>TEST YEAR ENDING 12/31/2021</v>
      </c>
      <c r="C811" s="85"/>
      <c r="D811" s="621"/>
      <c r="F811" s="12"/>
      <c r="U811" s="12"/>
      <c r="V811" s="67"/>
      <c r="W811" s="118"/>
    </row>
    <row r="812" spans="1:23" ht="18" customHeight="1">
      <c r="A812" s="47"/>
      <c r="B812" s="406" t="str">
        <f>+$B$8</f>
        <v>SPONSOR:  MATTHEW A. TROXLE</v>
      </c>
      <c r="C812" s="85"/>
      <c r="D812" s="621"/>
      <c r="F812" s="12"/>
      <c r="U812" s="12"/>
      <c r="V812" s="67"/>
      <c r="W812" s="118"/>
    </row>
    <row r="813" spans="1:23" ht="18" customHeight="1" thickBot="1">
      <c r="A813" s="47"/>
      <c r="B813" s="410"/>
      <c r="C813" s="934"/>
      <c r="D813" s="622"/>
      <c r="F813" s="12"/>
      <c r="U813" s="12"/>
      <c r="V813" s="67"/>
      <c r="W813" s="118"/>
    </row>
    <row r="814" spans="1:23" ht="18" customHeight="1" thickBot="1">
      <c r="A814" s="47"/>
      <c r="B814" s="13"/>
      <c r="C814" s="14"/>
      <c r="D814" s="14"/>
      <c r="E814" s="14"/>
      <c r="F814" s="13"/>
      <c r="G814" s="14"/>
      <c r="H814" s="14"/>
      <c r="I814" s="14"/>
      <c r="J814" s="238"/>
      <c r="K814" s="238"/>
      <c r="L814" s="14"/>
      <c r="M814" s="238"/>
      <c r="N814" s="238"/>
      <c r="O814" s="238"/>
      <c r="P814" s="238"/>
      <c r="Q814" s="14"/>
      <c r="R814" s="393" t="str">
        <f>R$10</f>
        <v xml:space="preserve"> </v>
      </c>
      <c r="S814" s="394"/>
      <c r="T814" s="238"/>
      <c r="U814" s="13"/>
      <c r="V814" s="67"/>
      <c r="W814" s="118"/>
    </row>
    <row r="815" spans="1:23" ht="18" customHeight="1">
      <c r="A815" s="47"/>
      <c r="B815" s="15" t="s">
        <v>2</v>
      </c>
      <c r="C815" s="15" t="s">
        <v>370</v>
      </c>
      <c r="D815" s="287" t="s">
        <v>665</v>
      </c>
      <c r="E815" s="15" t="s">
        <v>371</v>
      </c>
      <c r="F815" s="287" t="str">
        <f>F$11</f>
        <v>MET</v>
      </c>
      <c r="G815" s="242" t="s">
        <v>741</v>
      </c>
      <c r="H815" s="242" t="s">
        <v>376</v>
      </c>
      <c r="I815" s="15"/>
      <c r="J815" s="242" t="s">
        <v>730</v>
      </c>
      <c r="K815" s="242" t="s">
        <v>409</v>
      </c>
      <c r="L815" s="15" t="s">
        <v>409</v>
      </c>
      <c r="M815" s="242" t="s">
        <v>410</v>
      </c>
      <c r="N815" s="242" t="s">
        <v>410</v>
      </c>
      <c r="O815" s="242" t="s">
        <v>410</v>
      </c>
      <c r="P815" s="242" t="s">
        <v>411</v>
      </c>
      <c r="Q815" s="15" t="s">
        <v>412</v>
      </c>
      <c r="R815" s="396" t="str">
        <f>R$11</f>
        <v>Wholesale</v>
      </c>
      <c r="S815" s="13" t="str">
        <f>S$11</f>
        <v>Wholesale</v>
      </c>
      <c r="T815" s="242"/>
      <c r="U815" s="15" t="s">
        <v>10</v>
      </c>
      <c r="V815" s="67"/>
      <c r="W815" s="118"/>
    </row>
    <row r="816" spans="1:23" ht="18" customHeight="1">
      <c r="A816" s="47"/>
      <c r="B816" s="15"/>
      <c r="C816" s="15"/>
      <c r="D816" s="15"/>
      <c r="E816" s="15"/>
      <c r="F816" s="15"/>
      <c r="G816" s="242" t="s">
        <v>742</v>
      </c>
      <c r="H816" s="242" t="s">
        <v>743</v>
      </c>
      <c r="I816" s="15"/>
      <c r="J816" s="242"/>
      <c r="K816" s="242" t="s">
        <v>731</v>
      </c>
      <c r="L816" s="15" t="s">
        <v>732</v>
      </c>
      <c r="M816" s="242" t="s">
        <v>731</v>
      </c>
      <c r="N816" s="242" t="s">
        <v>732</v>
      </c>
      <c r="O816" s="242" t="s">
        <v>414</v>
      </c>
      <c r="P816" s="242"/>
      <c r="Q816" s="15"/>
      <c r="R816" s="235" t="str">
        <f>R$12</f>
        <v>XFMR</v>
      </c>
      <c r="S816" s="15" t="str">
        <f>S$12</f>
        <v>DLS</v>
      </c>
      <c r="T816" s="242"/>
      <c r="U816" s="15"/>
      <c r="V816" s="67"/>
      <c r="W816" s="118"/>
    </row>
    <row r="817" spans="1:23" ht="18" customHeight="1" thickBot="1">
      <c r="A817" s="47"/>
      <c r="B817" s="16"/>
      <c r="C817" s="16"/>
      <c r="D817" s="16"/>
      <c r="E817" s="16"/>
      <c r="F817" s="16" t="s">
        <v>13</v>
      </c>
      <c r="G817" s="16" t="s">
        <v>14</v>
      </c>
      <c r="H817" s="16" t="s">
        <v>15</v>
      </c>
      <c r="I817" s="16"/>
      <c r="J817" s="243" t="str">
        <f t="shared" si="276" ref="J817:Q817">J$13</f>
        <v>(d)</v>
      </c>
      <c r="K817" s="243" t="str">
        <f t="shared" si="276"/>
        <v>(e)</v>
      </c>
      <c r="L817" s="16" t="str">
        <f t="shared" si="276"/>
        <v>(f)</v>
      </c>
      <c r="M817" s="243" t="str">
        <f t="shared" si="276"/>
        <v>(g)</v>
      </c>
      <c r="N817" s="243" t="str">
        <f t="shared" si="276"/>
        <v>(h)</v>
      </c>
      <c r="O817" s="243" t="str">
        <f>O$13</f>
        <v>(i)</v>
      </c>
      <c r="P817" s="243" t="str">
        <f t="shared" si="276"/>
        <v>(j)</v>
      </c>
      <c r="Q817" s="243" t="str">
        <f t="shared" si="276"/>
        <v>(k)</v>
      </c>
      <c r="R817" s="243" t="str">
        <f>R$13</f>
        <v>(l)</v>
      </c>
      <c r="S817" s="16" t="str">
        <f>S$13</f>
        <v>(m)</v>
      </c>
      <c r="T817" s="16"/>
      <c r="U817" s="16" t="s">
        <v>734</v>
      </c>
      <c r="V817" s="67"/>
      <c r="W817" s="118"/>
    </row>
    <row r="818" spans="1:23" ht="18" customHeight="1">
      <c r="A818" s="47"/>
      <c r="B818" s="67"/>
      <c r="C818" s="100"/>
      <c r="D818" s="100"/>
      <c r="E818" s="315"/>
      <c r="F818" s="373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1"/>
      <c r="V818" s="67"/>
      <c r="W818" s="118">
        <f t="shared" si="262"/>
        <v>0</v>
      </c>
    </row>
    <row r="819" spans="1:23" ht="18" customHeight="1">
      <c r="A819" s="47"/>
      <c r="B819" s="17">
        <f>B805+1</f>
        <v>1</v>
      </c>
      <c r="C819" s="8" t="s">
        <v>665</v>
      </c>
      <c r="D819" s="8"/>
      <c r="E819" s="20"/>
      <c r="F819" s="22"/>
      <c r="G819" s="20"/>
      <c r="H819" s="20"/>
      <c r="I819" s="101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8"/>
      <c r="V819" s="67"/>
      <c r="W819" s="118">
        <f t="shared" si="262"/>
        <v>0</v>
      </c>
    </row>
    <row r="820" spans="1:23" ht="18" customHeight="1">
      <c r="A820" s="47"/>
      <c r="B820" s="17">
        <f t="shared" si="277" ref="B820:B851">B819+1</f>
        <v>2</v>
      </c>
      <c r="C820" s="8"/>
      <c r="D820" s="366" t="s">
        <v>660</v>
      </c>
      <c r="E820" s="20" t="s">
        <v>279</v>
      </c>
      <c r="F820" s="22"/>
      <c r="G820" s="20"/>
      <c r="H820" s="20"/>
      <c r="I820" s="1010"/>
      <c r="J820" s="1059"/>
      <c r="K820" s="1059"/>
      <c r="L820" s="1059"/>
      <c r="M820" s="1059"/>
      <c r="N820" s="1059"/>
      <c r="O820" s="1059"/>
      <c r="P820" s="1059"/>
      <c r="Q820" s="1059"/>
      <c r="R820" s="1059"/>
      <c r="S820" s="1059"/>
      <c r="T820" s="1010"/>
      <c r="U820" s="8"/>
      <c r="V820" s="67"/>
      <c r="W820" s="118">
        <f t="shared" si="262"/>
        <v>0</v>
      </c>
    </row>
    <row r="821" spans="1:23" ht="18" customHeight="1">
      <c r="A821" s="47"/>
      <c r="B821" s="17">
        <f t="shared" si="277"/>
        <v>3</v>
      </c>
      <c r="C821" s="1" t="s">
        <v>192</v>
      </c>
      <c r="D821" s="1" t="s">
        <v>193</v>
      </c>
      <c r="E821" s="17"/>
      <c r="F821" s="290">
        <f>' WP II-I-1.4'!H821</f>
        <v>0</v>
      </c>
      <c r="G821" s="17">
        <v>28</v>
      </c>
      <c r="H821" s="47" t="str">
        <f t="shared" si="278" ref="H821:H829">VLOOKUP(G821,FactorTable,2)</f>
        <v>NCP XHV</v>
      </c>
      <c r="I821" s="17"/>
      <c r="J821" s="434">
        <f t="shared" si="279" ref="J821:S829">$F821*HLOOKUP(J$1318,FactorTable,$G821+1)</f>
        <v>0</v>
      </c>
      <c r="K821" s="434">
        <f t="shared" si="279"/>
        <v>0</v>
      </c>
      <c r="L821" s="434">
        <f t="shared" si="279"/>
        <v>0</v>
      </c>
      <c r="M821" s="434">
        <f t="shared" si="279"/>
        <v>0</v>
      </c>
      <c r="N821" s="434">
        <f t="shared" si="279"/>
        <v>0</v>
      </c>
      <c r="O821" s="434">
        <f t="shared" si="279"/>
        <v>0</v>
      </c>
      <c r="P821" s="434">
        <f t="shared" si="279"/>
        <v>0</v>
      </c>
      <c r="Q821" s="434">
        <f t="shared" si="279"/>
        <v>0</v>
      </c>
      <c r="R821" s="434">
        <f t="shared" si="279"/>
        <v>0</v>
      </c>
      <c r="S821" s="434">
        <f t="shared" si="279"/>
        <v>0</v>
      </c>
      <c r="T821" s="17"/>
      <c r="U821" s="118">
        <f t="shared" si="280" ref="U821:U830">SUM(I821:T821)</f>
        <v>0</v>
      </c>
      <c r="V821" s="67"/>
      <c r="W821" s="118">
        <f t="shared" si="262"/>
        <v>0</v>
      </c>
    </row>
    <row r="822" spans="1:23" ht="18" customHeight="1">
      <c r="A822" s="47"/>
      <c r="B822" s="17">
        <f t="shared" si="277"/>
        <v>4</v>
      </c>
      <c r="C822" s="1" t="s">
        <v>194</v>
      </c>
      <c r="D822" s="1" t="s">
        <v>166</v>
      </c>
      <c r="E822" s="17"/>
      <c r="F822" s="118">
        <f>' WP II-I-1.4'!H822</f>
        <v>0</v>
      </c>
      <c r="G822" s="17">
        <v>44</v>
      </c>
      <c r="H822" s="47" t="str">
        <f t="shared" si="278"/>
        <v>PLT 362</v>
      </c>
      <c r="I822" s="17"/>
      <c r="J822" s="434">
        <f t="shared" si="279"/>
        <v>0</v>
      </c>
      <c r="K822" s="434">
        <f t="shared" si="279"/>
        <v>0</v>
      </c>
      <c r="L822" s="434">
        <f t="shared" si="279"/>
        <v>0</v>
      </c>
      <c r="M822" s="434">
        <f t="shared" si="279"/>
        <v>0</v>
      </c>
      <c r="N822" s="434">
        <f t="shared" si="279"/>
        <v>0</v>
      </c>
      <c r="O822" s="434">
        <f t="shared" si="279"/>
        <v>0</v>
      </c>
      <c r="P822" s="434">
        <f t="shared" si="279"/>
        <v>0</v>
      </c>
      <c r="Q822" s="434">
        <f t="shared" si="279"/>
        <v>0</v>
      </c>
      <c r="R822" s="434">
        <f t="shared" si="279"/>
        <v>0</v>
      </c>
      <c r="S822" s="434">
        <f t="shared" si="279"/>
        <v>0</v>
      </c>
      <c r="T822" s="17"/>
      <c r="U822" s="118">
        <f t="shared" si="280"/>
        <v>0</v>
      </c>
      <c r="V822" s="67"/>
      <c r="W822" s="118">
        <f t="shared" si="262"/>
        <v>0</v>
      </c>
    </row>
    <row r="823" spans="1:23" ht="18" customHeight="1">
      <c r="A823" s="47"/>
      <c r="B823" s="17">
        <f t="shared" si="277"/>
        <v>5</v>
      </c>
      <c r="C823" s="1" t="s">
        <v>195</v>
      </c>
      <c r="D823" s="1" t="s">
        <v>168</v>
      </c>
      <c r="E823" s="17"/>
      <c r="F823" s="118">
        <f>' WP II-I-1.4'!H823</f>
        <v>91312.369999999995</v>
      </c>
      <c r="G823" s="17">
        <v>51</v>
      </c>
      <c r="H823" s="47" t="str">
        <f t="shared" si="278"/>
        <v>PLT 370</v>
      </c>
      <c r="I823" s="17"/>
      <c r="J823" s="434">
        <f t="shared" si="279"/>
        <v>50907.085919831239</v>
      </c>
      <c r="K823" s="434">
        <f t="shared" si="279"/>
        <v>7848.561647845092</v>
      </c>
      <c r="L823" s="434">
        <f t="shared" si="279"/>
        <v>24209.159910030678</v>
      </c>
      <c r="M823" s="434">
        <f t="shared" si="279"/>
        <v>339.93336309693217</v>
      </c>
      <c r="N823" s="434">
        <f t="shared" si="279"/>
        <v>7093.4935759045366</v>
      </c>
      <c r="O823" s="434">
        <f t="shared" si="279"/>
        <v>242.40599809667532</v>
      </c>
      <c r="P823" s="434">
        <f t="shared" si="279"/>
        <v>527.69921124122391</v>
      </c>
      <c r="Q823" s="434">
        <f t="shared" si="279"/>
        <v>50.74530806956701</v>
      </c>
      <c r="R823" s="434">
        <f t="shared" si="279"/>
        <v>27.969922857308692</v>
      </c>
      <c r="S823" s="434">
        <f t="shared" si="279"/>
        <v>65.315143026726759</v>
      </c>
      <c r="T823" s="17"/>
      <c r="U823" s="118">
        <f t="shared" si="280"/>
        <v>91312.369999999995</v>
      </c>
      <c r="V823" s="67"/>
      <c r="W823" s="118">
        <f t="shared" si="262"/>
        <v>0</v>
      </c>
    </row>
    <row r="824" spans="1:23" ht="18" customHeight="1">
      <c r="A824" s="47"/>
      <c r="B824" s="17">
        <f t="shared" si="277"/>
        <v>6</v>
      </c>
      <c r="C824" s="1" t="s">
        <v>196</v>
      </c>
      <c r="D824" s="1" t="s">
        <v>170</v>
      </c>
      <c r="E824" s="17"/>
      <c r="F824" s="118">
        <f>' WP II-I-1.4'!H824</f>
        <v>7234.2600000000002</v>
      </c>
      <c r="G824" s="17">
        <v>51</v>
      </c>
      <c r="H824" s="47" t="str">
        <f t="shared" si="278"/>
        <v>PLT 370</v>
      </c>
      <c r="I824" s="17"/>
      <c r="J824" s="434">
        <f t="shared" si="279"/>
        <v>4033.134781042244</v>
      </c>
      <c r="K824" s="434">
        <f t="shared" si="279"/>
        <v>621.80551864484335</v>
      </c>
      <c r="L824" s="434">
        <f t="shared" si="279"/>
        <v>1917.980632533561</v>
      </c>
      <c r="M824" s="434">
        <f t="shared" si="279"/>
        <v>26.931360245250595</v>
      </c>
      <c r="N824" s="434">
        <f t="shared" si="279"/>
        <v>561.98494066491935</v>
      </c>
      <c r="O824" s="434">
        <f t="shared" si="279"/>
        <v>19.204714714894099</v>
      </c>
      <c r="P824" s="434">
        <f t="shared" si="279"/>
        <v>41.807186648577151</v>
      </c>
      <c r="Q824" s="434">
        <f t="shared" si="279"/>
        <v>4.0203178644398987</v>
      </c>
      <c r="R824" s="434">
        <f t="shared" si="279"/>
        <v>2.2159286209493194</v>
      </c>
      <c r="S824" s="434">
        <f t="shared" si="279"/>
        <v>5.1746190203203399</v>
      </c>
      <c r="T824" s="17"/>
      <c r="U824" s="118">
        <f t="shared" si="280"/>
        <v>7234.2599999999984</v>
      </c>
      <c r="V824" s="67"/>
      <c r="W824" s="118">
        <f t="shared" si="262"/>
        <v>0</v>
      </c>
    </row>
    <row r="825" spans="1:23" ht="18" customHeight="1">
      <c r="A825" s="47"/>
      <c r="B825" s="17">
        <f t="shared" si="277"/>
        <v>7</v>
      </c>
      <c r="C825" s="1" t="s">
        <v>197</v>
      </c>
      <c r="D825" s="1" t="s">
        <v>198</v>
      </c>
      <c r="E825" s="17"/>
      <c r="F825" s="118">
        <f>' WP II-I-1.4'!H825</f>
        <v>0</v>
      </c>
      <c r="G825" s="17">
        <v>33</v>
      </c>
      <c r="H825" s="47" t="str">
        <f t="shared" si="278"/>
        <v>NCP LGT</v>
      </c>
      <c r="I825" s="17"/>
      <c r="J825" s="434">
        <f t="shared" si="279"/>
        <v>0</v>
      </c>
      <c r="K825" s="434">
        <f t="shared" si="279"/>
        <v>0</v>
      </c>
      <c r="L825" s="434">
        <f t="shared" si="279"/>
        <v>0</v>
      </c>
      <c r="M825" s="434">
        <f t="shared" si="279"/>
        <v>0</v>
      </c>
      <c r="N825" s="434">
        <f t="shared" si="279"/>
        <v>0</v>
      </c>
      <c r="O825" s="434">
        <f t="shared" si="279"/>
        <v>0</v>
      </c>
      <c r="P825" s="434">
        <f t="shared" si="279"/>
        <v>0</v>
      </c>
      <c r="Q825" s="434">
        <f t="shared" si="279"/>
        <v>0</v>
      </c>
      <c r="R825" s="434">
        <f t="shared" si="279"/>
        <v>0</v>
      </c>
      <c r="S825" s="434">
        <f t="shared" si="279"/>
        <v>0</v>
      </c>
      <c r="T825" s="17"/>
      <c r="U825" s="118">
        <f t="shared" si="280"/>
        <v>0</v>
      </c>
      <c r="V825" s="67"/>
      <c r="W825" s="118">
        <f t="shared" si="262"/>
        <v>0</v>
      </c>
    </row>
    <row r="826" spans="1:23" ht="18" customHeight="1">
      <c r="A826" s="47"/>
      <c r="B826" s="17">
        <f t="shared" si="277"/>
        <v>8</v>
      </c>
      <c r="C826" s="1" t="s">
        <v>199</v>
      </c>
      <c r="D826" s="1" t="s">
        <v>200</v>
      </c>
      <c r="E826" s="17"/>
      <c r="F826" s="118">
        <f>' WP II-I-1.4'!H826</f>
        <v>7470971.8799999999</v>
      </c>
      <c r="G826" s="17">
        <v>6</v>
      </c>
      <c r="H826" s="47" t="str">
        <f t="shared" si="278"/>
        <v>CUS W ALL</v>
      </c>
      <c r="I826" s="17"/>
      <c r="J826" s="434">
        <f t="shared" si="279"/>
        <v>4165102.7938471339</v>
      </c>
      <c r="K826" s="434">
        <f t="shared" si="279"/>
        <v>642151.58767094929</v>
      </c>
      <c r="L826" s="434">
        <f t="shared" si="279"/>
        <v>1980738.7862812297</v>
      </c>
      <c r="M826" s="434">
        <f t="shared" si="279"/>
        <v>27812.580012664337</v>
      </c>
      <c r="N826" s="434">
        <f t="shared" si="279"/>
        <v>580373.62338249967</v>
      </c>
      <c r="O826" s="434">
        <f t="shared" si="279"/>
        <v>19833.111278609846</v>
      </c>
      <c r="P826" s="434">
        <f t="shared" si="279"/>
        <v>43175.157629589121</v>
      </c>
      <c r="Q826" s="434">
        <f t="shared" si="279"/>
        <v>4151.8664955216063</v>
      </c>
      <c r="R826" s="434">
        <f t="shared" si="279"/>
        <v>2288.4359167626744</v>
      </c>
      <c r="S826" s="434">
        <f t="shared" si="279"/>
        <v>5343.9374850401309</v>
      </c>
      <c r="T826" s="17"/>
      <c r="U826" s="118">
        <f t="shared" si="280"/>
        <v>7470971.8800000008</v>
      </c>
      <c r="V826" s="67"/>
      <c r="W826" s="118">
        <f t="shared" si="262"/>
        <v>0</v>
      </c>
    </row>
    <row r="827" spans="1:23" ht="18" customHeight="1">
      <c r="A827" s="47"/>
      <c r="B827" s="17">
        <f t="shared" si="277"/>
        <v>9</v>
      </c>
      <c r="C827" s="1" t="s">
        <v>201</v>
      </c>
      <c r="D827" s="1" t="s">
        <v>202</v>
      </c>
      <c r="E827" s="17"/>
      <c r="F827" s="118">
        <f>' WP II-I-1.4'!H827</f>
        <v>1210.3900000000001</v>
      </c>
      <c r="G827" s="17">
        <v>8</v>
      </c>
      <c r="H827" s="47" t="str">
        <f t="shared" si="278"/>
        <v>CUS W RTL</v>
      </c>
      <c r="I827" s="17"/>
      <c r="J827" s="434">
        <f t="shared" si="279"/>
        <v>675.48833416832065</v>
      </c>
      <c r="K827" s="434">
        <f t="shared" si="279"/>
        <v>104.14290539963845</v>
      </c>
      <c r="L827" s="434">
        <f t="shared" si="279"/>
        <v>321.23239434671075</v>
      </c>
      <c r="M827" s="434">
        <f t="shared" si="279"/>
        <v>4.5105905595969507</v>
      </c>
      <c r="N827" s="434">
        <f t="shared" si="279"/>
        <v>94.123874357436904</v>
      </c>
      <c r="O827" s="434">
        <f t="shared" si="279"/>
        <v>3.2164957174055262</v>
      </c>
      <c r="P827" s="434">
        <f t="shared" si="279"/>
        <v>7.0020637540443369</v>
      </c>
      <c r="Q827" s="434">
        <f t="shared" si="279"/>
        <v>0.67334169684650647</v>
      </c>
      <c r="R827" s="434">
        <f t="shared" si="279"/>
        <v>0</v>
      </c>
      <c r="S827" s="434">
        <f t="shared" si="279"/>
        <v>0</v>
      </c>
      <c r="T827" s="17"/>
      <c r="U827" s="118">
        <f t="shared" si="280"/>
        <v>1210.3900000000001</v>
      </c>
      <c r="V827" s="67"/>
      <c r="W827" s="118">
        <f t="shared" si="262"/>
        <v>0</v>
      </c>
    </row>
    <row r="828" spans="1:23" ht="18" customHeight="1">
      <c r="A828" s="47"/>
      <c r="B828" s="17">
        <f t="shared" si="277"/>
        <v>10</v>
      </c>
      <c r="C828" s="1" t="s">
        <v>203</v>
      </c>
      <c r="D828" s="1" t="s">
        <v>204</v>
      </c>
      <c r="E828" s="17"/>
      <c r="F828" s="118">
        <f>' WP II-I-1.4'!H828</f>
        <v>1499427.6499999999</v>
      </c>
      <c r="G828" s="17">
        <v>71</v>
      </c>
      <c r="H828" s="47" t="str">
        <f t="shared" si="278"/>
        <v>DIST OPS</v>
      </c>
      <c r="I828" s="17"/>
      <c r="J828" s="434">
        <f t="shared" si="279"/>
        <v>835938.17454055091</v>
      </c>
      <c r="K828" s="434">
        <f t="shared" si="279"/>
        <v>128880.13874926501</v>
      </c>
      <c r="L828" s="434">
        <f t="shared" si="279"/>
        <v>397535.24635492283</v>
      </c>
      <c r="M828" s="434">
        <f t="shared" si="279"/>
        <v>5581.9984561713409</v>
      </c>
      <c r="N828" s="434">
        <f t="shared" si="279"/>
        <v>116481.27100213364</v>
      </c>
      <c r="O828" s="434">
        <f t="shared" si="279"/>
        <v>3980.5151657222723</v>
      </c>
      <c r="P828" s="434">
        <f t="shared" si="279"/>
        <v>8665.2753223031013</v>
      </c>
      <c r="Q828" s="434">
        <f t="shared" si="279"/>
        <v>833.28164297156763</v>
      </c>
      <c r="R828" s="434">
        <f t="shared" si="279"/>
        <v>459.26852722519732</v>
      </c>
      <c r="S828" s="434">
        <f t="shared" si="279"/>
        <v>1072.4802387343548</v>
      </c>
      <c r="T828" s="17"/>
      <c r="U828" s="118">
        <f t="shared" si="280"/>
        <v>1499427.6499999999</v>
      </c>
      <c r="V828" s="67"/>
      <c r="W828" s="118">
        <f t="shared" si="262"/>
        <v>0</v>
      </c>
    </row>
    <row r="829" spans="1:23" ht="18" customHeight="1">
      <c r="A829" s="47"/>
      <c r="B829" s="17">
        <f t="shared" si="277"/>
        <v>11</v>
      </c>
      <c r="C829" s="1" t="s">
        <v>205</v>
      </c>
      <c r="D829" s="1" t="s">
        <v>206</v>
      </c>
      <c r="E829" s="17"/>
      <c r="F829" s="118">
        <f>' WP II-I-1.4'!H829</f>
        <v>0</v>
      </c>
      <c r="G829" s="17">
        <v>28</v>
      </c>
      <c r="H829" s="47" t="str">
        <f t="shared" si="278"/>
        <v>NCP XHV</v>
      </c>
      <c r="I829" s="17"/>
      <c r="J829" s="435">
        <f t="shared" si="279"/>
        <v>0</v>
      </c>
      <c r="K829" s="435">
        <f t="shared" si="279"/>
        <v>0</v>
      </c>
      <c r="L829" s="435">
        <f t="shared" si="279"/>
        <v>0</v>
      </c>
      <c r="M829" s="435">
        <f t="shared" si="279"/>
        <v>0</v>
      </c>
      <c r="N829" s="435">
        <f t="shared" si="279"/>
        <v>0</v>
      </c>
      <c r="O829" s="435">
        <f t="shared" si="279"/>
        <v>0</v>
      </c>
      <c r="P829" s="435">
        <f t="shared" si="279"/>
        <v>0</v>
      </c>
      <c r="Q829" s="435">
        <f t="shared" si="279"/>
        <v>0</v>
      </c>
      <c r="R829" s="435">
        <f t="shared" si="279"/>
        <v>0</v>
      </c>
      <c r="S829" s="435">
        <f t="shared" si="279"/>
        <v>0</v>
      </c>
      <c r="T829" s="17"/>
      <c r="U829" s="118">
        <f t="shared" si="280"/>
        <v>0</v>
      </c>
      <c r="V829" s="67"/>
      <c r="W829" s="118">
        <f t="shared" si="262"/>
        <v>0</v>
      </c>
    </row>
    <row r="830" spans="1:23" ht="18" customHeight="1">
      <c r="A830" s="47"/>
      <c r="B830" s="17">
        <f t="shared" si="277"/>
        <v>12</v>
      </c>
      <c r="C830" s="8"/>
      <c r="D830" s="26" t="s">
        <v>666</v>
      </c>
      <c r="E830" s="20"/>
      <c r="F830" s="22">
        <f>SUM(F821:F829)</f>
        <v>9070156.5499999989</v>
      </c>
      <c r="G830" s="20"/>
      <c r="H830" s="20"/>
      <c r="I830" s="1010"/>
      <c r="J830" s="896">
        <f t="shared" si="281" ref="J830:Q830">SUM(J821:J829)</f>
        <v>5056656.6774227265</v>
      </c>
      <c r="K830" s="896">
        <f t="shared" si="281"/>
        <v>779606.2364921039</v>
      </c>
      <c r="L830" s="896">
        <f t="shared" si="281"/>
        <v>2404722.4055730635</v>
      </c>
      <c r="M830" s="896">
        <f t="shared" si="281"/>
        <v>33765.953782737459</v>
      </c>
      <c r="N830" s="896">
        <f t="shared" si="281"/>
        <v>704604.4967755602</v>
      </c>
      <c r="O830" s="896">
        <f>SUM(O821:O829)</f>
        <v>24078.453652861092</v>
      </c>
      <c r="P830" s="896">
        <f t="shared" si="281"/>
        <v>52416.941413536071</v>
      </c>
      <c r="Q830" s="896">
        <f t="shared" si="281"/>
        <v>5040.5871061240268</v>
      </c>
      <c r="R830" s="896">
        <f>SUM(R821:R829)</f>
        <v>2777.8902954661298</v>
      </c>
      <c r="S830" s="896">
        <f>SUM(S821:S829)</f>
        <v>6486.9074858215336</v>
      </c>
      <c r="T830" s="1010"/>
      <c r="U830" s="299">
        <f t="shared" si="280"/>
        <v>9070156.5500000007</v>
      </c>
      <c r="V830" s="67"/>
      <c r="W830" s="118">
        <f t="shared" si="262"/>
        <v>0</v>
      </c>
    </row>
    <row r="831" spans="1:23" ht="18" customHeight="1">
      <c r="A831" s="47"/>
      <c r="B831" s="17">
        <f t="shared" si="277"/>
        <v>13</v>
      </c>
      <c r="C831" s="1"/>
      <c r="D831" s="366"/>
      <c r="E831" s="17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"/>
      <c r="V831" s="67"/>
      <c r="W831" s="118">
        <f t="shared" si="262"/>
        <v>0</v>
      </c>
    </row>
    <row r="832" spans="1:23" ht="18" customHeight="1">
      <c r="A832" s="47"/>
      <c r="B832" s="17">
        <f t="shared" si="277"/>
        <v>14</v>
      </c>
      <c r="C832" s="1" t="s">
        <v>191</v>
      </c>
      <c r="D832" s="31" t="s">
        <v>162</v>
      </c>
      <c r="E832" s="17"/>
      <c r="F832" s="118">
        <f>' WP II-I-1.4'!H832</f>
        <v>544302.93000000005</v>
      </c>
      <c r="G832" s="17">
        <v>82</v>
      </c>
      <c r="H832" s="47" t="str">
        <f>VLOOKUP(G832,FactorTable,2)</f>
        <v>PAY DISTR OPS</v>
      </c>
      <c r="I832" s="17"/>
      <c r="J832" s="434">
        <f t="shared" si="282" ref="J832:Q832">$F832*HLOOKUP(J$1318,FactorTable,$G832+1)</f>
        <v>303451.54798075178</v>
      </c>
      <c r="K832" s="434">
        <f t="shared" si="282"/>
        <v>46784.413965702173</v>
      </c>
      <c r="L832" s="434">
        <f t="shared" si="282"/>
        <v>144308.14330212047</v>
      </c>
      <c r="M832" s="434">
        <f t="shared" si="282"/>
        <v>2026.3054421247648</v>
      </c>
      <c r="N832" s="434">
        <f t="shared" si="282"/>
        <v>42283.53611891219</v>
      </c>
      <c r="O832" s="434">
        <f>$F832*HLOOKUP(O$1318,FactorTable,$G832+1)</f>
        <v>1444.9555309077323</v>
      </c>
      <c r="P832" s="434">
        <f t="shared" si="282"/>
        <v>3145.5570403606789</v>
      </c>
      <c r="Q832" s="434">
        <f t="shared" si="282"/>
        <v>302.48720798358534</v>
      </c>
      <c r="R832" s="434">
        <f>$F832*HLOOKUP(R$1318,FactorTable,$G832+1)</f>
        <v>166.70206503114659</v>
      </c>
      <c r="S832" s="434">
        <f>$F832*HLOOKUP(S$1318,FactorTable,$G832+1)</f>
        <v>389.28134610549745</v>
      </c>
      <c r="T832" s="17"/>
      <c r="U832" s="118">
        <f>SUM(I832:T832)</f>
        <v>544302.93000000005</v>
      </c>
      <c r="V832" s="67"/>
      <c r="W832" s="118">
        <f t="shared" si="262"/>
        <v>0</v>
      </c>
    </row>
    <row r="833" spans="1:23" ht="18" customHeight="1">
      <c r="A833" s="47"/>
      <c r="B833" s="17">
        <f t="shared" si="277"/>
        <v>15</v>
      </c>
      <c r="C833" s="1"/>
      <c r="D833" s="366"/>
      <c r="E833" s="17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"/>
      <c r="V833" s="67"/>
      <c r="W833" s="118">
        <f t="shared" si="262"/>
        <v>0</v>
      </c>
    </row>
    <row r="834" spans="1:23" ht="18" customHeight="1">
      <c r="A834" s="47"/>
      <c r="B834" s="17">
        <f t="shared" si="277"/>
        <v>16</v>
      </c>
      <c r="C834" s="1"/>
      <c r="D834" s="366" t="s">
        <v>667</v>
      </c>
      <c r="E834" s="20" t="s">
        <v>279</v>
      </c>
      <c r="F834" s="22">
        <f>F830+F832</f>
        <v>9614459.4799999986</v>
      </c>
      <c r="G834" s="20"/>
      <c r="H834" s="20"/>
      <c r="I834" s="1010"/>
      <c r="J834" s="896">
        <f t="shared" si="283" ref="J834:Q834">J830+J832</f>
        <v>5360108.2254034784</v>
      </c>
      <c r="K834" s="896">
        <f t="shared" si="283"/>
        <v>826390.65045780607</v>
      </c>
      <c r="L834" s="896">
        <f t="shared" si="283"/>
        <v>2549030.5488751838</v>
      </c>
      <c r="M834" s="896">
        <f t="shared" si="283"/>
        <v>35792.259224862224</v>
      </c>
      <c r="N834" s="896">
        <f t="shared" si="283"/>
        <v>746888.03289447236</v>
      </c>
      <c r="O834" s="896">
        <f>O830+O832</f>
        <v>25523.409183768825</v>
      </c>
      <c r="P834" s="896">
        <f t="shared" si="283"/>
        <v>55562.498453896747</v>
      </c>
      <c r="Q834" s="896">
        <f t="shared" si="283"/>
        <v>5343.0743141076118</v>
      </c>
      <c r="R834" s="896">
        <f>R830+R832</f>
        <v>2944.5923604972763</v>
      </c>
      <c r="S834" s="896">
        <f>S830+S832</f>
        <v>6876.1888319270311</v>
      </c>
      <c r="T834" s="1010"/>
      <c r="U834" s="299">
        <f>SUM(I834:T834)</f>
        <v>9614459.4799999986</v>
      </c>
      <c r="V834" s="67"/>
      <c r="W834" s="118">
        <f t="shared" si="262"/>
        <v>0</v>
      </c>
    </row>
    <row r="835" spans="1:23" ht="18" customHeight="1">
      <c r="A835" s="47"/>
      <c r="B835" s="17">
        <f t="shared" si="277"/>
        <v>17</v>
      </c>
      <c r="C835" s="1"/>
      <c r="D835" s="366"/>
      <c r="E835" s="17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"/>
      <c r="V835" s="67"/>
      <c r="W835" s="118">
        <f t="shared" si="262"/>
        <v>0</v>
      </c>
    </row>
    <row r="836" spans="1:23" ht="18" customHeight="1">
      <c r="A836" s="47"/>
      <c r="B836" s="17">
        <f t="shared" si="277"/>
        <v>18</v>
      </c>
      <c r="C836" s="8"/>
      <c r="D836" s="366" t="s">
        <v>662</v>
      </c>
      <c r="E836" s="20" t="s">
        <v>279</v>
      </c>
      <c r="F836" s="22"/>
      <c r="G836" s="20"/>
      <c r="H836" s="20"/>
      <c r="I836" s="1010"/>
      <c r="J836" s="1059"/>
      <c r="K836" s="1059"/>
      <c r="L836" s="1059"/>
      <c r="M836" s="1059"/>
      <c r="N836" s="1059"/>
      <c r="O836" s="1059"/>
      <c r="P836" s="1059"/>
      <c r="Q836" s="1059"/>
      <c r="R836" s="1059"/>
      <c r="S836" s="1059"/>
      <c r="T836" s="1010"/>
      <c r="U836" s="8"/>
      <c r="V836" s="67"/>
      <c r="W836" s="118">
        <f t="shared" si="262"/>
        <v>0</v>
      </c>
    </row>
    <row r="837" spans="1:23" ht="18" customHeight="1">
      <c r="A837" s="47"/>
      <c r="B837" s="17">
        <f t="shared" si="277"/>
        <v>19</v>
      </c>
      <c r="C837" s="1" t="s">
        <v>209</v>
      </c>
      <c r="D837" s="1" t="s">
        <v>181</v>
      </c>
      <c r="E837" s="17"/>
      <c r="F837" s="118">
        <f>' WP II-I-1.4'!H837</f>
        <v>0</v>
      </c>
      <c r="G837" s="17">
        <v>43</v>
      </c>
      <c r="H837" s="47" t="str">
        <f t="shared" si="284" ref="H837:H844">VLOOKUP(G837,FactorTable,2)</f>
        <v>PLT 361</v>
      </c>
      <c r="I837" s="17"/>
      <c r="J837" s="434">
        <f t="shared" si="285" ref="J837:S844">$F837*HLOOKUP(J$1318,FactorTable,$G837+1)</f>
        <v>0</v>
      </c>
      <c r="K837" s="434">
        <f t="shared" si="285"/>
        <v>0</v>
      </c>
      <c r="L837" s="434">
        <f t="shared" si="285"/>
        <v>0</v>
      </c>
      <c r="M837" s="434">
        <f t="shared" si="285"/>
        <v>0</v>
      </c>
      <c r="N837" s="434">
        <f t="shared" si="285"/>
        <v>0</v>
      </c>
      <c r="O837" s="434">
        <f t="shared" si="285"/>
        <v>0</v>
      </c>
      <c r="P837" s="434">
        <f t="shared" si="285"/>
        <v>0</v>
      </c>
      <c r="Q837" s="434">
        <f t="shared" si="285"/>
        <v>0</v>
      </c>
      <c r="R837" s="434">
        <f t="shared" si="285"/>
        <v>0</v>
      </c>
      <c r="S837" s="434">
        <f t="shared" si="285"/>
        <v>0</v>
      </c>
      <c r="T837" s="17"/>
      <c r="U837" s="118">
        <f t="shared" si="286" ref="U837:U845">SUM(I837:T837)</f>
        <v>0</v>
      </c>
      <c r="V837" s="67"/>
      <c r="W837" s="118">
        <f t="shared" si="262"/>
        <v>0</v>
      </c>
    </row>
    <row r="838" spans="1:23" ht="18" customHeight="1">
      <c r="A838" s="47"/>
      <c r="B838" s="17">
        <f t="shared" si="277"/>
        <v>20</v>
      </c>
      <c r="C838" s="1" t="s">
        <v>210</v>
      </c>
      <c r="D838" s="31" t="s">
        <v>183</v>
      </c>
      <c r="E838" s="17"/>
      <c r="F838" s="118">
        <f>' WP II-I-1.4'!H838</f>
        <v>0</v>
      </c>
      <c r="G838" s="17">
        <v>44</v>
      </c>
      <c r="H838" s="47" t="str">
        <f t="shared" si="284"/>
        <v>PLT 362</v>
      </c>
      <c r="I838" s="17"/>
      <c r="J838" s="434">
        <f t="shared" si="285"/>
        <v>0</v>
      </c>
      <c r="K838" s="434">
        <f t="shared" si="285"/>
        <v>0</v>
      </c>
      <c r="L838" s="434">
        <f t="shared" si="285"/>
        <v>0</v>
      </c>
      <c r="M838" s="434">
        <f t="shared" si="285"/>
        <v>0</v>
      </c>
      <c r="N838" s="434">
        <f t="shared" si="285"/>
        <v>0</v>
      </c>
      <c r="O838" s="434">
        <f t="shared" si="285"/>
        <v>0</v>
      </c>
      <c r="P838" s="434">
        <f t="shared" si="285"/>
        <v>0</v>
      </c>
      <c r="Q838" s="434">
        <f t="shared" si="285"/>
        <v>0</v>
      </c>
      <c r="R838" s="434">
        <f t="shared" si="285"/>
        <v>0</v>
      </c>
      <c r="S838" s="434">
        <f t="shared" si="285"/>
        <v>0</v>
      </c>
      <c r="T838" s="17"/>
      <c r="U838" s="118">
        <f t="shared" si="286"/>
        <v>0</v>
      </c>
      <c r="V838" s="67"/>
      <c r="W838" s="118">
        <f t="shared" si="287" ref="W838:W901">U838-F838</f>
        <v>0</v>
      </c>
    </row>
    <row r="839" spans="1:23" ht="18" customHeight="1">
      <c r="A839" s="47"/>
      <c r="B839" s="17">
        <f t="shared" si="277"/>
        <v>21</v>
      </c>
      <c r="C839" s="1" t="s">
        <v>211</v>
      </c>
      <c r="D839" s="1" t="s">
        <v>185</v>
      </c>
      <c r="E839" s="17"/>
      <c r="F839" s="118">
        <f>' WP II-I-1.4'!H839</f>
        <v>58540.660000000003</v>
      </c>
      <c r="G839" s="17">
        <v>51</v>
      </c>
      <c r="H839" s="47" t="str">
        <f t="shared" si="284"/>
        <v>PLT 370</v>
      </c>
      <c r="I839" s="17"/>
      <c r="J839" s="434">
        <f t="shared" si="285"/>
        <v>32636.699807743771</v>
      </c>
      <c r="K839" s="434">
        <f t="shared" si="285"/>
        <v>5031.7386233161978</v>
      </c>
      <c r="L839" s="434">
        <f t="shared" si="285"/>
        <v>15520.571847809193</v>
      </c>
      <c r="M839" s="434">
        <f t="shared" si="285"/>
        <v>217.93239439206383</v>
      </c>
      <c r="N839" s="434">
        <f t="shared" si="285"/>
        <v>4547.6620050406282</v>
      </c>
      <c r="O839" s="434">
        <f t="shared" si="285"/>
        <v>155.40728070619696</v>
      </c>
      <c r="P839" s="434">
        <f t="shared" si="285"/>
        <v>338.30969569118264</v>
      </c>
      <c r="Q839" s="434">
        <f t="shared" si="285"/>
        <v>32.532983497151356</v>
      </c>
      <c r="R839" s="434">
        <f t="shared" si="285"/>
        <v>17.931609312253496</v>
      </c>
      <c r="S839" s="434">
        <f t="shared" si="285"/>
        <v>41.873752491354487</v>
      </c>
      <c r="T839" s="17"/>
      <c r="U839" s="118">
        <f t="shared" si="286"/>
        <v>58540.659999999989</v>
      </c>
      <c r="V839" s="67"/>
      <c r="W839" s="118">
        <f t="shared" si="287"/>
        <v>0</v>
      </c>
    </row>
    <row r="840" spans="1:23" ht="18" customHeight="1">
      <c r="A840" s="47"/>
      <c r="B840" s="17">
        <f t="shared" si="277"/>
        <v>22</v>
      </c>
      <c r="C840" s="1" t="s">
        <v>212</v>
      </c>
      <c r="D840" s="1" t="s">
        <v>187</v>
      </c>
      <c r="E840" s="17"/>
      <c r="F840" s="118">
        <f>' WP II-I-1.4'!H840</f>
        <v>9608.5100000000002</v>
      </c>
      <c r="G840" s="17">
        <v>51</v>
      </c>
      <c r="H840" s="47" t="str">
        <f t="shared" si="284"/>
        <v>PLT 370</v>
      </c>
      <c r="I840" s="17"/>
      <c r="J840" s="434">
        <f t="shared" si="285"/>
        <v>5356.7905874259723</v>
      </c>
      <c r="K840" s="434">
        <f t="shared" si="285"/>
        <v>825.8791561202064</v>
      </c>
      <c r="L840" s="434">
        <f t="shared" si="285"/>
        <v>2547.4528268966064</v>
      </c>
      <c r="M840" s="434">
        <f t="shared" si="285"/>
        <v>35.770105612749994</v>
      </c>
      <c r="N840" s="434">
        <f t="shared" si="285"/>
        <v>746.42574668705356</v>
      </c>
      <c r="O840" s="434">
        <f t="shared" si="285"/>
        <v>25.507611474457249</v>
      </c>
      <c r="P840" s="434">
        <f t="shared" si="285"/>
        <v>55.528108055933856</v>
      </c>
      <c r="Q840" s="434">
        <f t="shared" si="285"/>
        <v>5.3397672192662977</v>
      </c>
      <c r="R840" s="434">
        <f t="shared" si="285"/>
        <v>2.9431859393604523</v>
      </c>
      <c r="S840" s="434">
        <f t="shared" si="285"/>
        <v>6.8729045683923697</v>
      </c>
      <c r="T840" s="17"/>
      <c r="U840" s="118">
        <f t="shared" si="286"/>
        <v>9608.5099999999984</v>
      </c>
      <c r="V840" s="67"/>
      <c r="W840" s="118">
        <f t="shared" si="287"/>
        <v>0</v>
      </c>
    </row>
    <row r="841" spans="1:23" ht="18" customHeight="1">
      <c r="A841" s="47"/>
      <c r="B841" s="17">
        <f t="shared" si="277"/>
        <v>23</v>
      </c>
      <c r="C841" s="1" t="s">
        <v>213</v>
      </c>
      <c r="D841" s="1" t="s">
        <v>214</v>
      </c>
      <c r="E841" s="17"/>
      <c r="F841" s="118">
        <f>' WP II-I-1.4'!H841</f>
        <v>207.96000000000001</v>
      </c>
      <c r="G841" s="17">
        <v>51</v>
      </c>
      <c r="H841" s="47" t="str">
        <f t="shared" si="284"/>
        <v>PLT 370</v>
      </c>
      <c r="I841" s="17"/>
      <c r="J841" s="434">
        <f t="shared" si="285"/>
        <v>115.93870127221652</v>
      </c>
      <c r="K841" s="434">
        <f t="shared" si="285"/>
        <v>17.874761987733596</v>
      </c>
      <c r="L841" s="434">
        <f t="shared" si="285"/>
        <v>55.135321697268182</v>
      </c>
      <c r="M841" s="434">
        <f t="shared" si="285"/>
        <v>0.77418363130469647</v>
      </c>
      <c r="N841" s="434">
        <f t="shared" si="285"/>
        <v>16.155126890749933</v>
      </c>
      <c r="O841" s="434">
        <f t="shared" si="285"/>
        <v>0.55206924718068984</v>
      </c>
      <c r="P841" s="434">
        <f t="shared" si="285"/>
        <v>1.2018122842471939</v>
      </c>
      <c r="Q841" s="434">
        <f t="shared" si="285"/>
        <v>0.11557025916803118</v>
      </c>
      <c r="R841" s="434">
        <f t="shared" si="285"/>
        <v>0.063700297751618062</v>
      </c>
      <c r="S841" s="434">
        <f t="shared" si="285"/>
        <v>0.1487524323795133</v>
      </c>
      <c r="T841" s="17"/>
      <c r="U841" s="118">
        <f t="shared" si="286"/>
        <v>207.95999999999998</v>
      </c>
      <c r="V841" s="67"/>
      <c r="W841" s="118">
        <f t="shared" si="287"/>
        <v>0</v>
      </c>
    </row>
    <row r="842" spans="1:23" ht="18" customHeight="1">
      <c r="A842" s="47"/>
      <c r="B842" s="17">
        <f t="shared" si="277"/>
        <v>24</v>
      </c>
      <c r="C842" s="1" t="s">
        <v>215</v>
      </c>
      <c r="D842" s="1" t="s">
        <v>216</v>
      </c>
      <c r="E842" s="17"/>
      <c r="F842" s="118">
        <f>' WP II-I-1.4'!H842</f>
        <v>4.0099999999999998</v>
      </c>
      <c r="G842" s="17">
        <v>33</v>
      </c>
      <c r="H842" s="47" t="str">
        <f t="shared" si="284"/>
        <v>NCP LGT</v>
      </c>
      <c r="I842" s="17"/>
      <c r="J842" s="434">
        <f t="shared" si="285"/>
        <v>0</v>
      </c>
      <c r="K842" s="434">
        <f t="shared" si="285"/>
        <v>0</v>
      </c>
      <c r="L842" s="434">
        <f t="shared" si="285"/>
        <v>0</v>
      </c>
      <c r="M842" s="434">
        <f t="shared" si="285"/>
        <v>0</v>
      </c>
      <c r="N842" s="434">
        <f t="shared" si="285"/>
        <v>0</v>
      </c>
      <c r="O842" s="434">
        <f t="shared" si="285"/>
        <v>0</v>
      </c>
      <c r="P842" s="434">
        <f t="shared" si="285"/>
        <v>0</v>
      </c>
      <c r="Q842" s="434">
        <f t="shared" si="285"/>
        <v>4.0099999999999998</v>
      </c>
      <c r="R842" s="434">
        <f t="shared" si="285"/>
        <v>0</v>
      </c>
      <c r="S842" s="434">
        <f t="shared" si="285"/>
        <v>0</v>
      </c>
      <c r="T842" s="17"/>
      <c r="U842" s="118">
        <f t="shared" si="286"/>
        <v>4.0099999999999998</v>
      </c>
      <c r="V842" s="67"/>
      <c r="W842" s="118">
        <f t="shared" si="287"/>
        <v>0</v>
      </c>
    </row>
    <row r="843" spans="1:23" ht="18" customHeight="1">
      <c r="A843" s="47"/>
      <c r="B843" s="17">
        <f t="shared" si="277"/>
        <v>25</v>
      </c>
      <c r="C843" s="1" t="s">
        <v>217</v>
      </c>
      <c r="D843" s="1" t="s">
        <v>218</v>
      </c>
      <c r="E843" s="17"/>
      <c r="F843" s="118">
        <f>' WP II-I-1.4'!H843</f>
        <v>12685192.529999999</v>
      </c>
      <c r="G843" s="17">
        <v>6</v>
      </c>
      <c r="H843" s="47" t="str">
        <f t="shared" si="284"/>
        <v>CUS W ALL</v>
      </c>
      <c r="I843" s="17"/>
      <c r="J843" s="434">
        <f t="shared" si="285"/>
        <v>7072055.9113109382</v>
      </c>
      <c r="K843" s="434">
        <f t="shared" si="285"/>
        <v>1090328.8961450574</v>
      </c>
      <c r="L843" s="434">
        <f t="shared" si="285"/>
        <v>3363157.198179137</v>
      </c>
      <c r="M843" s="434">
        <f t="shared" si="285"/>
        <v>47223.833509687487</v>
      </c>
      <c r="N843" s="434">
        <f t="shared" si="285"/>
        <v>985434.1938629701</v>
      </c>
      <c r="O843" s="434">
        <f t="shared" si="285"/>
        <v>33675.248559238367</v>
      </c>
      <c r="P843" s="434">
        <f t="shared" si="285"/>
        <v>73308.425709726595</v>
      </c>
      <c r="Q843" s="434">
        <f t="shared" si="285"/>
        <v>7049.5815940011216</v>
      </c>
      <c r="R843" s="434">
        <f t="shared" si="285"/>
        <v>3885.6056029890424</v>
      </c>
      <c r="S843" s="434">
        <f t="shared" si="285"/>
        <v>9073.635526254724</v>
      </c>
      <c r="T843" s="17"/>
      <c r="U843" s="118">
        <f t="shared" si="286"/>
        <v>12685192.530000001</v>
      </c>
      <c r="V843" s="67"/>
      <c r="W843" s="118">
        <f t="shared" si="287"/>
        <v>0</v>
      </c>
    </row>
    <row r="844" spans="1:23" ht="18" customHeight="1">
      <c r="A844" s="47"/>
      <c r="B844" s="17">
        <f t="shared" si="277"/>
        <v>26</v>
      </c>
      <c r="C844" s="1" t="s">
        <v>219</v>
      </c>
      <c r="D844" s="1" t="s">
        <v>220</v>
      </c>
      <c r="E844" s="17"/>
      <c r="F844" s="118">
        <f>' WP II-I-1.4'!H844</f>
        <v>0.56999999999999995</v>
      </c>
      <c r="G844" s="17">
        <v>72</v>
      </c>
      <c r="H844" s="47" t="str">
        <f t="shared" si="284"/>
        <v>DIST MAINT</v>
      </c>
      <c r="I844" s="17"/>
      <c r="J844" s="435">
        <f t="shared" si="285"/>
        <v>0.31747570738197739</v>
      </c>
      <c r="K844" s="435">
        <f t="shared" si="285"/>
        <v>0.048946578183726032</v>
      </c>
      <c r="L844" s="435">
        <f t="shared" si="285"/>
        <v>0.15097741362890169</v>
      </c>
      <c r="M844" s="435">
        <f t="shared" si="285"/>
        <v>0.0021199521237944565</v>
      </c>
      <c r="N844" s="435">
        <f t="shared" si="285"/>
        <v>0.044237690100083257</v>
      </c>
      <c r="O844" s="435">
        <f t="shared" si="285"/>
        <v>0.0015117348465117444</v>
      </c>
      <c r="P844" s="435">
        <f t="shared" si="285"/>
        <v>0.003290930473560182</v>
      </c>
      <c r="Q844" s="435">
        <f t="shared" si="285"/>
        <v>0.00085823255476576577</v>
      </c>
      <c r="R844" s="435">
        <f t="shared" si="285"/>
        <v>0.0001744309438282782</v>
      </c>
      <c r="S844" s="435">
        <f t="shared" si="285"/>
        <v>0.00040732976285109366</v>
      </c>
      <c r="T844" s="17"/>
      <c r="U844" s="118">
        <f t="shared" si="286"/>
        <v>0.57000000000000006</v>
      </c>
      <c r="V844" s="67"/>
      <c r="W844" s="118">
        <f t="shared" si="287"/>
        <v>0</v>
      </c>
    </row>
    <row r="845" spans="1:23" ht="18" customHeight="1">
      <c r="A845" s="47"/>
      <c r="B845" s="17">
        <f t="shared" si="277"/>
        <v>27</v>
      </c>
      <c r="C845" s="8"/>
      <c r="D845" s="26" t="s">
        <v>668</v>
      </c>
      <c r="E845" s="20"/>
      <c r="F845" s="22">
        <f>SUM(F837:F844)</f>
        <v>12753554.24</v>
      </c>
      <c r="G845" s="20"/>
      <c r="H845" s="20"/>
      <c r="I845" s="1010"/>
      <c r="J845" s="896">
        <f t="shared" si="288" ref="J845:Q845">SUM(J837:J844)</f>
        <v>7110165.6578830872</v>
      </c>
      <c r="K845" s="896">
        <f t="shared" si="288"/>
        <v>1096204.4376330599</v>
      </c>
      <c r="L845" s="896">
        <f t="shared" si="288"/>
        <v>3381280.5091529535</v>
      </c>
      <c r="M845" s="896">
        <f t="shared" si="288"/>
        <v>47478.312313275725</v>
      </c>
      <c r="N845" s="896">
        <f t="shared" si="288"/>
        <v>990744.48097927857</v>
      </c>
      <c r="O845" s="896">
        <f>SUM(O837:O844)</f>
        <v>33856.717032401044</v>
      </c>
      <c r="P845" s="896">
        <f t="shared" si="288"/>
        <v>73703.468616688435</v>
      </c>
      <c r="Q845" s="896">
        <f t="shared" si="288"/>
        <v>7091.5807732092617</v>
      </c>
      <c r="R845" s="896">
        <f>SUM(R837:R844)</f>
        <v>3906.5442729693518</v>
      </c>
      <c r="S845" s="896">
        <f>SUM(S837:S844)</f>
        <v>9122.5313430766128</v>
      </c>
      <c r="T845" s="1010"/>
      <c r="U845" s="299">
        <f t="shared" si="286"/>
        <v>12753554.24</v>
      </c>
      <c r="V845" s="67"/>
      <c r="W845" s="118">
        <f t="shared" si="287"/>
        <v>0</v>
      </c>
    </row>
    <row r="846" spans="1:23" ht="18" customHeight="1">
      <c r="A846" s="47"/>
      <c r="B846" s="17">
        <f t="shared" si="277"/>
        <v>28</v>
      </c>
      <c r="C846" s="1"/>
      <c r="D846" s="366"/>
      <c r="E846" s="17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"/>
      <c r="V846" s="67"/>
      <c r="W846" s="118">
        <f t="shared" si="287"/>
        <v>0</v>
      </c>
    </row>
    <row r="847" spans="1:23" ht="18" customHeight="1">
      <c r="A847" s="47"/>
      <c r="B847" s="17">
        <f t="shared" si="277"/>
        <v>29</v>
      </c>
      <c r="C847" s="1" t="s">
        <v>208</v>
      </c>
      <c r="D847" s="31" t="s">
        <v>179</v>
      </c>
      <c r="E847" s="17"/>
      <c r="F847" s="118">
        <f>' WP II-I-1.4'!H847</f>
        <v>704407.51000000001</v>
      </c>
      <c r="G847" s="17">
        <v>83</v>
      </c>
      <c r="H847" s="47" t="str">
        <f>VLOOKUP(G847,FactorTable,2)</f>
        <v>PAY DISTR MNT</v>
      </c>
      <c r="I847" s="17"/>
      <c r="J847" s="434">
        <f t="shared" si="289" ref="J847:Q847">$F847*HLOOKUP(J$1318,FactorTable,$G847+1)</f>
        <v>392710.45486665348</v>
      </c>
      <c r="K847" s="434">
        <f t="shared" si="289"/>
        <v>60545.838738994069</v>
      </c>
      <c r="L847" s="434">
        <f t="shared" si="289"/>
        <v>186755.73406774207</v>
      </c>
      <c r="M847" s="434">
        <f t="shared" si="289"/>
        <v>2622.3340667422367</v>
      </c>
      <c r="N847" s="434">
        <f t="shared" si="289"/>
        <v>54721.047933760616</v>
      </c>
      <c r="O847" s="434">
        <f>$F847*HLOOKUP(O$1318,FactorTable,$G847+1)</f>
        <v>1869.9826960212315</v>
      </c>
      <c r="P847" s="434">
        <f t="shared" si="289"/>
        <v>4070.8084844154509</v>
      </c>
      <c r="Q847" s="434">
        <f t="shared" si="289"/>
        <v>391.68396984997736</v>
      </c>
      <c r="R847" s="434">
        <f>$F847*HLOOKUP(R$1318,FactorTable,$G847+1)</f>
        <v>215.76723415629596</v>
      </c>
      <c r="S847" s="434">
        <f>$F847*HLOOKUP(S$1318,FactorTable,$G847+1)</f>
        <v>503.85794166454667</v>
      </c>
      <c r="T847" s="17"/>
      <c r="U847" s="118">
        <f>SUM(I847:T847)</f>
        <v>704407.50999999978</v>
      </c>
      <c r="V847" s="67"/>
      <c r="W847" s="118">
        <f t="shared" si="287"/>
        <v>0</v>
      </c>
    </row>
    <row r="848" spans="1:23" ht="18" customHeight="1">
      <c r="A848" s="47"/>
      <c r="B848" s="17">
        <f t="shared" si="277"/>
        <v>30</v>
      </c>
      <c r="C848" s="1"/>
      <c r="D848" s="366"/>
      <c r="E848" s="17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"/>
      <c r="V848" s="67"/>
      <c r="W848" s="118">
        <f t="shared" si="287"/>
        <v>0</v>
      </c>
    </row>
    <row r="849" spans="1:23" ht="18" customHeight="1">
      <c r="A849" s="47"/>
      <c r="B849" s="17">
        <f t="shared" si="277"/>
        <v>31</v>
      </c>
      <c r="C849" s="1"/>
      <c r="D849" s="366" t="s">
        <v>669</v>
      </c>
      <c r="E849" s="20" t="s">
        <v>279</v>
      </c>
      <c r="F849" s="22">
        <f>F845+F847</f>
        <v>13457961.75</v>
      </c>
      <c r="G849" s="20"/>
      <c r="H849" s="20"/>
      <c r="I849" s="20"/>
      <c r="J849" s="896">
        <f t="shared" si="290" ref="J849:Q849">J845+J847</f>
        <v>7502876.1127497405</v>
      </c>
      <c r="K849" s="896">
        <f t="shared" si="290"/>
        <v>1156750.2763720539</v>
      </c>
      <c r="L849" s="896">
        <f t="shared" si="290"/>
        <v>3568036.2432206958</v>
      </c>
      <c r="M849" s="896">
        <f t="shared" si="290"/>
        <v>50100.646380017963</v>
      </c>
      <c r="N849" s="896">
        <f t="shared" si="290"/>
        <v>1045465.5289130391</v>
      </c>
      <c r="O849" s="896">
        <f>O845+O847</f>
        <v>35726.699728422274</v>
      </c>
      <c r="P849" s="896">
        <f t="shared" si="290"/>
        <v>77774.277101103886</v>
      </c>
      <c r="Q849" s="896">
        <f t="shared" si="290"/>
        <v>7483.2647430592388</v>
      </c>
      <c r="R849" s="896">
        <f>R845+R847</f>
        <v>4122.3115071256479</v>
      </c>
      <c r="S849" s="896">
        <f>S845+S847</f>
        <v>9626.3892847411589</v>
      </c>
      <c r="T849" s="20"/>
      <c r="U849" s="299">
        <f>SUM(I849:T849)</f>
        <v>13457961.750000002</v>
      </c>
      <c r="V849" s="67"/>
      <c r="W849" s="118">
        <f t="shared" si="287"/>
        <v>0</v>
      </c>
    </row>
    <row r="850" spans="1:23" ht="18" customHeight="1" thickBot="1">
      <c r="A850" s="47"/>
      <c r="B850" s="17">
        <f t="shared" si="277"/>
        <v>32</v>
      </c>
      <c r="C850" s="1"/>
      <c r="D850" s="366"/>
      <c r="E850" s="17"/>
      <c r="F850" s="19"/>
      <c r="G850" s="17"/>
      <c r="H850" s="17"/>
      <c r="I850" s="17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7"/>
      <c r="U850" s="1"/>
      <c r="V850" s="67"/>
      <c r="W850" s="118">
        <f t="shared" si="287"/>
        <v>0</v>
      </c>
    </row>
    <row r="851" spans="1:23" ht="18" customHeight="1" thickBot="1">
      <c r="A851" s="47"/>
      <c r="B851" s="17">
        <f t="shared" si="277"/>
        <v>33</v>
      </c>
      <c r="C851" s="870" t="s">
        <v>670</v>
      </c>
      <c r="D851" s="1017"/>
      <c r="E851" s="1013" t="s">
        <v>279</v>
      </c>
      <c r="F851" s="1014">
        <f>F834+F849</f>
        <v>23072421.229999997</v>
      </c>
      <c r="G851" s="1013"/>
      <c r="H851" s="1013"/>
      <c r="I851" s="1016"/>
      <c r="J851" s="1014">
        <f t="shared" si="291" ref="J851:Q851">J834+J849</f>
        <v>12862984.338153219</v>
      </c>
      <c r="K851" s="1014">
        <f t="shared" si="291"/>
        <v>1983140.9268298601</v>
      </c>
      <c r="L851" s="1014">
        <f t="shared" si="291"/>
        <v>6117066.7920958791</v>
      </c>
      <c r="M851" s="1014">
        <f t="shared" si="291"/>
        <v>85892.905604880187</v>
      </c>
      <c r="N851" s="1014">
        <f t="shared" si="291"/>
        <v>1792353.5618075114</v>
      </c>
      <c r="O851" s="1014">
        <f>O834+O849</f>
        <v>61250.108912191099</v>
      </c>
      <c r="P851" s="1014">
        <f t="shared" si="291"/>
        <v>133336.77555500064</v>
      </c>
      <c r="Q851" s="1014">
        <f t="shared" si="291"/>
        <v>12826.33905716685</v>
      </c>
      <c r="R851" s="1014">
        <f>R834+R849</f>
        <v>7066.9038676229247</v>
      </c>
      <c r="S851" s="1014">
        <f>S834+S849</f>
        <v>16502.578116668192</v>
      </c>
      <c r="T851" s="1016"/>
      <c r="U851" s="1015">
        <f>SUM(I851:T851)</f>
        <v>23072421.229999997</v>
      </c>
      <c r="V851" s="67"/>
      <c r="W851" s="118">
        <f t="shared" si="287"/>
        <v>0</v>
      </c>
    </row>
    <row r="852" spans="1:23" ht="18" customHeight="1" thickBot="1">
      <c r="A852" s="47"/>
      <c r="B852" s="17"/>
      <c r="C852" s="1"/>
      <c r="D852" s="1"/>
      <c r="E852" s="17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"/>
      <c r="V852" s="67"/>
      <c r="W852" s="118">
        <f t="shared" si="287"/>
        <v>0</v>
      </c>
    </row>
    <row r="853" spans="1:23" ht="18" customHeight="1">
      <c r="A853" s="47"/>
      <c r="B853" s="920" t="str">
        <f>+$B$4</f>
        <v>2022 RATE CASE</v>
      </c>
      <c r="C853" s="935"/>
      <c r="D853" s="620"/>
      <c r="F853" s="12"/>
      <c r="H853" s="134"/>
      <c r="U853" s="134"/>
      <c r="V853" s="134">
        <f>$H$2</f>
        <v>0</v>
      </c>
      <c r="W853" s="118"/>
    </row>
    <row r="854" spans="1:23" ht="18" customHeight="1">
      <c r="A854" s="47"/>
      <c r="B854" s="917" t="str">
        <f>+$B$5</f>
        <v>ONCOR ELECTRIC DELIVERY COMPANY LLC</v>
      </c>
      <c r="C854" s="8"/>
      <c r="D854" s="621"/>
      <c r="F854" s="12"/>
      <c r="U854" s="134"/>
      <c r="V854" s="67"/>
      <c r="W854" s="118"/>
    </row>
    <row r="855" spans="1:23" ht="18" customHeight="1">
      <c r="A855" s="47"/>
      <c r="B855" s="917" t="str">
        <f>+$B$6</f>
        <v>II-I-1-MET:  CLASS REVENUE REQUIREMENT</v>
      </c>
      <c r="C855" s="85"/>
      <c r="D855" s="621"/>
      <c r="F855" s="12"/>
      <c r="U855" s="12"/>
      <c r="V855" s="67"/>
      <c r="W855" s="118"/>
    </row>
    <row r="856" spans="1:23" ht="18" customHeight="1">
      <c r="A856" s="47"/>
      <c r="B856" s="406" t="str">
        <f>+$B$7</f>
        <v>TEST YEAR ENDING 12/31/2021</v>
      </c>
      <c r="C856" s="85"/>
      <c r="D856" s="621"/>
      <c r="F856" s="12"/>
      <c r="U856" s="12"/>
      <c r="V856" s="67"/>
      <c r="W856" s="118"/>
    </row>
    <row r="857" spans="1:23" ht="18" customHeight="1">
      <c r="A857" s="47"/>
      <c r="B857" s="406" t="str">
        <f>+$B$8</f>
        <v>SPONSOR:  MATTHEW A. TROXLE</v>
      </c>
      <c r="C857" s="85"/>
      <c r="D857" s="621"/>
      <c r="F857" s="12"/>
      <c r="U857" s="12"/>
      <c r="V857" s="67"/>
      <c r="W857" s="118"/>
    </row>
    <row r="858" spans="1:23" ht="18" customHeight="1" thickBot="1">
      <c r="A858" s="47"/>
      <c r="B858" s="410"/>
      <c r="C858" s="934"/>
      <c r="D858" s="622"/>
      <c r="F858" s="12"/>
      <c r="U858" s="12"/>
      <c r="V858" s="67"/>
      <c r="W858" s="118"/>
    </row>
    <row r="859" spans="1:23" ht="18" customHeight="1" thickBot="1">
      <c r="A859" s="47"/>
      <c r="B859" s="13"/>
      <c r="C859" s="14"/>
      <c r="D859" s="14"/>
      <c r="E859" s="14"/>
      <c r="F859" s="13"/>
      <c r="G859" s="14"/>
      <c r="H859" s="14"/>
      <c r="I859" s="14"/>
      <c r="J859" s="238"/>
      <c r="K859" s="238"/>
      <c r="L859" s="14"/>
      <c r="M859" s="238"/>
      <c r="N859" s="238"/>
      <c r="O859" s="238"/>
      <c r="P859" s="238"/>
      <c r="Q859" s="14"/>
      <c r="R859" s="393" t="str">
        <f>R$10</f>
        <v xml:space="preserve"> </v>
      </c>
      <c r="S859" s="394"/>
      <c r="T859" s="238"/>
      <c r="U859" s="13"/>
      <c r="V859" s="67"/>
      <c r="W859" s="118"/>
    </row>
    <row r="860" spans="1:23" ht="18" customHeight="1">
      <c r="A860" s="47"/>
      <c r="B860" s="15" t="s">
        <v>2</v>
      </c>
      <c r="C860" s="15" t="s">
        <v>370</v>
      </c>
      <c r="D860" s="287" t="s">
        <v>671</v>
      </c>
      <c r="E860" s="15" t="s">
        <v>371</v>
      </c>
      <c r="F860" s="287" t="str">
        <f>F$11</f>
        <v>MET</v>
      </c>
      <c r="G860" s="242" t="s">
        <v>741</v>
      </c>
      <c r="H860" s="242" t="s">
        <v>376</v>
      </c>
      <c r="I860" s="15"/>
      <c r="J860" s="242" t="s">
        <v>730</v>
      </c>
      <c r="K860" s="242" t="s">
        <v>409</v>
      </c>
      <c r="L860" s="15" t="s">
        <v>409</v>
      </c>
      <c r="M860" s="242" t="s">
        <v>410</v>
      </c>
      <c r="N860" s="242" t="s">
        <v>410</v>
      </c>
      <c r="O860" s="242" t="s">
        <v>410</v>
      </c>
      <c r="P860" s="242" t="s">
        <v>411</v>
      </c>
      <c r="Q860" s="15" t="s">
        <v>412</v>
      </c>
      <c r="R860" s="396" t="str">
        <f>R$11</f>
        <v>Wholesale</v>
      </c>
      <c r="S860" s="13" t="str">
        <f>S$11</f>
        <v>Wholesale</v>
      </c>
      <c r="T860" s="242"/>
      <c r="U860" s="15" t="s">
        <v>10</v>
      </c>
      <c r="V860" s="67"/>
      <c r="W860" s="118"/>
    </row>
    <row r="861" spans="1:23" ht="18" customHeight="1">
      <c r="A861" s="47"/>
      <c r="B861" s="15"/>
      <c r="C861" s="15"/>
      <c r="D861" s="15"/>
      <c r="E861" s="15"/>
      <c r="F861" s="15"/>
      <c r="G861" s="242" t="s">
        <v>742</v>
      </c>
      <c r="H861" s="242" t="s">
        <v>743</v>
      </c>
      <c r="I861" s="15"/>
      <c r="J861" s="242"/>
      <c r="K861" s="242" t="s">
        <v>731</v>
      </c>
      <c r="L861" s="15" t="s">
        <v>732</v>
      </c>
      <c r="M861" s="242" t="s">
        <v>731</v>
      </c>
      <c r="N861" s="242" t="s">
        <v>732</v>
      </c>
      <c r="O861" s="242" t="s">
        <v>414</v>
      </c>
      <c r="P861" s="242"/>
      <c r="Q861" s="15"/>
      <c r="R861" s="235" t="str">
        <f>R$12</f>
        <v>XFMR</v>
      </c>
      <c r="S861" s="15" t="str">
        <f>S$12</f>
        <v>DLS</v>
      </c>
      <c r="T861" s="242"/>
      <c r="U861" s="15"/>
      <c r="V861" s="67"/>
      <c r="W861" s="118"/>
    </row>
    <row r="862" spans="1:23" ht="18" customHeight="1" thickBot="1">
      <c r="A862" s="47"/>
      <c r="B862" s="16"/>
      <c r="C862" s="16"/>
      <c r="D862" s="16"/>
      <c r="E862" s="16"/>
      <c r="F862" s="16" t="s">
        <v>13</v>
      </c>
      <c r="G862" s="16" t="s">
        <v>14</v>
      </c>
      <c r="H862" s="16" t="s">
        <v>15</v>
      </c>
      <c r="I862" s="16"/>
      <c r="J862" s="243" t="str">
        <f t="shared" si="292" ref="J862:Q862">J$13</f>
        <v>(d)</v>
      </c>
      <c r="K862" s="243" t="str">
        <f t="shared" si="292"/>
        <v>(e)</v>
      </c>
      <c r="L862" s="16" t="str">
        <f t="shared" si="292"/>
        <v>(f)</v>
      </c>
      <c r="M862" s="243" t="str">
        <f t="shared" si="292"/>
        <v>(g)</v>
      </c>
      <c r="N862" s="243" t="str">
        <f t="shared" si="292"/>
        <v>(h)</v>
      </c>
      <c r="O862" s="243" t="str">
        <f>O$13</f>
        <v>(i)</v>
      </c>
      <c r="P862" s="243" t="str">
        <f t="shared" si="292"/>
        <v>(j)</v>
      </c>
      <c r="Q862" s="243" t="str">
        <f t="shared" si="292"/>
        <v>(k)</v>
      </c>
      <c r="R862" s="243" t="str">
        <f>R$13</f>
        <v>(l)</v>
      </c>
      <c r="S862" s="16" t="str">
        <f>S$13</f>
        <v>(m)</v>
      </c>
      <c r="T862" s="16"/>
      <c r="U862" s="16" t="s">
        <v>734</v>
      </c>
      <c r="V862" s="67"/>
      <c r="W862" s="118"/>
    </row>
    <row r="863" spans="1:23" ht="18" customHeight="1">
      <c r="A863" s="47"/>
      <c r="B863" s="67"/>
      <c r="C863" s="100"/>
      <c r="D863" s="100"/>
      <c r="E863" s="315"/>
      <c r="F863" s="373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1"/>
      <c r="V863" s="67"/>
      <c r="W863" s="118"/>
    </row>
    <row r="864" spans="1:23" ht="18" customHeight="1">
      <c r="A864" s="47"/>
      <c r="B864" s="17">
        <f t="shared" si="293" ref="B864:B902">B863+1</f>
        <v>1</v>
      </c>
      <c r="C864" s="8"/>
      <c r="D864" s="366" t="s">
        <v>283</v>
      </c>
      <c r="E864" s="20" t="s">
        <v>279</v>
      </c>
      <c r="F864" s="22"/>
      <c r="G864" s="20"/>
      <c r="H864" s="20"/>
      <c r="I864" s="1010"/>
      <c r="J864" s="1059"/>
      <c r="K864" s="1059"/>
      <c r="L864" s="1059"/>
      <c r="M864" s="1059"/>
      <c r="N864" s="1059"/>
      <c r="O864" s="1059"/>
      <c r="P864" s="1059"/>
      <c r="Q864" s="1059"/>
      <c r="R864" s="1059"/>
      <c r="S864" s="1059"/>
      <c r="T864" s="1059"/>
      <c r="U864" s="8"/>
      <c r="V864" s="67"/>
      <c r="W864" s="118">
        <f t="shared" si="287"/>
        <v>0</v>
      </c>
    </row>
    <row r="865" spans="1:23" ht="18" customHeight="1">
      <c r="A865" s="47"/>
      <c r="B865" s="17">
        <f t="shared" si="293"/>
        <v>2</v>
      </c>
      <c r="C865" s="1" t="s">
        <v>224</v>
      </c>
      <c r="D865" s="1" t="s">
        <v>225</v>
      </c>
      <c r="E865" s="17"/>
      <c r="F865" s="118">
        <f>' WP II-I-1.4'!H865</f>
        <v>0</v>
      </c>
      <c r="G865" s="17">
        <v>6</v>
      </c>
      <c r="H865" s="47" t="str">
        <f>VLOOKUP(G865,FactorTable,2)</f>
        <v>CUS W ALL</v>
      </c>
      <c r="I865" s="17"/>
      <c r="J865" s="434">
        <f t="shared" si="294" ref="J865:S866">$F865*HLOOKUP(J$1318,FactorTable,$G865+1)</f>
        <v>0</v>
      </c>
      <c r="K865" s="434">
        <f t="shared" si="294"/>
        <v>0</v>
      </c>
      <c r="L865" s="434">
        <f t="shared" si="294"/>
        <v>0</v>
      </c>
      <c r="M865" s="434">
        <f t="shared" si="294"/>
        <v>0</v>
      </c>
      <c r="N865" s="434">
        <f t="shared" si="294"/>
        <v>0</v>
      </c>
      <c r="O865" s="434">
        <f t="shared" si="294"/>
        <v>0</v>
      </c>
      <c r="P865" s="434">
        <f t="shared" si="294"/>
        <v>0</v>
      </c>
      <c r="Q865" s="434">
        <f t="shared" si="294"/>
        <v>0</v>
      </c>
      <c r="R865" s="434">
        <f t="shared" si="294"/>
        <v>0</v>
      </c>
      <c r="S865" s="434">
        <f t="shared" si="294"/>
        <v>0</v>
      </c>
      <c r="T865" s="17"/>
      <c r="U865" s="118">
        <f>SUM(I865:T865)</f>
        <v>0</v>
      </c>
      <c r="V865" s="67"/>
      <c r="W865" s="118">
        <f t="shared" si="287"/>
        <v>0</v>
      </c>
    </row>
    <row r="866" spans="1:23" ht="18" customHeight="1">
      <c r="A866" s="47"/>
      <c r="B866" s="17">
        <f t="shared" si="293"/>
        <v>3</v>
      </c>
      <c r="C866" s="1" t="s">
        <v>226</v>
      </c>
      <c r="D866" s="1" t="s">
        <v>227</v>
      </c>
      <c r="E866" s="17"/>
      <c r="F866" s="118">
        <f>' WP II-I-1.4'!H866</f>
        <v>8003098.5999999996</v>
      </c>
      <c r="G866" s="17">
        <v>6</v>
      </c>
      <c r="H866" s="47" t="str">
        <f>VLOOKUP(G866,FactorTable,2)</f>
        <v>CUS W ALL</v>
      </c>
      <c r="I866" s="17"/>
      <c r="J866" s="435">
        <f t="shared" si="294"/>
        <v>4461766.0022960873</v>
      </c>
      <c r="K866" s="435">
        <f t="shared" si="294"/>
        <v>687889.41449973045</v>
      </c>
      <c r="L866" s="435">
        <f t="shared" si="294"/>
        <v>2121818.6953546675</v>
      </c>
      <c r="M866" s="435">
        <f t="shared" si="294"/>
        <v>29793.556144631337</v>
      </c>
      <c r="N866" s="435">
        <f t="shared" si="294"/>
        <v>621711.25890643965</v>
      </c>
      <c r="O866" s="435">
        <f t="shared" si="294"/>
        <v>21245.742542868018</v>
      </c>
      <c r="P866" s="435">
        <f t="shared" si="294"/>
        <v>46250.347227935759</v>
      </c>
      <c r="Q866" s="435">
        <f t="shared" si="294"/>
        <v>4447.5869366671841</v>
      </c>
      <c r="R866" s="435">
        <f t="shared" si="294"/>
        <v>2451.4318318693868</v>
      </c>
      <c r="S866" s="435">
        <f t="shared" si="294"/>
        <v>5724.5642591030864</v>
      </c>
      <c r="T866" s="17"/>
      <c r="U866" s="118">
        <f>SUM(I866:T866)</f>
        <v>8003098.6000000015</v>
      </c>
      <c r="V866" s="67"/>
      <c r="W866" s="118">
        <f t="shared" si="287"/>
        <v>0</v>
      </c>
    </row>
    <row r="867" spans="1:23" ht="18" customHeight="1">
      <c r="A867" s="47"/>
      <c r="B867" s="17">
        <f t="shared" si="293"/>
        <v>4</v>
      </c>
      <c r="C867" s="8"/>
      <c r="D867" s="26" t="s">
        <v>649</v>
      </c>
      <c r="E867" s="20"/>
      <c r="F867" s="22">
        <f>+F865+F866</f>
        <v>8003098.5999999996</v>
      </c>
      <c r="G867" s="20"/>
      <c r="H867" s="20"/>
      <c r="I867" s="1010"/>
      <c r="J867" s="896">
        <f t="shared" si="295" ref="J867:Q867">+J865+J866</f>
        <v>4461766.0022960873</v>
      </c>
      <c r="K867" s="896">
        <f t="shared" si="295"/>
        <v>687889.41449973045</v>
      </c>
      <c r="L867" s="896">
        <f t="shared" si="295"/>
        <v>2121818.6953546675</v>
      </c>
      <c r="M867" s="896">
        <f t="shared" si="295"/>
        <v>29793.556144631337</v>
      </c>
      <c r="N867" s="896">
        <f t="shared" si="295"/>
        <v>621711.25890643965</v>
      </c>
      <c r="O867" s="896">
        <f>+O865+O866</f>
        <v>21245.742542868018</v>
      </c>
      <c r="P867" s="896">
        <f t="shared" si="295"/>
        <v>46250.347227935759</v>
      </c>
      <c r="Q867" s="896">
        <f t="shared" si="295"/>
        <v>4447.5869366671841</v>
      </c>
      <c r="R867" s="896">
        <f>+R865+R866</f>
        <v>2451.4318318693868</v>
      </c>
      <c r="S867" s="896">
        <f>+S865+S866</f>
        <v>5724.5642591030864</v>
      </c>
      <c r="T867" s="1059"/>
      <c r="U867" s="299">
        <f>SUM(I867:T867)</f>
        <v>8003098.6000000015</v>
      </c>
      <c r="V867" s="67"/>
      <c r="W867" s="118">
        <f t="shared" si="287"/>
        <v>0</v>
      </c>
    </row>
    <row r="868" spans="1:23" ht="18" customHeight="1">
      <c r="A868" s="47"/>
      <c r="B868" s="17">
        <f t="shared" si="293"/>
        <v>5</v>
      </c>
      <c r="C868" s="1"/>
      <c r="D868" s="26"/>
      <c r="E868" s="17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"/>
      <c r="V868" s="67"/>
      <c r="W868" s="118">
        <f t="shared" si="287"/>
        <v>0</v>
      </c>
    </row>
    <row r="869" spans="1:23" ht="18" customHeight="1">
      <c r="A869" s="47"/>
      <c r="B869" s="17">
        <f t="shared" si="293"/>
        <v>6</v>
      </c>
      <c r="C869" s="1" t="s">
        <v>222</v>
      </c>
      <c r="D869" s="1" t="s">
        <v>223</v>
      </c>
      <c r="E869" s="17"/>
      <c r="F869" s="118">
        <f>' WP II-I-1.4'!H869</f>
        <v>9828.9400000000005</v>
      </c>
      <c r="G869" s="17">
        <v>84</v>
      </c>
      <c r="H869" s="47" t="str">
        <f>VLOOKUP(G869,FactorTable,2)</f>
        <v>PAY CUS ACCT</v>
      </c>
      <c r="I869" s="17"/>
      <c r="J869" s="434">
        <f t="shared" si="296" ref="J869:S871">$F869*HLOOKUP(J$1318,FactorTable,$G869+1)</f>
        <v>5479.6813737379298</v>
      </c>
      <c r="K869" s="434">
        <f t="shared" si="296"/>
        <v>844.82575058527698</v>
      </c>
      <c r="L869" s="434">
        <f t="shared" si="296"/>
        <v>2605.8942529483897</v>
      </c>
      <c r="M869" s="434">
        <f t="shared" si="296"/>
        <v>36.590711969013185</v>
      </c>
      <c r="N869" s="434">
        <f t="shared" si="296"/>
        <v>763.54959079422815</v>
      </c>
      <c r="O869" s="434">
        <f t="shared" si="296"/>
        <v>26.092784700827899</v>
      </c>
      <c r="P869" s="434">
        <f t="shared" si="296"/>
        <v>56.801985156417651</v>
      </c>
      <c r="Q869" s="434">
        <f t="shared" si="296"/>
        <v>5.4622674704127157</v>
      </c>
      <c r="R869" s="434">
        <f t="shared" si="296"/>
        <v>3.0107059270186034</v>
      </c>
      <c r="S869" s="434">
        <f t="shared" si="296"/>
        <v>7.0305767104841976</v>
      </c>
      <c r="T869" s="17"/>
      <c r="U869" s="118">
        <f>SUM(I869:T869)</f>
        <v>9828.9399999999987</v>
      </c>
      <c r="V869" s="67"/>
      <c r="W869" s="118">
        <f t="shared" si="287"/>
        <v>0</v>
      </c>
    </row>
    <row r="870" spans="1:23" ht="18" customHeight="1">
      <c r="A870" s="47"/>
      <c r="B870" s="17">
        <f t="shared" si="293"/>
        <v>7</v>
      </c>
      <c r="C870" s="1" t="s">
        <v>228</v>
      </c>
      <c r="D870" s="1" t="s">
        <v>229</v>
      </c>
      <c r="E870" s="17"/>
      <c r="F870" s="118">
        <f>' WP II-I-1.4'!H870</f>
        <v>0</v>
      </c>
      <c r="G870" s="17">
        <v>14</v>
      </c>
      <c r="H870" s="47" t="str">
        <f>VLOOKUP(G870,FactorTable,2)</f>
        <v>REVENUE</v>
      </c>
      <c r="I870" s="17"/>
      <c r="J870" s="434">
        <f t="shared" si="296"/>
        <v>0</v>
      </c>
      <c r="K870" s="434">
        <f t="shared" si="296"/>
        <v>0</v>
      </c>
      <c r="L870" s="434">
        <f t="shared" si="296"/>
        <v>0</v>
      </c>
      <c r="M870" s="434">
        <f t="shared" si="296"/>
        <v>0</v>
      </c>
      <c r="N870" s="434">
        <f t="shared" si="296"/>
        <v>0</v>
      </c>
      <c r="O870" s="434">
        <f t="shared" si="296"/>
        <v>0</v>
      </c>
      <c r="P870" s="434">
        <f t="shared" si="296"/>
        <v>0</v>
      </c>
      <c r="Q870" s="434">
        <f t="shared" si="296"/>
        <v>0</v>
      </c>
      <c r="R870" s="434">
        <f t="shared" si="296"/>
        <v>0</v>
      </c>
      <c r="S870" s="434">
        <f t="shared" si="296"/>
        <v>0</v>
      </c>
      <c r="T870" s="17"/>
      <c r="U870" s="118">
        <f>SUM(I870:T870)</f>
        <v>0</v>
      </c>
      <c r="V870" s="67"/>
      <c r="W870" s="118">
        <f t="shared" si="287"/>
        <v>0</v>
      </c>
    </row>
    <row r="871" spans="1:23" ht="18" customHeight="1">
      <c r="A871" s="47"/>
      <c r="B871" s="17">
        <f t="shared" si="293"/>
        <v>8</v>
      </c>
      <c r="C871" s="1" t="s">
        <v>230</v>
      </c>
      <c r="D871" s="31" t="s">
        <v>231</v>
      </c>
      <c r="E871" s="17"/>
      <c r="F871" s="118">
        <f>' WP II-I-1.4'!H871</f>
        <v>0</v>
      </c>
      <c r="G871" s="17">
        <v>84</v>
      </c>
      <c r="H871" s="47" t="str">
        <f>VLOOKUP(G871,FactorTable,2)</f>
        <v>PAY CUS ACCT</v>
      </c>
      <c r="I871" s="17"/>
      <c r="J871" s="435">
        <f t="shared" si="296"/>
        <v>0</v>
      </c>
      <c r="K871" s="435">
        <f t="shared" si="296"/>
        <v>0</v>
      </c>
      <c r="L871" s="435">
        <f t="shared" si="296"/>
        <v>0</v>
      </c>
      <c r="M871" s="435">
        <f t="shared" si="296"/>
        <v>0</v>
      </c>
      <c r="N871" s="435">
        <f t="shared" si="296"/>
        <v>0</v>
      </c>
      <c r="O871" s="435">
        <f t="shared" si="296"/>
        <v>0</v>
      </c>
      <c r="P871" s="435">
        <f t="shared" si="296"/>
        <v>0</v>
      </c>
      <c r="Q871" s="435">
        <f t="shared" si="296"/>
        <v>0</v>
      </c>
      <c r="R871" s="435">
        <f t="shared" si="296"/>
        <v>0</v>
      </c>
      <c r="S871" s="435">
        <f t="shared" si="296"/>
        <v>0</v>
      </c>
      <c r="T871" s="17"/>
      <c r="U871" s="118">
        <f>SUM(I871:T871)</f>
        <v>0</v>
      </c>
      <c r="V871" s="67"/>
      <c r="W871" s="118">
        <f t="shared" si="287"/>
        <v>0</v>
      </c>
    </row>
    <row r="872" spans="1:23" ht="18" customHeight="1">
      <c r="A872" s="47"/>
      <c r="B872" s="17">
        <f t="shared" si="293"/>
        <v>9</v>
      </c>
      <c r="C872" s="8"/>
      <c r="D872" s="26" t="s">
        <v>672</v>
      </c>
      <c r="E872" s="20"/>
      <c r="F872" s="22">
        <f>SUM(F869:F871)</f>
        <v>9828.9400000000005</v>
      </c>
      <c r="G872" s="20"/>
      <c r="H872" s="20"/>
      <c r="I872" s="1010"/>
      <c r="J872" s="896">
        <f t="shared" si="297" ref="J872:Q872">SUM(J869:J871)</f>
        <v>5479.6813737379298</v>
      </c>
      <c r="K872" s="896">
        <f t="shared" si="297"/>
        <v>844.82575058527698</v>
      </c>
      <c r="L872" s="896">
        <f t="shared" si="297"/>
        <v>2605.8942529483897</v>
      </c>
      <c r="M872" s="896">
        <f t="shared" si="297"/>
        <v>36.590711969013185</v>
      </c>
      <c r="N872" s="896">
        <f t="shared" si="297"/>
        <v>763.54959079422815</v>
      </c>
      <c r="O872" s="896">
        <f>SUM(O869:O871)</f>
        <v>26.092784700827899</v>
      </c>
      <c r="P872" s="896">
        <f t="shared" si="297"/>
        <v>56.801985156417651</v>
      </c>
      <c r="Q872" s="896">
        <f t="shared" si="297"/>
        <v>5.4622674704127157</v>
      </c>
      <c r="R872" s="896">
        <f>SUM(R869:R871)</f>
        <v>3.0107059270186034</v>
      </c>
      <c r="S872" s="896">
        <f>SUM(S869:S871)</f>
        <v>7.0305767104841976</v>
      </c>
      <c r="T872" s="1059"/>
      <c r="U872" s="299">
        <f>SUM(I872:T872)</f>
        <v>9828.9399999999987</v>
      </c>
      <c r="V872" s="67"/>
      <c r="W872" s="118">
        <f t="shared" si="287"/>
        <v>0</v>
      </c>
    </row>
    <row r="873" spans="1:23" ht="18" customHeight="1">
      <c r="A873" s="47"/>
      <c r="B873" s="17">
        <f t="shared" si="293"/>
        <v>10</v>
      </c>
      <c r="C873" s="1"/>
      <c r="D873" s="26"/>
      <c r="E873" s="17"/>
      <c r="F873" s="19"/>
      <c r="G873" s="17"/>
      <c r="H873" s="17"/>
      <c r="I873" s="17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7"/>
      <c r="U873" s="1"/>
      <c r="V873" s="67"/>
      <c r="W873" s="118">
        <f t="shared" si="287"/>
        <v>0</v>
      </c>
    </row>
    <row r="874" spans="1:23" ht="18" customHeight="1">
      <c r="A874" s="47"/>
      <c r="B874" s="17">
        <f t="shared" si="293"/>
        <v>11</v>
      </c>
      <c r="C874" s="8"/>
      <c r="D874" s="297" t="s">
        <v>673</v>
      </c>
      <c r="E874" s="20"/>
      <c r="F874" s="22">
        <f>+F867+F872</f>
        <v>8012927.54</v>
      </c>
      <c r="G874" s="20"/>
      <c r="H874" s="20"/>
      <c r="I874" s="1010"/>
      <c r="J874" s="896">
        <f t="shared" si="298" ref="J874:Q874">+J867+J872</f>
        <v>4467245.6836698251</v>
      </c>
      <c r="K874" s="896">
        <f t="shared" si="298"/>
        <v>688734.24025031575</v>
      </c>
      <c r="L874" s="896">
        <f t="shared" si="298"/>
        <v>2124424.589607616</v>
      </c>
      <c r="M874" s="896">
        <f t="shared" si="298"/>
        <v>29830.14685660035</v>
      </c>
      <c r="N874" s="896">
        <f t="shared" si="298"/>
        <v>622474.8084972339</v>
      </c>
      <c r="O874" s="896">
        <f>+O867+O872</f>
        <v>21271.835327568846</v>
      </c>
      <c r="P874" s="896">
        <f t="shared" si="298"/>
        <v>46307.149213092176</v>
      </c>
      <c r="Q874" s="896">
        <f t="shared" si="298"/>
        <v>4453.0492041375965</v>
      </c>
      <c r="R874" s="896">
        <f>+R867+R872</f>
        <v>2454.4425377964053</v>
      </c>
      <c r="S874" s="896">
        <f>+S867+S872</f>
        <v>5731.5948358135711</v>
      </c>
      <c r="T874" s="1059"/>
      <c r="U874" s="299">
        <f>SUM(I874:T874)</f>
        <v>8012927.5399999991</v>
      </c>
      <c r="V874" s="67"/>
      <c r="W874" s="118">
        <f t="shared" si="287"/>
        <v>0</v>
      </c>
    </row>
    <row r="875" spans="1:23" ht="18" customHeight="1">
      <c r="A875" s="47"/>
      <c r="B875" s="17">
        <f t="shared" si="293"/>
        <v>12</v>
      </c>
      <c r="C875" s="1"/>
      <c r="D875" s="1"/>
      <c r="E875" s="17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"/>
      <c r="V875" s="67"/>
      <c r="W875" s="118">
        <f t="shared" si="287"/>
        <v>0</v>
      </c>
    </row>
    <row r="876" spans="1:23" ht="18" customHeight="1">
      <c r="A876" s="47"/>
      <c r="B876" s="17">
        <f t="shared" si="293"/>
        <v>13</v>
      </c>
      <c r="C876" s="8"/>
      <c r="D876" s="366" t="s">
        <v>674</v>
      </c>
      <c r="E876" s="20" t="s">
        <v>279</v>
      </c>
      <c r="F876" s="22"/>
      <c r="G876" s="20"/>
      <c r="H876" s="20"/>
      <c r="I876" s="1010"/>
      <c r="J876" s="1059"/>
      <c r="K876" s="1059"/>
      <c r="L876" s="1059"/>
      <c r="M876" s="1059"/>
      <c r="N876" s="1059"/>
      <c r="O876" s="1059"/>
      <c r="P876" s="1059"/>
      <c r="Q876" s="1059"/>
      <c r="R876" s="1059"/>
      <c r="S876" s="1059"/>
      <c r="T876" s="1059"/>
      <c r="U876" s="8"/>
      <c r="V876" s="67"/>
      <c r="W876" s="118">
        <f t="shared" si="287"/>
        <v>0</v>
      </c>
    </row>
    <row r="877" spans="1:23" ht="18" customHeight="1">
      <c r="A877" s="47"/>
      <c r="B877" s="17">
        <f t="shared" si="293"/>
        <v>14</v>
      </c>
      <c r="C877" s="1" t="s">
        <v>233</v>
      </c>
      <c r="D877" s="1" t="s">
        <v>234</v>
      </c>
      <c r="E877" s="17"/>
      <c r="F877" s="118">
        <f>' WP II-I-1.4'!H877</f>
        <v>0</v>
      </c>
      <c r="G877" s="17">
        <v>9</v>
      </c>
      <c r="H877" s="47" t="str">
        <f>VLOOKUP(G877,FactorTable,2)</f>
        <v>CUS U ALL</v>
      </c>
      <c r="I877" s="17"/>
      <c r="J877" s="434">
        <f t="shared" si="299" ref="J877:S879">$F877*HLOOKUP(J$1318,FactorTable,$G877+1)</f>
        <v>0</v>
      </c>
      <c r="K877" s="434">
        <f t="shared" si="299"/>
        <v>0</v>
      </c>
      <c r="L877" s="434">
        <f t="shared" si="299"/>
        <v>0</v>
      </c>
      <c r="M877" s="434">
        <f t="shared" si="299"/>
        <v>0</v>
      </c>
      <c r="N877" s="434">
        <f t="shared" si="299"/>
        <v>0</v>
      </c>
      <c r="O877" s="434">
        <f t="shared" si="299"/>
        <v>0</v>
      </c>
      <c r="P877" s="434">
        <f t="shared" si="299"/>
        <v>0</v>
      </c>
      <c r="Q877" s="434">
        <f t="shared" si="299"/>
        <v>0</v>
      </c>
      <c r="R877" s="434">
        <f t="shared" si="299"/>
        <v>0</v>
      </c>
      <c r="S877" s="434">
        <f t="shared" si="299"/>
        <v>0</v>
      </c>
      <c r="T877" s="17"/>
      <c r="U877" s="118">
        <f>SUM(I877:T877)</f>
        <v>0</v>
      </c>
      <c r="V877" s="67"/>
      <c r="W877" s="118">
        <f t="shared" si="287"/>
        <v>0</v>
      </c>
    </row>
    <row r="878" spans="1:23" ht="18" customHeight="1">
      <c r="A878" s="47"/>
      <c r="B878" s="17">
        <f t="shared" si="293"/>
        <v>15</v>
      </c>
      <c r="C878" s="1" t="s">
        <v>236</v>
      </c>
      <c r="D878" s="31" t="s">
        <v>237</v>
      </c>
      <c r="E878" s="17"/>
      <c r="F878" s="118">
        <f>' WP II-I-1.4'!H878</f>
        <v>0</v>
      </c>
      <c r="G878" s="17">
        <v>9</v>
      </c>
      <c r="H878" s="47" t="str">
        <f>VLOOKUP(G878,FactorTable,2)</f>
        <v>CUS U ALL</v>
      </c>
      <c r="I878" s="17"/>
      <c r="J878" s="434">
        <f t="shared" si="299"/>
        <v>0</v>
      </c>
      <c r="K878" s="434">
        <f t="shared" si="299"/>
        <v>0</v>
      </c>
      <c r="L878" s="434">
        <f t="shared" si="299"/>
        <v>0</v>
      </c>
      <c r="M878" s="434">
        <f t="shared" si="299"/>
        <v>0</v>
      </c>
      <c r="N878" s="434">
        <f t="shared" si="299"/>
        <v>0</v>
      </c>
      <c r="O878" s="434">
        <f t="shared" si="299"/>
        <v>0</v>
      </c>
      <c r="P878" s="434">
        <f t="shared" si="299"/>
        <v>0</v>
      </c>
      <c r="Q878" s="434">
        <f t="shared" si="299"/>
        <v>0</v>
      </c>
      <c r="R878" s="434">
        <f t="shared" si="299"/>
        <v>0</v>
      </c>
      <c r="S878" s="434">
        <f t="shared" si="299"/>
        <v>0</v>
      </c>
      <c r="T878" s="17"/>
      <c r="U878" s="118">
        <f>SUM(I878:T878)</f>
        <v>0</v>
      </c>
      <c r="V878" s="67"/>
      <c r="W878" s="118">
        <f t="shared" si="287"/>
        <v>0</v>
      </c>
    </row>
    <row r="879" spans="1:23" ht="18" customHeight="1">
      <c r="A879" s="47"/>
      <c r="B879" s="17">
        <f t="shared" si="293"/>
        <v>16</v>
      </c>
      <c r="C879" s="1" t="s">
        <v>238</v>
      </c>
      <c r="D879" s="1" t="s">
        <v>239</v>
      </c>
      <c r="E879" s="17"/>
      <c r="F879" s="118">
        <f>' WP II-I-1.4'!H879</f>
        <v>0</v>
      </c>
      <c r="G879" s="17">
        <v>9</v>
      </c>
      <c r="H879" s="47" t="str">
        <f>VLOOKUP(G879,FactorTable,2)</f>
        <v>CUS U ALL</v>
      </c>
      <c r="I879" s="17"/>
      <c r="J879" s="435">
        <f t="shared" si="299"/>
        <v>0</v>
      </c>
      <c r="K879" s="435">
        <f t="shared" si="299"/>
        <v>0</v>
      </c>
      <c r="L879" s="435">
        <f t="shared" si="299"/>
        <v>0</v>
      </c>
      <c r="M879" s="435">
        <f t="shared" si="299"/>
        <v>0</v>
      </c>
      <c r="N879" s="435">
        <f t="shared" si="299"/>
        <v>0</v>
      </c>
      <c r="O879" s="435">
        <f t="shared" si="299"/>
        <v>0</v>
      </c>
      <c r="P879" s="435">
        <f t="shared" si="299"/>
        <v>0</v>
      </c>
      <c r="Q879" s="435">
        <f t="shared" si="299"/>
        <v>0</v>
      </c>
      <c r="R879" s="435">
        <f t="shared" si="299"/>
        <v>0</v>
      </c>
      <c r="S879" s="435">
        <f t="shared" si="299"/>
        <v>0</v>
      </c>
      <c r="T879" s="17"/>
      <c r="U879" s="118">
        <f>SUM(I879:T879)</f>
        <v>0</v>
      </c>
      <c r="V879" s="67"/>
      <c r="W879" s="118">
        <f t="shared" si="287"/>
        <v>0</v>
      </c>
    </row>
    <row r="880" spans="1:23" ht="18" customHeight="1">
      <c r="A880" s="47"/>
      <c r="B880" s="17">
        <f t="shared" si="293"/>
        <v>17</v>
      </c>
      <c r="C880" s="8"/>
      <c r="D880" s="26" t="s">
        <v>675</v>
      </c>
      <c r="E880" s="20"/>
      <c r="F880" s="22">
        <f>SUM(F877:F879)</f>
        <v>0</v>
      </c>
      <c r="G880" s="20"/>
      <c r="H880" s="20"/>
      <c r="I880" s="1010"/>
      <c r="J880" s="896">
        <f t="shared" si="300" ref="J880:Q880">SUM(J877:J879)</f>
        <v>0</v>
      </c>
      <c r="K880" s="896">
        <f t="shared" si="300"/>
        <v>0</v>
      </c>
      <c r="L880" s="896">
        <f t="shared" si="300"/>
        <v>0</v>
      </c>
      <c r="M880" s="896">
        <f t="shared" si="300"/>
        <v>0</v>
      </c>
      <c r="N880" s="896">
        <f t="shared" si="300"/>
        <v>0</v>
      </c>
      <c r="O880" s="896">
        <f>SUM(O877:O879)</f>
        <v>0</v>
      </c>
      <c r="P880" s="896">
        <f t="shared" si="300"/>
        <v>0</v>
      </c>
      <c r="Q880" s="896">
        <f t="shared" si="300"/>
        <v>0</v>
      </c>
      <c r="R880" s="896">
        <f>SUM(R877:R879)</f>
        <v>0</v>
      </c>
      <c r="S880" s="896">
        <f>SUM(S877:S879)</f>
        <v>0</v>
      </c>
      <c r="T880" s="1059"/>
      <c r="U880" s="299">
        <f>SUM(I880:T880)</f>
        <v>0</v>
      </c>
      <c r="V880" s="67"/>
      <c r="W880" s="118">
        <f t="shared" si="287"/>
        <v>0</v>
      </c>
    </row>
    <row r="881" spans="1:23" ht="18" customHeight="1">
      <c r="A881" s="47"/>
      <c r="B881" s="17">
        <f t="shared" si="293"/>
        <v>18</v>
      </c>
      <c r="C881" s="1"/>
      <c r="D881" s="1"/>
      <c r="E881" s="17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"/>
      <c r="V881" s="67"/>
      <c r="W881" s="118">
        <f t="shared" si="287"/>
        <v>0</v>
      </c>
    </row>
    <row r="882" spans="1:23" ht="18" customHeight="1">
      <c r="A882" s="47"/>
      <c r="B882" s="17">
        <f t="shared" si="293"/>
        <v>19</v>
      </c>
      <c r="C882" s="1" t="s">
        <v>235</v>
      </c>
      <c r="D882" s="1" t="s">
        <v>223</v>
      </c>
      <c r="E882" s="17"/>
      <c r="F882" s="118">
        <f>' WP II-I-1.4'!H882</f>
        <v>0</v>
      </c>
      <c r="G882" s="17">
        <v>85</v>
      </c>
      <c r="H882" s="47" t="str">
        <f>VLOOKUP(G882,FactorTable,2)</f>
        <v>PAY CUS SV INF</v>
      </c>
      <c r="I882" s="17"/>
      <c r="J882" s="434">
        <f t="shared" si="301" ref="J882:S883">$F882*HLOOKUP(J$1318,FactorTable,$G882+1)</f>
        <v>0</v>
      </c>
      <c r="K882" s="434">
        <f t="shared" si="301"/>
        <v>0</v>
      </c>
      <c r="L882" s="434">
        <f t="shared" si="301"/>
        <v>0</v>
      </c>
      <c r="M882" s="434">
        <f t="shared" si="301"/>
        <v>0</v>
      </c>
      <c r="N882" s="434">
        <f t="shared" si="301"/>
        <v>0</v>
      </c>
      <c r="O882" s="434">
        <f t="shared" si="301"/>
        <v>0</v>
      </c>
      <c r="P882" s="434">
        <f t="shared" si="301"/>
        <v>0</v>
      </c>
      <c r="Q882" s="434">
        <f t="shared" si="301"/>
        <v>0</v>
      </c>
      <c r="R882" s="434">
        <f t="shared" si="301"/>
        <v>0</v>
      </c>
      <c r="S882" s="434">
        <f t="shared" si="301"/>
        <v>0</v>
      </c>
      <c r="T882" s="17"/>
      <c r="U882" s="118">
        <f>SUM(I882:T882)</f>
        <v>0</v>
      </c>
      <c r="V882" s="67"/>
      <c r="W882" s="118">
        <f t="shared" si="287"/>
        <v>0</v>
      </c>
    </row>
    <row r="883" spans="1:23" ht="18" customHeight="1">
      <c r="A883" s="47"/>
      <c r="B883" s="17">
        <f t="shared" si="293"/>
        <v>20</v>
      </c>
      <c r="C883" s="1" t="s">
        <v>240</v>
      </c>
      <c r="D883" s="1" t="s">
        <v>676</v>
      </c>
      <c r="E883" s="17"/>
      <c r="F883" s="118">
        <f>' WP II-I-1.4'!H883</f>
        <v>0</v>
      </c>
      <c r="G883" s="17">
        <v>85</v>
      </c>
      <c r="H883" s="47" t="str">
        <f>VLOOKUP(G883,FactorTable,2)</f>
        <v>PAY CUS SV INF</v>
      </c>
      <c r="I883" s="17"/>
      <c r="J883" s="435">
        <f t="shared" si="301"/>
        <v>0</v>
      </c>
      <c r="K883" s="435">
        <f t="shared" si="301"/>
        <v>0</v>
      </c>
      <c r="L883" s="435">
        <f t="shared" si="301"/>
        <v>0</v>
      </c>
      <c r="M883" s="435">
        <f t="shared" si="301"/>
        <v>0</v>
      </c>
      <c r="N883" s="435">
        <f t="shared" si="301"/>
        <v>0</v>
      </c>
      <c r="O883" s="435">
        <f t="shared" si="301"/>
        <v>0</v>
      </c>
      <c r="P883" s="435">
        <f t="shared" si="301"/>
        <v>0</v>
      </c>
      <c r="Q883" s="435">
        <f t="shared" si="301"/>
        <v>0</v>
      </c>
      <c r="R883" s="435">
        <f t="shared" si="301"/>
        <v>0</v>
      </c>
      <c r="S883" s="435">
        <f t="shared" si="301"/>
        <v>0</v>
      </c>
      <c r="T883" s="17"/>
      <c r="U883" s="118">
        <f>SUM(I883:T883)</f>
        <v>0</v>
      </c>
      <c r="V883" s="67"/>
      <c r="W883" s="118">
        <f t="shared" si="287"/>
        <v>0</v>
      </c>
    </row>
    <row r="884" spans="1:23" ht="18" customHeight="1">
      <c r="A884" s="47"/>
      <c r="B884" s="17">
        <f t="shared" si="293"/>
        <v>21</v>
      </c>
      <c r="C884" s="8"/>
      <c r="D884" s="26" t="s">
        <v>677</v>
      </c>
      <c r="E884" s="20"/>
      <c r="F884" s="22">
        <f>SUM(F882:F883)</f>
        <v>0</v>
      </c>
      <c r="G884" s="20"/>
      <c r="H884" s="20"/>
      <c r="I884" s="1010"/>
      <c r="J884" s="896">
        <f t="shared" si="302" ref="J884:Q884">SUM(J882:J883)</f>
        <v>0</v>
      </c>
      <c r="K884" s="896">
        <f t="shared" si="302"/>
        <v>0</v>
      </c>
      <c r="L884" s="896">
        <f t="shared" si="302"/>
        <v>0</v>
      </c>
      <c r="M884" s="896">
        <f t="shared" si="302"/>
        <v>0</v>
      </c>
      <c r="N884" s="896">
        <f t="shared" si="302"/>
        <v>0</v>
      </c>
      <c r="O884" s="896">
        <f>SUM(O882:O883)</f>
        <v>0</v>
      </c>
      <c r="P884" s="896">
        <f t="shared" si="302"/>
        <v>0</v>
      </c>
      <c r="Q884" s="896">
        <f t="shared" si="302"/>
        <v>0</v>
      </c>
      <c r="R884" s="896">
        <f>SUM(R882:R883)</f>
        <v>0</v>
      </c>
      <c r="S884" s="896">
        <f>SUM(S882:S883)</f>
        <v>0</v>
      </c>
      <c r="T884" s="1059"/>
      <c r="U884" s="299">
        <f>SUM(I884:T884)</f>
        <v>0</v>
      </c>
      <c r="V884" s="67"/>
      <c r="W884" s="118">
        <f t="shared" si="287"/>
        <v>0</v>
      </c>
    </row>
    <row r="885" spans="1:23" ht="18" customHeight="1">
      <c r="A885" s="47"/>
      <c r="B885" s="17">
        <f t="shared" si="293"/>
        <v>22</v>
      </c>
      <c r="C885" s="1"/>
      <c r="D885" s="1"/>
      <c r="E885" s="17"/>
      <c r="F885" s="19"/>
      <c r="G885" s="17"/>
      <c r="H885" s="17"/>
      <c r="I885" s="17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7"/>
      <c r="U885" s="1"/>
      <c r="V885" s="67"/>
      <c r="W885" s="118">
        <f t="shared" si="287"/>
        <v>0</v>
      </c>
    </row>
    <row r="886" spans="1:23" ht="18" customHeight="1">
      <c r="A886" s="47"/>
      <c r="B886" s="17">
        <f t="shared" si="293"/>
        <v>23</v>
      </c>
      <c r="C886" s="8"/>
      <c r="D886" s="297" t="s">
        <v>678</v>
      </c>
      <c r="E886" s="20"/>
      <c r="F886" s="22">
        <f>+F884+F880</f>
        <v>0</v>
      </c>
      <c r="G886" s="20"/>
      <c r="H886" s="20"/>
      <c r="I886" s="20"/>
      <c r="J886" s="896">
        <f t="shared" si="303" ref="J886:Q886">+J884+J880</f>
        <v>0</v>
      </c>
      <c r="K886" s="896">
        <f t="shared" si="303"/>
        <v>0</v>
      </c>
      <c r="L886" s="896">
        <f t="shared" si="303"/>
        <v>0</v>
      </c>
      <c r="M886" s="896">
        <f t="shared" si="303"/>
        <v>0</v>
      </c>
      <c r="N886" s="896">
        <f t="shared" si="303"/>
        <v>0</v>
      </c>
      <c r="O886" s="896">
        <f>+O884+O880</f>
        <v>0</v>
      </c>
      <c r="P886" s="896">
        <f t="shared" si="303"/>
        <v>0</v>
      </c>
      <c r="Q886" s="896">
        <f t="shared" si="303"/>
        <v>0</v>
      </c>
      <c r="R886" s="896">
        <f>+R884+R880</f>
        <v>0</v>
      </c>
      <c r="S886" s="896">
        <f>+S884+S880</f>
        <v>0</v>
      </c>
      <c r="T886" s="1059"/>
      <c r="U886" s="299">
        <f>SUM(I886:T886)</f>
        <v>0</v>
      </c>
      <c r="V886" s="67"/>
      <c r="W886" s="118">
        <f t="shared" si="287"/>
        <v>0</v>
      </c>
    </row>
    <row r="887" spans="1:23" ht="18" customHeight="1">
      <c r="A887" s="47"/>
      <c r="B887" s="17">
        <f t="shared" si="293"/>
        <v>24</v>
      </c>
      <c r="C887" s="1"/>
      <c r="D887" s="1"/>
      <c r="E887" s="17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"/>
      <c r="V887" s="67"/>
      <c r="W887" s="118">
        <f t="shared" si="287"/>
        <v>0</v>
      </c>
    </row>
    <row r="888" spans="1:23" ht="18" customHeight="1">
      <c r="A888" s="47"/>
      <c r="B888" s="17">
        <f t="shared" si="293"/>
        <v>25</v>
      </c>
      <c r="C888" s="8"/>
      <c r="D888" s="368" t="s">
        <v>285</v>
      </c>
      <c r="E888" s="20" t="s">
        <v>279</v>
      </c>
      <c r="F888" s="22"/>
      <c r="G888" s="20"/>
      <c r="H888" s="20"/>
      <c r="I888" s="1010"/>
      <c r="J888" s="1059"/>
      <c r="K888" s="1059"/>
      <c r="L888" s="1059"/>
      <c r="M888" s="1059"/>
      <c r="N888" s="1059"/>
      <c r="O888" s="1059"/>
      <c r="P888" s="1059"/>
      <c r="Q888" s="1059"/>
      <c r="R888" s="1059"/>
      <c r="S888" s="1059"/>
      <c r="T888" s="1059"/>
      <c r="U888" s="8"/>
      <c r="V888" s="67"/>
      <c r="W888" s="118">
        <f t="shared" si="287"/>
        <v>0</v>
      </c>
    </row>
    <row r="889" spans="1:23" ht="18" customHeight="1">
      <c r="A889" s="47"/>
      <c r="B889" s="17">
        <f t="shared" si="293"/>
        <v>26</v>
      </c>
      <c r="C889" s="1" t="s">
        <v>244</v>
      </c>
      <c r="D889" s="51" t="s">
        <v>679</v>
      </c>
      <c r="E889" s="17"/>
      <c r="F889" s="118">
        <f>' WP II-I-1.4'!H889</f>
        <v>0</v>
      </c>
      <c r="G889" s="17">
        <v>9</v>
      </c>
      <c r="H889" s="47" t="str">
        <f>VLOOKUP(G889,FactorTable,2)</f>
        <v>CUS U ALL</v>
      </c>
      <c r="I889" s="17"/>
      <c r="J889" s="434">
        <f t="shared" si="304" ref="J889:S891">$F889*HLOOKUP(J$1318,FactorTable,$G889+1)</f>
        <v>0</v>
      </c>
      <c r="K889" s="434">
        <f t="shared" si="304"/>
        <v>0</v>
      </c>
      <c r="L889" s="434">
        <f t="shared" si="304"/>
        <v>0</v>
      </c>
      <c r="M889" s="434">
        <f t="shared" si="304"/>
        <v>0</v>
      </c>
      <c r="N889" s="434">
        <f t="shared" si="304"/>
        <v>0</v>
      </c>
      <c r="O889" s="434">
        <f t="shared" si="304"/>
        <v>0</v>
      </c>
      <c r="P889" s="434">
        <f t="shared" si="304"/>
        <v>0</v>
      </c>
      <c r="Q889" s="434">
        <f t="shared" si="304"/>
        <v>0</v>
      </c>
      <c r="R889" s="434">
        <f t="shared" si="304"/>
        <v>0</v>
      </c>
      <c r="S889" s="434">
        <f t="shared" si="304"/>
        <v>0</v>
      </c>
      <c r="T889" s="17"/>
      <c r="U889" s="118">
        <f>SUM(I889:T889)</f>
        <v>0</v>
      </c>
      <c r="V889" s="67"/>
      <c r="W889" s="118">
        <f t="shared" si="287"/>
        <v>0</v>
      </c>
    </row>
    <row r="890" spans="1:23" ht="18" customHeight="1">
      <c r="A890" s="47"/>
      <c r="B890" s="17">
        <f t="shared" si="293"/>
        <v>27</v>
      </c>
      <c r="C890" s="1" t="s">
        <v>246</v>
      </c>
      <c r="D890" s="51" t="s">
        <v>680</v>
      </c>
      <c r="E890" s="17"/>
      <c r="F890" s="118">
        <f>' WP II-I-1.4'!H890</f>
        <v>0</v>
      </c>
      <c r="G890" s="17">
        <v>9</v>
      </c>
      <c r="H890" s="47" t="str">
        <f>VLOOKUP(G890,FactorTable,2)</f>
        <v>CUS U ALL</v>
      </c>
      <c r="I890" s="17"/>
      <c r="J890" s="434">
        <f t="shared" si="304"/>
        <v>0</v>
      </c>
      <c r="K890" s="434">
        <f t="shared" si="304"/>
        <v>0</v>
      </c>
      <c r="L890" s="434">
        <f t="shared" si="304"/>
        <v>0</v>
      </c>
      <c r="M890" s="434">
        <f t="shared" si="304"/>
        <v>0</v>
      </c>
      <c r="N890" s="434">
        <f t="shared" si="304"/>
        <v>0</v>
      </c>
      <c r="O890" s="434">
        <f t="shared" si="304"/>
        <v>0</v>
      </c>
      <c r="P890" s="434">
        <f t="shared" si="304"/>
        <v>0</v>
      </c>
      <c r="Q890" s="434">
        <f t="shared" si="304"/>
        <v>0</v>
      </c>
      <c r="R890" s="434">
        <f t="shared" si="304"/>
        <v>0</v>
      </c>
      <c r="S890" s="434">
        <f t="shared" si="304"/>
        <v>0</v>
      </c>
      <c r="T890" s="17"/>
      <c r="U890" s="118">
        <f>SUM(I890:T890)</f>
        <v>0</v>
      </c>
      <c r="V890" s="67"/>
      <c r="W890" s="118">
        <f t="shared" si="287"/>
        <v>0</v>
      </c>
    </row>
    <row r="891" spans="1:23" ht="18" customHeight="1">
      <c r="A891" s="47"/>
      <c r="B891" s="17">
        <f t="shared" si="293"/>
        <v>28</v>
      </c>
      <c r="C891" s="1" t="s">
        <v>250</v>
      </c>
      <c r="D891" s="51" t="s">
        <v>242</v>
      </c>
      <c r="E891" s="17"/>
      <c r="F891" s="118">
        <f>' WP II-I-1.4'!H891</f>
        <v>0</v>
      </c>
      <c r="G891" s="17">
        <v>9</v>
      </c>
      <c r="H891" s="47" t="str">
        <f>VLOOKUP(G891,FactorTable,2)</f>
        <v>CUS U ALL</v>
      </c>
      <c r="I891" s="17"/>
      <c r="J891" s="435">
        <f t="shared" si="304"/>
        <v>0</v>
      </c>
      <c r="K891" s="435">
        <f t="shared" si="304"/>
        <v>0</v>
      </c>
      <c r="L891" s="435">
        <f t="shared" si="304"/>
        <v>0</v>
      </c>
      <c r="M891" s="435">
        <f t="shared" si="304"/>
        <v>0</v>
      </c>
      <c r="N891" s="435">
        <f t="shared" si="304"/>
        <v>0</v>
      </c>
      <c r="O891" s="435">
        <f t="shared" si="304"/>
        <v>0</v>
      </c>
      <c r="P891" s="435">
        <f t="shared" si="304"/>
        <v>0</v>
      </c>
      <c r="Q891" s="435">
        <f t="shared" si="304"/>
        <v>0</v>
      </c>
      <c r="R891" s="435">
        <f t="shared" si="304"/>
        <v>0</v>
      </c>
      <c r="S891" s="435">
        <f t="shared" si="304"/>
        <v>0</v>
      </c>
      <c r="T891" s="17"/>
      <c r="U891" s="118">
        <f>SUM(I891:T891)</f>
        <v>0</v>
      </c>
      <c r="V891" s="67"/>
      <c r="W891" s="118">
        <f t="shared" si="287"/>
        <v>0</v>
      </c>
    </row>
    <row r="892" spans="1:23" ht="18" customHeight="1">
      <c r="A892" s="47"/>
      <c r="B892" s="17">
        <f t="shared" si="293"/>
        <v>29</v>
      </c>
      <c r="C892" s="8"/>
      <c r="D892" s="297" t="s">
        <v>681</v>
      </c>
      <c r="E892" s="20"/>
      <c r="F892" s="22">
        <f>+F889+F890+F891</f>
        <v>0</v>
      </c>
      <c r="G892" s="20"/>
      <c r="H892" s="20"/>
      <c r="I892" s="1010"/>
      <c r="J892" s="896">
        <f t="shared" si="305" ref="J892:Q892">+J889+J890+J891</f>
        <v>0</v>
      </c>
      <c r="K892" s="896">
        <f t="shared" si="305"/>
        <v>0</v>
      </c>
      <c r="L892" s="896">
        <f t="shared" si="305"/>
        <v>0</v>
      </c>
      <c r="M892" s="896">
        <f t="shared" si="305"/>
        <v>0</v>
      </c>
      <c r="N892" s="896">
        <f t="shared" si="305"/>
        <v>0</v>
      </c>
      <c r="O892" s="896">
        <f>+O889+O890+O891</f>
        <v>0</v>
      </c>
      <c r="P892" s="896">
        <f t="shared" si="305"/>
        <v>0</v>
      </c>
      <c r="Q892" s="896">
        <f t="shared" si="305"/>
        <v>0</v>
      </c>
      <c r="R892" s="896">
        <f>+R889+R890+R891</f>
        <v>0</v>
      </c>
      <c r="S892" s="896">
        <f>+S889+S890+S891</f>
        <v>0</v>
      </c>
      <c r="T892" s="1059"/>
      <c r="U892" s="299">
        <f>SUM(I892:T892)</f>
        <v>0</v>
      </c>
      <c r="V892" s="67"/>
      <c r="W892" s="118">
        <f t="shared" si="287"/>
        <v>0</v>
      </c>
    </row>
    <row r="893" spans="1:23" ht="18" customHeight="1">
      <c r="A893" s="47"/>
      <c r="B893" s="17">
        <f t="shared" si="293"/>
        <v>30</v>
      </c>
      <c r="C893" s="1"/>
      <c r="D893" s="297"/>
      <c r="E893" s="17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"/>
      <c r="V893" s="67"/>
      <c r="W893" s="118">
        <f t="shared" si="287"/>
        <v>0</v>
      </c>
    </row>
    <row r="894" spans="1:23" ht="18" customHeight="1">
      <c r="A894" s="47"/>
      <c r="B894" s="17">
        <f t="shared" si="293"/>
        <v>31</v>
      </c>
      <c r="C894" s="1" t="s">
        <v>243</v>
      </c>
      <c r="D894" s="51" t="s">
        <v>223</v>
      </c>
      <c r="E894" s="17"/>
      <c r="F894" s="118">
        <f>' WP II-I-1.4'!H894</f>
        <v>0</v>
      </c>
      <c r="G894" s="17">
        <v>9</v>
      </c>
      <c r="H894" s="47" t="str">
        <f>VLOOKUP(G894,FactorTable,2)</f>
        <v>CUS U ALL</v>
      </c>
      <c r="I894" s="17"/>
      <c r="J894" s="434">
        <f t="shared" si="306" ref="J894:S895">$F894*HLOOKUP(J$1318,FactorTable,$G894+1)</f>
        <v>0</v>
      </c>
      <c r="K894" s="434">
        <f t="shared" si="306"/>
        <v>0</v>
      </c>
      <c r="L894" s="434">
        <f t="shared" si="306"/>
        <v>0</v>
      </c>
      <c r="M894" s="434">
        <f t="shared" si="306"/>
        <v>0</v>
      </c>
      <c r="N894" s="434">
        <f t="shared" si="306"/>
        <v>0</v>
      </c>
      <c r="O894" s="434">
        <f t="shared" si="306"/>
        <v>0</v>
      </c>
      <c r="P894" s="434">
        <f t="shared" si="306"/>
        <v>0</v>
      </c>
      <c r="Q894" s="434">
        <f t="shared" si="306"/>
        <v>0</v>
      </c>
      <c r="R894" s="434">
        <f t="shared" si="306"/>
        <v>0</v>
      </c>
      <c r="S894" s="434">
        <f t="shared" si="306"/>
        <v>0</v>
      </c>
      <c r="T894" s="17"/>
      <c r="U894" s="118">
        <f>SUM(I894:T894)</f>
        <v>0</v>
      </c>
      <c r="V894" s="67"/>
      <c r="W894" s="118">
        <f t="shared" si="287"/>
        <v>0</v>
      </c>
    </row>
    <row r="895" spans="1:23" ht="18" customHeight="1">
      <c r="A895" s="47"/>
      <c r="B895" s="17">
        <f t="shared" si="293"/>
        <v>32</v>
      </c>
      <c r="C895" s="1" t="s">
        <v>248</v>
      </c>
      <c r="D895" s="51" t="s">
        <v>682</v>
      </c>
      <c r="E895" s="17"/>
      <c r="F895" s="118">
        <f>' WP II-I-1.4'!H895</f>
        <v>0</v>
      </c>
      <c r="G895" s="17">
        <v>9</v>
      </c>
      <c r="H895" s="47" t="str">
        <f>VLOOKUP(G895,FactorTable,2)</f>
        <v>CUS U ALL</v>
      </c>
      <c r="I895" s="17"/>
      <c r="J895" s="435">
        <f t="shared" si="306"/>
        <v>0</v>
      </c>
      <c r="K895" s="435">
        <f t="shared" si="306"/>
        <v>0</v>
      </c>
      <c r="L895" s="435">
        <f t="shared" si="306"/>
        <v>0</v>
      </c>
      <c r="M895" s="435">
        <f t="shared" si="306"/>
        <v>0</v>
      </c>
      <c r="N895" s="435">
        <f t="shared" si="306"/>
        <v>0</v>
      </c>
      <c r="O895" s="435">
        <f t="shared" si="306"/>
        <v>0</v>
      </c>
      <c r="P895" s="435">
        <f t="shared" si="306"/>
        <v>0</v>
      </c>
      <c r="Q895" s="435">
        <f t="shared" si="306"/>
        <v>0</v>
      </c>
      <c r="R895" s="435">
        <f t="shared" si="306"/>
        <v>0</v>
      </c>
      <c r="S895" s="435">
        <f t="shared" si="306"/>
        <v>0</v>
      </c>
      <c r="T895" s="17"/>
      <c r="U895" s="118">
        <f>SUM(I895:T895)</f>
        <v>0</v>
      </c>
      <c r="V895" s="67"/>
      <c r="W895" s="118">
        <f t="shared" si="287"/>
        <v>0</v>
      </c>
    </row>
    <row r="896" spans="1:23" ht="18" customHeight="1">
      <c r="A896" s="47"/>
      <c r="B896" s="17">
        <f t="shared" si="293"/>
        <v>33</v>
      </c>
      <c r="C896" s="8"/>
      <c r="D896" s="26" t="s">
        <v>683</v>
      </c>
      <c r="E896" s="20"/>
      <c r="F896" s="22">
        <f>SUM(F894:F895)</f>
        <v>0</v>
      </c>
      <c r="G896" s="20"/>
      <c r="H896" s="20"/>
      <c r="I896" s="1010"/>
      <c r="J896" s="896">
        <f t="shared" si="307" ref="J896:Q896">SUM(J894:J895)</f>
        <v>0</v>
      </c>
      <c r="K896" s="896">
        <f t="shared" si="307"/>
        <v>0</v>
      </c>
      <c r="L896" s="896">
        <f t="shared" si="307"/>
        <v>0</v>
      </c>
      <c r="M896" s="896">
        <f t="shared" si="307"/>
        <v>0</v>
      </c>
      <c r="N896" s="896">
        <f t="shared" si="307"/>
        <v>0</v>
      </c>
      <c r="O896" s="896">
        <f>SUM(O894:O895)</f>
        <v>0</v>
      </c>
      <c r="P896" s="896">
        <f t="shared" si="307"/>
        <v>0</v>
      </c>
      <c r="Q896" s="896">
        <f t="shared" si="307"/>
        <v>0</v>
      </c>
      <c r="R896" s="896">
        <f>SUM(R894:R895)</f>
        <v>0</v>
      </c>
      <c r="S896" s="896">
        <f>SUM(S894:S895)</f>
        <v>0</v>
      </c>
      <c r="T896" s="1059"/>
      <c r="U896" s="299">
        <f>SUM(I896:T896)</f>
        <v>0</v>
      </c>
      <c r="V896" s="67"/>
      <c r="W896" s="118">
        <f t="shared" si="287"/>
        <v>0</v>
      </c>
    </row>
    <row r="897" spans="1:23" ht="18" customHeight="1">
      <c r="A897" s="47"/>
      <c r="B897" s="17">
        <f t="shared" si="293"/>
        <v>34</v>
      </c>
      <c r="C897" s="1"/>
      <c r="D897" s="1"/>
      <c r="E897" s="17"/>
      <c r="F897" s="19"/>
      <c r="G897" s="17"/>
      <c r="H897" s="17"/>
      <c r="I897" s="17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7"/>
      <c r="U897" s="1"/>
      <c r="V897" s="67"/>
      <c r="W897" s="118">
        <f t="shared" si="287"/>
        <v>0</v>
      </c>
    </row>
    <row r="898" spans="1:23" ht="18" customHeight="1">
      <c r="A898" s="47"/>
      <c r="B898" s="17">
        <f t="shared" si="293"/>
        <v>35</v>
      </c>
      <c r="C898" s="8"/>
      <c r="D898" s="297" t="s">
        <v>684</v>
      </c>
      <c r="E898" s="20"/>
      <c r="F898" s="22">
        <f>+F892+F896</f>
        <v>0</v>
      </c>
      <c r="G898" s="20"/>
      <c r="H898" s="20"/>
      <c r="I898" s="20"/>
      <c r="J898" s="22">
        <f t="shared" si="308" ref="J898:Q898">+J892+J896</f>
        <v>0</v>
      </c>
      <c r="K898" s="22">
        <f t="shared" si="308"/>
        <v>0</v>
      </c>
      <c r="L898" s="22">
        <f t="shared" si="308"/>
        <v>0</v>
      </c>
      <c r="M898" s="22">
        <f t="shared" si="308"/>
        <v>0</v>
      </c>
      <c r="N898" s="22">
        <f t="shared" si="308"/>
        <v>0</v>
      </c>
      <c r="O898" s="22">
        <f>+O892+O896</f>
        <v>0</v>
      </c>
      <c r="P898" s="22">
        <f t="shared" si="308"/>
        <v>0</v>
      </c>
      <c r="Q898" s="22">
        <f t="shared" si="308"/>
        <v>0</v>
      </c>
      <c r="R898" s="22">
        <f>+R892+R896</f>
        <v>0</v>
      </c>
      <c r="S898" s="22">
        <f>+S892+S896</f>
        <v>0</v>
      </c>
      <c r="T898" s="20"/>
      <c r="U898" s="118">
        <f>SUM(I898:T898)</f>
        <v>0</v>
      </c>
      <c r="V898" s="67"/>
      <c r="W898" s="118">
        <f t="shared" si="287"/>
        <v>0</v>
      </c>
    </row>
    <row r="899" spans="1:23" ht="18" customHeight="1" thickBot="1">
      <c r="A899" s="47"/>
      <c r="B899" s="17">
        <f t="shared" si="293"/>
        <v>36</v>
      </c>
      <c r="C899" s="1"/>
      <c r="D899" s="51"/>
      <c r="E899" s="17"/>
      <c r="F899" s="19"/>
      <c r="G899" s="17"/>
      <c r="H899" s="17"/>
      <c r="I899" s="17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7"/>
      <c r="U899" s="1"/>
      <c r="V899" s="67"/>
      <c r="W899" s="118">
        <f t="shared" si="287"/>
        <v>0</v>
      </c>
    </row>
    <row r="900" spans="1:23" ht="18" customHeight="1" thickBot="1">
      <c r="A900" s="47"/>
      <c r="B900" s="17">
        <f t="shared" si="293"/>
        <v>37</v>
      </c>
      <c r="C900" s="870" t="s">
        <v>685</v>
      </c>
      <c r="D900" s="1017"/>
      <c r="E900" s="1013"/>
      <c r="F900" s="1014">
        <f>+F898+F886+F874</f>
        <v>8012927.54</v>
      </c>
      <c r="G900" s="1013"/>
      <c r="H900" s="1013"/>
      <c r="I900" s="1016"/>
      <c r="J900" s="1072">
        <f t="shared" si="309" ref="J900:Q900">+J898+J886+J874</f>
        <v>4467245.6836698251</v>
      </c>
      <c r="K900" s="1014">
        <f t="shared" si="309"/>
        <v>688734.24025031575</v>
      </c>
      <c r="L900" s="1014">
        <f t="shared" si="309"/>
        <v>2124424.589607616</v>
      </c>
      <c r="M900" s="1014">
        <f t="shared" si="309"/>
        <v>29830.14685660035</v>
      </c>
      <c r="N900" s="1014">
        <f t="shared" si="309"/>
        <v>622474.8084972339</v>
      </c>
      <c r="O900" s="1014">
        <f>+O898+O886+O874</f>
        <v>21271.835327568846</v>
      </c>
      <c r="P900" s="1014">
        <f t="shared" si="309"/>
        <v>46307.149213092176</v>
      </c>
      <c r="Q900" s="1014">
        <f t="shared" si="309"/>
        <v>4453.0492041375965</v>
      </c>
      <c r="R900" s="1014">
        <f>+R898+R886+R874</f>
        <v>2454.4425377964053</v>
      </c>
      <c r="S900" s="1053">
        <f>+S898+S886+S874</f>
        <v>5731.5948358135711</v>
      </c>
      <c r="T900" s="1016"/>
      <c r="U900" s="1015">
        <f>SUM(I900:T900)</f>
        <v>8012927.5399999991</v>
      </c>
      <c r="V900" s="67"/>
      <c r="W900" s="118">
        <f t="shared" si="287"/>
        <v>0</v>
      </c>
    </row>
    <row r="901" spans="1:23" ht="18" customHeight="1" thickBot="1">
      <c r="A901" s="47"/>
      <c r="B901" s="17">
        <f t="shared" si="293"/>
        <v>38</v>
      </c>
      <c r="C901" s="1"/>
      <c r="D901" s="8"/>
      <c r="E901" s="17"/>
      <c r="F901" s="19"/>
      <c r="G901" s="17"/>
      <c r="H901" s="17"/>
      <c r="I901" s="17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7"/>
      <c r="U901" s="1"/>
      <c r="V901" s="67"/>
      <c r="W901" s="118">
        <f t="shared" si="287"/>
        <v>0</v>
      </c>
    </row>
    <row r="902" spans="1:23" ht="18" customHeight="1" thickBot="1">
      <c r="A902" s="47"/>
      <c r="B902" s="17">
        <f t="shared" si="293"/>
        <v>39</v>
      </c>
      <c r="C902" s="284" t="s">
        <v>1201</v>
      </c>
      <c r="D902" s="285"/>
      <c r="E902" s="374" t="s">
        <v>279</v>
      </c>
      <c r="F902" s="255">
        <f>+F900+F851+F804</f>
        <v>31085348.769999996</v>
      </c>
      <c r="G902" s="374"/>
      <c r="H902" s="467"/>
      <c r="I902" s="468"/>
      <c r="J902" s="446">
        <f t="shared" si="310" ref="J902:S902">+J900+J851+J804</f>
        <v>17330230.021823045</v>
      </c>
      <c r="K902" s="903">
        <f t="shared" si="310"/>
        <v>2671875.1670801761</v>
      </c>
      <c r="L902" s="903">
        <f t="shared" si="310"/>
        <v>8241491.381703495</v>
      </c>
      <c r="M902" s="903">
        <f t="shared" si="310"/>
        <v>115723.05246148053</v>
      </c>
      <c r="N902" s="903">
        <f t="shared" si="310"/>
        <v>2414828.3703047452</v>
      </c>
      <c r="O902" s="903">
        <f t="shared" si="310"/>
        <v>82521.944239759949</v>
      </c>
      <c r="P902" s="903">
        <f t="shared" si="310"/>
        <v>179643.92476809281</v>
      </c>
      <c r="Q902" s="903">
        <f t="shared" si="310"/>
        <v>17279.388261304448</v>
      </c>
      <c r="R902" s="903">
        <f t="shared" si="310"/>
        <v>9521.34640541933</v>
      </c>
      <c r="S902" s="380">
        <f t="shared" si="310"/>
        <v>22234.172952481764</v>
      </c>
      <c r="T902" s="468"/>
      <c r="U902" s="256">
        <f>SUM(I902:T902)</f>
        <v>31085348.77</v>
      </c>
      <c r="V902" s="67"/>
      <c r="W902" s="118">
        <f t="shared" si="311" ref="W902:W932">U902-F902</f>
        <v>0</v>
      </c>
    </row>
    <row r="903" spans="1:23" ht="18" customHeight="1">
      <c r="A903" s="47"/>
      <c r="B903" s="17"/>
      <c r="C903" s="17"/>
      <c r="D903" s="17"/>
      <c r="E903" s="17"/>
      <c r="F903" s="17"/>
      <c r="G903" s="17"/>
      <c r="H903" s="13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34"/>
      <c r="V903" s="134">
        <f>$H$2</f>
        <v>0</v>
      </c>
      <c r="W903" s="118"/>
    </row>
    <row r="904" spans="1:23" ht="18" customHeight="1" thickBot="1">
      <c r="A904" s="4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67"/>
      <c r="W904" s="118"/>
    </row>
    <row r="905" spans="1:23" ht="18" customHeight="1">
      <c r="A905" s="47"/>
      <c r="B905" s="920" t="str">
        <f>+$B$4</f>
        <v>2022 RATE CASE</v>
      </c>
      <c r="C905" s="935"/>
      <c r="D905" s="620"/>
      <c r="F905" s="12"/>
      <c r="U905" s="134"/>
      <c r="W905" s="118"/>
    </row>
    <row r="906" spans="1:23" ht="18" customHeight="1">
      <c r="A906" s="47"/>
      <c r="B906" s="917" t="str">
        <f>+$B$5</f>
        <v>ONCOR ELECTRIC DELIVERY COMPANY LLC</v>
      </c>
      <c r="C906" s="8"/>
      <c r="D906" s="621"/>
      <c r="F906" s="12"/>
      <c r="U906" s="134"/>
      <c r="V906" s="67"/>
      <c r="W906" s="118"/>
    </row>
    <row r="907" spans="1:23" ht="18" customHeight="1">
      <c r="A907" s="47"/>
      <c r="B907" s="917" t="str">
        <f>+$B$6</f>
        <v>II-I-1-MET:  CLASS REVENUE REQUIREMENT</v>
      </c>
      <c r="C907" s="85"/>
      <c r="D907" s="621"/>
      <c r="F907" s="12"/>
      <c r="U907" s="12"/>
      <c r="V907" s="67"/>
      <c r="W907" s="118"/>
    </row>
    <row r="908" spans="1:23" ht="18" customHeight="1">
      <c r="A908" s="47"/>
      <c r="B908" s="406" t="str">
        <f>+$B$7</f>
        <v>TEST YEAR ENDING 12/31/2021</v>
      </c>
      <c r="C908" s="85"/>
      <c r="D908" s="621"/>
      <c r="F908" s="12"/>
      <c r="U908" s="12"/>
      <c r="V908" s="67"/>
      <c r="W908" s="118"/>
    </row>
    <row r="909" spans="1:23" ht="18" customHeight="1">
      <c r="A909" s="47"/>
      <c r="B909" s="406" t="str">
        <f>+$B$8</f>
        <v>SPONSOR:  MATTHEW A. TROXLE</v>
      </c>
      <c r="C909" s="85"/>
      <c r="D909" s="621"/>
      <c r="F909" s="12"/>
      <c r="U909" s="12"/>
      <c r="V909" s="67"/>
      <c r="W909" s="118"/>
    </row>
    <row r="910" spans="1:23" ht="18" customHeight="1" thickBot="1">
      <c r="A910" s="47"/>
      <c r="B910" s="410"/>
      <c r="C910" s="934"/>
      <c r="D910" s="622"/>
      <c r="F910" s="12"/>
      <c r="U910" s="12"/>
      <c r="V910" s="67"/>
      <c r="W910" s="118"/>
    </row>
    <row r="911" spans="1:23" ht="18" customHeight="1" thickBot="1">
      <c r="A911" s="47"/>
      <c r="B911" s="13"/>
      <c r="C911" s="14"/>
      <c r="D911" s="14"/>
      <c r="E911" s="14"/>
      <c r="F911" s="13"/>
      <c r="G911" s="14"/>
      <c r="H911" s="14"/>
      <c r="I911" s="14"/>
      <c r="J911" s="238"/>
      <c r="K911" s="238"/>
      <c r="L911" s="14"/>
      <c r="M911" s="238"/>
      <c r="N911" s="238"/>
      <c r="O911" s="238"/>
      <c r="P911" s="238"/>
      <c r="Q911" s="14"/>
      <c r="R911" s="393" t="str">
        <f>R$10</f>
        <v xml:space="preserve"> </v>
      </c>
      <c r="S911" s="394"/>
      <c r="T911" s="238"/>
      <c r="U911" s="13"/>
      <c r="V911" s="67"/>
      <c r="W911" s="118"/>
    </row>
    <row r="912" spans="1:23" ht="18" customHeight="1">
      <c r="A912" s="47"/>
      <c r="B912" s="15" t="s">
        <v>2</v>
      </c>
      <c r="C912" s="15" t="s">
        <v>370</v>
      </c>
      <c r="D912" s="287" t="s">
        <v>686</v>
      </c>
      <c r="E912" s="15" t="s">
        <v>371</v>
      </c>
      <c r="F912" s="287" t="str">
        <f>F$11</f>
        <v>MET</v>
      </c>
      <c r="G912" s="242" t="s">
        <v>741</v>
      </c>
      <c r="H912" s="242" t="s">
        <v>376</v>
      </c>
      <c r="I912" s="15"/>
      <c r="J912" s="242" t="s">
        <v>730</v>
      </c>
      <c r="K912" s="242" t="s">
        <v>409</v>
      </c>
      <c r="L912" s="15" t="s">
        <v>409</v>
      </c>
      <c r="M912" s="242" t="s">
        <v>410</v>
      </c>
      <c r="N912" s="242" t="s">
        <v>410</v>
      </c>
      <c r="O912" s="242" t="s">
        <v>410</v>
      </c>
      <c r="P912" s="242" t="s">
        <v>411</v>
      </c>
      <c r="Q912" s="15" t="s">
        <v>412</v>
      </c>
      <c r="R912" s="396" t="str">
        <f>R$11</f>
        <v>Wholesale</v>
      </c>
      <c r="S912" s="13" t="str">
        <f>S$11</f>
        <v>Wholesale</v>
      </c>
      <c r="T912" s="242"/>
      <c r="U912" s="15" t="s">
        <v>10</v>
      </c>
      <c r="V912" s="67"/>
      <c r="W912" s="118"/>
    </row>
    <row r="913" spans="1:23" ht="18" customHeight="1">
      <c r="A913" s="47"/>
      <c r="B913" s="15"/>
      <c r="C913" s="15"/>
      <c r="D913" s="15"/>
      <c r="E913" s="15"/>
      <c r="F913" s="15"/>
      <c r="G913" s="242" t="s">
        <v>742</v>
      </c>
      <c r="H913" s="242" t="s">
        <v>743</v>
      </c>
      <c r="I913" s="15"/>
      <c r="J913" s="242"/>
      <c r="K913" s="242" t="s">
        <v>731</v>
      </c>
      <c r="L913" s="15" t="s">
        <v>732</v>
      </c>
      <c r="M913" s="242" t="s">
        <v>731</v>
      </c>
      <c r="N913" s="242" t="s">
        <v>732</v>
      </c>
      <c r="O913" s="242" t="s">
        <v>414</v>
      </c>
      <c r="P913" s="242"/>
      <c r="Q913" s="15"/>
      <c r="R913" s="235" t="str">
        <f>R$12</f>
        <v>XFMR</v>
      </c>
      <c r="S913" s="15" t="str">
        <f>S$12</f>
        <v>DLS</v>
      </c>
      <c r="T913" s="242"/>
      <c r="U913" s="15"/>
      <c r="V913" s="67"/>
      <c r="W913" s="118"/>
    </row>
    <row r="914" spans="1:23" ht="18" customHeight="1" thickBot="1">
      <c r="A914" s="47"/>
      <c r="B914" s="16"/>
      <c r="C914" s="16"/>
      <c r="D914" s="16"/>
      <c r="E914" s="16"/>
      <c r="F914" s="16" t="s">
        <v>13</v>
      </c>
      <c r="G914" s="16" t="s">
        <v>14</v>
      </c>
      <c r="H914" s="16" t="s">
        <v>15</v>
      </c>
      <c r="I914" s="16"/>
      <c r="J914" s="243" t="str">
        <f t="shared" si="312" ref="J914:Q914">J$13</f>
        <v>(d)</v>
      </c>
      <c r="K914" s="243" t="str">
        <f t="shared" si="312"/>
        <v>(e)</v>
      </c>
      <c r="L914" s="16" t="str">
        <f t="shared" si="312"/>
        <v>(f)</v>
      </c>
      <c r="M914" s="243" t="str">
        <f t="shared" si="312"/>
        <v>(g)</v>
      </c>
      <c r="N914" s="243" t="str">
        <f t="shared" si="312"/>
        <v>(h)</v>
      </c>
      <c r="O914" s="243" t="str">
        <f>O$13</f>
        <v>(i)</v>
      </c>
      <c r="P914" s="243" t="str">
        <f t="shared" si="312"/>
        <v>(j)</v>
      </c>
      <c r="Q914" s="243" t="str">
        <f t="shared" si="312"/>
        <v>(k)</v>
      </c>
      <c r="R914" s="243" t="str">
        <f>R$13</f>
        <v>(l)</v>
      </c>
      <c r="S914" s="16" t="str">
        <f>S$13</f>
        <v>(m)</v>
      </c>
      <c r="T914" s="16"/>
      <c r="U914" s="16" t="s">
        <v>734</v>
      </c>
      <c r="V914" s="67"/>
      <c r="W914" s="118"/>
    </row>
    <row r="915" spans="1:23" ht="18" customHeight="1">
      <c r="A915" s="47"/>
      <c r="B915" s="17"/>
      <c r="C915" s="1"/>
      <c r="D915" s="8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"/>
      <c r="V915" s="67"/>
      <c r="W915" s="118">
        <f t="shared" si="311"/>
        <v>0</v>
      </c>
    </row>
    <row r="916" spans="1:23" ht="18" customHeight="1">
      <c r="A916" s="47"/>
      <c r="B916" s="17">
        <f t="shared" si="313" ref="B916:B934">B915+1</f>
        <v>1</v>
      </c>
      <c r="C916" s="8" t="s">
        <v>686</v>
      </c>
      <c r="D916" s="8"/>
      <c r="E916" s="20" t="s">
        <v>279</v>
      </c>
      <c r="F916" s="22"/>
      <c r="G916" s="20"/>
      <c r="H916" s="20"/>
      <c r="I916" s="1010"/>
      <c r="J916" s="1059"/>
      <c r="K916" s="1059"/>
      <c r="L916" s="1059"/>
      <c r="M916" s="1059"/>
      <c r="N916" s="1059"/>
      <c r="O916" s="1059"/>
      <c r="P916" s="1059"/>
      <c r="Q916" s="1059"/>
      <c r="R916" s="1059"/>
      <c r="S916" s="1059"/>
      <c r="T916" s="20"/>
      <c r="U916" s="8"/>
      <c r="V916" s="67"/>
      <c r="W916" s="118">
        <f t="shared" si="311"/>
        <v>0</v>
      </c>
    </row>
    <row r="917" spans="1:23" ht="18" customHeight="1">
      <c r="A917" s="47"/>
      <c r="B917" s="17">
        <f t="shared" si="313"/>
        <v>2</v>
      </c>
      <c r="C917" s="1" t="s">
        <v>254</v>
      </c>
      <c r="D917" s="1" t="s">
        <v>255</v>
      </c>
      <c r="E917" s="19"/>
      <c r="F917" s="118">
        <f>' WP II-I-1.4'!H917</f>
        <v>13067163.640000001</v>
      </c>
      <c r="G917" s="17">
        <v>77</v>
      </c>
      <c r="H917" s="47" t="str">
        <f t="shared" si="314" ref="H917:H929">VLOOKUP(G917,FactorTable,2)</f>
        <v>O&amp;M x565</v>
      </c>
      <c r="I917" s="19"/>
      <c r="J917" s="434">
        <f t="shared" si="315" ref="J917:S929">$F917*HLOOKUP(J$1318,FactorTable,$G917+1)</f>
        <v>7289836.8636780409</v>
      </c>
      <c r="K917" s="434">
        <f t="shared" si="315"/>
        <v>1122651.6691626767</v>
      </c>
      <c r="L917" s="434">
        <f t="shared" si="315"/>
        <v>3458472.0706018764</v>
      </c>
      <c r="M917" s="434">
        <f t="shared" si="315"/>
        <v>48561.447250794728</v>
      </c>
      <c r="N917" s="434">
        <f t="shared" si="315"/>
        <v>1013029.7651880718</v>
      </c>
      <c r="O917" s="434">
        <f t="shared" si="315"/>
        <v>34630.620929072633</v>
      </c>
      <c r="P917" s="434">
        <f t="shared" si="315"/>
        <v>75356.811940448097</v>
      </c>
      <c r="Q917" s="434">
        <f t="shared" si="315"/>
        <v>11299.418461222369</v>
      </c>
      <c r="R917" s="434">
        <f t="shared" si="315"/>
        <v>3995.801014171579</v>
      </c>
      <c r="S917" s="434">
        <f t="shared" si="315"/>
        <v>9329.1717736235551</v>
      </c>
      <c r="T917" s="19"/>
      <c r="U917" s="299">
        <f t="shared" si="316" ref="U917:U930">SUM(I917:T917)</f>
        <v>13067163.640000001</v>
      </c>
      <c r="V917" s="67"/>
      <c r="W917" s="118">
        <f t="shared" si="311"/>
        <v>0</v>
      </c>
    </row>
    <row r="918" spans="1:23" ht="18" customHeight="1">
      <c r="A918" s="47"/>
      <c r="B918" s="17">
        <f t="shared" si="313"/>
        <v>3</v>
      </c>
      <c r="C918" s="1" t="s">
        <v>256</v>
      </c>
      <c r="D918" s="1" t="s">
        <v>257</v>
      </c>
      <c r="E918" s="19"/>
      <c r="F918" s="118">
        <f>' WP II-I-1.4'!H918</f>
        <v>0</v>
      </c>
      <c r="G918" s="17">
        <v>77</v>
      </c>
      <c r="H918" s="47" t="str">
        <f t="shared" si="314"/>
        <v>O&amp;M x565</v>
      </c>
      <c r="I918" s="19"/>
      <c r="J918" s="434">
        <f t="shared" si="315"/>
        <v>0</v>
      </c>
      <c r="K918" s="434">
        <f t="shared" si="315"/>
        <v>0</v>
      </c>
      <c r="L918" s="434">
        <f t="shared" si="315"/>
        <v>0</v>
      </c>
      <c r="M918" s="434">
        <f t="shared" si="315"/>
        <v>0</v>
      </c>
      <c r="N918" s="434">
        <f t="shared" si="315"/>
        <v>0</v>
      </c>
      <c r="O918" s="434">
        <f t="shared" si="315"/>
        <v>0</v>
      </c>
      <c r="P918" s="434">
        <f t="shared" si="315"/>
        <v>0</v>
      </c>
      <c r="Q918" s="434">
        <f t="shared" si="315"/>
        <v>0</v>
      </c>
      <c r="R918" s="434">
        <f t="shared" si="315"/>
        <v>0</v>
      </c>
      <c r="S918" s="434">
        <f t="shared" si="315"/>
        <v>0</v>
      </c>
      <c r="T918" s="19"/>
      <c r="U918" s="118">
        <f t="shared" si="316"/>
        <v>0</v>
      </c>
      <c r="V918" s="67"/>
      <c r="W918" s="118">
        <f t="shared" si="311"/>
        <v>0</v>
      </c>
    </row>
    <row r="919" spans="1:23" ht="18" customHeight="1">
      <c r="A919" s="47"/>
      <c r="B919" s="17">
        <f t="shared" si="313"/>
        <v>4</v>
      </c>
      <c r="C919" s="1" t="s">
        <v>258</v>
      </c>
      <c r="D919" s="1" t="s">
        <v>259</v>
      </c>
      <c r="E919" s="19"/>
      <c r="F919" s="118">
        <f>' WP II-I-1.4'!H919</f>
        <v>0</v>
      </c>
      <c r="G919" s="17">
        <v>77</v>
      </c>
      <c r="H919" s="47" t="str">
        <f t="shared" si="314"/>
        <v>O&amp;M x565</v>
      </c>
      <c r="I919" s="19"/>
      <c r="J919" s="434">
        <f t="shared" si="315"/>
        <v>0</v>
      </c>
      <c r="K919" s="434">
        <f t="shared" si="315"/>
        <v>0</v>
      </c>
      <c r="L919" s="434">
        <f t="shared" si="315"/>
        <v>0</v>
      </c>
      <c r="M919" s="434">
        <f t="shared" si="315"/>
        <v>0</v>
      </c>
      <c r="N919" s="434">
        <f t="shared" si="315"/>
        <v>0</v>
      </c>
      <c r="O919" s="434">
        <f t="shared" si="315"/>
        <v>0</v>
      </c>
      <c r="P919" s="434">
        <f t="shared" si="315"/>
        <v>0</v>
      </c>
      <c r="Q919" s="434">
        <f t="shared" si="315"/>
        <v>0</v>
      </c>
      <c r="R919" s="434">
        <f t="shared" si="315"/>
        <v>0</v>
      </c>
      <c r="S919" s="434">
        <f t="shared" si="315"/>
        <v>0</v>
      </c>
      <c r="T919" s="19"/>
      <c r="U919" s="118">
        <f t="shared" si="316"/>
        <v>0</v>
      </c>
      <c r="V919" s="67"/>
      <c r="W919" s="118">
        <f t="shared" si="311"/>
        <v>0</v>
      </c>
    </row>
    <row r="920" spans="1:23" ht="18" customHeight="1">
      <c r="A920" s="47"/>
      <c r="B920" s="17">
        <f t="shared" si="313"/>
        <v>5</v>
      </c>
      <c r="C920" s="1" t="s">
        <v>260</v>
      </c>
      <c r="D920" s="1" t="s">
        <v>261</v>
      </c>
      <c r="E920" s="19"/>
      <c r="F920" s="118">
        <f>' WP II-I-1.4'!H920</f>
        <v>0</v>
      </c>
      <c r="G920" s="17">
        <v>77</v>
      </c>
      <c r="H920" s="47" t="str">
        <f t="shared" si="314"/>
        <v>O&amp;M x565</v>
      </c>
      <c r="I920" s="19"/>
      <c r="J920" s="434">
        <f t="shared" si="315"/>
        <v>0</v>
      </c>
      <c r="K920" s="434">
        <f t="shared" si="315"/>
        <v>0</v>
      </c>
      <c r="L920" s="434">
        <f t="shared" si="315"/>
        <v>0</v>
      </c>
      <c r="M920" s="434">
        <f t="shared" si="315"/>
        <v>0</v>
      </c>
      <c r="N920" s="434">
        <f t="shared" si="315"/>
        <v>0</v>
      </c>
      <c r="O920" s="434">
        <f t="shared" si="315"/>
        <v>0</v>
      </c>
      <c r="P920" s="434">
        <f t="shared" si="315"/>
        <v>0</v>
      </c>
      <c r="Q920" s="434">
        <f t="shared" si="315"/>
        <v>0</v>
      </c>
      <c r="R920" s="434">
        <f t="shared" si="315"/>
        <v>0</v>
      </c>
      <c r="S920" s="434">
        <f t="shared" si="315"/>
        <v>0</v>
      </c>
      <c r="T920" s="19"/>
      <c r="U920" s="118">
        <f t="shared" si="316"/>
        <v>0</v>
      </c>
      <c r="V920" s="67"/>
      <c r="W920" s="118">
        <f t="shared" si="311"/>
        <v>0</v>
      </c>
    </row>
    <row r="921" spans="1:23" ht="18" customHeight="1">
      <c r="A921" s="47"/>
      <c r="B921" s="17">
        <f t="shared" si="313"/>
        <v>6</v>
      </c>
      <c r="C921" s="31" t="s">
        <v>262</v>
      </c>
      <c r="D921" s="1" t="s">
        <v>263</v>
      </c>
      <c r="E921" s="19"/>
      <c r="F921" s="118">
        <f>' WP II-I-1.4'!H921</f>
        <v>0</v>
      </c>
      <c r="G921" s="17">
        <v>64</v>
      </c>
      <c r="H921" s="47" t="str">
        <f t="shared" si="314"/>
        <v>PLANT</v>
      </c>
      <c r="I921" s="19"/>
      <c r="J921" s="434">
        <f t="shared" si="315"/>
        <v>0</v>
      </c>
      <c r="K921" s="434">
        <f t="shared" si="315"/>
        <v>0</v>
      </c>
      <c r="L921" s="434">
        <f t="shared" si="315"/>
        <v>0</v>
      </c>
      <c r="M921" s="434">
        <f t="shared" si="315"/>
        <v>0</v>
      </c>
      <c r="N921" s="434">
        <f t="shared" si="315"/>
        <v>0</v>
      </c>
      <c r="O921" s="434">
        <f t="shared" si="315"/>
        <v>0</v>
      </c>
      <c r="P921" s="434">
        <f t="shared" si="315"/>
        <v>0</v>
      </c>
      <c r="Q921" s="434">
        <f t="shared" si="315"/>
        <v>0</v>
      </c>
      <c r="R921" s="434">
        <f t="shared" si="315"/>
        <v>0</v>
      </c>
      <c r="S921" s="434">
        <f t="shared" si="315"/>
        <v>0</v>
      </c>
      <c r="T921" s="19"/>
      <c r="U921" s="118">
        <f t="shared" si="316"/>
        <v>0</v>
      </c>
      <c r="V921" s="67"/>
      <c r="W921" s="118">
        <f t="shared" si="311"/>
        <v>0</v>
      </c>
    </row>
    <row r="922" spans="1:23" ht="18" customHeight="1">
      <c r="A922" s="47"/>
      <c r="B922" s="17">
        <f t="shared" si="313"/>
        <v>7</v>
      </c>
      <c r="C922" s="31" t="s">
        <v>264</v>
      </c>
      <c r="D922" s="1" t="s">
        <v>265</v>
      </c>
      <c r="E922" s="19"/>
      <c r="F922" s="118">
        <f>' WP II-I-1.4'!H922</f>
        <v>0</v>
      </c>
      <c r="G922" s="17">
        <v>77</v>
      </c>
      <c r="H922" s="47" t="str">
        <f t="shared" si="314"/>
        <v>O&amp;M x565</v>
      </c>
      <c r="I922" s="19"/>
      <c r="J922" s="434">
        <f t="shared" si="315"/>
        <v>0</v>
      </c>
      <c r="K922" s="434">
        <f t="shared" si="315"/>
        <v>0</v>
      </c>
      <c r="L922" s="434">
        <f t="shared" si="315"/>
        <v>0</v>
      </c>
      <c r="M922" s="434">
        <f t="shared" si="315"/>
        <v>0</v>
      </c>
      <c r="N922" s="434">
        <f t="shared" si="315"/>
        <v>0</v>
      </c>
      <c r="O922" s="434">
        <f t="shared" si="315"/>
        <v>0</v>
      </c>
      <c r="P922" s="434">
        <f t="shared" si="315"/>
        <v>0</v>
      </c>
      <c r="Q922" s="434">
        <f t="shared" si="315"/>
        <v>0</v>
      </c>
      <c r="R922" s="434">
        <f t="shared" si="315"/>
        <v>0</v>
      </c>
      <c r="S922" s="434">
        <f t="shared" si="315"/>
        <v>0</v>
      </c>
      <c r="T922" s="19"/>
      <c r="U922" s="118">
        <f t="shared" si="316"/>
        <v>0</v>
      </c>
      <c r="V922" s="67"/>
      <c r="W922" s="118">
        <f t="shared" si="311"/>
        <v>0</v>
      </c>
    </row>
    <row r="923" spans="1:23" ht="18" customHeight="1">
      <c r="A923" s="47"/>
      <c r="B923" s="17">
        <f t="shared" si="313"/>
        <v>8</v>
      </c>
      <c r="C923" s="1" t="s">
        <v>266</v>
      </c>
      <c r="D923" s="1" t="s">
        <v>267</v>
      </c>
      <c r="E923" s="19"/>
      <c r="F923" s="118">
        <f>' WP II-I-1.4'!H923</f>
        <v>0</v>
      </c>
      <c r="G923" s="17">
        <v>77</v>
      </c>
      <c r="H923" s="47" t="str">
        <f t="shared" si="314"/>
        <v>O&amp;M x565</v>
      </c>
      <c r="I923" s="19"/>
      <c r="J923" s="434">
        <f t="shared" si="315"/>
        <v>0</v>
      </c>
      <c r="K923" s="434">
        <f t="shared" si="315"/>
        <v>0</v>
      </c>
      <c r="L923" s="434">
        <f t="shared" si="315"/>
        <v>0</v>
      </c>
      <c r="M923" s="434">
        <f t="shared" si="315"/>
        <v>0</v>
      </c>
      <c r="N923" s="434">
        <f t="shared" si="315"/>
        <v>0</v>
      </c>
      <c r="O923" s="434">
        <f t="shared" si="315"/>
        <v>0</v>
      </c>
      <c r="P923" s="434">
        <f t="shared" si="315"/>
        <v>0</v>
      </c>
      <c r="Q923" s="434">
        <f t="shared" si="315"/>
        <v>0</v>
      </c>
      <c r="R923" s="434">
        <f t="shared" si="315"/>
        <v>0</v>
      </c>
      <c r="S923" s="434">
        <f t="shared" si="315"/>
        <v>0</v>
      </c>
      <c r="T923" s="19"/>
      <c r="U923" s="118">
        <f t="shared" si="316"/>
        <v>0</v>
      </c>
      <c r="V923" s="67"/>
      <c r="W923" s="118">
        <f t="shared" si="311"/>
        <v>0</v>
      </c>
    </row>
    <row r="924" spans="1:23" ht="18" customHeight="1">
      <c r="A924" s="47"/>
      <c r="B924" s="17">
        <f t="shared" si="313"/>
        <v>9</v>
      </c>
      <c r="C924" s="1" t="s">
        <v>268</v>
      </c>
      <c r="D924" s="1" t="s">
        <v>269</v>
      </c>
      <c r="E924" s="19"/>
      <c r="F924" s="118">
        <f>' WP II-I-1.4'!H924</f>
        <v>0</v>
      </c>
      <c r="G924" s="17">
        <v>14</v>
      </c>
      <c r="H924" s="47" t="str">
        <f t="shared" si="314"/>
        <v>REVENUE</v>
      </c>
      <c r="I924" s="19"/>
      <c r="J924" s="434">
        <f t="shared" si="315"/>
        <v>0</v>
      </c>
      <c r="K924" s="434">
        <f t="shared" si="315"/>
        <v>0</v>
      </c>
      <c r="L924" s="434">
        <f t="shared" si="315"/>
        <v>0</v>
      </c>
      <c r="M924" s="434">
        <f t="shared" si="315"/>
        <v>0</v>
      </c>
      <c r="N924" s="434">
        <f t="shared" si="315"/>
        <v>0</v>
      </c>
      <c r="O924" s="434">
        <f t="shared" si="315"/>
        <v>0</v>
      </c>
      <c r="P924" s="434">
        <f t="shared" si="315"/>
        <v>0</v>
      </c>
      <c r="Q924" s="434">
        <f t="shared" si="315"/>
        <v>0</v>
      </c>
      <c r="R924" s="434">
        <f t="shared" si="315"/>
        <v>0</v>
      </c>
      <c r="S924" s="434">
        <f t="shared" si="315"/>
        <v>0</v>
      </c>
      <c r="T924" s="19"/>
      <c r="U924" s="118">
        <f t="shared" si="316"/>
        <v>0</v>
      </c>
      <c r="V924" s="67"/>
      <c r="W924" s="118">
        <f t="shared" si="311"/>
        <v>0</v>
      </c>
    </row>
    <row r="925" spans="1:23" ht="18" customHeight="1">
      <c r="A925" s="47"/>
      <c r="B925" s="17">
        <f t="shared" si="313"/>
        <v>10</v>
      </c>
      <c r="C925" s="1" t="s">
        <v>270</v>
      </c>
      <c r="D925" s="1" t="s">
        <v>271</v>
      </c>
      <c r="E925" s="19"/>
      <c r="F925" s="118">
        <f>' WP II-I-1.4'!H925</f>
        <v>0</v>
      </c>
      <c r="G925" s="17">
        <v>77</v>
      </c>
      <c r="H925" s="47" t="str">
        <f t="shared" si="314"/>
        <v>O&amp;M x565</v>
      </c>
      <c r="I925" s="19"/>
      <c r="J925" s="434">
        <f t="shared" si="315"/>
        <v>0</v>
      </c>
      <c r="K925" s="434">
        <f t="shared" si="315"/>
        <v>0</v>
      </c>
      <c r="L925" s="434">
        <f t="shared" si="315"/>
        <v>0</v>
      </c>
      <c r="M925" s="434">
        <f t="shared" si="315"/>
        <v>0</v>
      </c>
      <c r="N925" s="434">
        <f t="shared" si="315"/>
        <v>0</v>
      </c>
      <c r="O925" s="434">
        <f t="shared" si="315"/>
        <v>0</v>
      </c>
      <c r="P925" s="434">
        <f t="shared" si="315"/>
        <v>0</v>
      </c>
      <c r="Q925" s="434">
        <f t="shared" si="315"/>
        <v>0</v>
      </c>
      <c r="R925" s="434">
        <f t="shared" si="315"/>
        <v>0</v>
      </c>
      <c r="S925" s="434">
        <f t="shared" si="315"/>
        <v>0</v>
      </c>
      <c r="T925" s="19"/>
      <c r="U925" s="118">
        <f t="shared" si="316"/>
        <v>0</v>
      </c>
      <c r="V925" s="67"/>
      <c r="W925" s="118">
        <f t="shared" si="311"/>
        <v>0</v>
      </c>
    </row>
    <row r="926" spans="1:23" ht="18" customHeight="1">
      <c r="A926" s="47"/>
      <c r="B926" s="17">
        <f t="shared" si="313"/>
        <v>11</v>
      </c>
      <c r="C926" s="1" t="s">
        <v>272</v>
      </c>
      <c r="D926" s="1" t="s">
        <v>273</v>
      </c>
      <c r="E926" s="19"/>
      <c r="F926" s="118">
        <f>' WP II-I-1.4'!H926</f>
        <v>0</v>
      </c>
      <c r="G926" s="17">
        <v>77</v>
      </c>
      <c r="H926" s="47" t="str">
        <f t="shared" si="314"/>
        <v>O&amp;M x565</v>
      </c>
      <c r="I926" s="19"/>
      <c r="J926" s="434">
        <f t="shared" si="315"/>
        <v>0</v>
      </c>
      <c r="K926" s="434">
        <f t="shared" si="315"/>
        <v>0</v>
      </c>
      <c r="L926" s="434">
        <f t="shared" si="315"/>
        <v>0</v>
      </c>
      <c r="M926" s="434">
        <f t="shared" si="315"/>
        <v>0</v>
      </c>
      <c r="N926" s="434">
        <f t="shared" si="315"/>
        <v>0</v>
      </c>
      <c r="O926" s="434">
        <f t="shared" si="315"/>
        <v>0</v>
      </c>
      <c r="P926" s="434">
        <f t="shared" si="315"/>
        <v>0</v>
      </c>
      <c r="Q926" s="434">
        <f t="shared" si="315"/>
        <v>0</v>
      </c>
      <c r="R926" s="434">
        <f t="shared" si="315"/>
        <v>0</v>
      </c>
      <c r="S926" s="434">
        <f t="shared" si="315"/>
        <v>0</v>
      </c>
      <c r="T926" s="19"/>
      <c r="U926" s="118">
        <f t="shared" si="316"/>
        <v>0</v>
      </c>
      <c r="V926" s="67"/>
      <c r="W926" s="118">
        <f t="shared" si="311"/>
        <v>0</v>
      </c>
    </row>
    <row r="927" spans="1:23" ht="18" customHeight="1">
      <c r="A927" s="47"/>
      <c r="B927" s="17">
        <f t="shared" si="313"/>
        <v>12</v>
      </c>
      <c r="C927" s="31" t="s">
        <v>274</v>
      </c>
      <c r="D927" s="1" t="s">
        <v>206</v>
      </c>
      <c r="E927" s="19"/>
      <c r="F927" s="118">
        <f>' WP II-I-1.4'!H927</f>
        <v>0</v>
      </c>
      <c r="G927" s="17">
        <v>77</v>
      </c>
      <c r="H927" s="47" t="str">
        <f t="shared" si="314"/>
        <v>O&amp;M x565</v>
      </c>
      <c r="I927" s="19"/>
      <c r="J927" s="434">
        <f t="shared" si="315"/>
        <v>0</v>
      </c>
      <c r="K927" s="434">
        <f t="shared" si="315"/>
        <v>0</v>
      </c>
      <c r="L927" s="434">
        <f t="shared" si="315"/>
        <v>0</v>
      </c>
      <c r="M927" s="434">
        <f t="shared" si="315"/>
        <v>0</v>
      </c>
      <c r="N927" s="434">
        <f t="shared" si="315"/>
        <v>0</v>
      </c>
      <c r="O927" s="434">
        <f t="shared" si="315"/>
        <v>0</v>
      </c>
      <c r="P927" s="434">
        <f t="shared" si="315"/>
        <v>0</v>
      </c>
      <c r="Q927" s="434">
        <f t="shared" si="315"/>
        <v>0</v>
      </c>
      <c r="R927" s="434">
        <f t="shared" si="315"/>
        <v>0</v>
      </c>
      <c r="S927" s="434">
        <f t="shared" si="315"/>
        <v>0</v>
      </c>
      <c r="T927" s="19"/>
      <c r="U927" s="118">
        <f t="shared" si="316"/>
        <v>0</v>
      </c>
      <c r="V927" s="67"/>
      <c r="W927" s="118">
        <f t="shared" si="311"/>
        <v>0</v>
      </c>
    </row>
    <row r="928" spans="1:23" ht="18" customHeight="1">
      <c r="A928" s="47"/>
      <c r="B928" s="17">
        <f t="shared" si="313"/>
        <v>13</v>
      </c>
      <c r="C928" s="31" t="s">
        <v>275</v>
      </c>
      <c r="D928" s="1" t="s">
        <v>276</v>
      </c>
      <c r="E928" s="19"/>
      <c r="F928" s="118">
        <f>' WP II-I-1.4'!H928</f>
        <v>16.629999999999999</v>
      </c>
      <c r="G928" s="17">
        <v>62</v>
      </c>
      <c r="H928" s="47" t="str">
        <f t="shared" si="314"/>
        <v>PLTGEN</v>
      </c>
      <c r="I928" s="19"/>
      <c r="J928" s="434">
        <f t="shared" si="315"/>
        <v>9.2713050690371279</v>
      </c>
      <c r="K928" s="434">
        <f t="shared" si="315"/>
        <v>1.4293964793999316</v>
      </c>
      <c r="L928" s="434">
        <f t="shared" si="315"/>
        <v>4.4090228881783515</v>
      </c>
      <c r="M928" s="434">
        <f t="shared" si="315"/>
        <v>0.061909375786675838</v>
      </c>
      <c r="N928" s="434">
        <f t="shared" si="315"/>
        <v>1.2918819012943423</v>
      </c>
      <c r="O928" s="434">
        <f t="shared" si="315"/>
        <v>0.04414748788524174</v>
      </c>
      <c r="P928" s="434">
        <f t="shared" si="315"/>
        <v>0.096105685165564697</v>
      </c>
      <c r="Q928" s="434">
        <f t="shared" si="315"/>
        <v>0.0092418417482417678</v>
      </c>
      <c r="R928" s="434">
        <f t="shared" si="315"/>
        <v>0.0050939409098355861</v>
      </c>
      <c r="S928" s="434">
        <f t="shared" si="315"/>
        <v>0.011895330594687954</v>
      </c>
      <c r="T928" s="19"/>
      <c r="U928" s="118">
        <f t="shared" si="316"/>
        <v>16.629999999999999</v>
      </c>
      <c r="V928" s="67"/>
      <c r="W928" s="118">
        <f t="shared" si="311"/>
        <v>0</v>
      </c>
    </row>
    <row r="929" spans="1:23" ht="18" customHeight="1">
      <c r="A929" s="47"/>
      <c r="B929" s="17">
        <f t="shared" si="313"/>
        <v>14</v>
      </c>
      <c r="C929" s="28" t="s">
        <v>277</v>
      </c>
      <c r="D929" s="1" t="s">
        <v>276</v>
      </c>
      <c r="E929" s="19"/>
      <c r="F929" s="118">
        <f>' WP II-I-1.4'!H929</f>
        <v>212.81</v>
      </c>
      <c r="G929" s="17">
        <v>62</v>
      </c>
      <c r="H929" s="47" t="str">
        <f t="shared" si="314"/>
        <v>PLTGEN</v>
      </c>
      <c r="I929" s="19"/>
      <c r="J929" s="435">
        <f t="shared" si="315"/>
        <v>118.64259962367959</v>
      </c>
      <c r="K929" s="435">
        <f t="shared" si="315"/>
        <v>18.291633480523121</v>
      </c>
      <c r="L929" s="435">
        <f t="shared" si="315"/>
        <v>56.421176237717084</v>
      </c>
      <c r="M929" s="435">
        <f t="shared" si="315"/>
        <v>0.79223898142889271</v>
      </c>
      <c r="N929" s="435">
        <f t="shared" si="315"/>
        <v>16.531893410369754</v>
      </c>
      <c r="O929" s="435">
        <f t="shared" si="315"/>
        <v>0.56494449169322281</v>
      </c>
      <c r="P929" s="435">
        <f t="shared" si="315"/>
        <v>1.2298407011475543</v>
      </c>
      <c r="Q929" s="435">
        <f t="shared" si="315"/>
        <v>0.11826556478913594</v>
      </c>
      <c r="R929" s="435">
        <f t="shared" si="315"/>
        <v>0.065185902887679573</v>
      </c>
      <c r="S929" s="435">
        <f t="shared" si="315"/>
        <v>0.15222160576401345</v>
      </c>
      <c r="T929" s="19"/>
      <c r="U929" s="118">
        <f t="shared" si="316"/>
        <v>212.81000000000006</v>
      </c>
      <c r="V929" s="67"/>
      <c r="W929" s="118">
        <f t="shared" si="311"/>
        <v>0</v>
      </c>
    </row>
    <row r="930" spans="1:23" ht="18" customHeight="1">
      <c r="A930" s="47"/>
      <c r="B930" s="17">
        <f t="shared" si="313"/>
        <v>15</v>
      </c>
      <c r="C930" s="8" t="s">
        <v>687</v>
      </c>
      <c r="D930" s="34"/>
      <c r="E930" s="22"/>
      <c r="F930" s="22">
        <f>SUM(F917:F929)</f>
        <v>13067393.080000002</v>
      </c>
      <c r="G930" s="22"/>
      <c r="H930" s="22"/>
      <c r="I930" s="896"/>
      <c r="J930" s="896">
        <f t="shared" si="317" ref="J930:Q930">SUM(J917:J929)</f>
        <v>7289964.7775827339</v>
      </c>
      <c r="K930" s="896">
        <f t="shared" si="317"/>
        <v>1122671.3901926365</v>
      </c>
      <c r="L930" s="896">
        <f t="shared" si="317"/>
        <v>3458532.900801002</v>
      </c>
      <c r="M930" s="896">
        <f t="shared" si="317"/>
        <v>48562.30139915194</v>
      </c>
      <c r="N930" s="896">
        <f t="shared" si="317"/>
        <v>1013047.5889633835</v>
      </c>
      <c r="O930" s="896">
        <f>SUM(O917:O929)</f>
        <v>34631.230021052208</v>
      </c>
      <c r="P930" s="896">
        <f t="shared" si="317"/>
        <v>75358.137886834404</v>
      </c>
      <c r="Q930" s="896">
        <f t="shared" si="317"/>
        <v>11299.545968628907</v>
      </c>
      <c r="R930" s="896">
        <f>SUM(R917:R929)</f>
        <v>3995.8712940153764</v>
      </c>
      <c r="S930" s="896">
        <f>SUM(S917:S929)</f>
        <v>9329.3358905599143</v>
      </c>
      <c r="T930" s="22"/>
      <c r="U930" s="299">
        <f t="shared" si="316"/>
        <v>13067393.080000002</v>
      </c>
      <c r="V930" s="67"/>
      <c r="W930" s="118">
        <f t="shared" si="311"/>
        <v>0</v>
      </c>
    </row>
    <row r="931" spans="1:23" ht="18" customHeight="1">
      <c r="A931" s="47"/>
      <c r="B931" s="17">
        <f t="shared" si="313"/>
        <v>16</v>
      </c>
      <c r="C931" s="1"/>
      <c r="D931" s="1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"/>
      <c r="V931" s="67"/>
      <c r="W931" s="118">
        <f t="shared" si="311"/>
        <v>0</v>
      </c>
    </row>
    <row r="932" spans="1:23" ht="18" customHeight="1">
      <c r="A932" s="47"/>
      <c r="B932" s="17">
        <f t="shared" si="313"/>
        <v>17</v>
      </c>
      <c r="C932" s="8"/>
      <c r="D932" s="297" t="s">
        <v>688</v>
      </c>
      <c r="E932" s="20"/>
      <c r="F932" s="22">
        <f>SUM(F918:F929)</f>
        <v>229.44</v>
      </c>
      <c r="G932" s="20"/>
      <c r="H932" s="20"/>
      <c r="I932" s="20"/>
      <c r="J932" s="896">
        <f t="shared" si="318" ref="J932:Q932">SUM(J918:J929)</f>
        <v>127.91390469271671</v>
      </c>
      <c r="K932" s="896">
        <f t="shared" si="318"/>
        <v>19.721029959923051</v>
      </c>
      <c r="L932" s="896">
        <f t="shared" si="318"/>
        <v>60.830199125895433</v>
      </c>
      <c r="M932" s="896">
        <f t="shared" si="318"/>
        <v>0.85414835721556859</v>
      </c>
      <c r="N932" s="896">
        <f t="shared" si="318"/>
        <v>17.823775311664097</v>
      </c>
      <c r="O932" s="896">
        <f>SUM(O918:O929)</f>
        <v>0.6090919795784645</v>
      </c>
      <c r="P932" s="896">
        <f t="shared" si="318"/>
        <v>1.3259463863131189</v>
      </c>
      <c r="Q932" s="896">
        <f t="shared" si="318"/>
        <v>0.12750740653737772</v>
      </c>
      <c r="R932" s="896">
        <f>SUM(R918:R929)</f>
        <v>0.07027984379751516</v>
      </c>
      <c r="S932" s="896">
        <f>SUM(S918:S929)</f>
        <v>0.16411693635870139</v>
      </c>
      <c r="T932" s="20"/>
      <c r="U932" s="299">
        <f>SUM(I932:T932)</f>
        <v>229.44000000000006</v>
      </c>
      <c r="V932" s="67"/>
      <c r="W932" s="118">
        <f t="shared" si="311"/>
        <v>0</v>
      </c>
    </row>
    <row r="933" spans="1:22" ht="18" customHeight="1" thickBot="1">
      <c r="A933" s="47"/>
      <c r="B933" s="17">
        <f t="shared" si="313"/>
        <v>18</v>
      </c>
      <c r="C933" s="1"/>
      <c r="D933" s="51"/>
      <c r="E933" s="17"/>
      <c r="F933" s="19"/>
      <c r="G933" s="17"/>
      <c r="H933" s="17"/>
      <c r="I933" s="17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7"/>
      <c r="U933" s="1"/>
      <c r="V933" s="67"/>
    </row>
    <row r="934" spans="1:23" ht="18" customHeight="1" thickBot="1">
      <c r="A934" s="47"/>
      <c r="B934" s="17">
        <f t="shared" si="313"/>
        <v>19</v>
      </c>
      <c r="C934" s="284" t="s">
        <v>689</v>
      </c>
      <c r="D934" s="285"/>
      <c r="E934" s="374" t="s">
        <v>279</v>
      </c>
      <c r="F934" s="255">
        <f>+F902+F930</f>
        <v>44152741.849999994</v>
      </c>
      <c r="G934" s="374"/>
      <c r="H934" s="467"/>
      <c r="I934" s="1066"/>
      <c r="J934" s="446">
        <f t="shared" si="319" ref="J934:Q934">+J902+J930</f>
        <v>24620194.79940578</v>
      </c>
      <c r="K934" s="903">
        <f t="shared" si="319"/>
        <v>3794546.5572728124</v>
      </c>
      <c r="L934" s="903">
        <f t="shared" si="319"/>
        <v>11700024.282504497</v>
      </c>
      <c r="M934" s="903">
        <f t="shared" si="319"/>
        <v>164285.35386063246</v>
      </c>
      <c r="N934" s="903">
        <f t="shared" si="319"/>
        <v>3427875.9592681285</v>
      </c>
      <c r="O934" s="903">
        <f>+O902+O930</f>
        <v>117153.17426081216</v>
      </c>
      <c r="P934" s="903">
        <f t="shared" si="319"/>
        <v>255002.0626549272</v>
      </c>
      <c r="Q934" s="903">
        <f t="shared" si="319"/>
        <v>28578.934229933355</v>
      </c>
      <c r="R934" s="903">
        <f>+R902+R930</f>
        <v>13517.217699434706</v>
      </c>
      <c r="S934" s="380">
        <f>+S902+S930</f>
        <v>31563.50884304168</v>
      </c>
      <c r="T934" s="467"/>
      <c r="U934" s="256">
        <f>SUM(I934:T934)</f>
        <v>44152741.850000001</v>
      </c>
      <c r="V934" s="67"/>
      <c r="W934" s="375" t="b">
        <f>IF(ROUND(U934-'WP II-I-1.1'!H454,0)=0,TRUE,U934-'WP II-I-1.1'!H454)</f>
        <v>1</v>
      </c>
    </row>
    <row r="935" spans="1:22" ht="18" customHeight="1">
      <c r="A935" s="4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 spans="1:23" ht="18" customHeight="1">
      <c r="A936" s="47"/>
      <c r="B936" s="67"/>
      <c r="C936" s="67"/>
      <c r="D936" s="67"/>
      <c r="E936" s="67"/>
      <c r="F936" s="67"/>
      <c r="G936" s="67"/>
      <c r="H936" s="134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134"/>
      <c r="V936" s="134">
        <f>$H$2</f>
        <v>0</v>
      </c>
      <c r="W936" s="118"/>
    </row>
    <row r="937" spans="1:23" ht="18" customHeight="1" thickBot="1">
      <c r="A937" s="4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118"/>
    </row>
    <row r="938" spans="1:23" ht="18" customHeight="1">
      <c r="A938" s="47"/>
      <c r="B938" s="920" t="str">
        <f>+$B$4</f>
        <v>2022 RATE CASE</v>
      </c>
      <c r="C938" s="935"/>
      <c r="D938" s="969"/>
      <c r="F938" s="332"/>
      <c r="U938" s="134"/>
      <c r="W938" s="118"/>
    </row>
    <row r="939" spans="1:23" ht="18" customHeight="1">
      <c r="A939" s="47"/>
      <c r="B939" s="917" t="str">
        <f>+$B$5</f>
        <v>ONCOR ELECTRIC DELIVERY COMPANY LLC</v>
      </c>
      <c r="C939" s="8"/>
      <c r="D939" s="970"/>
      <c r="F939" s="332"/>
      <c r="U939" s="134"/>
      <c r="V939" s="67"/>
      <c r="W939" s="118"/>
    </row>
    <row r="940" spans="1:23" ht="18" customHeight="1">
      <c r="A940" s="47"/>
      <c r="B940" s="917" t="str">
        <f>+$B$6</f>
        <v>II-I-1-MET:  CLASS REVENUE REQUIREMENT</v>
      </c>
      <c r="C940" s="85"/>
      <c r="D940" s="970"/>
      <c r="F940" s="332"/>
      <c r="U940" s="332"/>
      <c r="V940" s="67"/>
      <c r="W940" s="118"/>
    </row>
    <row r="941" spans="1:23" ht="18" customHeight="1">
      <c r="A941" s="47"/>
      <c r="B941" s="406" t="str">
        <f>+$B$7</f>
        <v>TEST YEAR ENDING 12/31/2021</v>
      </c>
      <c r="C941" s="85"/>
      <c r="D941" s="970"/>
      <c r="F941" s="332"/>
      <c r="U941" s="332"/>
      <c r="V941" s="67"/>
      <c r="W941" s="118"/>
    </row>
    <row r="942" spans="1:23" ht="18" customHeight="1">
      <c r="A942" s="47"/>
      <c r="B942" s="406" t="str">
        <f>+$B$8</f>
        <v>SPONSOR:  MATTHEW A. TROXLE</v>
      </c>
      <c r="C942" s="85"/>
      <c r="D942" s="970"/>
      <c r="F942" s="332"/>
      <c r="U942" s="332"/>
      <c r="V942" s="67"/>
      <c r="W942" s="118"/>
    </row>
    <row r="943" spans="1:23" ht="18" customHeight="1" thickBot="1">
      <c r="A943" s="47"/>
      <c r="B943" s="410"/>
      <c r="C943" s="934"/>
      <c r="D943" s="936"/>
      <c r="F943" s="332"/>
      <c r="U943" s="332"/>
      <c r="V943" s="67"/>
      <c r="W943" s="118"/>
    </row>
    <row r="944" spans="1:23" ht="18" customHeight="1" thickBot="1">
      <c r="A944" s="47"/>
      <c r="B944" s="13"/>
      <c r="C944" s="14"/>
      <c r="D944" s="14"/>
      <c r="E944" s="14"/>
      <c r="F944" s="13"/>
      <c r="G944" s="14"/>
      <c r="H944" s="14"/>
      <c r="I944" s="14"/>
      <c r="J944" s="238"/>
      <c r="K944" s="238"/>
      <c r="L944" s="14"/>
      <c r="M944" s="238"/>
      <c r="N944" s="238"/>
      <c r="O944" s="238"/>
      <c r="P944" s="238"/>
      <c r="Q944" s="14"/>
      <c r="R944" s="393" t="str">
        <f>R$10</f>
        <v xml:space="preserve"> </v>
      </c>
      <c r="S944" s="394"/>
      <c r="T944" s="238"/>
      <c r="U944" s="13"/>
      <c r="V944" s="67"/>
      <c r="W944" s="118"/>
    </row>
    <row r="945" spans="1:23" ht="18" customHeight="1">
      <c r="A945" s="47"/>
      <c r="B945" s="15" t="s">
        <v>2</v>
      </c>
      <c r="C945" s="15" t="s">
        <v>370</v>
      </c>
      <c r="D945" s="287" t="s">
        <v>690</v>
      </c>
      <c r="E945" s="15" t="s">
        <v>371</v>
      </c>
      <c r="F945" s="287" t="str">
        <f>F$11</f>
        <v>MET</v>
      </c>
      <c r="G945" s="242" t="s">
        <v>741</v>
      </c>
      <c r="H945" s="242" t="s">
        <v>376</v>
      </c>
      <c r="I945" s="15"/>
      <c r="J945" s="242" t="s">
        <v>730</v>
      </c>
      <c r="K945" s="242" t="s">
        <v>409</v>
      </c>
      <c r="L945" s="15" t="s">
        <v>409</v>
      </c>
      <c r="M945" s="242" t="s">
        <v>410</v>
      </c>
      <c r="N945" s="242" t="s">
        <v>410</v>
      </c>
      <c r="O945" s="242" t="s">
        <v>410</v>
      </c>
      <c r="P945" s="242" t="s">
        <v>411</v>
      </c>
      <c r="Q945" s="15" t="s">
        <v>412</v>
      </c>
      <c r="R945" s="396" t="str">
        <f>R$11</f>
        <v>Wholesale</v>
      </c>
      <c r="S945" s="13" t="str">
        <f>S$11</f>
        <v>Wholesale</v>
      </c>
      <c r="T945" s="242"/>
      <c r="U945" s="15" t="s">
        <v>10</v>
      </c>
      <c r="V945" s="67"/>
      <c r="W945" s="118"/>
    </row>
    <row r="946" spans="1:23" ht="18" customHeight="1">
      <c r="A946" s="47"/>
      <c r="B946" s="15"/>
      <c r="C946" s="15"/>
      <c r="D946" s="15"/>
      <c r="E946" s="15"/>
      <c r="F946" s="15"/>
      <c r="G946" s="242" t="s">
        <v>742</v>
      </c>
      <c r="H946" s="242" t="s">
        <v>743</v>
      </c>
      <c r="I946" s="15"/>
      <c r="J946" s="242"/>
      <c r="K946" s="242" t="s">
        <v>731</v>
      </c>
      <c r="L946" s="15" t="s">
        <v>732</v>
      </c>
      <c r="M946" s="242" t="s">
        <v>731</v>
      </c>
      <c r="N946" s="242" t="s">
        <v>732</v>
      </c>
      <c r="O946" s="242" t="s">
        <v>414</v>
      </c>
      <c r="P946" s="242"/>
      <c r="Q946" s="15"/>
      <c r="R946" s="235" t="str">
        <f>R$12</f>
        <v>XFMR</v>
      </c>
      <c r="S946" s="15" t="str">
        <f>S$12</f>
        <v>DLS</v>
      </c>
      <c r="T946" s="242"/>
      <c r="U946" s="15"/>
      <c r="V946" s="67"/>
      <c r="W946" s="118"/>
    </row>
    <row r="947" spans="1:23" ht="18" customHeight="1" thickBot="1">
      <c r="A947" s="47"/>
      <c r="B947" s="16"/>
      <c r="C947" s="16"/>
      <c r="D947" s="16"/>
      <c r="E947" s="16"/>
      <c r="F947" s="16" t="s">
        <v>13</v>
      </c>
      <c r="G947" s="16" t="s">
        <v>14</v>
      </c>
      <c r="H947" s="16" t="s">
        <v>15</v>
      </c>
      <c r="I947" s="16"/>
      <c r="J947" s="243" t="str">
        <f t="shared" si="320" ref="J947:Q947">J$13</f>
        <v>(d)</v>
      </c>
      <c r="K947" s="243" t="str">
        <f t="shared" si="320"/>
        <v>(e)</v>
      </c>
      <c r="L947" s="16" t="str">
        <f t="shared" si="320"/>
        <v>(f)</v>
      </c>
      <c r="M947" s="243" t="str">
        <f t="shared" si="320"/>
        <v>(g)</v>
      </c>
      <c r="N947" s="243" t="str">
        <f t="shared" si="320"/>
        <v>(h)</v>
      </c>
      <c r="O947" s="243" t="str">
        <f>O$13</f>
        <v>(i)</v>
      </c>
      <c r="P947" s="243" t="str">
        <f t="shared" si="320"/>
        <v>(j)</v>
      </c>
      <c r="Q947" s="243" t="str">
        <f t="shared" si="320"/>
        <v>(k)</v>
      </c>
      <c r="R947" s="243" t="str">
        <f>R$13</f>
        <v>(l)</v>
      </c>
      <c r="S947" s="16" t="str">
        <f>S$13</f>
        <v>(m)</v>
      </c>
      <c r="T947" s="16"/>
      <c r="U947" s="16" t="s">
        <v>734</v>
      </c>
      <c r="V947" s="67"/>
      <c r="W947" s="118"/>
    </row>
    <row r="948" spans="1:23" ht="18" customHeight="1">
      <c r="A948" s="47"/>
      <c r="B948" s="67"/>
      <c r="C948" s="333"/>
      <c r="D948" s="333"/>
      <c r="E948" s="37"/>
      <c r="F948" s="333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43"/>
      <c r="V948" s="67"/>
      <c r="W948" s="118">
        <f t="shared" si="321" ref="W948:W999">U948-F948</f>
        <v>0</v>
      </c>
    </row>
    <row r="949" spans="1:23" ht="18" customHeight="1">
      <c r="A949" s="47"/>
      <c r="B949" s="17">
        <f t="shared" si="322" ref="B949:B955">B948+1</f>
        <v>1</v>
      </c>
      <c r="C949" s="376"/>
      <c r="D949" s="43" t="s">
        <v>289</v>
      </c>
      <c r="E949" s="37" t="s">
        <v>290</v>
      </c>
      <c r="F949" s="377">
        <v>0</v>
      </c>
      <c r="G949" s="17">
        <v>6</v>
      </c>
      <c r="H949" s="47" t="str">
        <f>VLOOKUP(G949,FactorTable,2)</f>
        <v>CUS W ALL</v>
      </c>
      <c r="I949" s="897"/>
      <c r="J949" s="434">
        <f t="shared" si="323" ref="J949:S953">$F949*HLOOKUP(J$1318,FactorTable,$G949+1)</f>
        <v>0</v>
      </c>
      <c r="K949" s="434">
        <f t="shared" si="323"/>
        <v>0</v>
      </c>
      <c r="L949" s="434">
        <f t="shared" si="323"/>
        <v>0</v>
      </c>
      <c r="M949" s="434">
        <f t="shared" si="323"/>
        <v>0</v>
      </c>
      <c r="N949" s="434">
        <f t="shared" si="323"/>
        <v>0</v>
      </c>
      <c r="O949" s="434">
        <f t="shared" si="323"/>
        <v>0</v>
      </c>
      <c r="P949" s="434">
        <f t="shared" si="323"/>
        <v>0</v>
      </c>
      <c r="Q949" s="434">
        <f t="shared" si="323"/>
        <v>0</v>
      </c>
      <c r="R949" s="434">
        <f t="shared" si="323"/>
        <v>0</v>
      </c>
      <c r="S949" s="434">
        <f t="shared" si="323"/>
        <v>0</v>
      </c>
      <c r="T949" s="897"/>
      <c r="U949" s="118">
        <f>SUM(I949:T949)</f>
        <v>0</v>
      </c>
      <c r="V949" s="67"/>
      <c r="W949" s="118">
        <f t="shared" si="321"/>
        <v>0</v>
      </c>
    </row>
    <row r="950" spans="1:23" ht="18" customHeight="1">
      <c r="A950" s="47"/>
      <c r="B950" s="17">
        <f t="shared" si="322"/>
        <v>2</v>
      </c>
      <c r="C950" s="334"/>
      <c r="D950" s="43" t="s">
        <v>291</v>
      </c>
      <c r="E950" s="37" t="s">
        <v>290</v>
      </c>
      <c r="F950" s="377">
        <v>0</v>
      </c>
      <c r="G950" s="17">
        <v>6</v>
      </c>
      <c r="H950" s="47" t="str">
        <f>VLOOKUP(G950,FactorTable,2)</f>
        <v>CUS W ALL</v>
      </c>
      <c r="I950" s="897"/>
      <c r="J950" s="434">
        <f t="shared" si="323"/>
        <v>0</v>
      </c>
      <c r="K950" s="434">
        <f t="shared" si="323"/>
        <v>0</v>
      </c>
      <c r="L950" s="434">
        <f t="shared" si="323"/>
        <v>0</v>
      </c>
      <c r="M950" s="434">
        <f t="shared" si="323"/>
        <v>0</v>
      </c>
      <c r="N950" s="434">
        <f t="shared" si="323"/>
        <v>0</v>
      </c>
      <c r="O950" s="434">
        <f t="shared" si="323"/>
        <v>0</v>
      </c>
      <c r="P950" s="434">
        <f t="shared" si="323"/>
        <v>0</v>
      </c>
      <c r="Q950" s="434">
        <f t="shared" si="323"/>
        <v>0</v>
      </c>
      <c r="R950" s="434">
        <f t="shared" si="323"/>
        <v>0</v>
      </c>
      <c r="S950" s="434">
        <f t="shared" si="323"/>
        <v>0</v>
      </c>
      <c r="T950" s="897"/>
      <c r="U950" s="118">
        <f>SUM(I950:T950)</f>
        <v>0</v>
      </c>
      <c r="V950" s="67"/>
      <c r="W950" s="118">
        <f t="shared" si="321"/>
        <v>0</v>
      </c>
    </row>
    <row r="951" spans="1:23" ht="18" customHeight="1">
      <c r="A951" s="47"/>
      <c r="B951" s="17">
        <f t="shared" si="322"/>
        <v>3</v>
      </c>
      <c r="C951" s="43"/>
      <c r="D951" s="43" t="s">
        <v>292</v>
      </c>
      <c r="E951" s="37" t="s">
        <v>293</v>
      </c>
      <c r="F951" s="377">
        <v>0</v>
      </c>
      <c r="G951" s="17">
        <v>6</v>
      </c>
      <c r="H951" s="47" t="str">
        <f>VLOOKUP(G951,FactorTable,2)</f>
        <v>CUS W ALL</v>
      </c>
      <c r="I951" s="897"/>
      <c r="J951" s="434">
        <f t="shared" si="323"/>
        <v>0</v>
      </c>
      <c r="K951" s="434">
        <f t="shared" si="323"/>
        <v>0</v>
      </c>
      <c r="L951" s="434">
        <f t="shared" si="323"/>
        <v>0</v>
      </c>
      <c r="M951" s="434">
        <f t="shared" si="323"/>
        <v>0</v>
      </c>
      <c r="N951" s="434">
        <f t="shared" si="323"/>
        <v>0</v>
      </c>
      <c r="O951" s="434">
        <f t="shared" si="323"/>
        <v>0</v>
      </c>
      <c r="P951" s="434">
        <f t="shared" si="323"/>
        <v>0</v>
      </c>
      <c r="Q951" s="434">
        <f t="shared" si="323"/>
        <v>0</v>
      </c>
      <c r="R951" s="434">
        <f t="shared" si="323"/>
        <v>0</v>
      </c>
      <c r="S951" s="434">
        <f t="shared" si="323"/>
        <v>0</v>
      </c>
      <c r="T951" s="897"/>
      <c r="U951" s="118">
        <f>SUM(I951:T951)</f>
        <v>0</v>
      </c>
      <c r="V951" s="67"/>
      <c r="W951" s="118">
        <f t="shared" si="321"/>
        <v>0</v>
      </c>
    </row>
    <row r="952" spans="1:23" ht="18" customHeight="1">
      <c r="A952" s="47"/>
      <c r="B952" s="17">
        <f t="shared" si="322"/>
        <v>4</v>
      </c>
      <c r="C952" s="43"/>
      <c r="D952" s="43" t="s">
        <v>294</v>
      </c>
      <c r="E952" s="37" t="s">
        <v>293</v>
      </c>
      <c r="F952" s="377">
        <v>0</v>
      </c>
      <c r="G952" s="17">
        <v>6</v>
      </c>
      <c r="H952" s="47" t="str">
        <f>VLOOKUP(G952,FactorTable,2)</f>
        <v>CUS W ALL</v>
      </c>
      <c r="I952" s="897"/>
      <c r="J952" s="434">
        <f t="shared" si="323"/>
        <v>0</v>
      </c>
      <c r="K952" s="434">
        <f t="shared" si="323"/>
        <v>0</v>
      </c>
      <c r="L952" s="434">
        <f t="shared" si="323"/>
        <v>0</v>
      </c>
      <c r="M952" s="434">
        <f t="shared" si="323"/>
        <v>0</v>
      </c>
      <c r="N952" s="434">
        <f t="shared" si="323"/>
        <v>0</v>
      </c>
      <c r="O952" s="434">
        <f t="shared" si="323"/>
        <v>0</v>
      </c>
      <c r="P952" s="434">
        <f t="shared" si="323"/>
        <v>0</v>
      </c>
      <c r="Q952" s="434">
        <f t="shared" si="323"/>
        <v>0</v>
      </c>
      <c r="R952" s="434">
        <f t="shared" si="323"/>
        <v>0</v>
      </c>
      <c r="S952" s="434">
        <f t="shared" si="323"/>
        <v>0</v>
      </c>
      <c r="T952" s="897"/>
      <c r="U952" s="118">
        <f>SUM(I952:T952)</f>
        <v>0</v>
      </c>
      <c r="V952" s="67"/>
      <c r="W952" s="118">
        <f t="shared" si="321"/>
        <v>0</v>
      </c>
    </row>
    <row r="953" spans="1:23" ht="18" customHeight="1">
      <c r="A953" s="47"/>
      <c r="B953" s="17">
        <f t="shared" si="322"/>
        <v>5</v>
      </c>
      <c r="C953" s="43"/>
      <c r="D953" s="43" t="s">
        <v>295</v>
      </c>
      <c r="E953" s="37" t="s">
        <v>293</v>
      </c>
      <c r="F953" s="377">
        <v>0</v>
      </c>
      <c r="G953" s="17">
        <v>6</v>
      </c>
      <c r="H953" s="47" t="str">
        <f>VLOOKUP(G953,FactorTable,2)</f>
        <v>CUS W ALL</v>
      </c>
      <c r="I953" s="897"/>
      <c r="J953" s="434">
        <f t="shared" si="323"/>
        <v>0</v>
      </c>
      <c r="K953" s="434">
        <f t="shared" si="323"/>
        <v>0</v>
      </c>
      <c r="L953" s="434">
        <f t="shared" si="323"/>
        <v>0</v>
      </c>
      <c r="M953" s="434">
        <f t="shared" si="323"/>
        <v>0</v>
      </c>
      <c r="N953" s="434">
        <f t="shared" si="323"/>
        <v>0</v>
      </c>
      <c r="O953" s="434">
        <f t="shared" si="323"/>
        <v>0</v>
      </c>
      <c r="P953" s="434">
        <f t="shared" si="323"/>
        <v>0</v>
      </c>
      <c r="Q953" s="434">
        <f t="shared" si="323"/>
        <v>0</v>
      </c>
      <c r="R953" s="434">
        <f t="shared" si="323"/>
        <v>0</v>
      </c>
      <c r="S953" s="434">
        <f t="shared" si="323"/>
        <v>0</v>
      </c>
      <c r="T953" s="897"/>
      <c r="U953" s="118">
        <f>SUM(I953:T953)</f>
        <v>0</v>
      </c>
      <c r="V953" s="67"/>
      <c r="W953" s="118">
        <f t="shared" si="321"/>
        <v>0</v>
      </c>
    </row>
    <row r="954" spans="1:23" ht="18" customHeight="1" thickBot="1">
      <c r="A954" s="47"/>
      <c r="B954" s="17">
        <f t="shared" si="322"/>
        <v>6</v>
      </c>
      <c r="C954" s="43"/>
      <c r="D954" s="43"/>
      <c r="E954" s="37"/>
      <c r="F954" s="377"/>
      <c r="G954" s="37"/>
      <c r="H954" s="37"/>
      <c r="I954" s="37"/>
      <c r="J954" s="897"/>
      <c r="K954" s="897"/>
      <c r="L954" s="897"/>
      <c r="M954" s="897"/>
      <c r="N954" s="897"/>
      <c r="O954" s="897"/>
      <c r="P954" s="897"/>
      <c r="Q954" s="897"/>
      <c r="R954" s="897"/>
      <c r="S954" s="897"/>
      <c r="T954" s="37"/>
      <c r="U954" s="118"/>
      <c r="V954" s="67"/>
      <c r="W954" s="118">
        <f t="shared" si="321"/>
        <v>0</v>
      </c>
    </row>
    <row r="955" spans="1:23" ht="18" customHeight="1" thickBot="1">
      <c r="A955" s="47"/>
      <c r="B955" s="17">
        <f t="shared" si="322"/>
        <v>7</v>
      </c>
      <c r="C955" s="341" t="s">
        <v>691</v>
      </c>
      <c r="D955" s="336"/>
      <c r="E955" s="337"/>
      <c r="F955" s="278">
        <f>+F949+F950+F951+F952</f>
        <v>0</v>
      </c>
      <c r="G955" s="337"/>
      <c r="H955" s="457"/>
      <c r="I955" s="643"/>
      <c r="J955" s="356">
        <f t="shared" si="324" ref="J955:Q955">+J949+J950+J951+J952</f>
        <v>0</v>
      </c>
      <c r="K955" s="905">
        <f t="shared" si="324"/>
        <v>0</v>
      </c>
      <c r="L955" s="905">
        <f t="shared" si="324"/>
        <v>0</v>
      </c>
      <c r="M955" s="905">
        <f t="shared" si="324"/>
        <v>0</v>
      </c>
      <c r="N955" s="905">
        <f t="shared" si="324"/>
        <v>0</v>
      </c>
      <c r="O955" s="905">
        <f>+O949+O950+O951+O952</f>
        <v>0</v>
      </c>
      <c r="P955" s="905">
        <f t="shared" si="324"/>
        <v>0</v>
      </c>
      <c r="Q955" s="905">
        <f t="shared" si="324"/>
        <v>0</v>
      </c>
      <c r="R955" s="905">
        <f>+R949+R950+R951+R952</f>
        <v>0</v>
      </c>
      <c r="S955" s="279">
        <f>+S949+S950+S951+S952</f>
        <v>0</v>
      </c>
      <c r="T955" s="457"/>
      <c r="U955" s="256">
        <f>SUM(I955:T955)</f>
        <v>0</v>
      </c>
      <c r="V955" s="67"/>
      <c r="W955" s="118">
        <f t="shared" si="321"/>
        <v>0</v>
      </c>
    </row>
    <row r="956" spans="1:23" ht="18" customHeight="1">
      <c r="A956" s="4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118">
        <f t="shared" si="321"/>
        <v>0</v>
      </c>
    </row>
    <row r="957" spans="1:23" ht="18" customHeight="1" thickBot="1">
      <c r="A957" s="47"/>
      <c r="B957" s="67"/>
      <c r="C957" s="67"/>
      <c r="D957" s="67"/>
      <c r="E957" s="67"/>
      <c r="F957" s="67"/>
      <c r="G957" s="67"/>
      <c r="H957" s="134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134"/>
      <c r="V957" s="134">
        <f>$H$2</f>
        <v>0</v>
      </c>
      <c r="W957" s="118"/>
    </row>
    <row r="958" spans="1:23" ht="18" customHeight="1">
      <c r="A958" s="47"/>
      <c r="B958" s="920" t="str">
        <f>+$B$4</f>
        <v>2022 RATE CASE</v>
      </c>
      <c r="C958" s="935"/>
      <c r="D958" s="969"/>
      <c r="F958" s="332"/>
      <c r="U958" s="134"/>
      <c r="W958" s="118"/>
    </row>
    <row r="959" spans="1:23" ht="18" customHeight="1">
      <c r="A959" s="47"/>
      <c r="B959" s="917" t="str">
        <f>+$B$5</f>
        <v>ONCOR ELECTRIC DELIVERY COMPANY LLC</v>
      </c>
      <c r="C959" s="8"/>
      <c r="D959" s="970"/>
      <c r="F959" s="332"/>
      <c r="U959" s="134"/>
      <c r="V959" s="67"/>
      <c r="W959" s="118"/>
    </row>
    <row r="960" spans="1:23" ht="18" customHeight="1">
      <c r="A960" s="47"/>
      <c r="B960" s="917" t="str">
        <f>+$B$6</f>
        <v>II-I-1-MET:  CLASS REVENUE REQUIREMENT</v>
      </c>
      <c r="C960" s="85"/>
      <c r="D960" s="970"/>
      <c r="F960" s="332"/>
      <c r="U960" s="332"/>
      <c r="V960" s="67"/>
      <c r="W960" s="118"/>
    </row>
    <row r="961" spans="1:23" ht="18" customHeight="1">
      <c r="A961" s="47"/>
      <c r="B961" s="406" t="str">
        <f>+$B$7</f>
        <v>TEST YEAR ENDING 12/31/2021</v>
      </c>
      <c r="C961" s="85"/>
      <c r="D961" s="970"/>
      <c r="F961" s="332"/>
      <c r="U961" s="332"/>
      <c r="V961" s="67"/>
      <c r="W961" s="118"/>
    </row>
    <row r="962" spans="1:23" ht="18" customHeight="1">
      <c r="A962" s="47"/>
      <c r="B962" s="406" t="str">
        <f>+$B$8</f>
        <v>SPONSOR:  MATTHEW A. TROXLE</v>
      </c>
      <c r="C962" s="85"/>
      <c r="D962" s="970"/>
      <c r="F962" s="332"/>
      <c r="U962" s="332"/>
      <c r="V962" s="67"/>
      <c r="W962" s="118"/>
    </row>
    <row r="963" spans="1:23" ht="18" customHeight="1" thickBot="1">
      <c r="A963" s="47"/>
      <c r="B963" s="410"/>
      <c r="C963" s="934"/>
      <c r="D963" s="936"/>
      <c r="F963" s="332"/>
      <c r="U963" s="332"/>
      <c r="V963" s="67"/>
      <c r="W963" s="118"/>
    </row>
    <row r="964" spans="1:23" ht="18" customHeight="1" thickBot="1">
      <c r="A964" s="47"/>
      <c r="B964" s="13"/>
      <c r="C964" s="14"/>
      <c r="D964" s="14"/>
      <c r="E964" s="14"/>
      <c r="F964" s="13"/>
      <c r="G964" s="14"/>
      <c r="H964" s="14"/>
      <c r="I964" s="14"/>
      <c r="J964" s="238"/>
      <c r="K964" s="238"/>
      <c r="L964" s="14"/>
      <c r="M964" s="238"/>
      <c r="N964" s="238"/>
      <c r="O964" s="238"/>
      <c r="P964" s="238"/>
      <c r="Q964" s="14"/>
      <c r="R964" s="393" t="str">
        <f>R$10</f>
        <v xml:space="preserve"> </v>
      </c>
      <c r="S964" s="394"/>
      <c r="T964" s="238"/>
      <c r="U964" s="13"/>
      <c r="V964" s="67"/>
      <c r="W964" s="118"/>
    </row>
    <row r="965" spans="1:23" ht="18" customHeight="1">
      <c r="A965" s="47"/>
      <c r="B965" s="15" t="s">
        <v>2</v>
      </c>
      <c r="C965" s="15" t="s">
        <v>370</v>
      </c>
      <c r="D965" s="287" t="s">
        <v>692</v>
      </c>
      <c r="E965" s="15" t="s">
        <v>371</v>
      </c>
      <c r="F965" s="287" t="str">
        <f>F$11</f>
        <v>MET</v>
      </c>
      <c r="G965" s="242" t="s">
        <v>741</v>
      </c>
      <c r="H965" s="242" t="s">
        <v>376</v>
      </c>
      <c r="I965" s="15"/>
      <c r="J965" s="242" t="s">
        <v>730</v>
      </c>
      <c r="K965" s="242" t="s">
        <v>409</v>
      </c>
      <c r="L965" s="15" t="s">
        <v>409</v>
      </c>
      <c r="M965" s="242" t="s">
        <v>410</v>
      </c>
      <c r="N965" s="242" t="s">
        <v>410</v>
      </c>
      <c r="O965" s="242" t="s">
        <v>410</v>
      </c>
      <c r="P965" s="242" t="s">
        <v>411</v>
      </c>
      <c r="Q965" s="15" t="s">
        <v>412</v>
      </c>
      <c r="R965" s="396" t="str">
        <f>R$11</f>
        <v>Wholesale</v>
      </c>
      <c r="S965" s="13" t="str">
        <f>S$11</f>
        <v>Wholesale</v>
      </c>
      <c r="T965" s="242"/>
      <c r="U965" s="15" t="s">
        <v>10</v>
      </c>
      <c r="V965" s="67"/>
      <c r="W965" s="118"/>
    </row>
    <row r="966" spans="1:23" ht="18" customHeight="1">
      <c r="A966" s="47"/>
      <c r="B966" s="15"/>
      <c r="C966" s="15"/>
      <c r="D966" s="15"/>
      <c r="E966" s="15"/>
      <c r="F966" s="15"/>
      <c r="G966" s="242" t="s">
        <v>742</v>
      </c>
      <c r="H966" s="242" t="s">
        <v>743</v>
      </c>
      <c r="I966" s="15"/>
      <c r="J966" s="242"/>
      <c r="K966" s="242" t="s">
        <v>731</v>
      </c>
      <c r="L966" s="15" t="s">
        <v>732</v>
      </c>
      <c r="M966" s="242" t="s">
        <v>731</v>
      </c>
      <c r="N966" s="242" t="s">
        <v>732</v>
      </c>
      <c r="O966" s="242" t="s">
        <v>414</v>
      </c>
      <c r="P966" s="242"/>
      <c r="Q966" s="15"/>
      <c r="R966" s="235" t="str">
        <f>R$12</f>
        <v>XFMR</v>
      </c>
      <c r="S966" s="15" t="str">
        <f>S$12</f>
        <v>DLS</v>
      </c>
      <c r="T966" s="242"/>
      <c r="U966" s="15"/>
      <c r="V966" s="67"/>
      <c r="W966" s="118"/>
    </row>
    <row r="967" spans="1:23" ht="18" customHeight="1" thickBot="1">
      <c r="A967" s="47"/>
      <c r="B967" s="16"/>
      <c r="C967" s="16"/>
      <c r="D967" s="16"/>
      <c r="E967" s="16"/>
      <c r="F967" s="16" t="s">
        <v>13</v>
      </c>
      <c r="G967" s="16" t="s">
        <v>14</v>
      </c>
      <c r="H967" s="16" t="s">
        <v>15</v>
      </c>
      <c r="I967" s="16"/>
      <c r="J967" s="243" t="str">
        <f t="shared" si="325" ref="J967:Q967">J$13</f>
        <v>(d)</v>
      </c>
      <c r="K967" s="243" t="str">
        <f t="shared" si="325"/>
        <v>(e)</v>
      </c>
      <c r="L967" s="16" t="str">
        <f t="shared" si="325"/>
        <v>(f)</v>
      </c>
      <c r="M967" s="243" t="str">
        <f t="shared" si="325"/>
        <v>(g)</v>
      </c>
      <c r="N967" s="243" t="str">
        <f t="shared" si="325"/>
        <v>(h)</v>
      </c>
      <c r="O967" s="243" t="str">
        <f>O$13</f>
        <v>(i)</v>
      </c>
      <c r="P967" s="243" t="str">
        <f t="shared" si="325"/>
        <v>(j)</v>
      </c>
      <c r="Q967" s="243" t="str">
        <f t="shared" si="325"/>
        <v>(k)</v>
      </c>
      <c r="R967" s="243" t="str">
        <f>R$13</f>
        <v>(l)</v>
      </c>
      <c r="S967" s="16" t="str">
        <f>S$13</f>
        <v>(m)</v>
      </c>
      <c r="T967" s="16"/>
      <c r="U967" s="16" t="s">
        <v>734</v>
      </c>
      <c r="V967" s="67"/>
      <c r="W967" s="118"/>
    </row>
    <row r="968" spans="1:23" ht="18" customHeight="1">
      <c r="A968" s="47"/>
      <c r="B968" s="67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43"/>
      <c r="V968" s="67"/>
      <c r="W968" s="118">
        <f t="shared" si="321"/>
        <v>0</v>
      </c>
    </row>
    <row r="969" spans="1:23" ht="18" customHeight="1">
      <c r="A969" s="47"/>
      <c r="B969" s="17">
        <f t="shared" si="326" ref="B969:B1004">B968+1</f>
        <v>1</v>
      </c>
      <c r="C969" s="366" t="s">
        <v>296</v>
      </c>
      <c r="D969" s="8"/>
      <c r="E969" s="20"/>
      <c r="F969" s="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8"/>
      <c r="V969" s="67"/>
      <c r="W969" s="118">
        <f t="shared" si="321"/>
        <v>0</v>
      </c>
    </row>
    <row r="970" spans="1:23" ht="18" customHeight="1">
      <c r="A970" s="47"/>
      <c r="B970" s="17">
        <f t="shared" si="326"/>
        <v>2</v>
      </c>
      <c r="C970" s="1"/>
      <c r="D970" s="1"/>
      <c r="E970" s="17"/>
      <c r="F970" s="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"/>
      <c r="V970" s="67"/>
      <c r="W970" s="118">
        <f t="shared" si="321"/>
        <v>0</v>
      </c>
    </row>
    <row r="971" spans="1:23" ht="18" customHeight="1">
      <c r="A971" s="47"/>
      <c r="B971" s="17">
        <f t="shared" si="326"/>
        <v>3</v>
      </c>
      <c r="C971" s="8" t="s">
        <v>693</v>
      </c>
      <c r="D971" s="8"/>
      <c r="E971" s="20" t="s">
        <v>297</v>
      </c>
      <c r="F971" s="378"/>
      <c r="G971" s="20"/>
      <c r="H971" s="20"/>
      <c r="I971" s="1010"/>
      <c r="J971" s="1059"/>
      <c r="K971" s="1059"/>
      <c r="L971" s="1059"/>
      <c r="M971" s="1059"/>
      <c r="N971" s="1059"/>
      <c r="O971" s="1059"/>
      <c r="P971" s="1059"/>
      <c r="Q971" s="1059"/>
      <c r="R971" s="1059"/>
      <c r="S971" s="1059"/>
      <c r="T971" s="1010"/>
      <c r="U971" s="8"/>
      <c r="V971" s="67"/>
      <c r="W971" s="118">
        <f t="shared" si="321"/>
        <v>0</v>
      </c>
    </row>
    <row r="972" spans="1:23" ht="18" customHeight="1">
      <c r="A972" s="47"/>
      <c r="B972" s="17">
        <f t="shared" si="326"/>
        <v>4</v>
      </c>
      <c r="C972" s="1" t="s">
        <v>25</v>
      </c>
      <c r="D972" s="1" t="s">
        <v>26</v>
      </c>
      <c r="E972" s="17"/>
      <c r="F972" s="118">
        <f>' WP II-I-1.4'!H972</f>
        <v>0</v>
      </c>
      <c r="G972" s="17">
        <v>66</v>
      </c>
      <c r="H972" s="47" t="str">
        <f>VLOOKUP(G972,FactorTable,2)</f>
        <v>PLT INT_N</v>
      </c>
      <c r="I972" s="17"/>
      <c r="J972" s="434">
        <f t="shared" si="327" ref="J972:S974">$F972*HLOOKUP(J$1318,FactorTable,$G972+1)</f>
        <v>0</v>
      </c>
      <c r="K972" s="434">
        <f t="shared" si="327"/>
        <v>0</v>
      </c>
      <c r="L972" s="434">
        <f t="shared" si="327"/>
        <v>0</v>
      </c>
      <c r="M972" s="434">
        <f t="shared" si="327"/>
        <v>0</v>
      </c>
      <c r="N972" s="434">
        <f t="shared" si="327"/>
        <v>0</v>
      </c>
      <c r="O972" s="434">
        <f t="shared" si="327"/>
        <v>0</v>
      </c>
      <c r="P972" s="434">
        <f t="shared" si="327"/>
        <v>0</v>
      </c>
      <c r="Q972" s="434">
        <f t="shared" si="327"/>
        <v>0</v>
      </c>
      <c r="R972" s="434">
        <f t="shared" si="327"/>
        <v>0</v>
      </c>
      <c r="S972" s="434">
        <f t="shared" si="327"/>
        <v>0</v>
      </c>
      <c r="T972" s="17"/>
      <c r="U972" s="118">
        <f>SUM(I972:T972)</f>
        <v>0</v>
      </c>
      <c r="V972" s="67"/>
      <c r="W972" s="118">
        <f t="shared" si="321"/>
        <v>0</v>
      </c>
    </row>
    <row r="973" spans="1:23" ht="18" customHeight="1">
      <c r="A973" s="47"/>
      <c r="B973" s="17">
        <f t="shared" si="326"/>
        <v>5</v>
      </c>
      <c r="C973" s="1" t="s">
        <v>27</v>
      </c>
      <c r="D973" s="1" t="s">
        <v>37</v>
      </c>
      <c r="E973" s="17"/>
      <c r="F973" s="118">
        <f>' WP II-I-1.4'!H973</f>
        <v>0</v>
      </c>
      <c r="G973" s="17">
        <v>66</v>
      </c>
      <c r="H973" s="47" t="str">
        <f>VLOOKUP(G973,FactorTable,2)</f>
        <v>PLT INT_N</v>
      </c>
      <c r="I973" s="17"/>
      <c r="J973" s="434">
        <f t="shared" si="327"/>
        <v>0</v>
      </c>
      <c r="K973" s="434">
        <f t="shared" si="327"/>
        <v>0</v>
      </c>
      <c r="L973" s="434">
        <f t="shared" si="327"/>
        <v>0</v>
      </c>
      <c r="M973" s="434">
        <f t="shared" si="327"/>
        <v>0</v>
      </c>
      <c r="N973" s="434">
        <f t="shared" si="327"/>
        <v>0</v>
      </c>
      <c r="O973" s="434">
        <f t="shared" si="327"/>
        <v>0</v>
      </c>
      <c r="P973" s="434">
        <f t="shared" si="327"/>
        <v>0</v>
      </c>
      <c r="Q973" s="434">
        <f t="shared" si="327"/>
        <v>0</v>
      </c>
      <c r="R973" s="434">
        <f t="shared" si="327"/>
        <v>0</v>
      </c>
      <c r="S973" s="434">
        <f t="shared" si="327"/>
        <v>0</v>
      </c>
      <c r="T973" s="17"/>
      <c r="U973" s="118">
        <f>SUM(I973:T973)</f>
        <v>0</v>
      </c>
      <c r="V973" s="67"/>
      <c r="W973" s="118">
        <f t="shared" si="321"/>
        <v>0</v>
      </c>
    </row>
    <row r="974" spans="1:23" ht="18" customHeight="1">
      <c r="A974" s="47"/>
      <c r="B974" s="17">
        <f t="shared" si="326"/>
        <v>6</v>
      </c>
      <c r="C974" s="1" t="s">
        <v>29</v>
      </c>
      <c r="D974" s="1" t="s">
        <v>34</v>
      </c>
      <c r="E974" s="17"/>
      <c r="F974" s="118">
        <f>' WP II-I-1.4'!H974</f>
        <v>3894383</v>
      </c>
      <c r="G974" s="17">
        <v>66</v>
      </c>
      <c r="H974" s="47" t="str">
        <f>VLOOKUP(G974,FactorTable,2)</f>
        <v>PLT INT_N</v>
      </c>
      <c r="I974" s="17"/>
      <c r="J974" s="435">
        <f t="shared" si="327"/>
        <v>2171137.2729207468</v>
      </c>
      <c r="K974" s="435">
        <f t="shared" si="327"/>
        <v>334733.45457816869</v>
      </c>
      <c r="L974" s="435">
        <f t="shared" si="327"/>
        <v>1032496.9201643211</v>
      </c>
      <c r="M974" s="435">
        <f t="shared" si="327"/>
        <v>14497.824450044609</v>
      </c>
      <c r="N974" s="435">
        <f t="shared" si="327"/>
        <v>302530.54205702734</v>
      </c>
      <c r="O974" s="435">
        <f t="shared" si="327"/>
        <v>10338.378010402368</v>
      </c>
      <c r="P974" s="435">
        <f t="shared" si="327"/>
        <v>22505.85366879898</v>
      </c>
      <c r="Q974" s="435">
        <f t="shared" si="327"/>
        <v>2164.2376063164779</v>
      </c>
      <c r="R974" s="435">
        <f t="shared" si="327"/>
        <v>1192.8897704310423</v>
      </c>
      <c r="S974" s="435">
        <f t="shared" si="327"/>
        <v>2785.6267737421904</v>
      </c>
      <c r="T974" s="17"/>
      <c r="U974" s="118">
        <f>SUM(I974:T974)</f>
        <v>3894382.9999999995</v>
      </c>
      <c r="V974" s="67"/>
      <c r="W974" s="118">
        <f t="shared" si="321"/>
        <v>0</v>
      </c>
    </row>
    <row r="975" spans="1:23" ht="18" customHeight="1">
      <c r="A975" s="47"/>
      <c r="B975" s="17">
        <f t="shared" si="326"/>
        <v>7</v>
      </c>
      <c r="C975" s="22"/>
      <c r="D975" s="379" t="s">
        <v>491</v>
      </c>
      <c r="E975" s="22"/>
      <c r="F975" s="22">
        <f>+F972+F973+F974</f>
        <v>3894383</v>
      </c>
      <c r="G975" s="22"/>
      <c r="H975" s="22"/>
      <c r="I975" s="896"/>
      <c r="J975" s="896">
        <f t="shared" si="328" ref="J975:Q975">+J972+J973+J974</f>
        <v>2171137.2729207468</v>
      </c>
      <c r="K975" s="896">
        <f t="shared" si="328"/>
        <v>334733.45457816869</v>
      </c>
      <c r="L975" s="896">
        <f t="shared" si="328"/>
        <v>1032496.9201643211</v>
      </c>
      <c r="M975" s="896">
        <f t="shared" si="328"/>
        <v>14497.824450044609</v>
      </c>
      <c r="N975" s="896">
        <f t="shared" si="328"/>
        <v>302530.54205702734</v>
      </c>
      <c r="O975" s="896">
        <f>+O972+O973+O974</f>
        <v>10338.378010402368</v>
      </c>
      <c r="P975" s="896">
        <f t="shared" si="328"/>
        <v>22505.85366879898</v>
      </c>
      <c r="Q975" s="896">
        <f t="shared" si="328"/>
        <v>2164.2376063164779</v>
      </c>
      <c r="R975" s="896">
        <f>+R972+R973+R974</f>
        <v>1192.8897704310423</v>
      </c>
      <c r="S975" s="896">
        <f>+S972+S973+S974</f>
        <v>2785.6267737421904</v>
      </c>
      <c r="T975" s="896"/>
      <c r="U975" s="299">
        <f>SUM(I975:T975)</f>
        <v>3894382.9999999995</v>
      </c>
      <c r="V975" s="67"/>
      <c r="W975" s="118">
        <f t="shared" si="321"/>
        <v>0</v>
      </c>
    </row>
    <row r="976" spans="1:23" ht="18" customHeight="1">
      <c r="A976" s="47"/>
      <c r="B976" s="17">
        <f t="shared" si="326"/>
        <v>8</v>
      </c>
      <c r="C976" s="1"/>
      <c r="D976" s="1"/>
      <c r="E976" s="17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"/>
      <c r="V976" s="67"/>
      <c r="W976" s="118">
        <f t="shared" si="321"/>
        <v>0</v>
      </c>
    </row>
    <row r="977" spans="1:23" ht="18" customHeight="1">
      <c r="A977" s="47"/>
      <c r="B977" s="17">
        <f t="shared" si="326"/>
        <v>9</v>
      </c>
      <c r="C977" s="8" t="s">
        <v>694</v>
      </c>
      <c r="D977" s="8"/>
      <c r="E977" s="20" t="s">
        <v>297</v>
      </c>
      <c r="F977" s="22"/>
      <c r="G977" s="20"/>
      <c r="H977" s="20"/>
      <c r="I977" s="1010"/>
      <c r="J977" s="1059"/>
      <c r="K977" s="1059"/>
      <c r="L977" s="1059"/>
      <c r="M977" s="1059"/>
      <c r="N977" s="1059"/>
      <c r="O977" s="1059"/>
      <c r="P977" s="1059"/>
      <c r="Q977" s="1059"/>
      <c r="R977" s="1059"/>
      <c r="S977" s="1059"/>
      <c r="T977" s="1010"/>
      <c r="U977" s="8"/>
      <c r="V977" s="67"/>
      <c r="W977" s="118">
        <f t="shared" si="321"/>
        <v>0</v>
      </c>
    </row>
    <row r="978" spans="1:23" ht="18" customHeight="1">
      <c r="A978" s="47"/>
      <c r="B978" s="17">
        <f t="shared" si="326"/>
        <v>10</v>
      </c>
      <c r="C978" s="1" t="s">
        <v>41</v>
      </c>
      <c r="D978" s="1" t="s">
        <v>42</v>
      </c>
      <c r="E978" s="17"/>
      <c r="F978" s="118">
        <f>' WP II-I-1.4'!H978</f>
        <v>0</v>
      </c>
      <c r="G978" s="17">
        <v>67</v>
      </c>
      <c r="H978" s="47" t="str">
        <f t="shared" si="329" ref="H978:H986">VLOOKUP(G978,FactorTable,2)</f>
        <v>PLTTRAN_N</v>
      </c>
      <c r="I978" s="17"/>
      <c r="J978" s="434">
        <f t="shared" si="330" ref="J978:S986">$F978*HLOOKUP(J$1318,FactorTable,$G978+1)</f>
        <v>0</v>
      </c>
      <c r="K978" s="434">
        <f t="shared" si="330"/>
        <v>0</v>
      </c>
      <c r="L978" s="434">
        <f t="shared" si="330"/>
        <v>0</v>
      </c>
      <c r="M978" s="434">
        <f t="shared" si="330"/>
        <v>0</v>
      </c>
      <c r="N978" s="434">
        <f t="shared" si="330"/>
        <v>0</v>
      </c>
      <c r="O978" s="434">
        <f t="shared" si="330"/>
        <v>0</v>
      </c>
      <c r="P978" s="434">
        <f t="shared" si="330"/>
        <v>0</v>
      </c>
      <c r="Q978" s="434">
        <f t="shared" si="330"/>
        <v>0</v>
      </c>
      <c r="R978" s="434">
        <f t="shared" si="330"/>
        <v>0</v>
      </c>
      <c r="S978" s="434">
        <f t="shared" si="330"/>
        <v>0</v>
      </c>
      <c r="T978" s="17"/>
      <c r="U978" s="118">
        <f t="shared" si="331" ref="U978:U987">SUM(I978:T978)</f>
        <v>0</v>
      </c>
      <c r="V978" s="67"/>
      <c r="W978" s="118">
        <f t="shared" si="321"/>
        <v>0</v>
      </c>
    </row>
    <row r="979" spans="1:23" ht="18" customHeight="1">
      <c r="A979" s="47"/>
      <c r="B979" s="17">
        <f t="shared" si="326"/>
        <v>11</v>
      </c>
      <c r="C979" s="1" t="s">
        <v>43</v>
      </c>
      <c r="D979" s="1" t="s">
        <v>44</v>
      </c>
      <c r="E979" s="17"/>
      <c r="F979" s="118">
        <f>' WP II-I-1.4'!H979</f>
        <v>0</v>
      </c>
      <c r="G979" s="17">
        <v>28</v>
      </c>
      <c r="H979" s="47" t="str">
        <f t="shared" si="329"/>
        <v>NCP XHV</v>
      </c>
      <c r="I979" s="17"/>
      <c r="J979" s="434">
        <f t="shared" si="330"/>
        <v>0</v>
      </c>
      <c r="K979" s="434">
        <f t="shared" si="330"/>
        <v>0</v>
      </c>
      <c r="L979" s="434">
        <f t="shared" si="330"/>
        <v>0</v>
      </c>
      <c r="M979" s="434">
        <f t="shared" si="330"/>
        <v>0</v>
      </c>
      <c r="N979" s="434">
        <f t="shared" si="330"/>
        <v>0</v>
      </c>
      <c r="O979" s="434">
        <f t="shared" si="330"/>
        <v>0</v>
      </c>
      <c r="P979" s="434">
        <f t="shared" si="330"/>
        <v>0</v>
      </c>
      <c r="Q979" s="434">
        <f t="shared" si="330"/>
        <v>0</v>
      </c>
      <c r="R979" s="434">
        <f t="shared" si="330"/>
        <v>0</v>
      </c>
      <c r="S979" s="434">
        <f t="shared" si="330"/>
        <v>0</v>
      </c>
      <c r="T979" s="17"/>
      <c r="U979" s="118">
        <f t="shared" si="331"/>
        <v>0</v>
      </c>
      <c r="V979" s="67"/>
      <c r="W979" s="118">
        <f t="shared" si="321"/>
        <v>0</v>
      </c>
    </row>
    <row r="980" spans="1:23" ht="18" customHeight="1">
      <c r="A980" s="47"/>
      <c r="B980" s="17">
        <f t="shared" si="326"/>
        <v>12</v>
      </c>
      <c r="C980" s="1" t="s">
        <v>45</v>
      </c>
      <c r="D980" s="1" t="s">
        <v>46</v>
      </c>
      <c r="E980" s="17"/>
      <c r="F980" s="118">
        <f>' WP II-I-1.4'!H980</f>
        <v>0</v>
      </c>
      <c r="G980" s="17">
        <v>28</v>
      </c>
      <c r="H980" s="47" t="str">
        <f t="shared" si="329"/>
        <v>NCP XHV</v>
      </c>
      <c r="I980" s="17"/>
      <c r="J980" s="434">
        <f t="shared" si="330"/>
        <v>0</v>
      </c>
      <c r="K980" s="434">
        <f t="shared" si="330"/>
        <v>0</v>
      </c>
      <c r="L980" s="434">
        <f t="shared" si="330"/>
        <v>0</v>
      </c>
      <c r="M980" s="434">
        <f t="shared" si="330"/>
        <v>0</v>
      </c>
      <c r="N980" s="434">
        <f t="shared" si="330"/>
        <v>0</v>
      </c>
      <c r="O980" s="434">
        <f t="shared" si="330"/>
        <v>0</v>
      </c>
      <c r="P980" s="434">
        <f t="shared" si="330"/>
        <v>0</v>
      </c>
      <c r="Q980" s="434">
        <f t="shared" si="330"/>
        <v>0</v>
      </c>
      <c r="R980" s="434">
        <f t="shared" si="330"/>
        <v>0</v>
      </c>
      <c r="S980" s="434">
        <f t="shared" si="330"/>
        <v>0</v>
      </c>
      <c r="T980" s="17"/>
      <c r="U980" s="118">
        <f t="shared" si="331"/>
        <v>0</v>
      </c>
      <c r="V980" s="67"/>
      <c r="W980" s="118">
        <f t="shared" si="321"/>
        <v>0</v>
      </c>
    </row>
    <row r="981" spans="1:23" ht="18" customHeight="1">
      <c r="A981" s="47"/>
      <c r="B981" s="17">
        <f t="shared" si="326"/>
        <v>13</v>
      </c>
      <c r="C981" s="1" t="s">
        <v>47</v>
      </c>
      <c r="D981" s="1" t="s">
        <v>48</v>
      </c>
      <c r="E981" s="17"/>
      <c r="F981" s="118">
        <f>' WP II-I-1.4'!H981</f>
        <v>0</v>
      </c>
      <c r="G981" s="17">
        <v>67</v>
      </c>
      <c r="H981" s="47" t="str">
        <f t="shared" si="329"/>
        <v>PLTTRAN_N</v>
      </c>
      <c r="I981" s="17"/>
      <c r="J981" s="434">
        <f t="shared" si="330"/>
        <v>0</v>
      </c>
      <c r="K981" s="434">
        <f t="shared" si="330"/>
        <v>0</v>
      </c>
      <c r="L981" s="434">
        <f t="shared" si="330"/>
        <v>0</v>
      </c>
      <c r="M981" s="434">
        <f t="shared" si="330"/>
        <v>0</v>
      </c>
      <c r="N981" s="434">
        <f t="shared" si="330"/>
        <v>0</v>
      </c>
      <c r="O981" s="434">
        <f t="shared" si="330"/>
        <v>0</v>
      </c>
      <c r="P981" s="434">
        <f t="shared" si="330"/>
        <v>0</v>
      </c>
      <c r="Q981" s="434">
        <f t="shared" si="330"/>
        <v>0</v>
      </c>
      <c r="R981" s="434">
        <f t="shared" si="330"/>
        <v>0</v>
      </c>
      <c r="S981" s="434">
        <f t="shared" si="330"/>
        <v>0</v>
      </c>
      <c r="T981" s="17"/>
      <c r="U981" s="118">
        <f t="shared" si="331"/>
        <v>0</v>
      </c>
      <c r="V981" s="67"/>
      <c r="W981" s="118">
        <f t="shared" si="321"/>
        <v>0</v>
      </c>
    </row>
    <row r="982" spans="1:23" ht="18" customHeight="1">
      <c r="A982" s="47"/>
      <c r="B982" s="17">
        <f t="shared" si="326"/>
        <v>14</v>
      </c>
      <c r="C982" s="1" t="s">
        <v>49</v>
      </c>
      <c r="D982" s="1" t="s">
        <v>50</v>
      </c>
      <c r="E982" s="17"/>
      <c r="F982" s="118">
        <f>' WP II-I-1.4'!H982</f>
        <v>0</v>
      </c>
      <c r="G982" s="17">
        <v>67</v>
      </c>
      <c r="H982" s="47" t="str">
        <f t="shared" si="329"/>
        <v>PLTTRAN_N</v>
      </c>
      <c r="I982" s="17"/>
      <c r="J982" s="434">
        <f t="shared" si="330"/>
        <v>0</v>
      </c>
      <c r="K982" s="434">
        <f t="shared" si="330"/>
        <v>0</v>
      </c>
      <c r="L982" s="434">
        <f t="shared" si="330"/>
        <v>0</v>
      </c>
      <c r="M982" s="434">
        <f t="shared" si="330"/>
        <v>0</v>
      </c>
      <c r="N982" s="434">
        <f t="shared" si="330"/>
        <v>0</v>
      </c>
      <c r="O982" s="434">
        <f t="shared" si="330"/>
        <v>0</v>
      </c>
      <c r="P982" s="434">
        <f t="shared" si="330"/>
        <v>0</v>
      </c>
      <c r="Q982" s="434">
        <f t="shared" si="330"/>
        <v>0</v>
      </c>
      <c r="R982" s="434">
        <f t="shared" si="330"/>
        <v>0</v>
      </c>
      <c r="S982" s="434">
        <f t="shared" si="330"/>
        <v>0</v>
      </c>
      <c r="T982" s="17"/>
      <c r="U982" s="118">
        <f t="shared" si="331"/>
        <v>0</v>
      </c>
      <c r="V982" s="67"/>
      <c r="W982" s="118">
        <f t="shared" si="321"/>
        <v>0</v>
      </c>
    </row>
    <row r="983" spans="1:23" ht="18" customHeight="1">
      <c r="A983" s="47"/>
      <c r="B983" s="17">
        <f t="shared" si="326"/>
        <v>15</v>
      </c>
      <c r="C983" s="1" t="s">
        <v>51</v>
      </c>
      <c r="D983" s="1" t="s">
        <v>534</v>
      </c>
      <c r="E983" s="17"/>
      <c r="F983" s="118">
        <f>' WP II-I-1.4'!H983</f>
        <v>0</v>
      </c>
      <c r="G983" s="17">
        <v>67</v>
      </c>
      <c r="H983" s="47" t="str">
        <f t="shared" si="329"/>
        <v>PLTTRAN_N</v>
      </c>
      <c r="I983" s="17"/>
      <c r="J983" s="434">
        <f t="shared" si="330"/>
        <v>0</v>
      </c>
      <c r="K983" s="434">
        <f t="shared" si="330"/>
        <v>0</v>
      </c>
      <c r="L983" s="434">
        <f t="shared" si="330"/>
        <v>0</v>
      </c>
      <c r="M983" s="434">
        <f t="shared" si="330"/>
        <v>0</v>
      </c>
      <c r="N983" s="434">
        <f t="shared" si="330"/>
        <v>0</v>
      </c>
      <c r="O983" s="434">
        <f t="shared" si="330"/>
        <v>0</v>
      </c>
      <c r="P983" s="434">
        <f t="shared" si="330"/>
        <v>0</v>
      </c>
      <c r="Q983" s="434">
        <f t="shared" si="330"/>
        <v>0</v>
      </c>
      <c r="R983" s="434">
        <f t="shared" si="330"/>
        <v>0</v>
      </c>
      <c r="S983" s="434">
        <f t="shared" si="330"/>
        <v>0</v>
      </c>
      <c r="T983" s="17"/>
      <c r="U983" s="118">
        <f t="shared" si="331"/>
        <v>0</v>
      </c>
      <c r="V983" s="67"/>
      <c r="W983" s="118">
        <f t="shared" si="321"/>
        <v>0</v>
      </c>
    </row>
    <row r="984" spans="1:23" ht="18" customHeight="1">
      <c r="A984" s="47"/>
      <c r="B984" s="17">
        <f t="shared" si="326"/>
        <v>16</v>
      </c>
      <c r="C984" s="1" t="s">
        <v>53</v>
      </c>
      <c r="D984" s="1" t="s">
        <v>695</v>
      </c>
      <c r="E984" s="17"/>
      <c r="F984" s="118">
        <f>' WP II-I-1.4'!H984</f>
        <v>0</v>
      </c>
      <c r="G984" s="17">
        <v>67</v>
      </c>
      <c r="H984" s="47" t="str">
        <f t="shared" si="329"/>
        <v>PLTTRAN_N</v>
      </c>
      <c r="I984" s="17"/>
      <c r="J984" s="434">
        <f t="shared" si="330"/>
        <v>0</v>
      </c>
      <c r="K984" s="434">
        <f t="shared" si="330"/>
        <v>0</v>
      </c>
      <c r="L984" s="434">
        <f t="shared" si="330"/>
        <v>0</v>
      </c>
      <c r="M984" s="434">
        <f t="shared" si="330"/>
        <v>0</v>
      </c>
      <c r="N984" s="434">
        <f t="shared" si="330"/>
        <v>0</v>
      </c>
      <c r="O984" s="434">
        <f t="shared" si="330"/>
        <v>0</v>
      </c>
      <c r="P984" s="434">
        <f t="shared" si="330"/>
        <v>0</v>
      </c>
      <c r="Q984" s="434">
        <f t="shared" si="330"/>
        <v>0</v>
      </c>
      <c r="R984" s="434">
        <f t="shared" si="330"/>
        <v>0</v>
      </c>
      <c r="S984" s="434">
        <f t="shared" si="330"/>
        <v>0</v>
      </c>
      <c r="T984" s="17"/>
      <c r="U984" s="118">
        <f t="shared" si="331"/>
        <v>0</v>
      </c>
      <c r="V984" s="67"/>
      <c r="W984" s="118">
        <f t="shared" si="321"/>
        <v>0</v>
      </c>
    </row>
    <row r="985" spans="1:23" ht="18" customHeight="1">
      <c r="A985" s="47"/>
      <c r="B985" s="17">
        <f t="shared" si="326"/>
        <v>17</v>
      </c>
      <c r="C985" s="1" t="s">
        <v>55</v>
      </c>
      <c r="D985" s="31" t="s">
        <v>535</v>
      </c>
      <c r="E985" s="17"/>
      <c r="F985" s="118">
        <f>' WP II-I-1.4'!H985</f>
        <v>0</v>
      </c>
      <c r="G985" s="17">
        <v>67</v>
      </c>
      <c r="H985" s="47" t="str">
        <f t="shared" si="329"/>
        <v>PLTTRAN_N</v>
      </c>
      <c r="I985" s="17"/>
      <c r="J985" s="434">
        <f t="shared" si="330"/>
        <v>0</v>
      </c>
      <c r="K985" s="434">
        <f t="shared" si="330"/>
        <v>0</v>
      </c>
      <c r="L985" s="434">
        <f t="shared" si="330"/>
        <v>0</v>
      </c>
      <c r="M985" s="434">
        <f t="shared" si="330"/>
        <v>0</v>
      </c>
      <c r="N985" s="434">
        <f t="shared" si="330"/>
        <v>0</v>
      </c>
      <c r="O985" s="434">
        <f t="shared" si="330"/>
        <v>0</v>
      </c>
      <c r="P985" s="434">
        <f t="shared" si="330"/>
        <v>0</v>
      </c>
      <c r="Q985" s="434">
        <f t="shared" si="330"/>
        <v>0</v>
      </c>
      <c r="R985" s="434">
        <f t="shared" si="330"/>
        <v>0</v>
      </c>
      <c r="S985" s="434">
        <f t="shared" si="330"/>
        <v>0</v>
      </c>
      <c r="T985" s="17"/>
      <c r="U985" s="118">
        <f t="shared" si="331"/>
        <v>0</v>
      </c>
      <c r="V985" s="67"/>
      <c r="W985" s="118">
        <f t="shared" si="321"/>
        <v>0</v>
      </c>
    </row>
    <row r="986" spans="1:23" ht="18" customHeight="1">
      <c r="A986" s="47"/>
      <c r="B986" s="17">
        <f t="shared" si="326"/>
        <v>18</v>
      </c>
      <c r="C986" s="1" t="s">
        <v>57</v>
      </c>
      <c r="D986" s="1" t="s">
        <v>58</v>
      </c>
      <c r="E986" s="17"/>
      <c r="F986" s="118">
        <f>' WP II-I-1.4'!H986</f>
        <v>0</v>
      </c>
      <c r="G986" s="17">
        <v>67</v>
      </c>
      <c r="H986" s="47" t="str">
        <f t="shared" si="329"/>
        <v>PLTTRAN_N</v>
      </c>
      <c r="I986" s="17"/>
      <c r="J986" s="435">
        <f t="shared" si="330"/>
        <v>0</v>
      </c>
      <c r="K986" s="435">
        <f t="shared" si="330"/>
        <v>0</v>
      </c>
      <c r="L986" s="435">
        <f t="shared" si="330"/>
        <v>0</v>
      </c>
      <c r="M986" s="435">
        <f t="shared" si="330"/>
        <v>0</v>
      </c>
      <c r="N986" s="435">
        <f t="shared" si="330"/>
        <v>0</v>
      </c>
      <c r="O986" s="435">
        <f t="shared" si="330"/>
        <v>0</v>
      </c>
      <c r="P986" s="435">
        <f t="shared" si="330"/>
        <v>0</v>
      </c>
      <c r="Q986" s="435">
        <f t="shared" si="330"/>
        <v>0</v>
      </c>
      <c r="R986" s="435">
        <f t="shared" si="330"/>
        <v>0</v>
      </c>
      <c r="S986" s="435">
        <f t="shared" si="330"/>
        <v>0</v>
      </c>
      <c r="T986" s="17"/>
      <c r="U986" s="118">
        <f t="shared" si="331"/>
        <v>0</v>
      </c>
      <c r="V986" s="67"/>
      <c r="W986" s="118">
        <f t="shared" si="321"/>
        <v>0</v>
      </c>
    </row>
    <row r="987" spans="1:23" ht="18" customHeight="1">
      <c r="A987" s="47"/>
      <c r="B987" s="17">
        <f t="shared" si="326"/>
        <v>19</v>
      </c>
      <c r="C987" s="8"/>
      <c r="D987" s="297" t="s">
        <v>491</v>
      </c>
      <c r="E987" s="20"/>
      <c r="F987" s="22">
        <f>SUM(F978:F986)</f>
        <v>0</v>
      </c>
      <c r="G987" s="20"/>
      <c r="H987" s="20"/>
      <c r="I987" s="1010"/>
      <c r="J987" s="896">
        <f t="shared" si="332" ref="J987:Q987">SUM(J978:J986)</f>
        <v>0</v>
      </c>
      <c r="K987" s="896">
        <f t="shared" si="332"/>
        <v>0</v>
      </c>
      <c r="L987" s="896">
        <f t="shared" si="332"/>
        <v>0</v>
      </c>
      <c r="M987" s="896">
        <f t="shared" si="332"/>
        <v>0</v>
      </c>
      <c r="N987" s="896">
        <f t="shared" si="332"/>
        <v>0</v>
      </c>
      <c r="O987" s="896">
        <f>SUM(O978:O986)</f>
        <v>0</v>
      </c>
      <c r="P987" s="896">
        <f t="shared" si="332"/>
        <v>0</v>
      </c>
      <c r="Q987" s="896">
        <f t="shared" si="332"/>
        <v>0</v>
      </c>
      <c r="R987" s="896">
        <f>SUM(R978:R986)</f>
        <v>0</v>
      </c>
      <c r="S987" s="896">
        <f>SUM(S978:S986)</f>
        <v>0</v>
      </c>
      <c r="T987" s="1010"/>
      <c r="U987" s="299">
        <f t="shared" si="331"/>
        <v>0</v>
      </c>
      <c r="V987" s="67"/>
      <c r="W987" s="118">
        <f t="shared" si="321"/>
        <v>0</v>
      </c>
    </row>
    <row r="988" spans="1:23" ht="18" customHeight="1">
      <c r="A988" s="47"/>
      <c r="B988" s="17">
        <f t="shared" si="326"/>
        <v>20</v>
      </c>
      <c r="C988" s="1"/>
      <c r="D988" s="1"/>
      <c r="E988" s="17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"/>
      <c r="V988" s="67"/>
      <c r="W988" s="118">
        <f t="shared" si="321"/>
        <v>0</v>
      </c>
    </row>
    <row r="989" spans="1:23" ht="18" customHeight="1">
      <c r="A989" s="47"/>
      <c r="B989" s="17">
        <f t="shared" si="326"/>
        <v>21</v>
      </c>
      <c r="C989" s="8" t="s">
        <v>696</v>
      </c>
      <c r="D989" s="8"/>
      <c r="E989" s="20" t="s">
        <v>297</v>
      </c>
      <c r="F989" s="22"/>
      <c r="G989" s="20"/>
      <c r="H989" s="20"/>
      <c r="I989" s="1010"/>
      <c r="J989" s="1059"/>
      <c r="K989" s="1059"/>
      <c r="L989" s="1059"/>
      <c r="M989" s="1059"/>
      <c r="N989" s="1059"/>
      <c r="O989" s="1059"/>
      <c r="P989" s="1059"/>
      <c r="Q989" s="1059"/>
      <c r="R989" s="1059"/>
      <c r="S989" s="1059"/>
      <c r="T989" s="1010"/>
      <c r="U989" s="8"/>
      <c r="V989" s="67"/>
      <c r="W989" s="118">
        <f t="shared" si="321"/>
        <v>0</v>
      </c>
    </row>
    <row r="990" spans="1:23" ht="18" customHeight="1">
      <c r="A990" s="47"/>
      <c r="B990" s="17">
        <f t="shared" si="326"/>
        <v>22</v>
      </c>
      <c r="C990" s="1" t="s">
        <v>61</v>
      </c>
      <c r="D990" s="1" t="s">
        <v>42</v>
      </c>
      <c r="E990" s="17"/>
      <c r="F990" s="118">
        <f>' WP II-I-1.4'!H990</f>
        <v>0</v>
      </c>
      <c r="G990" s="17">
        <v>54</v>
      </c>
      <c r="H990" s="47" t="str">
        <f t="shared" si="333" ref="H990:H1003">VLOOKUP(G990,FactorTable,2)</f>
        <v>PLT 362-373</v>
      </c>
      <c r="I990" s="17"/>
      <c r="J990" s="434">
        <f t="shared" si="334" ref="J990:S1003">$F990*HLOOKUP(J$1318,FactorTable,$G990+1)</f>
        <v>0</v>
      </c>
      <c r="K990" s="434">
        <f t="shared" si="334"/>
        <v>0</v>
      </c>
      <c r="L990" s="434">
        <f t="shared" si="334"/>
        <v>0</v>
      </c>
      <c r="M990" s="434">
        <f t="shared" si="334"/>
        <v>0</v>
      </c>
      <c r="N990" s="434">
        <f t="shared" si="334"/>
        <v>0</v>
      </c>
      <c r="O990" s="434">
        <f t="shared" si="334"/>
        <v>0</v>
      </c>
      <c r="P990" s="434">
        <f t="shared" si="334"/>
        <v>0</v>
      </c>
      <c r="Q990" s="434">
        <f t="shared" si="334"/>
        <v>0</v>
      </c>
      <c r="R990" s="434">
        <f t="shared" si="334"/>
        <v>0</v>
      </c>
      <c r="S990" s="434">
        <f t="shared" si="334"/>
        <v>0</v>
      </c>
      <c r="T990" s="17"/>
      <c r="U990" s="118">
        <f t="shared" si="335" ref="U990:U1004">SUM(I990:T990)</f>
        <v>0</v>
      </c>
      <c r="V990" s="67"/>
      <c r="W990" s="118">
        <f t="shared" si="321"/>
        <v>0</v>
      </c>
    </row>
    <row r="991" spans="1:23" ht="18" customHeight="1">
      <c r="A991" s="47"/>
      <c r="B991" s="17">
        <f t="shared" si="326"/>
        <v>23</v>
      </c>
      <c r="C991" s="1" t="s">
        <v>62</v>
      </c>
      <c r="D991" s="31" t="s">
        <v>44</v>
      </c>
      <c r="E991" s="17"/>
      <c r="F991" s="118">
        <f>' WP II-I-1.4'!H991</f>
        <v>0</v>
      </c>
      <c r="G991" s="17">
        <v>43</v>
      </c>
      <c r="H991" s="47" t="str">
        <f t="shared" si="333"/>
        <v>PLT 361</v>
      </c>
      <c r="I991" s="17"/>
      <c r="J991" s="434">
        <f t="shared" si="334"/>
        <v>0</v>
      </c>
      <c r="K991" s="434">
        <f t="shared" si="334"/>
        <v>0</v>
      </c>
      <c r="L991" s="434">
        <f t="shared" si="334"/>
        <v>0</v>
      </c>
      <c r="M991" s="434">
        <f t="shared" si="334"/>
        <v>0</v>
      </c>
      <c r="N991" s="434">
        <f t="shared" si="334"/>
        <v>0</v>
      </c>
      <c r="O991" s="434">
        <f t="shared" si="334"/>
        <v>0</v>
      </c>
      <c r="P991" s="434">
        <f t="shared" si="334"/>
        <v>0</v>
      </c>
      <c r="Q991" s="434">
        <f t="shared" si="334"/>
        <v>0</v>
      </c>
      <c r="R991" s="434">
        <f t="shared" si="334"/>
        <v>0</v>
      </c>
      <c r="S991" s="434">
        <f t="shared" si="334"/>
        <v>0</v>
      </c>
      <c r="T991" s="17"/>
      <c r="U991" s="118">
        <f t="shared" si="335"/>
        <v>0</v>
      </c>
      <c r="V991" s="67"/>
      <c r="W991" s="118">
        <f t="shared" si="321"/>
        <v>0</v>
      </c>
    </row>
    <row r="992" spans="1:23" ht="18" customHeight="1">
      <c r="A992" s="47"/>
      <c r="B992" s="17">
        <f t="shared" si="326"/>
        <v>24</v>
      </c>
      <c r="C992" s="1" t="s">
        <v>63</v>
      </c>
      <c r="D992" s="1" t="s">
        <v>46</v>
      </c>
      <c r="E992" s="17"/>
      <c r="F992" s="118">
        <f>' WP II-I-1.4'!H992</f>
        <v>0</v>
      </c>
      <c r="G992" s="17">
        <v>44</v>
      </c>
      <c r="H992" s="47" t="str">
        <f t="shared" si="333"/>
        <v>PLT 362</v>
      </c>
      <c r="I992" s="17"/>
      <c r="J992" s="434">
        <f t="shared" si="334"/>
        <v>0</v>
      </c>
      <c r="K992" s="434">
        <f t="shared" si="334"/>
        <v>0</v>
      </c>
      <c r="L992" s="434">
        <f t="shared" si="334"/>
        <v>0</v>
      </c>
      <c r="M992" s="434">
        <f t="shared" si="334"/>
        <v>0</v>
      </c>
      <c r="N992" s="434">
        <f t="shared" si="334"/>
        <v>0</v>
      </c>
      <c r="O992" s="434">
        <f t="shared" si="334"/>
        <v>0</v>
      </c>
      <c r="P992" s="434">
        <f t="shared" si="334"/>
        <v>0</v>
      </c>
      <c r="Q992" s="434">
        <f t="shared" si="334"/>
        <v>0</v>
      </c>
      <c r="R992" s="434">
        <f t="shared" si="334"/>
        <v>0</v>
      </c>
      <c r="S992" s="434">
        <f t="shared" si="334"/>
        <v>0</v>
      </c>
      <c r="T992" s="17"/>
      <c r="U992" s="118">
        <f t="shared" si="335"/>
        <v>0</v>
      </c>
      <c r="V992" s="67"/>
      <c r="W992" s="118">
        <f t="shared" si="321"/>
        <v>0</v>
      </c>
    </row>
    <row r="993" spans="1:23" ht="18" customHeight="1">
      <c r="A993" s="47"/>
      <c r="B993" s="17">
        <f t="shared" si="326"/>
        <v>25</v>
      </c>
      <c r="C993" s="1" t="s">
        <v>64</v>
      </c>
      <c r="D993" s="1" t="s">
        <v>65</v>
      </c>
      <c r="E993" s="17"/>
      <c r="F993" s="290">
        <f>' WP II-I-1.4'!H993</f>
        <v>0</v>
      </c>
      <c r="G993" s="17">
        <v>28</v>
      </c>
      <c r="H993" s="47" t="str">
        <f t="shared" si="333"/>
        <v>NCP XHV</v>
      </c>
      <c r="I993" s="17"/>
      <c r="J993" s="434">
        <f t="shared" si="334"/>
        <v>0</v>
      </c>
      <c r="K993" s="434">
        <f t="shared" si="334"/>
        <v>0</v>
      </c>
      <c r="L993" s="434">
        <f t="shared" si="334"/>
        <v>0</v>
      </c>
      <c r="M993" s="434">
        <f t="shared" si="334"/>
        <v>0</v>
      </c>
      <c r="N993" s="434">
        <f t="shared" si="334"/>
        <v>0</v>
      </c>
      <c r="O993" s="434">
        <f t="shared" si="334"/>
        <v>0</v>
      </c>
      <c r="P993" s="434">
        <f t="shared" si="334"/>
        <v>0</v>
      </c>
      <c r="Q993" s="434">
        <f t="shared" si="334"/>
        <v>0</v>
      </c>
      <c r="R993" s="434">
        <f t="shared" si="334"/>
        <v>0</v>
      </c>
      <c r="S993" s="434">
        <f t="shared" si="334"/>
        <v>0</v>
      </c>
      <c r="T993" s="17"/>
      <c r="U993" s="118">
        <f t="shared" si="335"/>
        <v>0</v>
      </c>
      <c r="V993" s="67"/>
      <c r="W993" s="118">
        <f t="shared" si="321"/>
        <v>0</v>
      </c>
    </row>
    <row r="994" spans="1:23" ht="18" customHeight="1">
      <c r="A994" s="47"/>
      <c r="B994" s="17">
        <f t="shared" si="326"/>
        <v>26</v>
      </c>
      <c r="C994" s="1" t="s">
        <v>66</v>
      </c>
      <c r="D994" s="31" t="s">
        <v>697</v>
      </c>
      <c r="E994" s="17"/>
      <c r="F994" s="118">
        <f>' WP II-I-1.4'!H994</f>
        <v>0</v>
      </c>
      <c r="G994" s="17">
        <v>45</v>
      </c>
      <c r="H994" s="47" t="str">
        <f t="shared" si="333"/>
        <v>PLT 364</v>
      </c>
      <c r="I994" s="17"/>
      <c r="J994" s="434">
        <f t="shared" si="334"/>
        <v>0</v>
      </c>
      <c r="K994" s="434">
        <f t="shared" si="334"/>
        <v>0</v>
      </c>
      <c r="L994" s="434">
        <f t="shared" si="334"/>
        <v>0</v>
      </c>
      <c r="M994" s="434">
        <f t="shared" si="334"/>
        <v>0</v>
      </c>
      <c r="N994" s="434">
        <f t="shared" si="334"/>
        <v>0</v>
      </c>
      <c r="O994" s="434">
        <f t="shared" si="334"/>
        <v>0</v>
      </c>
      <c r="P994" s="434">
        <f t="shared" si="334"/>
        <v>0</v>
      </c>
      <c r="Q994" s="434">
        <f t="shared" si="334"/>
        <v>0</v>
      </c>
      <c r="R994" s="434">
        <f t="shared" si="334"/>
        <v>0</v>
      </c>
      <c r="S994" s="434">
        <f t="shared" si="334"/>
        <v>0</v>
      </c>
      <c r="T994" s="17"/>
      <c r="U994" s="118">
        <f t="shared" si="335"/>
        <v>0</v>
      </c>
      <c r="V994" s="67"/>
      <c r="W994" s="118">
        <f t="shared" si="321"/>
        <v>0</v>
      </c>
    </row>
    <row r="995" spans="1:23" ht="18" customHeight="1">
      <c r="A995" s="47"/>
      <c r="B995" s="17">
        <f t="shared" si="326"/>
        <v>27</v>
      </c>
      <c r="C995" s="1" t="s">
        <v>68</v>
      </c>
      <c r="D995" s="1" t="s">
        <v>534</v>
      </c>
      <c r="E995" s="17"/>
      <c r="F995" s="118">
        <f>' WP II-I-1.4'!H995</f>
        <v>0</v>
      </c>
      <c r="G995" s="17">
        <v>46</v>
      </c>
      <c r="H995" s="47" t="str">
        <f t="shared" si="333"/>
        <v>PLT 365</v>
      </c>
      <c r="I995" s="17"/>
      <c r="J995" s="434">
        <f t="shared" si="334"/>
        <v>0</v>
      </c>
      <c r="K995" s="434">
        <f t="shared" si="334"/>
        <v>0</v>
      </c>
      <c r="L995" s="434">
        <f t="shared" si="334"/>
        <v>0</v>
      </c>
      <c r="M995" s="434">
        <f t="shared" si="334"/>
        <v>0</v>
      </c>
      <c r="N995" s="434">
        <f t="shared" si="334"/>
        <v>0</v>
      </c>
      <c r="O995" s="434">
        <f t="shared" si="334"/>
        <v>0</v>
      </c>
      <c r="P995" s="434">
        <f t="shared" si="334"/>
        <v>0</v>
      </c>
      <c r="Q995" s="434">
        <f t="shared" si="334"/>
        <v>0</v>
      </c>
      <c r="R995" s="434">
        <f t="shared" si="334"/>
        <v>0</v>
      </c>
      <c r="S995" s="434">
        <f t="shared" si="334"/>
        <v>0</v>
      </c>
      <c r="T995" s="17"/>
      <c r="U995" s="118">
        <f t="shared" si="335"/>
        <v>0</v>
      </c>
      <c r="V995" s="67"/>
      <c r="W995" s="118">
        <f t="shared" si="321"/>
        <v>0</v>
      </c>
    </row>
    <row r="996" spans="1:23" ht="18" customHeight="1">
      <c r="A996" s="47"/>
      <c r="B996" s="17">
        <f t="shared" si="326"/>
        <v>28</v>
      </c>
      <c r="C996" s="1" t="s">
        <v>70</v>
      </c>
      <c r="D996" s="1" t="s">
        <v>698</v>
      </c>
      <c r="E996" s="17"/>
      <c r="F996" s="118">
        <f>' WP II-I-1.4'!H996</f>
        <v>0</v>
      </c>
      <c r="G996" s="17">
        <v>47</v>
      </c>
      <c r="H996" s="47" t="str">
        <f t="shared" si="333"/>
        <v>PLT 366</v>
      </c>
      <c r="I996" s="17"/>
      <c r="J996" s="434">
        <f t="shared" si="334"/>
        <v>0</v>
      </c>
      <c r="K996" s="434">
        <f t="shared" si="334"/>
        <v>0</v>
      </c>
      <c r="L996" s="434">
        <f t="shared" si="334"/>
        <v>0</v>
      </c>
      <c r="M996" s="434">
        <f t="shared" si="334"/>
        <v>0</v>
      </c>
      <c r="N996" s="434">
        <f t="shared" si="334"/>
        <v>0</v>
      </c>
      <c r="O996" s="434">
        <f t="shared" si="334"/>
        <v>0</v>
      </c>
      <c r="P996" s="434">
        <f t="shared" si="334"/>
        <v>0</v>
      </c>
      <c r="Q996" s="434">
        <f t="shared" si="334"/>
        <v>0</v>
      </c>
      <c r="R996" s="434">
        <f t="shared" si="334"/>
        <v>0</v>
      </c>
      <c r="S996" s="434">
        <f t="shared" si="334"/>
        <v>0</v>
      </c>
      <c r="T996" s="17"/>
      <c r="U996" s="118">
        <f t="shared" si="335"/>
        <v>0</v>
      </c>
      <c r="V996" s="67"/>
      <c r="W996" s="118">
        <f t="shared" si="321"/>
        <v>0</v>
      </c>
    </row>
    <row r="997" spans="1:23" ht="18" customHeight="1">
      <c r="A997" s="47"/>
      <c r="B997" s="17">
        <f t="shared" si="326"/>
        <v>29</v>
      </c>
      <c r="C997" s="1" t="s">
        <v>72</v>
      </c>
      <c r="D997" s="31" t="s">
        <v>699</v>
      </c>
      <c r="E997" s="17"/>
      <c r="F997" s="118">
        <f>' WP II-I-1.4'!H997</f>
        <v>0</v>
      </c>
      <c r="G997" s="17">
        <v>48</v>
      </c>
      <c r="H997" s="47" t="str">
        <f t="shared" si="333"/>
        <v>PLT 367</v>
      </c>
      <c r="I997" s="17"/>
      <c r="J997" s="434">
        <f t="shared" si="334"/>
        <v>0</v>
      </c>
      <c r="K997" s="434">
        <f t="shared" si="334"/>
        <v>0</v>
      </c>
      <c r="L997" s="434">
        <f t="shared" si="334"/>
        <v>0</v>
      </c>
      <c r="M997" s="434">
        <f t="shared" si="334"/>
        <v>0</v>
      </c>
      <c r="N997" s="434">
        <f t="shared" si="334"/>
        <v>0</v>
      </c>
      <c r="O997" s="434">
        <f t="shared" si="334"/>
        <v>0</v>
      </c>
      <c r="P997" s="434">
        <f t="shared" si="334"/>
        <v>0</v>
      </c>
      <c r="Q997" s="434">
        <f t="shared" si="334"/>
        <v>0</v>
      </c>
      <c r="R997" s="434">
        <f t="shared" si="334"/>
        <v>0</v>
      </c>
      <c r="S997" s="434">
        <f t="shared" si="334"/>
        <v>0</v>
      </c>
      <c r="T997" s="17"/>
      <c r="U997" s="118">
        <f t="shared" si="335"/>
        <v>0</v>
      </c>
      <c r="V997" s="67"/>
      <c r="W997" s="118">
        <f t="shared" si="321"/>
        <v>0</v>
      </c>
    </row>
    <row r="998" spans="1:23" ht="18" customHeight="1">
      <c r="A998" s="47"/>
      <c r="B998" s="17">
        <f t="shared" si="326"/>
        <v>30</v>
      </c>
      <c r="C998" s="1" t="s">
        <v>74</v>
      </c>
      <c r="D998" s="1" t="s">
        <v>700</v>
      </c>
      <c r="E998" s="17"/>
      <c r="F998" s="118">
        <f>' WP II-I-1.4'!H998</f>
        <v>0</v>
      </c>
      <c r="G998" s="17">
        <v>49</v>
      </c>
      <c r="H998" s="47" t="str">
        <f t="shared" si="333"/>
        <v>PLT 368</v>
      </c>
      <c r="I998" s="17"/>
      <c r="J998" s="434">
        <f t="shared" si="334"/>
        <v>0</v>
      </c>
      <c r="K998" s="434">
        <f t="shared" si="334"/>
        <v>0</v>
      </c>
      <c r="L998" s="434">
        <f t="shared" si="334"/>
        <v>0</v>
      </c>
      <c r="M998" s="434">
        <f t="shared" si="334"/>
        <v>0</v>
      </c>
      <c r="N998" s="434">
        <f t="shared" si="334"/>
        <v>0</v>
      </c>
      <c r="O998" s="434">
        <f t="shared" si="334"/>
        <v>0</v>
      </c>
      <c r="P998" s="434">
        <f t="shared" si="334"/>
        <v>0</v>
      </c>
      <c r="Q998" s="434">
        <f t="shared" si="334"/>
        <v>0</v>
      </c>
      <c r="R998" s="434">
        <f t="shared" si="334"/>
        <v>0</v>
      </c>
      <c r="S998" s="434">
        <f t="shared" si="334"/>
        <v>0</v>
      </c>
      <c r="T998" s="17"/>
      <c r="U998" s="118">
        <f t="shared" si="335"/>
        <v>0</v>
      </c>
      <c r="V998" s="67"/>
      <c r="W998" s="118">
        <f t="shared" si="321"/>
        <v>0</v>
      </c>
    </row>
    <row r="999" spans="1:23" ht="18" customHeight="1">
      <c r="A999" s="47"/>
      <c r="B999" s="17">
        <f t="shared" si="326"/>
        <v>31</v>
      </c>
      <c r="C999" s="1" t="s">
        <v>76</v>
      </c>
      <c r="D999" s="31" t="s">
        <v>77</v>
      </c>
      <c r="E999" s="17"/>
      <c r="F999" s="118">
        <f>' WP II-I-1.4'!H999</f>
        <v>0</v>
      </c>
      <c r="G999" s="17">
        <v>50</v>
      </c>
      <c r="H999" s="47" t="str">
        <f t="shared" si="333"/>
        <v>PLT 369</v>
      </c>
      <c r="I999" s="17"/>
      <c r="J999" s="434">
        <f t="shared" si="334"/>
        <v>0</v>
      </c>
      <c r="K999" s="434">
        <f t="shared" si="334"/>
        <v>0</v>
      </c>
      <c r="L999" s="434">
        <f t="shared" si="334"/>
        <v>0</v>
      </c>
      <c r="M999" s="434">
        <f t="shared" si="334"/>
        <v>0</v>
      </c>
      <c r="N999" s="434">
        <f t="shared" si="334"/>
        <v>0</v>
      </c>
      <c r="O999" s="434">
        <f t="shared" si="334"/>
        <v>0</v>
      </c>
      <c r="P999" s="434">
        <f t="shared" si="334"/>
        <v>0</v>
      </c>
      <c r="Q999" s="434">
        <f t="shared" si="334"/>
        <v>0</v>
      </c>
      <c r="R999" s="434">
        <f t="shared" si="334"/>
        <v>0</v>
      </c>
      <c r="S999" s="434">
        <f t="shared" si="334"/>
        <v>0</v>
      </c>
      <c r="T999" s="17"/>
      <c r="U999" s="118">
        <f t="shared" si="335"/>
        <v>0</v>
      </c>
      <c r="V999" s="67"/>
      <c r="W999" s="118">
        <f t="shared" si="321"/>
        <v>0</v>
      </c>
    </row>
    <row r="1000" spans="1:23" ht="18" customHeight="1">
      <c r="A1000" s="47"/>
      <c r="B1000" s="17">
        <f t="shared" si="326"/>
        <v>32</v>
      </c>
      <c r="C1000" s="1" t="s">
        <v>78</v>
      </c>
      <c r="D1000" s="1" t="s">
        <v>79</v>
      </c>
      <c r="E1000" s="17"/>
      <c r="F1000" s="118">
        <f>' WP II-I-1.4'!H1000</f>
        <v>17195294.84</v>
      </c>
      <c r="G1000" s="17">
        <v>6</v>
      </c>
      <c r="H1000" s="47" t="str">
        <f t="shared" si="333"/>
        <v>CUS W ALL</v>
      </c>
      <c r="I1000" s="17"/>
      <c r="J1000" s="434">
        <f t="shared" si="334"/>
        <v>9586459.6640817784</v>
      </c>
      <c r="K1000" s="434">
        <f t="shared" si="334"/>
        <v>1477985.2018364284</v>
      </c>
      <c r="L1000" s="434">
        <f t="shared" si="334"/>
        <v>4558896.4833755326</v>
      </c>
      <c r="M1000" s="434">
        <f t="shared" si="334"/>
        <v>64013.828623707013</v>
      </c>
      <c r="N1000" s="434">
        <f t="shared" si="334"/>
        <v>1335796.1630316295</v>
      </c>
      <c r="O1000" s="434">
        <f t="shared" si="334"/>
        <v>45648.170212390854</v>
      </c>
      <c r="P1000" s="434">
        <f t="shared" si="334"/>
        <v>99372.555154666232</v>
      </c>
      <c r="Q1000" s="434">
        <f t="shared" si="334"/>
        <v>9555.9948121249745</v>
      </c>
      <c r="R1000" s="434">
        <f t="shared" si="334"/>
        <v>5267.096562968175</v>
      </c>
      <c r="S1000" s="434">
        <f t="shared" si="334"/>
        <v>12299.682308775218</v>
      </c>
      <c r="T1000" s="17"/>
      <c r="U1000" s="118">
        <f t="shared" si="335"/>
        <v>17195294.839999996</v>
      </c>
      <c r="V1000" s="67"/>
      <c r="W1000" s="118">
        <f t="shared" si="336" ref="W1000:W1063">U1000-F1000</f>
        <v>0</v>
      </c>
    </row>
    <row r="1001" spans="1:23" ht="18" customHeight="1">
      <c r="A1001" s="47"/>
      <c r="B1001" s="17">
        <f t="shared" si="326"/>
        <v>33</v>
      </c>
      <c r="C1001" s="1" t="s">
        <v>80</v>
      </c>
      <c r="D1001" s="1" t="s">
        <v>543</v>
      </c>
      <c r="E1001" s="17"/>
      <c r="F1001" s="118">
        <f>' WP II-I-1.4'!H1001</f>
        <v>0</v>
      </c>
      <c r="G1001" s="17">
        <v>33</v>
      </c>
      <c r="H1001" s="47" t="str">
        <f t="shared" si="333"/>
        <v>NCP LGT</v>
      </c>
      <c r="I1001" s="17"/>
      <c r="J1001" s="434">
        <f t="shared" si="334"/>
        <v>0</v>
      </c>
      <c r="K1001" s="434">
        <f t="shared" si="334"/>
        <v>0</v>
      </c>
      <c r="L1001" s="434">
        <f t="shared" si="334"/>
        <v>0</v>
      </c>
      <c r="M1001" s="434">
        <f t="shared" si="334"/>
        <v>0</v>
      </c>
      <c r="N1001" s="434">
        <f t="shared" si="334"/>
        <v>0</v>
      </c>
      <c r="O1001" s="434">
        <f t="shared" si="334"/>
        <v>0</v>
      </c>
      <c r="P1001" s="434">
        <f t="shared" si="334"/>
        <v>0</v>
      </c>
      <c r="Q1001" s="434">
        <f t="shared" si="334"/>
        <v>0</v>
      </c>
      <c r="R1001" s="434">
        <f t="shared" si="334"/>
        <v>0</v>
      </c>
      <c r="S1001" s="434">
        <f t="shared" si="334"/>
        <v>0</v>
      </c>
      <c r="T1001" s="17"/>
      <c r="U1001" s="118">
        <f t="shared" si="335"/>
        <v>0</v>
      </c>
      <c r="V1001" s="67"/>
      <c r="W1001" s="118">
        <f t="shared" si="336"/>
        <v>0</v>
      </c>
    </row>
    <row r="1002" spans="1:23" ht="18" customHeight="1">
      <c r="A1002" s="47"/>
      <c r="B1002" s="17">
        <f t="shared" si="326"/>
        <v>34</v>
      </c>
      <c r="C1002" s="1" t="s">
        <v>82</v>
      </c>
      <c r="D1002" s="1" t="s">
        <v>544</v>
      </c>
      <c r="E1002" s="17"/>
      <c r="F1002" s="118">
        <f>' WP II-I-1.4'!H1002</f>
        <v>0</v>
      </c>
      <c r="G1002" s="17">
        <v>6</v>
      </c>
      <c r="H1002" s="47" t="str">
        <f t="shared" si="333"/>
        <v>CUS W ALL</v>
      </c>
      <c r="I1002" s="17"/>
      <c r="J1002" s="434">
        <f t="shared" si="334"/>
        <v>0</v>
      </c>
      <c r="K1002" s="434">
        <f t="shared" si="334"/>
        <v>0</v>
      </c>
      <c r="L1002" s="434">
        <f t="shared" si="334"/>
        <v>0</v>
      </c>
      <c r="M1002" s="434">
        <f t="shared" si="334"/>
        <v>0</v>
      </c>
      <c r="N1002" s="434">
        <f t="shared" si="334"/>
        <v>0</v>
      </c>
      <c r="O1002" s="434">
        <f t="shared" si="334"/>
        <v>0</v>
      </c>
      <c r="P1002" s="434">
        <f t="shared" si="334"/>
        <v>0</v>
      </c>
      <c r="Q1002" s="434">
        <f t="shared" si="334"/>
        <v>0</v>
      </c>
      <c r="R1002" s="434">
        <f t="shared" si="334"/>
        <v>0</v>
      </c>
      <c r="S1002" s="434">
        <f t="shared" si="334"/>
        <v>0</v>
      </c>
      <c r="T1002" s="17"/>
      <c r="U1002" s="118">
        <f t="shared" si="335"/>
        <v>0</v>
      </c>
      <c r="V1002" s="67"/>
      <c r="W1002" s="118">
        <f t="shared" si="336"/>
        <v>0</v>
      </c>
    </row>
    <row r="1003" spans="1:23" ht="18" customHeight="1">
      <c r="A1003" s="47"/>
      <c r="B1003" s="17">
        <f t="shared" si="326"/>
        <v>35</v>
      </c>
      <c r="C1003" s="1" t="s">
        <v>84</v>
      </c>
      <c r="D1003" s="1" t="s">
        <v>88</v>
      </c>
      <c r="E1003" s="17"/>
      <c r="F1003" s="118">
        <f>' WP II-I-1.4'!H1003</f>
        <v>0</v>
      </c>
      <c r="G1003" s="17">
        <v>33</v>
      </c>
      <c r="H1003" s="47" t="str">
        <f t="shared" si="333"/>
        <v>NCP LGT</v>
      </c>
      <c r="I1003" s="17"/>
      <c r="J1003" s="435">
        <f t="shared" si="334"/>
        <v>0</v>
      </c>
      <c r="K1003" s="435">
        <f t="shared" si="334"/>
        <v>0</v>
      </c>
      <c r="L1003" s="435">
        <f t="shared" si="334"/>
        <v>0</v>
      </c>
      <c r="M1003" s="435">
        <f t="shared" si="334"/>
        <v>0</v>
      </c>
      <c r="N1003" s="435">
        <f t="shared" si="334"/>
        <v>0</v>
      </c>
      <c r="O1003" s="435">
        <f t="shared" si="334"/>
        <v>0</v>
      </c>
      <c r="P1003" s="435">
        <f t="shared" si="334"/>
        <v>0</v>
      </c>
      <c r="Q1003" s="435">
        <f t="shared" si="334"/>
        <v>0</v>
      </c>
      <c r="R1003" s="435">
        <f t="shared" si="334"/>
        <v>0</v>
      </c>
      <c r="S1003" s="435">
        <f t="shared" si="334"/>
        <v>0</v>
      </c>
      <c r="T1003" s="17"/>
      <c r="U1003" s="118">
        <f t="shared" si="335"/>
        <v>0</v>
      </c>
      <c r="V1003" s="67"/>
      <c r="W1003" s="118">
        <f t="shared" si="336"/>
        <v>0</v>
      </c>
    </row>
    <row r="1004" spans="1:23" ht="18" customHeight="1">
      <c r="A1004" s="47"/>
      <c r="B1004" s="17">
        <f t="shared" si="326"/>
        <v>36</v>
      </c>
      <c r="C1004" s="8"/>
      <c r="D1004" s="297" t="s">
        <v>491</v>
      </c>
      <c r="E1004" s="20"/>
      <c r="F1004" s="22">
        <f>SUM(F990:F1003)</f>
        <v>17195294.84</v>
      </c>
      <c r="G1004" s="20"/>
      <c r="H1004" s="20"/>
      <c r="I1004" s="1010"/>
      <c r="J1004" s="22">
        <f t="shared" si="337" ref="J1004:Q1004">SUM(J990:J1003)</f>
        <v>9586459.6640817784</v>
      </c>
      <c r="K1004" s="22">
        <f t="shared" si="337"/>
        <v>1477985.2018364284</v>
      </c>
      <c r="L1004" s="22">
        <f t="shared" si="337"/>
        <v>4558896.4833755326</v>
      </c>
      <c r="M1004" s="22">
        <f t="shared" si="337"/>
        <v>64013.828623707013</v>
      </c>
      <c r="N1004" s="22">
        <f t="shared" si="337"/>
        <v>1335796.1630316295</v>
      </c>
      <c r="O1004" s="22">
        <f>SUM(O990:O1003)</f>
        <v>45648.170212390854</v>
      </c>
      <c r="P1004" s="22">
        <f t="shared" si="337"/>
        <v>99372.555154666232</v>
      </c>
      <c r="Q1004" s="22">
        <f t="shared" si="337"/>
        <v>9555.9948121249745</v>
      </c>
      <c r="R1004" s="22">
        <f>SUM(R990:R1003)</f>
        <v>5267.096562968175</v>
      </c>
      <c r="S1004" s="22">
        <f>SUM(S990:S1003)</f>
        <v>12299.682308775218</v>
      </c>
      <c r="T1004" s="20"/>
      <c r="U1004" s="299">
        <f t="shared" si="335"/>
        <v>17195294.839999996</v>
      </c>
      <c r="V1004" s="67"/>
      <c r="W1004" s="118">
        <f t="shared" si="336"/>
        <v>0</v>
      </c>
    </row>
    <row r="1005" spans="1:23" ht="18" customHeight="1">
      <c r="A1005" s="47"/>
      <c r="B1005" s="17"/>
      <c r="C1005" s="1"/>
      <c r="D1005" s="1"/>
      <c r="E1005" s="17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"/>
      <c r="V1005" s="67"/>
      <c r="W1005" s="118">
        <f t="shared" si="336"/>
        <v>0</v>
      </c>
    </row>
    <row r="1006" spans="1:23" ht="18" customHeight="1">
      <c r="A1006" s="47"/>
      <c r="B1006" s="17"/>
      <c r="C1006" s="1"/>
      <c r="D1006" s="1"/>
      <c r="E1006" s="17"/>
      <c r="F1006" s="19"/>
      <c r="G1006" s="17"/>
      <c r="H1006" s="134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34"/>
      <c r="V1006" s="134">
        <f>$H$2</f>
        <v>0</v>
      </c>
      <c r="W1006" s="118"/>
    </row>
    <row r="1007" spans="1:23" ht="18" customHeight="1" thickBot="1">
      <c r="A1007" s="47"/>
      <c r="B1007" s="17"/>
      <c r="C1007" s="1"/>
      <c r="D1007" s="1"/>
      <c r="E1007" s="17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"/>
      <c r="V1007" s="67"/>
      <c r="W1007" s="118"/>
    </row>
    <row r="1008" spans="1:23" ht="18" customHeight="1">
      <c r="A1008" s="47"/>
      <c r="B1008" s="920" t="str">
        <f>+$B$4</f>
        <v>2022 RATE CASE</v>
      </c>
      <c r="C1008" s="935"/>
      <c r="D1008" s="969"/>
      <c r="F1008" s="332"/>
      <c r="U1008" s="134"/>
      <c r="W1008" s="118"/>
    </row>
    <row r="1009" spans="1:23" ht="18" customHeight="1">
      <c r="A1009" s="47"/>
      <c r="B1009" s="917" t="str">
        <f>+$B$5</f>
        <v>ONCOR ELECTRIC DELIVERY COMPANY LLC</v>
      </c>
      <c r="C1009" s="8"/>
      <c r="D1009" s="970"/>
      <c r="F1009" s="332"/>
      <c r="U1009" s="134"/>
      <c r="V1009" s="67"/>
      <c r="W1009" s="118"/>
    </row>
    <row r="1010" spans="1:23" ht="18" customHeight="1">
      <c r="A1010" s="47"/>
      <c r="B1010" s="917" t="str">
        <f>+$B$6</f>
        <v>II-I-1-MET:  CLASS REVENUE REQUIREMENT</v>
      </c>
      <c r="C1010" s="85"/>
      <c r="D1010" s="970"/>
      <c r="F1010" s="332"/>
      <c r="U1010" s="332"/>
      <c r="V1010" s="67"/>
      <c r="W1010" s="118"/>
    </row>
    <row r="1011" spans="1:23" ht="18" customHeight="1">
      <c r="A1011" s="47"/>
      <c r="B1011" s="406" t="str">
        <f>+$B$7</f>
        <v>TEST YEAR ENDING 12/31/2021</v>
      </c>
      <c r="C1011" s="85"/>
      <c r="D1011" s="970"/>
      <c r="F1011" s="332"/>
      <c r="U1011" s="332"/>
      <c r="V1011" s="67"/>
      <c r="W1011" s="118"/>
    </row>
    <row r="1012" spans="1:23" ht="18" customHeight="1">
      <c r="A1012" s="47"/>
      <c r="B1012" s="406" t="str">
        <f>+$B$8</f>
        <v>SPONSOR:  MATTHEW A. TROXLE</v>
      </c>
      <c r="C1012" s="85"/>
      <c r="D1012" s="970"/>
      <c r="F1012" s="332"/>
      <c r="U1012" s="332"/>
      <c r="V1012" s="67"/>
      <c r="W1012" s="118"/>
    </row>
    <row r="1013" spans="1:23" ht="18" customHeight="1" thickBot="1">
      <c r="A1013" s="47"/>
      <c r="B1013" s="410"/>
      <c r="C1013" s="934"/>
      <c r="D1013" s="936"/>
      <c r="F1013" s="332"/>
      <c r="U1013" s="332"/>
      <c r="V1013" s="67"/>
      <c r="W1013" s="118"/>
    </row>
    <row r="1014" spans="1:23" ht="18" customHeight="1" thickBot="1">
      <c r="A1014" s="47"/>
      <c r="B1014" s="13"/>
      <c r="C1014" s="14"/>
      <c r="D1014" s="14"/>
      <c r="E1014" s="14"/>
      <c r="F1014" s="13"/>
      <c r="G1014" s="14"/>
      <c r="H1014" s="14"/>
      <c r="I1014" s="14"/>
      <c r="J1014" s="238"/>
      <c r="K1014" s="238"/>
      <c r="L1014" s="14"/>
      <c r="M1014" s="238"/>
      <c r="N1014" s="238"/>
      <c r="O1014" s="238"/>
      <c r="P1014" s="238"/>
      <c r="Q1014" s="14"/>
      <c r="R1014" s="393" t="str">
        <f>R$10</f>
        <v xml:space="preserve"> </v>
      </c>
      <c r="S1014" s="394"/>
      <c r="T1014" s="238"/>
      <c r="U1014" s="13"/>
      <c r="V1014" s="67"/>
      <c r="W1014" s="118"/>
    </row>
    <row r="1015" spans="1:23" ht="18" customHeight="1">
      <c r="A1015" s="47"/>
      <c r="B1015" s="15" t="s">
        <v>2</v>
      </c>
      <c r="C1015" s="15" t="s">
        <v>370</v>
      </c>
      <c r="D1015" s="287" t="s">
        <v>701</v>
      </c>
      <c r="E1015" s="15" t="s">
        <v>371</v>
      </c>
      <c r="F1015" s="287" t="str">
        <f>F$11</f>
        <v>MET</v>
      </c>
      <c r="G1015" s="242" t="s">
        <v>741</v>
      </c>
      <c r="H1015" s="242" t="s">
        <v>376</v>
      </c>
      <c r="I1015" s="15"/>
      <c r="J1015" s="242" t="s">
        <v>730</v>
      </c>
      <c r="K1015" s="242" t="s">
        <v>409</v>
      </c>
      <c r="L1015" s="15" t="s">
        <v>409</v>
      </c>
      <c r="M1015" s="242" t="s">
        <v>410</v>
      </c>
      <c r="N1015" s="242" t="s">
        <v>410</v>
      </c>
      <c r="O1015" s="242" t="s">
        <v>410</v>
      </c>
      <c r="P1015" s="242" t="s">
        <v>411</v>
      </c>
      <c r="Q1015" s="15" t="s">
        <v>412</v>
      </c>
      <c r="R1015" s="396" t="str">
        <f>R$11</f>
        <v>Wholesale</v>
      </c>
      <c r="S1015" s="13" t="str">
        <f>S$11</f>
        <v>Wholesale</v>
      </c>
      <c r="T1015" s="242"/>
      <c r="U1015" s="15" t="s">
        <v>10</v>
      </c>
      <c r="V1015" s="67"/>
      <c r="W1015" s="118"/>
    </row>
    <row r="1016" spans="1:23" ht="18" customHeight="1">
      <c r="A1016" s="47"/>
      <c r="B1016" s="15"/>
      <c r="C1016" s="15"/>
      <c r="D1016" s="15"/>
      <c r="E1016" s="15"/>
      <c r="F1016" s="15"/>
      <c r="G1016" s="242" t="s">
        <v>742</v>
      </c>
      <c r="H1016" s="242" t="s">
        <v>743</v>
      </c>
      <c r="I1016" s="15"/>
      <c r="J1016" s="242"/>
      <c r="K1016" s="242" t="s">
        <v>731</v>
      </c>
      <c r="L1016" s="15" t="s">
        <v>732</v>
      </c>
      <c r="M1016" s="242" t="s">
        <v>731</v>
      </c>
      <c r="N1016" s="242" t="s">
        <v>732</v>
      </c>
      <c r="O1016" s="242" t="s">
        <v>414</v>
      </c>
      <c r="P1016" s="242"/>
      <c r="Q1016" s="15"/>
      <c r="R1016" s="235" t="str">
        <f>R$12</f>
        <v>XFMR</v>
      </c>
      <c r="S1016" s="15" t="str">
        <f>S$12</f>
        <v>DLS</v>
      </c>
      <c r="T1016" s="242"/>
      <c r="U1016" s="15"/>
      <c r="V1016" s="67"/>
      <c r="W1016" s="118"/>
    </row>
    <row r="1017" spans="1:23" ht="18" customHeight="1" thickBot="1">
      <c r="A1017" s="47"/>
      <c r="B1017" s="16"/>
      <c r="C1017" s="16"/>
      <c r="D1017" s="16"/>
      <c r="E1017" s="16"/>
      <c r="F1017" s="16" t="s">
        <v>13</v>
      </c>
      <c r="G1017" s="16" t="s">
        <v>14</v>
      </c>
      <c r="H1017" s="16" t="s">
        <v>15</v>
      </c>
      <c r="I1017" s="16"/>
      <c r="J1017" s="243" t="str">
        <f t="shared" si="338" ref="J1017:Q1017">J$13</f>
        <v>(d)</v>
      </c>
      <c r="K1017" s="243" t="str">
        <f t="shared" si="338"/>
        <v>(e)</v>
      </c>
      <c r="L1017" s="16" t="str">
        <f t="shared" si="338"/>
        <v>(f)</v>
      </c>
      <c r="M1017" s="243" t="str">
        <f t="shared" si="338"/>
        <v>(g)</v>
      </c>
      <c r="N1017" s="243" t="str">
        <f t="shared" si="338"/>
        <v>(h)</v>
      </c>
      <c r="O1017" s="243" t="str">
        <f>O$13</f>
        <v>(i)</v>
      </c>
      <c r="P1017" s="243" t="str">
        <f t="shared" si="338"/>
        <v>(j)</v>
      </c>
      <c r="Q1017" s="243" t="str">
        <f t="shared" si="338"/>
        <v>(k)</v>
      </c>
      <c r="R1017" s="243" t="str">
        <f>R$13</f>
        <v>(l)</v>
      </c>
      <c r="S1017" s="16" t="str">
        <f>S$13</f>
        <v>(m)</v>
      </c>
      <c r="T1017" s="16"/>
      <c r="U1017" s="16" t="s">
        <v>734</v>
      </c>
      <c r="V1017" s="67"/>
      <c r="W1017" s="118"/>
    </row>
    <row r="1018" spans="1:23" ht="18" customHeight="1">
      <c r="A1018" s="47"/>
      <c r="B1018" s="67"/>
      <c r="C1018" s="333"/>
      <c r="D1018" s="333"/>
      <c r="E1018" s="333"/>
      <c r="F1018" s="333"/>
      <c r="G1018" s="333"/>
      <c r="H1018" s="333"/>
      <c r="I1018" s="333"/>
      <c r="J1018" s="333"/>
      <c r="K1018" s="333"/>
      <c r="L1018" s="333"/>
      <c r="M1018" s="333"/>
      <c r="N1018" s="333"/>
      <c r="O1018" s="333"/>
      <c r="P1018" s="333"/>
      <c r="Q1018" s="333"/>
      <c r="R1018" s="333"/>
      <c r="S1018" s="333"/>
      <c r="T1018" s="333"/>
      <c r="U1018" s="43"/>
      <c r="V1018" s="67"/>
      <c r="W1018" s="118">
        <f t="shared" si="336"/>
        <v>0</v>
      </c>
    </row>
    <row r="1019" spans="1:23" ht="18" customHeight="1">
      <c r="A1019" s="47"/>
      <c r="B1019" s="17">
        <f>B1005+1</f>
        <v>1</v>
      </c>
      <c r="C1019" s="34" t="s">
        <v>702</v>
      </c>
      <c r="D1019" s="8"/>
      <c r="E1019" s="20" t="s">
        <v>297</v>
      </c>
      <c r="F1019" s="22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8"/>
      <c r="V1019" s="67"/>
      <c r="W1019" s="118">
        <f t="shared" si="336"/>
        <v>0</v>
      </c>
    </row>
    <row r="1020" spans="1:23" ht="18" customHeight="1">
      <c r="A1020" s="47"/>
      <c r="B1020" s="17">
        <f t="shared" si="339" ref="B1020:B1040">B1019+1</f>
        <v>2</v>
      </c>
      <c r="C1020" s="1"/>
      <c r="D1020" s="1"/>
      <c r="E1020" s="17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"/>
      <c r="V1020" s="67"/>
      <c r="W1020" s="118">
        <f t="shared" si="336"/>
        <v>0</v>
      </c>
    </row>
    <row r="1021" spans="1:23" ht="18" customHeight="1">
      <c r="A1021" s="47"/>
      <c r="B1021" s="17">
        <f t="shared" si="339"/>
        <v>3</v>
      </c>
      <c r="C1021" s="1" t="s">
        <v>703</v>
      </c>
      <c r="D1021" s="1" t="s">
        <v>42</v>
      </c>
      <c r="E1021" s="17"/>
      <c r="F1021" s="118">
        <f>' WP II-I-1.4'!H1021</f>
        <v>68.370000000000005</v>
      </c>
      <c r="G1021" s="17">
        <v>63</v>
      </c>
      <c r="H1021" s="47" t="str">
        <f t="shared" si="340" ref="H1021:H1032">VLOOKUP(G1021,FactorTable,2)</f>
        <v>PLTGEN_N</v>
      </c>
      <c r="I1021" s="17"/>
      <c r="J1021" s="434">
        <f t="shared" si="341" ref="J1021:S1032">$F1021*HLOOKUP(J$1318,FactorTable,$G1021+1)</f>
        <v>38.11660418340761</v>
      </c>
      <c r="K1021" s="434">
        <f t="shared" si="341"/>
        <v>5.8765987550555225</v>
      </c>
      <c r="L1021" s="434">
        <f t="shared" si="341"/>
        <v>18.126572150616585</v>
      </c>
      <c r="M1021" s="434">
        <f t="shared" si="341"/>
        <v>0.25452459546211831</v>
      </c>
      <c r="N1021" s="434">
        <f t="shared" si="341"/>
        <v>5.3112426693622483</v>
      </c>
      <c r="O1021" s="434">
        <f t="shared" si="341"/>
        <v>0.18150112728286089</v>
      </c>
      <c r="P1021" s="434">
        <f t="shared" si="341"/>
        <v>0.39511399246961248</v>
      </c>
      <c r="Q1021" s="434">
        <f t="shared" si="341"/>
        <v>0.037995473260811152</v>
      </c>
      <c r="R1021" s="434">
        <f t="shared" si="341"/>
        <v>0.020942437763407033</v>
      </c>
      <c r="S1021" s="434">
        <f t="shared" si="341"/>
        <v>0.048904615319231237</v>
      </c>
      <c r="T1021" s="17"/>
      <c r="U1021" s="118">
        <f t="shared" si="342" ref="U1021:U1033">SUM(I1021:T1021)</f>
        <v>68.370000000000005</v>
      </c>
      <c r="V1021" s="67"/>
      <c r="W1021" s="118">
        <f t="shared" si="336"/>
        <v>0</v>
      </c>
    </row>
    <row r="1022" spans="1:23" ht="18" customHeight="1">
      <c r="A1022" s="47"/>
      <c r="B1022" s="17">
        <f t="shared" si="339"/>
        <v>4</v>
      </c>
      <c r="C1022" s="1" t="s">
        <v>93</v>
      </c>
      <c r="D1022" s="1" t="s">
        <v>44</v>
      </c>
      <c r="E1022" s="17"/>
      <c r="F1022" s="118">
        <f>' WP II-I-1.4'!H1022</f>
        <v>489731.73999999999</v>
      </c>
      <c r="G1022" s="17">
        <v>63</v>
      </c>
      <c r="H1022" s="47" t="str">
        <f t="shared" si="340"/>
        <v>PLTGEN_N</v>
      </c>
      <c r="I1022" s="17"/>
      <c r="J1022" s="434">
        <f t="shared" si="341"/>
        <v>273027.80297837482</v>
      </c>
      <c r="K1022" s="434">
        <f t="shared" si="341"/>
        <v>42093.855983547968</v>
      </c>
      <c r="L1022" s="434">
        <f t="shared" si="341"/>
        <v>129839.95494452247</v>
      </c>
      <c r="M1022" s="434">
        <f t="shared" si="341"/>
        <v>1823.1501098209637</v>
      </c>
      <c r="N1022" s="434">
        <f t="shared" si="341"/>
        <v>38044.231593228287</v>
      </c>
      <c r="O1022" s="434">
        <f t="shared" si="341"/>
        <v>1300.0857521748856</v>
      </c>
      <c r="P1022" s="434">
        <f t="shared" si="341"/>
        <v>2830.1866758884044</v>
      </c>
      <c r="Q1022" s="434">
        <f t="shared" si="341"/>
        <v>272.16014673307762</v>
      </c>
      <c r="R1022" s="434">
        <f t="shared" si="341"/>
        <v>150.00989448171762</v>
      </c>
      <c r="S1022" s="434">
        <f t="shared" si="341"/>
        <v>350.30192122740624</v>
      </c>
      <c r="T1022" s="17"/>
      <c r="U1022" s="118">
        <f t="shared" si="342"/>
        <v>489731.74000000011</v>
      </c>
      <c r="V1022" s="67"/>
      <c r="W1022" s="118">
        <f t="shared" si="336"/>
        <v>0</v>
      </c>
    </row>
    <row r="1023" spans="1:23" ht="18" customHeight="1">
      <c r="A1023" s="47"/>
      <c r="B1023" s="17">
        <f t="shared" si="339"/>
        <v>5</v>
      </c>
      <c r="C1023" s="1" t="s">
        <v>94</v>
      </c>
      <c r="D1023" s="1" t="s">
        <v>95</v>
      </c>
      <c r="E1023" s="17"/>
      <c r="F1023" s="118">
        <f>' WP II-I-1.4'!H1023</f>
        <v>8476613.7300000004</v>
      </c>
      <c r="G1023" s="17">
        <v>63</v>
      </c>
      <c r="H1023" s="47" t="str">
        <f t="shared" si="340"/>
        <v>PLTGEN_N</v>
      </c>
      <c r="I1023" s="17"/>
      <c r="J1023" s="434">
        <f t="shared" si="341"/>
        <v>4725752.9671207899</v>
      </c>
      <c r="K1023" s="434">
        <f t="shared" si="341"/>
        <v>728589.40606705495</v>
      </c>
      <c r="L1023" s="434">
        <f t="shared" si="341"/>
        <v>2247359.2272890476</v>
      </c>
      <c r="M1023" s="434">
        <f t="shared" si="341"/>
        <v>31556.335827364161</v>
      </c>
      <c r="N1023" s="434">
        <f t="shared" si="341"/>
        <v>658495.72231209418</v>
      </c>
      <c r="O1023" s="434">
        <f t="shared" si="341"/>
        <v>22502.778229287353</v>
      </c>
      <c r="P1023" s="434">
        <f t="shared" si="341"/>
        <v>48986.81722221784</v>
      </c>
      <c r="Q1023" s="434">
        <f t="shared" si="341"/>
        <v>4710.7349761655651</v>
      </c>
      <c r="R1023" s="434">
        <f t="shared" si="341"/>
        <v>2596.4744110716183</v>
      </c>
      <c r="S1023" s="434">
        <f t="shared" si="341"/>
        <v>6063.2665449080559</v>
      </c>
      <c r="T1023" s="17"/>
      <c r="U1023" s="118">
        <f t="shared" si="342"/>
        <v>8476613.7300000004</v>
      </c>
      <c r="V1023" s="67"/>
      <c r="W1023" s="118">
        <f t="shared" si="336"/>
        <v>0</v>
      </c>
    </row>
    <row r="1024" spans="1:23" ht="18" customHeight="1">
      <c r="A1024" s="47"/>
      <c r="B1024" s="17">
        <f t="shared" si="339"/>
        <v>6</v>
      </c>
      <c r="C1024" s="1" t="s">
        <v>96</v>
      </c>
      <c r="D1024" s="1" t="s">
        <v>704</v>
      </c>
      <c r="E1024" s="17"/>
      <c r="F1024" s="118">
        <f>' WP II-I-1.4'!H1024</f>
        <v>0</v>
      </c>
      <c r="G1024" s="17">
        <v>63</v>
      </c>
      <c r="H1024" s="47" t="str">
        <f t="shared" si="340"/>
        <v>PLTGEN_N</v>
      </c>
      <c r="I1024" s="17"/>
      <c r="J1024" s="434">
        <f t="shared" si="341"/>
        <v>0</v>
      </c>
      <c r="K1024" s="434">
        <f t="shared" si="341"/>
        <v>0</v>
      </c>
      <c r="L1024" s="434">
        <f t="shared" si="341"/>
        <v>0</v>
      </c>
      <c r="M1024" s="434">
        <f t="shared" si="341"/>
        <v>0</v>
      </c>
      <c r="N1024" s="434">
        <f t="shared" si="341"/>
        <v>0</v>
      </c>
      <c r="O1024" s="434">
        <f t="shared" si="341"/>
        <v>0</v>
      </c>
      <c r="P1024" s="434">
        <f t="shared" si="341"/>
        <v>0</v>
      </c>
      <c r="Q1024" s="434">
        <f t="shared" si="341"/>
        <v>0</v>
      </c>
      <c r="R1024" s="434">
        <f t="shared" si="341"/>
        <v>0</v>
      </c>
      <c r="S1024" s="434">
        <f t="shared" si="341"/>
        <v>0</v>
      </c>
      <c r="T1024" s="17"/>
      <c r="U1024" s="118">
        <f t="shared" si="342"/>
        <v>0</v>
      </c>
      <c r="V1024" s="67"/>
      <c r="W1024" s="118">
        <f t="shared" si="336"/>
        <v>0</v>
      </c>
    </row>
    <row r="1025" spans="1:23" ht="18" customHeight="1">
      <c r="A1025" s="47"/>
      <c r="B1025" s="17">
        <f t="shared" si="339"/>
        <v>7</v>
      </c>
      <c r="C1025" s="1" t="s">
        <v>99</v>
      </c>
      <c r="D1025" s="1" t="s">
        <v>705</v>
      </c>
      <c r="E1025" s="17"/>
      <c r="F1025" s="118">
        <f>' WP II-I-1.4'!H1025</f>
        <v>32050.389999999999</v>
      </c>
      <c r="G1025" s="17">
        <v>63</v>
      </c>
      <c r="H1025" s="47" t="str">
        <f t="shared" si="340"/>
        <v>PLTGEN_N</v>
      </c>
      <c r="I1025" s="17"/>
      <c r="J1025" s="434">
        <f t="shared" si="341"/>
        <v>17868.246739123086</v>
      </c>
      <c r="K1025" s="434">
        <f t="shared" si="341"/>
        <v>2754.8234894404559</v>
      </c>
      <c r="L1025" s="434">
        <f t="shared" si="341"/>
        <v>8497.3483514757972</v>
      </c>
      <c r="M1025" s="434">
        <f t="shared" si="341"/>
        <v>119.31567279732516</v>
      </c>
      <c r="N1025" s="434">
        <f t="shared" si="341"/>
        <v>2489.7966789191323</v>
      </c>
      <c r="O1025" s="434">
        <f t="shared" si="341"/>
        <v>85.08383669526593</v>
      </c>
      <c r="P1025" s="434">
        <f t="shared" si="341"/>
        <v>185.22096757507887</v>
      </c>
      <c r="Q1025" s="434">
        <f t="shared" si="341"/>
        <v>17.81146315991764</v>
      </c>
      <c r="R1025" s="434">
        <f t="shared" si="341"/>
        <v>9.8173657725306871</v>
      </c>
      <c r="S1025" s="434">
        <f t="shared" si="341"/>
        <v>22.925435041411955</v>
      </c>
      <c r="T1025" s="17"/>
      <c r="U1025" s="118">
        <f t="shared" si="342"/>
        <v>32050.390000000003</v>
      </c>
      <c r="V1025" s="67"/>
      <c r="W1025" s="118">
        <f t="shared" si="336"/>
        <v>0</v>
      </c>
    </row>
    <row r="1026" spans="1:23" ht="18" customHeight="1">
      <c r="A1026" s="47"/>
      <c r="B1026" s="17">
        <f t="shared" si="339"/>
        <v>8</v>
      </c>
      <c r="C1026" s="1" t="s">
        <v>101</v>
      </c>
      <c r="D1026" s="1" t="s">
        <v>706</v>
      </c>
      <c r="E1026" s="17"/>
      <c r="F1026" s="118">
        <f>' WP II-I-1.4'!H1026</f>
        <v>160870.84</v>
      </c>
      <c r="G1026" s="17">
        <v>63</v>
      </c>
      <c r="H1026" s="47" t="str">
        <f t="shared" si="340"/>
        <v>PLTGEN_N</v>
      </c>
      <c r="I1026" s="17"/>
      <c r="J1026" s="434">
        <f t="shared" si="341"/>
        <v>89686.267850406555</v>
      </c>
      <c r="K1026" s="434">
        <f t="shared" si="341"/>
        <v>13827.312828268774</v>
      </c>
      <c r="L1026" s="434">
        <f t="shared" si="341"/>
        <v>42650.824750479689</v>
      </c>
      <c r="M1026" s="434">
        <f t="shared" si="341"/>
        <v>598.88233834505127</v>
      </c>
      <c r="N1026" s="434">
        <f t="shared" si="341"/>
        <v>12497.061133013705</v>
      </c>
      <c r="O1026" s="434">
        <f t="shared" si="341"/>
        <v>427.06214431681656</v>
      </c>
      <c r="P1026" s="434">
        <f t="shared" si="341"/>
        <v>929.68143724353126</v>
      </c>
      <c r="Q1026" s="434">
        <f t="shared" si="341"/>
        <v>89.40125346883471</v>
      </c>
      <c r="R1026" s="434">
        <f t="shared" si="341"/>
        <v>49.276401267324999</v>
      </c>
      <c r="S1026" s="434">
        <f t="shared" si="341"/>
        <v>115.06986318972643</v>
      </c>
      <c r="T1026" s="17"/>
      <c r="U1026" s="118">
        <f t="shared" si="342"/>
        <v>160870.84000000003</v>
      </c>
      <c r="V1026" s="67"/>
      <c r="W1026" s="118">
        <f t="shared" si="336"/>
        <v>0</v>
      </c>
    </row>
    <row r="1027" spans="1:23" ht="18" customHeight="1">
      <c r="A1027" s="47"/>
      <c r="B1027" s="17">
        <f t="shared" si="339"/>
        <v>9</v>
      </c>
      <c r="C1027" s="1" t="s">
        <v>103</v>
      </c>
      <c r="D1027" s="1" t="s">
        <v>707</v>
      </c>
      <c r="E1027" s="17"/>
      <c r="F1027" s="118">
        <f>' WP II-I-1.4'!H1027</f>
        <v>242609.72</v>
      </c>
      <c r="G1027" s="17">
        <v>63</v>
      </c>
      <c r="H1027" s="47" t="str">
        <f t="shared" si="340"/>
        <v>PLTGEN_N</v>
      </c>
      <c r="I1027" s="17"/>
      <c r="J1027" s="434">
        <f t="shared" si="341"/>
        <v>135256.08700142385</v>
      </c>
      <c r="K1027" s="434">
        <f t="shared" si="341"/>
        <v>20853.005390030259</v>
      </c>
      <c r="L1027" s="434">
        <f t="shared" si="341"/>
        <v>64321.816498769738</v>
      </c>
      <c r="M1027" s="434">
        <f t="shared" si="341"/>
        <v>903.17596662538813</v>
      </c>
      <c r="N1027" s="434">
        <f t="shared" si="341"/>
        <v>18846.849449554298</v>
      </c>
      <c r="O1027" s="434">
        <f t="shared" si="341"/>
        <v>644.05349816848388</v>
      </c>
      <c r="P1027" s="434">
        <f t="shared" si="341"/>
        <v>1402.0549229360067</v>
      </c>
      <c r="Q1027" s="434">
        <f t="shared" si="341"/>
        <v>134.82625609291912</v>
      </c>
      <c r="R1027" s="434">
        <f t="shared" si="341"/>
        <v>74.313865173286615</v>
      </c>
      <c r="S1027" s="434">
        <f t="shared" si="341"/>
        <v>173.53715122577739</v>
      </c>
      <c r="T1027" s="17"/>
      <c r="U1027" s="118">
        <f t="shared" si="342"/>
        <v>242609.72</v>
      </c>
      <c r="V1027" s="67"/>
      <c r="W1027" s="118">
        <f t="shared" si="336"/>
        <v>0</v>
      </c>
    </row>
    <row r="1028" spans="1:23" ht="18" customHeight="1">
      <c r="A1028" s="47"/>
      <c r="B1028" s="17">
        <f t="shared" si="339"/>
        <v>10</v>
      </c>
      <c r="C1028" s="1" t="s">
        <v>105</v>
      </c>
      <c r="D1028" s="1" t="s">
        <v>106</v>
      </c>
      <c r="E1028" s="17"/>
      <c r="F1028" s="118">
        <f>' WP II-I-1.4'!H1028</f>
        <v>61487.510000000002</v>
      </c>
      <c r="G1028" s="17">
        <v>63</v>
      </c>
      <c r="H1028" s="47" t="str">
        <f t="shared" si="340"/>
        <v>PLTGEN_N</v>
      </c>
      <c r="I1028" s="17"/>
      <c r="J1028" s="434">
        <f t="shared" si="341"/>
        <v>34279.582871044571</v>
      </c>
      <c r="K1028" s="434">
        <f t="shared" si="341"/>
        <v>5285.0288828062594</v>
      </c>
      <c r="L1028" s="434">
        <f t="shared" si="341"/>
        <v>16301.854415339458</v>
      </c>
      <c r="M1028" s="434">
        <f t="shared" si="341"/>
        <v>228.90278789999931</v>
      </c>
      <c r="N1028" s="434">
        <f t="shared" si="341"/>
        <v>4776.5845655234443</v>
      </c>
      <c r="O1028" s="434">
        <f t="shared" si="341"/>
        <v>163.230252725116</v>
      </c>
      <c r="P1028" s="434">
        <f t="shared" si="341"/>
        <v>355.33970400929093</v>
      </c>
      <c r="Q1028" s="434">
        <f t="shared" si="341"/>
        <v>34.170645635203428</v>
      </c>
      <c r="R1028" s="434">
        <f t="shared" si="341"/>
        <v>18.834259929821084</v>
      </c>
      <c r="S1028" s="434">
        <f t="shared" si="341"/>
        <v>43.981615086841941</v>
      </c>
      <c r="T1028" s="17"/>
      <c r="U1028" s="118">
        <f t="shared" si="342"/>
        <v>61487.510000000002</v>
      </c>
      <c r="V1028" s="67"/>
      <c r="W1028" s="118">
        <f t="shared" si="336"/>
        <v>0</v>
      </c>
    </row>
    <row r="1029" spans="1:23" ht="18" customHeight="1">
      <c r="A1029" s="47"/>
      <c r="B1029" s="17">
        <f t="shared" si="339"/>
        <v>11</v>
      </c>
      <c r="C1029" s="1" t="s">
        <v>107</v>
      </c>
      <c r="D1029" s="1" t="s">
        <v>108</v>
      </c>
      <c r="E1029" s="17"/>
      <c r="F1029" s="118">
        <f>' WP II-I-1.4'!H1029</f>
        <v>289426.59999999998</v>
      </c>
      <c r="G1029" s="17">
        <v>63</v>
      </c>
      <c r="H1029" s="47" t="str">
        <f t="shared" si="340"/>
        <v>PLTGEN_N</v>
      </c>
      <c r="I1029" s="17"/>
      <c r="J1029" s="434">
        <f t="shared" si="341"/>
        <v>161356.72301227789</v>
      </c>
      <c r="K1029" s="434">
        <f t="shared" si="341"/>
        <v>24877.051297936996</v>
      </c>
      <c r="L1029" s="434">
        <f t="shared" si="341"/>
        <v>76734.125306532762</v>
      </c>
      <c r="M1029" s="434">
        <f t="shared" si="341"/>
        <v>1077.4636285063086</v>
      </c>
      <c r="N1029" s="434">
        <f t="shared" si="341"/>
        <v>22483.763457195251</v>
      </c>
      <c r="O1029" s="434">
        <f t="shared" si="341"/>
        <v>768.33778215073369</v>
      </c>
      <c r="P1029" s="434">
        <f t="shared" si="341"/>
        <v>1672.6122488358276</v>
      </c>
      <c r="Q1029" s="434">
        <f t="shared" si="341"/>
        <v>160.84394677881357</v>
      </c>
      <c r="R1029" s="434">
        <f t="shared" si="341"/>
        <v>88.654359478930829</v>
      </c>
      <c r="S1029" s="434">
        <f t="shared" si="341"/>
        <v>207.02496030646495</v>
      </c>
      <c r="T1029" s="17"/>
      <c r="U1029" s="118">
        <f t="shared" si="342"/>
        <v>289426.59999999992</v>
      </c>
      <c r="V1029" s="67"/>
      <c r="W1029" s="118">
        <f t="shared" si="336"/>
        <v>0</v>
      </c>
    </row>
    <row r="1030" spans="1:23" ht="18" customHeight="1">
      <c r="A1030" s="47"/>
      <c r="B1030" s="17">
        <f t="shared" si="339"/>
        <v>12</v>
      </c>
      <c r="C1030" s="1" t="s">
        <v>110</v>
      </c>
      <c r="D1030" s="1" t="s">
        <v>708</v>
      </c>
      <c r="E1030" s="17"/>
      <c r="F1030" s="118">
        <f>' WP II-I-1.4'!H1030</f>
        <v>71826.929999999993</v>
      </c>
      <c r="G1030" s="17">
        <v>63</v>
      </c>
      <c r="H1030" s="47" t="str">
        <f t="shared" si="340"/>
        <v>PLTGEN_N</v>
      </c>
      <c r="I1030" s="17"/>
      <c r="J1030" s="434">
        <f t="shared" si="341"/>
        <v>40043.859302608238</v>
      </c>
      <c r="K1030" s="434">
        <f t="shared" si="341"/>
        <v>6173.7318621831228</v>
      </c>
      <c r="L1030" s="434">
        <f t="shared" si="341"/>
        <v>19043.089498351423</v>
      </c>
      <c r="M1030" s="434">
        <f t="shared" si="341"/>
        <v>267.39389061775466</v>
      </c>
      <c r="N1030" s="434">
        <f t="shared" si="341"/>
        <v>5579.7901919744809</v>
      </c>
      <c r="O1030" s="434">
        <f t="shared" si="341"/>
        <v>190.6782033679558</v>
      </c>
      <c r="P1030" s="434">
        <f t="shared" si="341"/>
        <v>415.09178117793448</v>
      </c>
      <c r="Q1030" s="434">
        <f t="shared" si="341"/>
        <v>39.916603747566974</v>
      </c>
      <c r="R1030" s="434">
        <f t="shared" si="341"/>
        <v>22.001331157841062</v>
      </c>
      <c r="S1030" s="434">
        <f t="shared" si="341"/>
        <v>51.37733481368069</v>
      </c>
      <c r="T1030" s="17"/>
      <c r="U1030" s="118">
        <f t="shared" si="342"/>
        <v>71826.929999999993</v>
      </c>
      <c r="V1030" s="67"/>
      <c r="W1030" s="118">
        <f t="shared" si="336"/>
        <v>0</v>
      </c>
    </row>
    <row r="1031" spans="1:23" ht="18" customHeight="1">
      <c r="A1031" s="47"/>
      <c r="B1031" s="17">
        <f t="shared" si="339"/>
        <v>13</v>
      </c>
      <c r="C1031" s="1" t="s">
        <v>112</v>
      </c>
      <c r="D1031" s="1" t="s">
        <v>302</v>
      </c>
      <c r="E1031" s="17"/>
      <c r="F1031" s="118">
        <f>' WP II-I-1.4'!H1031</f>
        <v>0</v>
      </c>
      <c r="G1031" s="17">
        <v>63</v>
      </c>
      <c r="H1031" s="47" t="str">
        <f t="shared" si="340"/>
        <v>PLTGEN_N</v>
      </c>
      <c r="I1031" s="17"/>
      <c r="J1031" s="434">
        <f t="shared" si="341"/>
        <v>0</v>
      </c>
      <c r="K1031" s="434">
        <f t="shared" si="341"/>
        <v>0</v>
      </c>
      <c r="L1031" s="434">
        <f t="shared" si="341"/>
        <v>0</v>
      </c>
      <c r="M1031" s="434">
        <f t="shared" si="341"/>
        <v>0</v>
      </c>
      <c r="N1031" s="434">
        <f t="shared" si="341"/>
        <v>0</v>
      </c>
      <c r="O1031" s="434">
        <f t="shared" si="341"/>
        <v>0</v>
      </c>
      <c r="P1031" s="434">
        <f t="shared" si="341"/>
        <v>0</v>
      </c>
      <c r="Q1031" s="434">
        <f t="shared" si="341"/>
        <v>0</v>
      </c>
      <c r="R1031" s="434">
        <f t="shared" si="341"/>
        <v>0</v>
      </c>
      <c r="S1031" s="434">
        <f t="shared" si="341"/>
        <v>0</v>
      </c>
      <c r="T1031" s="17"/>
      <c r="U1031" s="118">
        <f t="shared" si="342"/>
        <v>0</v>
      </c>
      <c r="V1031" s="67"/>
      <c r="W1031" s="118">
        <f t="shared" si="336"/>
        <v>0</v>
      </c>
    </row>
    <row r="1032" spans="1:23" ht="18" customHeight="1">
      <c r="A1032" s="47"/>
      <c r="B1032" s="17">
        <f t="shared" si="339"/>
        <v>14</v>
      </c>
      <c r="C1032" s="1" t="s">
        <v>112</v>
      </c>
      <c r="D1032" s="1" t="s">
        <v>303</v>
      </c>
      <c r="E1032" s="17"/>
      <c r="F1032" s="118">
        <f>' WP II-I-1.4'!H1032</f>
        <v>0</v>
      </c>
      <c r="G1032" s="17">
        <v>63</v>
      </c>
      <c r="H1032" s="47" t="str">
        <f t="shared" si="340"/>
        <v>PLTGEN_N</v>
      </c>
      <c r="I1032" s="17"/>
      <c r="J1032" s="435">
        <f t="shared" si="341"/>
        <v>0</v>
      </c>
      <c r="K1032" s="435">
        <f t="shared" si="341"/>
        <v>0</v>
      </c>
      <c r="L1032" s="435">
        <f t="shared" si="341"/>
        <v>0</v>
      </c>
      <c r="M1032" s="435">
        <f t="shared" si="341"/>
        <v>0</v>
      </c>
      <c r="N1032" s="435">
        <f t="shared" si="341"/>
        <v>0</v>
      </c>
      <c r="O1032" s="435">
        <f t="shared" si="341"/>
        <v>0</v>
      </c>
      <c r="P1032" s="435">
        <f t="shared" si="341"/>
        <v>0</v>
      </c>
      <c r="Q1032" s="435">
        <f t="shared" si="341"/>
        <v>0</v>
      </c>
      <c r="R1032" s="435">
        <f t="shared" si="341"/>
        <v>0</v>
      </c>
      <c r="S1032" s="435">
        <f t="shared" si="341"/>
        <v>0</v>
      </c>
      <c r="T1032" s="17"/>
      <c r="U1032" s="118">
        <f t="shared" si="342"/>
        <v>0</v>
      </c>
      <c r="V1032" s="67"/>
      <c r="W1032" s="118">
        <f t="shared" si="336"/>
        <v>0</v>
      </c>
    </row>
    <row r="1033" spans="1:23" ht="18" customHeight="1">
      <c r="A1033" s="47"/>
      <c r="B1033" s="17">
        <f t="shared" si="339"/>
        <v>15</v>
      </c>
      <c r="C1033" s="8"/>
      <c r="D1033" s="297" t="s">
        <v>491</v>
      </c>
      <c r="E1033" s="20"/>
      <c r="F1033" s="22">
        <f>SUM(F1021:F1032)</f>
        <v>9824685.8300000001</v>
      </c>
      <c r="G1033" s="20"/>
      <c r="H1033" s="20"/>
      <c r="I1033" s="1010"/>
      <c r="J1033" s="22">
        <f t="shared" si="343" ref="J1033:Q1033">SUM(J1021:J1032)</f>
        <v>5477309.6534802327</v>
      </c>
      <c r="K1033" s="22">
        <f t="shared" si="343"/>
        <v>844460.09240002383</v>
      </c>
      <c r="L1033" s="22">
        <f t="shared" si="343"/>
        <v>2604766.3676266698</v>
      </c>
      <c r="M1033" s="22">
        <f t="shared" si="343"/>
        <v>36574.874746572415</v>
      </c>
      <c r="N1033" s="22">
        <f t="shared" si="343"/>
        <v>763219.11062417214</v>
      </c>
      <c r="O1033" s="22">
        <f>SUM(O1021:O1032)</f>
        <v>26081.491200013894</v>
      </c>
      <c r="P1033" s="22">
        <f t="shared" si="343"/>
        <v>56777.400073876386</v>
      </c>
      <c r="Q1033" s="22">
        <f t="shared" si="343"/>
        <v>5459.9032872551579</v>
      </c>
      <c r="R1033" s="22">
        <f>SUM(R1021:R1032)</f>
        <v>3009.4028307708345</v>
      </c>
      <c r="S1033" s="22">
        <f>SUM(S1021:S1032)</f>
        <v>7027.5337304146851</v>
      </c>
      <c r="T1033" s="20"/>
      <c r="U1033" s="299">
        <f t="shared" si="342"/>
        <v>9824685.8299999982</v>
      </c>
      <c r="V1033" s="67"/>
      <c r="W1033" s="118">
        <f t="shared" si="336"/>
        <v>0</v>
      </c>
    </row>
    <row r="1034" spans="1:23" ht="18" customHeight="1" thickBot="1">
      <c r="A1034" s="47"/>
      <c r="B1034" s="17">
        <f t="shared" si="339"/>
        <v>16</v>
      </c>
      <c r="C1034" s="8"/>
      <c r="D1034" s="297"/>
      <c r="E1034" s="20"/>
      <c r="F1034" s="22"/>
      <c r="G1034" s="20"/>
      <c r="H1034" s="20"/>
      <c r="I1034" s="20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0"/>
      <c r="U1034" s="299"/>
      <c r="V1034" s="67"/>
      <c r="W1034" s="118">
        <f t="shared" si="336"/>
        <v>0</v>
      </c>
    </row>
    <row r="1035" spans="1:23" ht="18" customHeight="1" thickBot="1">
      <c r="A1035" s="47"/>
      <c r="B1035" s="17">
        <f t="shared" si="339"/>
        <v>17</v>
      </c>
      <c r="C1035" s="284" t="s">
        <v>709</v>
      </c>
      <c r="D1035" s="285"/>
      <c r="E1035" s="374" t="s">
        <v>297</v>
      </c>
      <c r="F1035" s="255">
        <f>F975+F987+F1004+F1033</f>
        <v>30914363.670000002</v>
      </c>
      <c r="G1035" s="374"/>
      <c r="H1035" s="467"/>
      <c r="I1035" s="468"/>
      <c r="J1035" s="446">
        <f t="shared" si="344" ref="J1035:Q1035">J975+J987+J1004+J1033</f>
        <v>17234906.590482756</v>
      </c>
      <c r="K1035" s="903">
        <f t="shared" si="344"/>
        <v>2657178.748814621</v>
      </c>
      <c r="L1035" s="903">
        <f t="shared" si="344"/>
        <v>8196159.771166523</v>
      </c>
      <c r="M1035" s="903">
        <f t="shared" si="344"/>
        <v>115086.52782032405</v>
      </c>
      <c r="N1035" s="903">
        <f t="shared" si="344"/>
        <v>2401545.8157128291</v>
      </c>
      <c r="O1035" s="903">
        <f>O975+O987+O1004+O1033</f>
        <v>82068.039422807109</v>
      </c>
      <c r="P1035" s="903">
        <f t="shared" si="344"/>
        <v>178655.8088973416</v>
      </c>
      <c r="Q1035" s="903">
        <f t="shared" si="344"/>
        <v>17180.135705696608</v>
      </c>
      <c r="R1035" s="903">
        <f>R975+R987+R1004+R1033</f>
        <v>9469.389164170052</v>
      </c>
      <c r="S1035" s="380">
        <f>S975+S987+S1004+S1033</f>
        <v>22112.842812932093</v>
      </c>
      <c r="T1035" s="468"/>
      <c r="U1035" s="380">
        <f>SUM(I1035:T1035)</f>
        <v>30914363.669999998</v>
      </c>
      <c r="V1035" s="67"/>
      <c r="W1035" s="118">
        <f t="shared" si="336"/>
        <v>0</v>
      </c>
    </row>
    <row r="1036" spans="1:23" ht="18" customHeight="1">
      <c r="A1036" s="47"/>
      <c r="B1036" s="17">
        <f t="shared" si="339"/>
        <v>18</v>
      </c>
      <c r="C1036" s="8"/>
      <c r="D1036" s="297"/>
      <c r="E1036" s="20"/>
      <c r="F1036" s="22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99"/>
      <c r="V1036" s="67"/>
      <c r="W1036" s="118">
        <f t="shared" si="336"/>
        <v>0</v>
      </c>
    </row>
    <row r="1037" spans="1:23" ht="18" customHeight="1">
      <c r="A1037" s="47"/>
      <c r="B1037" s="17">
        <f t="shared" si="339"/>
        <v>19</v>
      </c>
      <c r="C1037" s="8" t="s">
        <v>710</v>
      </c>
      <c r="D1037" s="297"/>
      <c r="E1037" s="20" t="s">
        <v>330</v>
      </c>
      <c r="F1037" s="118">
        <f>' WP II-I-1.4'!H1037</f>
        <v>0</v>
      </c>
      <c r="G1037" s="17">
        <v>2</v>
      </c>
      <c r="H1037" s="47" t="str">
        <f>VLOOKUP(G1037,FactorTable,2)</f>
        <v>N / A</v>
      </c>
      <c r="I1037" s="1010"/>
      <c r="J1037" s="434">
        <f t="shared" si="345" ref="J1037:S1038">$F1037*HLOOKUP(J$1318,FactorTable,$G1037+1)</f>
        <v>0</v>
      </c>
      <c r="K1037" s="434">
        <f t="shared" si="345"/>
        <v>0</v>
      </c>
      <c r="L1037" s="434">
        <f t="shared" si="345"/>
        <v>0</v>
      </c>
      <c r="M1037" s="434">
        <f t="shared" si="345"/>
        <v>0</v>
      </c>
      <c r="N1037" s="434">
        <f t="shared" si="345"/>
        <v>0</v>
      </c>
      <c r="O1037" s="434">
        <f t="shared" si="345"/>
        <v>0</v>
      </c>
      <c r="P1037" s="434">
        <f t="shared" si="345"/>
        <v>0</v>
      </c>
      <c r="Q1037" s="434">
        <f t="shared" si="345"/>
        <v>0</v>
      </c>
      <c r="R1037" s="434">
        <f t="shared" si="345"/>
        <v>0</v>
      </c>
      <c r="S1037" s="434">
        <f t="shared" si="345"/>
        <v>0</v>
      </c>
      <c r="T1037" s="1010"/>
      <c r="U1037" s="118">
        <f>SUM(I1037:T1037)</f>
        <v>0</v>
      </c>
      <c r="V1037" s="67"/>
      <c r="W1037" s="118">
        <f t="shared" si="336"/>
        <v>0</v>
      </c>
    </row>
    <row r="1038" spans="1:23" ht="18" customHeight="1">
      <c r="A1038" s="47"/>
      <c r="B1038" s="17">
        <f t="shared" si="339"/>
        <v>20</v>
      </c>
      <c r="C1038" s="8" t="s">
        <v>711</v>
      </c>
      <c r="D1038" s="297"/>
      <c r="E1038" s="20" t="s">
        <v>333</v>
      </c>
      <c r="F1038" s="118">
        <f>' WP II-I-1.4'!H1038</f>
        <v>25459958.16</v>
      </c>
      <c r="G1038" s="17">
        <v>65</v>
      </c>
      <c r="H1038" s="47" t="str">
        <f>VLOOKUP(G1038,FactorTable,2)</f>
        <v>PLT_N XINT</v>
      </c>
      <c r="I1038" s="1010"/>
      <c r="J1038" s="434">
        <f t="shared" si="345"/>
        <v>14194049.25714259</v>
      </c>
      <c r="K1038" s="434">
        <f t="shared" si="345"/>
        <v>2188356.8586634742</v>
      </c>
      <c r="L1038" s="434">
        <f t="shared" si="345"/>
        <v>6750062.4329226213</v>
      </c>
      <c r="M1038" s="434">
        <f t="shared" si="345"/>
        <v>94781.125510552272</v>
      </c>
      <c r="N1038" s="434">
        <f t="shared" si="345"/>
        <v>1977826.7681668801</v>
      </c>
      <c r="O1038" s="434">
        <f t="shared" si="345"/>
        <v>67588.285894609857</v>
      </c>
      <c r="P1038" s="434">
        <f t="shared" si="345"/>
        <v>147134.49929365068</v>
      </c>
      <c r="Q1038" s="434">
        <f t="shared" si="345"/>
        <v>14148.941926132096</v>
      </c>
      <c r="R1038" s="434">
        <f t="shared" si="345"/>
        <v>7798.6483724549862</v>
      </c>
      <c r="S1038" s="434">
        <f t="shared" si="345"/>
        <v>18211.342107042892</v>
      </c>
      <c r="T1038" s="1010"/>
      <c r="U1038" s="118">
        <f>SUM(I1038:T1038)</f>
        <v>25459958.160000011</v>
      </c>
      <c r="V1038" s="67"/>
      <c r="W1038" s="118">
        <f t="shared" si="336"/>
        <v>0</v>
      </c>
    </row>
    <row r="1039" spans="1:23" ht="18" customHeight="1" thickBot="1">
      <c r="A1039" s="47"/>
      <c r="B1039" s="17">
        <f t="shared" si="339"/>
        <v>21</v>
      </c>
      <c r="C1039" s="8"/>
      <c r="D1039" s="297"/>
      <c r="E1039" s="20"/>
      <c r="F1039" s="22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99"/>
      <c r="V1039" s="67"/>
      <c r="W1039" s="118">
        <f t="shared" si="336"/>
        <v>0</v>
      </c>
    </row>
    <row r="1040" spans="1:23" ht="18" customHeight="1" thickBot="1">
      <c r="A1040" s="47"/>
      <c r="B1040" s="17">
        <f t="shared" si="339"/>
        <v>22</v>
      </c>
      <c r="C1040" s="284" t="s">
        <v>712</v>
      </c>
      <c r="D1040" s="285"/>
      <c r="E1040" s="374"/>
      <c r="F1040" s="255">
        <f>SUM(F1035:F1038)</f>
        <v>56374321.829999998</v>
      </c>
      <c r="G1040" s="374"/>
      <c r="H1040" s="467"/>
      <c r="I1040" s="468"/>
      <c r="J1040" s="446">
        <f t="shared" si="346" ref="J1040:Q1040">SUM(J1035:J1038)</f>
        <v>31428955.847625345</v>
      </c>
      <c r="K1040" s="903">
        <f t="shared" si="346"/>
        <v>4845535.6074780952</v>
      </c>
      <c r="L1040" s="903">
        <f t="shared" si="346"/>
        <v>14946222.204089144</v>
      </c>
      <c r="M1040" s="903">
        <f t="shared" si="346"/>
        <v>209867.65333087632</v>
      </c>
      <c r="N1040" s="903">
        <f t="shared" si="346"/>
        <v>4379372.5838797092</v>
      </c>
      <c r="O1040" s="903">
        <f>SUM(O1035:O1038)</f>
        <v>149656.32531741698</v>
      </c>
      <c r="P1040" s="903">
        <f t="shared" si="346"/>
        <v>325790.30819099228</v>
      </c>
      <c r="Q1040" s="903">
        <f t="shared" si="346"/>
        <v>31329.077631828703</v>
      </c>
      <c r="R1040" s="903">
        <f>SUM(R1035:R1038)</f>
        <v>17268.037536625037</v>
      </c>
      <c r="S1040" s="380">
        <f>SUM(S1035:S1038)</f>
        <v>40324.184919974985</v>
      </c>
      <c r="T1040" s="468"/>
      <c r="U1040" s="380">
        <f>SUM(I1040:T1040)</f>
        <v>56374321.830000021</v>
      </c>
      <c r="V1040" s="67"/>
      <c r="W1040" s="118">
        <f t="shared" si="336"/>
        <v>0</v>
      </c>
    </row>
    <row r="1041" spans="1:23" ht="18" customHeight="1">
      <c r="A1041" s="4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118">
        <f t="shared" si="336"/>
        <v>0</v>
      </c>
    </row>
    <row r="1042" spans="1:23" ht="18" customHeight="1">
      <c r="A1042" s="47"/>
      <c r="B1042" s="67"/>
      <c r="C1042" s="67"/>
      <c r="D1042" s="67"/>
      <c r="E1042" s="67"/>
      <c r="F1042" s="67"/>
      <c r="G1042" s="67"/>
      <c r="H1042" s="134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134"/>
      <c r="V1042" s="134">
        <f>$H$2</f>
        <v>0</v>
      </c>
      <c r="W1042" s="118"/>
    </row>
    <row r="1043" spans="1:23" ht="18" customHeight="1" thickBot="1">
      <c r="A1043" s="47"/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118"/>
    </row>
    <row r="1044" spans="1:23" ht="18" customHeight="1">
      <c r="A1044" s="47"/>
      <c r="B1044" s="920" t="str">
        <f>+$B$4</f>
        <v>2022 RATE CASE</v>
      </c>
      <c r="C1044" s="935"/>
      <c r="D1044" s="969"/>
      <c r="F1044" s="332"/>
      <c r="U1044" s="134"/>
      <c r="W1044" s="118"/>
    </row>
    <row r="1045" spans="1:23" ht="18" customHeight="1">
      <c r="A1045" s="47"/>
      <c r="B1045" s="917" t="str">
        <f>+$B$5</f>
        <v>ONCOR ELECTRIC DELIVERY COMPANY LLC</v>
      </c>
      <c r="C1045" s="8"/>
      <c r="D1045" s="970"/>
      <c r="F1045" s="332"/>
      <c r="U1045" s="134"/>
      <c r="V1045" s="67"/>
      <c r="W1045" s="118"/>
    </row>
    <row r="1046" spans="1:23" ht="18" customHeight="1">
      <c r="A1046" s="47"/>
      <c r="B1046" s="917" t="str">
        <f>+$B$6</f>
        <v>II-I-1-MET:  CLASS REVENUE REQUIREMENT</v>
      </c>
      <c r="C1046" s="85"/>
      <c r="D1046" s="970"/>
      <c r="F1046" s="332"/>
      <c r="U1046" s="332"/>
      <c r="V1046" s="67"/>
      <c r="W1046" s="118"/>
    </row>
    <row r="1047" spans="1:23" ht="18" customHeight="1">
      <c r="A1047" s="47"/>
      <c r="B1047" s="406" t="str">
        <f>+$B$7</f>
        <v>TEST YEAR ENDING 12/31/2021</v>
      </c>
      <c r="C1047" s="85"/>
      <c r="D1047" s="970"/>
      <c r="F1047" s="332"/>
      <c r="U1047" s="332"/>
      <c r="V1047" s="67"/>
      <c r="W1047" s="118"/>
    </row>
    <row r="1048" spans="1:23" ht="18" customHeight="1">
      <c r="A1048" s="47"/>
      <c r="B1048" s="406" t="str">
        <f>+$B$8</f>
        <v>SPONSOR:  MATTHEW A. TROXLE</v>
      </c>
      <c r="C1048" s="85"/>
      <c r="D1048" s="970"/>
      <c r="F1048" s="332"/>
      <c r="U1048" s="332"/>
      <c r="V1048" s="67"/>
      <c r="W1048" s="118"/>
    </row>
    <row r="1049" spans="1:23" ht="18" customHeight="1" thickBot="1">
      <c r="A1049" s="47"/>
      <c r="B1049" s="410"/>
      <c r="C1049" s="934"/>
      <c r="D1049" s="936"/>
      <c r="F1049" s="332"/>
      <c r="U1049" s="332"/>
      <c r="V1049" s="67"/>
      <c r="W1049" s="118"/>
    </row>
    <row r="1050" spans="1:23" ht="18" customHeight="1" thickBot="1">
      <c r="A1050" s="47"/>
      <c r="B1050" s="13"/>
      <c r="C1050" s="14"/>
      <c r="D1050" s="14"/>
      <c r="E1050" s="14"/>
      <c r="F1050" s="13"/>
      <c r="G1050" s="14"/>
      <c r="H1050" s="14"/>
      <c r="I1050" s="14"/>
      <c r="J1050" s="238"/>
      <c r="K1050" s="238"/>
      <c r="L1050" s="14"/>
      <c r="M1050" s="238"/>
      <c r="N1050" s="238"/>
      <c r="O1050" s="238"/>
      <c r="P1050" s="238"/>
      <c r="Q1050" s="14"/>
      <c r="R1050" s="393" t="str">
        <f>R$10</f>
        <v xml:space="preserve"> </v>
      </c>
      <c r="S1050" s="394"/>
      <c r="T1050" s="238"/>
      <c r="U1050" s="13"/>
      <c r="V1050" s="67"/>
      <c r="W1050" s="118"/>
    </row>
    <row r="1051" spans="1:23" ht="18" customHeight="1">
      <c r="A1051" s="47"/>
      <c r="B1051" s="15" t="s">
        <v>2</v>
      </c>
      <c r="C1051" s="15" t="s">
        <v>370</v>
      </c>
      <c r="D1051" s="287" t="s">
        <v>304</v>
      </c>
      <c r="E1051" s="15" t="s">
        <v>371</v>
      </c>
      <c r="F1051" s="287" t="str">
        <f>F$11</f>
        <v>MET</v>
      </c>
      <c r="G1051" s="242" t="s">
        <v>741</v>
      </c>
      <c r="H1051" s="242" t="s">
        <v>376</v>
      </c>
      <c r="I1051" s="15"/>
      <c r="J1051" s="242" t="s">
        <v>730</v>
      </c>
      <c r="K1051" s="242" t="s">
        <v>409</v>
      </c>
      <c r="L1051" s="15" t="s">
        <v>409</v>
      </c>
      <c r="M1051" s="242" t="s">
        <v>410</v>
      </c>
      <c r="N1051" s="242" t="s">
        <v>410</v>
      </c>
      <c r="O1051" s="242" t="s">
        <v>410</v>
      </c>
      <c r="P1051" s="242" t="s">
        <v>411</v>
      </c>
      <c r="Q1051" s="15" t="s">
        <v>412</v>
      </c>
      <c r="R1051" s="396" t="str">
        <f>R$11</f>
        <v>Wholesale</v>
      </c>
      <c r="S1051" s="13" t="str">
        <f>S$11</f>
        <v>Wholesale</v>
      </c>
      <c r="T1051" s="242"/>
      <c r="U1051" s="15" t="s">
        <v>10</v>
      </c>
      <c r="V1051" s="67"/>
      <c r="W1051" s="118"/>
    </row>
    <row r="1052" spans="1:23" ht="18" customHeight="1">
      <c r="A1052" s="47"/>
      <c r="B1052" s="15"/>
      <c r="C1052" s="15"/>
      <c r="D1052" s="15"/>
      <c r="E1052" s="15"/>
      <c r="F1052" s="15"/>
      <c r="G1052" s="242" t="s">
        <v>742</v>
      </c>
      <c r="H1052" s="242" t="s">
        <v>743</v>
      </c>
      <c r="I1052" s="15"/>
      <c r="J1052" s="242"/>
      <c r="K1052" s="242" t="s">
        <v>731</v>
      </c>
      <c r="L1052" s="15" t="s">
        <v>732</v>
      </c>
      <c r="M1052" s="242" t="s">
        <v>731</v>
      </c>
      <c r="N1052" s="242" t="s">
        <v>732</v>
      </c>
      <c r="O1052" s="242" t="s">
        <v>414</v>
      </c>
      <c r="P1052" s="242"/>
      <c r="Q1052" s="15"/>
      <c r="R1052" s="235" t="str">
        <f>R$12</f>
        <v>XFMR</v>
      </c>
      <c r="S1052" s="15" t="str">
        <f>S$12</f>
        <v>DLS</v>
      </c>
      <c r="T1052" s="242"/>
      <c r="U1052" s="15"/>
      <c r="V1052" s="67"/>
      <c r="W1052" s="118"/>
    </row>
    <row r="1053" spans="1:23" ht="18" customHeight="1" thickBot="1">
      <c r="A1053" s="47"/>
      <c r="B1053" s="16"/>
      <c r="C1053" s="16"/>
      <c r="D1053" s="16"/>
      <c r="E1053" s="16"/>
      <c r="F1053" s="16" t="s">
        <v>13</v>
      </c>
      <c r="G1053" s="16" t="s">
        <v>14</v>
      </c>
      <c r="H1053" s="16" t="s">
        <v>15</v>
      </c>
      <c r="I1053" s="16"/>
      <c r="J1053" s="243" t="str">
        <f t="shared" si="347" ref="J1053:Q1053">J$13</f>
        <v>(d)</v>
      </c>
      <c r="K1053" s="243" t="str">
        <f t="shared" si="347"/>
        <v>(e)</v>
      </c>
      <c r="L1053" s="16" t="str">
        <f t="shared" si="347"/>
        <v>(f)</v>
      </c>
      <c r="M1053" s="243" t="str">
        <f t="shared" si="347"/>
        <v>(g)</v>
      </c>
      <c r="N1053" s="243" t="str">
        <f t="shared" si="347"/>
        <v>(h)</v>
      </c>
      <c r="O1053" s="243" t="str">
        <f>O$13</f>
        <v>(i)</v>
      </c>
      <c r="P1053" s="243" t="str">
        <f t="shared" si="347"/>
        <v>(j)</v>
      </c>
      <c r="Q1053" s="243" t="str">
        <f t="shared" si="347"/>
        <v>(k)</v>
      </c>
      <c r="R1053" s="243" t="str">
        <f>R$13</f>
        <v>(l)</v>
      </c>
      <c r="S1053" s="16" t="str">
        <f>S$13</f>
        <v>(m)</v>
      </c>
      <c r="T1053" s="16"/>
      <c r="U1053" s="16" t="s">
        <v>734</v>
      </c>
      <c r="V1053" s="67"/>
      <c r="W1053" s="118"/>
    </row>
    <row r="1054" spans="1:23" ht="18" customHeight="1">
      <c r="A1054" s="47"/>
      <c r="B1054" s="67"/>
      <c r="C1054" s="333"/>
      <c r="D1054" s="333"/>
      <c r="E1054" s="333"/>
      <c r="F1054" s="333"/>
      <c r="G1054" s="333"/>
      <c r="H1054" s="333"/>
      <c r="I1054" s="333"/>
      <c r="J1054" s="333"/>
      <c r="K1054" s="333"/>
      <c r="L1054" s="333"/>
      <c r="M1054" s="333"/>
      <c r="N1054" s="333"/>
      <c r="O1054" s="333"/>
      <c r="P1054" s="333"/>
      <c r="Q1054" s="333"/>
      <c r="R1054" s="333"/>
      <c r="S1054" s="333"/>
      <c r="T1054" s="333"/>
      <c r="U1054" s="43"/>
      <c r="V1054" s="67"/>
      <c r="W1054" s="118">
        <f t="shared" si="336"/>
        <v>0</v>
      </c>
    </row>
    <row r="1055" spans="1:23" ht="18" customHeight="1">
      <c r="A1055" s="47"/>
      <c r="B1055" s="17">
        <f t="shared" si="348" ref="B1055:B1072">B1054+1</f>
        <v>1</v>
      </c>
      <c r="C1055" s="366" t="s">
        <v>304</v>
      </c>
      <c r="D1055" s="366"/>
      <c r="E1055" s="20"/>
      <c r="F1055" s="22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8"/>
      <c r="V1055" s="67"/>
      <c r="W1055" s="118">
        <f t="shared" si="336"/>
        <v>0</v>
      </c>
    </row>
    <row r="1056" spans="1:23" ht="18" customHeight="1">
      <c r="A1056" s="47"/>
      <c r="B1056" s="17">
        <f t="shared" si="348"/>
        <v>2</v>
      </c>
      <c r="C1056" s="1"/>
      <c r="D1056" s="1"/>
      <c r="E1056" s="17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"/>
      <c r="V1056" s="67"/>
      <c r="W1056" s="118">
        <f t="shared" si="336"/>
        <v>0</v>
      </c>
    </row>
    <row r="1057" spans="1:23" ht="18" customHeight="1">
      <c r="A1057" s="47"/>
      <c r="B1057" s="17">
        <f t="shared" si="348"/>
        <v>3</v>
      </c>
      <c r="C1057" s="8" t="s">
        <v>306</v>
      </c>
      <c r="D1057" s="8"/>
      <c r="E1057" s="20" t="s">
        <v>305</v>
      </c>
      <c r="F1057" s="22"/>
      <c r="G1057" s="20"/>
      <c r="H1057" s="20"/>
      <c r="I1057" s="20"/>
      <c r="J1057" s="1059"/>
      <c r="K1057" s="1059"/>
      <c r="L1057" s="1059"/>
      <c r="M1057" s="1059"/>
      <c r="N1057" s="1059"/>
      <c r="O1057" s="1059"/>
      <c r="P1057" s="1059"/>
      <c r="Q1057" s="1059"/>
      <c r="R1057" s="1059"/>
      <c r="S1057" s="1059"/>
      <c r="T1057" s="20"/>
      <c r="U1057" s="8"/>
      <c r="V1057" s="67"/>
      <c r="W1057" s="118">
        <f t="shared" si="336"/>
        <v>0</v>
      </c>
    </row>
    <row r="1058" spans="1:23" ht="18" customHeight="1">
      <c r="A1058" s="47"/>
      <c r="B1058" s="17">
        <f t="shared" si="348"/>
        <v>4</v>
      </c>
      <c r="C1058" s="1"/>
      <c r="D1058" s="1" t="s">
        <v>307</v>
      </c>
      <c r="E1058" s="17"/>
      <c r="F1058" s="118">
        <f>' WP II-I-1.4'!H1058</f>
        <v>2869720.4100000001</v>
      </c>
      <c r="G1058" s="17">
        <v>88</v>
      </c>
      <c r="H1058" s="47" t="str">
        <f>VLOOKUP(G1058,FactorTable,2)</f>
        <v>PAYROLL</v>
      </c>
      <c r="I1058" s="17"/>
      <c r="J1058" s="434">
        <f t="shared" si="349" ref="J1058:S1060">$F1058*HLOOKUP(J$1318,FactorTable,$G1058+1)</f>
        <v>1600196.7840198951</v>
      </c>
      <c r="K1058" s="434">
        <f t="shared" si="349"/>
        <v>246627.66672781442</v>
      </c>
      <c r="L1058" s="434">
        <f t="shared" si="349"/>
        <v>760446.51077538368</v>
      </c>
      <c r="M1058" s="434">
        <f t="shared" si="349"/>
        <v>10677.774771940449</v>
      </c>
      <c r="N1058" s="434">
        <f t="shared" si="349"/>
        <v>222795.80363727914</v>
      </c>
      <c r="O1058" s="434">
        <f t="shared" si="349"/>
        <v>7614.4049312883008</v>
      </c>
      <c r="P1058" s="434">
        <f t="shared" si="349"/>
        <v>16573.933874345414</v>
      </c>
      <c r="Q1058" s="434">
        <f t="shared" si="349"/>
        <v>1857.4962147155395</v>
      </c>
      <c r="R1058" s="434">
        <f t="shared" si="349"/>
        <v>878.5555300339978</v>
      </c>
      <c r="S1058" s="434">
        <f t="shared" si="349"/>
        <v>2051.4795173041375</v>
      </c>
      <c r="T1058" s="17"/>
      <c r="U1058" s="118">
        <f>SUM(I1058:T1058)</f>
        <v>2869720.4100000006</v>
      </c>
      <c r="V1058" s="67"/>
      <c r="W1058" s="118">
        <f t="shared" si="336"/>
        <v>0</v>
      </c>
    </row>
    <row r="1059" spans="1:23" ht="18" customHeight="1">
      <c r="A1059" s="47"/>
      <c r="B1059" s="17">
        <f t="shared" si="348"/>
        <v>5</v>
      </c>
      <c r="C1059" s="1"/>
      <c r="D1059" s="1" t="s">
        <v>308</v>
      </c>
      <c r="E1059" s="17"/>
      <c r="F1059" s="118">
        <f>' WP II-I-1.4'!H1059</f>
        <v>35921.449999999997</v>
      </c>
      <c r="G1059" s="17">
        <v>88</v>
      </c>
      <c r="H1059" s="47" t="str">
        <f>VLOOKUP(G1059,FactorTable,2)</f>
        <v>PAYROLL</v>
      </c>
      <c r="I1059" s="17"/>
      <c r="J1059" s="434">
        <f t="shared" si="349"/>
        <v>20030.309770606345</v>
      </c>
      <c r="K1059" s="434">
        <f t="shared" si="349"/>
        <v>3087.1381644387607</v>
      </c>
      <c r="L1059" s="434">
        <f t="shared" si="349"/>
        <v>9518.8162649240112</v>
      </c>
      <c r="M1059" s="434">
        <f t="shared" si="349"/>
        <v>133.65802161246788</v>
      </c>
      <c r="N1059" s="434">
        <f t="shared" si="349"/>
        <v>2788.8251038944732</v>
      </c>
      <c r="O1059" s="434">
        <f t="shared" si="349"/>
        <v>95.312583437013672</v>
      </c>
      <c r="P1059" s="434">
        <f t="shared" si="349"/>
        <v>207.46262768176953</v>
      </c>
      <c r="Q1059" s="434">
        <f t="shared" si="349"/>
        <v>23.251030716993615</v>
      </c>
      <c r="R1059" s="434">
        <f t="shared" si="349"/>
        <v>10.997234585769192</v>
      </c>
      <c r="S1059" s="434">
        <f t="shared" si="349"/>
        <v>25.679198102390991</v>
      </c>
      <c r="T1059" s="17"/>
      <c r="U1059" s="118">
        <f>SUM(I1059:T1059)</f>
        <v>35921.450000000004</v>
      </c>
      <c r="V1059" s="67"/>
      <c r="W1059" s="118">
        <f t="shared" si="336"/>
        <v>0</v>
      </c>
    </row>
    <row r="1060" spans="1:23" ht="18" customHeight="1">
      <c r="A1060" s="47"/>
      <c r="B1060" s="17">
        <f t="shared" si="348"/>
        <v>6</v>
      </c>
      <c r="C1060" s="1"/>
      <c r="D1060" s="1" t="s">
        <v>309</v>
      </c>
      <c r="E1060" s="17"/>
      <c r="F1060" s="118">
        <f>' WP II-I-1.4'!H1060</f>
        <v>49372</v>
      </c>
      <c r="G1060" s="17">
        <v>88</v>
      </c>
      <c r="H1060" s="47" t="str">
        <f>VLOOKUP(G1060,FactorTable,2)</f>
        <v>PAYROLL</v>
      </c>
      <c r="I1060" s="17"/>
      <c r="J1060" s="435">
        <f t="shared" si="349"/>
        <v>27530.527136136672</v>
      </c>
      <c r="K1060" s="435">
        <f t="shared" si="349"/>
        <v>4243.0966860934204</v>
      </c>
      <c r="L1060" s="435">
        <f t="shared" si="349"/>
        <v>13083.074225339689</v>
      </c>
      <c r="M1060" s="435">
        <f t="shared" si="349"/>
        <v>183.70538614256287</v>
      </c>
      <c r="N1060" s="435">
        <f t="shared" si="349"/>
        <v>3833.08226782265</v>
      </c>
      <c r="O1060" s="435">
        <f t="shared" si="349"/>
        <v>131.0017515844221</v>
      </c>
      <c r="P1060" s="435">
        <f t="shared" si="349"/>
        <v>285.14564010930309</v>
      </c>
      <c r="Q1060" s="435">
        <f t="shared" si="349"/>
        <v>31.957225795712834</v>
      </c>
      <c r="R1060" s="435">
        <f t="shared" si="349"/>
        <v>15.115076534176559</v>
      </c>
      <c r="S1060" s="435">
        <f t="shared" si="349"/>
        <v>35.29460444139221</v>
      </c>
      <c r="T1060" s="17"/>
      <c r="U1060" s="118">
        <f>SUM(I1060:T1060)</f>
        <v>49371.999999999985</v>
      </c>
      <c r="V1060" s="67"/>
      <c r="W1060" s="118">
        <f t="shared" si="336"/>
        <v>0</v>
      </c>
    </row>
    <row r="1061" spans="1:23" ht="18" customHeight="1">
      <c r="A1061" s="47"/>
      <c r="B1061" s="17">
        <f t="shared" si="348"/>
        <v>7</v>
      </c>
      <c r="C1061" s="8"/>
      <c r="D1061" s="297" t="s">
        <v>713</v>
      </c>
      <c r="E1061" s="20"/>
      <c r="F1061" s="252">
        <f>SUM(F1058:F1060)</f>
        <v>2955013.8600000003</v>
      </c>
      <c r="G1061" s="20"/>
      <c r="H1061" s="20"/>
      <c r="I1061" s="1010"/>
      <c r="J1061" s="252">
        <f t="shared" si="350" ref="J1061:Q1061">SUM(J1058:J1060)</f>
        <v>1647757.6209266384</v>
      </c>
      <c r="K1061" s="252">
        <f t="shared" si="350"/>
        <v>253957.90157834662</v>
      </c>
      <c r="L1061" s="252">
        <f t="shared" si="350"/>
        <v>783048.40126564738</v>
      </c>
      <c r="M1061" s="252">
        <f t="shared" si="350"/>
        <v>10995.138179695479</v>
      </c>
      <c r="N1061" s="252">
        <f t="shared" si="350"/>
        <v>229417.71100899627</v>
      </c>
      <c r="O1061" s="252">
        <f>SUM(O1058:O1060)</f>
        <v>7840.7192663097367</v>
      </c>
      <c r="P1061" s="252">
        <f t="shared" si="350"/>
        <v>17066.542142136484</v>
      </c>
      <c r="Q1061" s="252">
        <f t="shared" si="350"/>
        <v>1912.7044712282461</v>
      </c>
      <c r="R1061" s="252">
        <f>SUM(R1058:R1060)</f>
        <v>904.66784115394353</v>
      </c>
      <c r="S1061" s="252">
        <f>SUM(S1058:S1060)</f>
        <v>2112.4533198479207</v>
      </c>
      <c r="T1061" s="1010"/>
      <c r="U1061" s="299">
        <f>SUM(I1061:T1061)</f>
        <v>2955013.8600000008</v>
      </c>
      <c r="V1061" s="67"/>
      <c r="W1061" s="118">
        <f t="shared" si="336"/>
        <v>0</v>
      </c>
    </row>
    <row r="1062" spans="1:23" ht="18" customHeight="1">
      <c r="A1062" s="47"/>
      <c r="B1062" s="17">
        <f t="shared" si="348"/>
        <v>8</v>
      </c>
      <c r="C1062" s="1"/>
      <c r="D1062" s="1"/>
      <c r="E1062" s="17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"/>
      <c r="V1062" s="67"/>
      <c r="W1062" s="118">
        <f t="shared" si="336"/>
        <v>0</v>
      </c>
    </row>
    <row r="1063" spans="1:23" ht="18" customHeight="1">
      <c r="A1063" s="47"/>
      <c r="B1063" s="17">
        <f t="shared" si="348"/>
        <v>9</v>
      </c>
      <c r="C1063" s="8" t="s">
        <v>310</v>
      </c>
      <c r="D1063" s="8"/>
      <c r="E1063" s="20" t="s">
        <v>305</v>
      </c>
      <c r="F1063" s="22"/>
      <c r="G1063" s="20"/>
      <c r="H1063" s="20"/>
      <c r="I1063" s="1010"/>
      <c r="J1063" s="1059"/>
      <c r="K1063" s="1059"/>
      <c r="L1063" s="1059"/>
      <c r="M1063" s="1059"/>
      <c r="N1063" s="1059"/>
      <c r="O1063" s="1059"/>
      <c r="P1063" s="1059"/>
      <c r="Q1063" s="1059"/>
      <c r="R1063" s="1059"/>
      <c r="S1063" s="1059"/>
      <c r="T1063" s="1010"/>
      <c r="U1063" s="381"/>
      <c r="V1063" s="67"/>
      <c r="W1063" s="118">
        <f t="shared" si="336"/>
        <v>0</v>
      </c>
    </row>
    <row r="1064" spans="1:23" ht="18" customHeight="1">
      <c r="A1064" s="613"/>
      <c r="B1064" s="17">
        <f t="shared" si="348"/>
        <v>10</v>
      </c>
      <c r="C1064" s="383"/>
      <c r="D1064" s="1" t="s">
        <v>311</v>
      </c>
      <c r="E1064" s="19"/>
      <c r="F1064" s="118">
        <f>' WP II-I-1.4'!H1064</f>
        <v>4504909.1100000003</v>
      </c>
      <c r="G1064" s="17">
        <v>64</v>
      </c>
      <c r="H1064" s="47" t="str">
        <f>VLOOKUP(G1064,FactorTable,2)</f>
        <v>PLANT</v>
      </c>
      <c r="I1064" s="19"/>
      <c r="J1064" s="435">
        <f t="shared" si="351" ref="J1064:Q1064">$F1064*HLOOKUP(J$1318,FactorTable,$G1064+1)</f>
        <v>2511508.5187669601</v>
      </c>
      <c r="K1064" s="435">
        <f t="shared" si="351"/>
        <v>387209.93516841129</v>
      </c>
      <c r="L1064" s="435">
        <f t="shared" si="351"/>
        <v>1194362.4398769194</v>
      </c>
      <c r="M1064" s="435">
        <f t="shared" si="351"/>
        <v>16770.662115202009</v>
      </c>
      <c r="N1064" s="435">
        <f t="shared" si="351"/>
        <v>349958.5415625379</v>
      </c>
      <c r="O1064" s="435">
        <f>$F1064*HLOOKUP(O$1318,FactorTable,$G1064+1)</f>
        <v>11959.13531917259</v>
      </c>
      <c r="P1064" s="435">
        <f t="shared" si="351"/>
        <v>26034.117656352635</v>
      </c>
      <c r="Q1064" s="435">
        <f t="shared" si="351"/>
        <v>2503.5271848967341</v>
      </c>
      <c r="R1064" s="435">
        <f>$F1064*HLOOKUP(R$1318,FactorTable,$G1064+1)</f>
        <v>1379.9002291352995</v>
      </c>
      <c r="S1064" s="435">
        <f>$F1064*HLOOKUP(S$1318,FactorTable,$G1064+1)</f>
        <v>3222.332120413198</v>
      </c>
      <c r="T1064" s="19"/>
      <c r="U1064" s="118">
        <f>SUM(I1064:T1064)</f>
        <v>4504909.1100000013</v>
      </c>
      <c r="V1064" s="382"/>
      <c r="W1064" s="118">
        <f t="shared" si="352" ref="W1064:W1130">U1064-F1064</f>
        <v>0</v>
      </c>
    </row>
    <row r="1065" spans="1:23" ht="18" customHeight="1">
      <c r="A1065" s="47"/>
      <c r="B1065" s="17">
        <f t="shared" si="348"/>
        <v>11</v>
      </c>
      <c r="C1065" s="8"/>
      <c r="D1065" s="297" t="s">
        <v>714</v>
      </c>
      <c r="E1065" s="20"/>
      <c r="F1065" s="22">
        <f>+F1064</f>
        <v>4504909.1100000003</v>
      </c>
      <c r="G1065" s="20"/>
      <c r="H1065" s="20"/>
      <c r="I1065" s="1010"/>
      <c r="J1065" s="896">
        <f t="shared" si="353" ref="J1065:Q1065">+J1064</f>
        <v>2511508.5187669601</v>
      </c>
      <c r="K1065" s="896">
        <f t="shared" si="353"/>
        <v>387209.93516841129</v>
      </c>
      <c r="L1065" s="896">
        <f t="shared" si="353"/>
        <v>1194362.4398769194</v>
      </c>
      <c r="M1065" s="896">
        <f t="shared" si="353"/>
        <v>16770.662115202009</v>
      </c>
      <c r="N1065" s="896">
        <f t="shared" si="353"/>
        <v>349958.5415625379</v>
      </c>
      <c r="O1065" s="896">
        <f>+O1064</f>
        <v>11959.13531917259</v>
      </c>
      <c r="P1065" s="896">
        <f t="shared" si="353"/>
        <v>26034.117656352635</v>
      </c>
      <c r="Q1065" s="896">
        <f t="shared" si="353"/>
        <v>2503.5271848967341</v>
      </c>
      <c r="R1065" s="896">
        <f>+R1064</f>
        <v>1379.9002291352995</v>
      </c>
      <c r="S1065" s="896">
        <f>+S1064</f>
        <v>3222.332120413198</v>
      </c>
      <c r="T1065" s="1010"/>
      <c r="U1065" s="299">
        <f>SUM(I1065:T1065)</f>
        <v>4504909.1100000013</v>
      </c>
      <c r="V1065" s="67"/>
      <c r="W1065" s="118">
        <f t="shared" si="352"/>
        <v>0</v>
      </c>
    </row>
    <row r="1066" spans="1:23" ht="18" customHeight="1">
      <c r="A1066" s="47"/>
      <c r="B1066" s="17">
        <f t="shared" si="348"/>
        <v>12</v>
      </c>
      <c r="C1066" s="1"/>
      <c r="D1066" s="1"/>
      <c r="E1066" s="17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"/>
      <c r="V1066" s="67"/>
      <c r="W1066" s="118">
        <f t="shared" si="352"/>
        <v>0</v>
      </c>
    </row>
    <row r="1067" spans="1:23" ht="18" customHeight="1">
      <c r="A1067" s="47"/>
      <c r="B1067" s="17">
        <f t="shared" si="348"/>
        <v>13</v>
      </c>
      <c r="C1067" s="8" t="s">
        <v>312</v>
      </c>
      <c r="D1067" s="8"/>
      <c r="E1067" s="20" t="s">
        <v>305</v>
      </c>
      <c r="F1067" s="22"/>
      <c r="G1067" s="20"/>
      <c r="H1067" s="20"/>
      <c r="I1067" s="1010"/>
      <c r="J1067" s="1059"/>
      <c r="K1067" s="1059"/>
      <c r="L1067" s="1059"/>
      <c r="M1067" s="1059"/>
      <c r="N1067" s="1059"/>
      <c r="O1067" s="1059"/>
      <c r="P1067" s="1059"/>
      <c r="Q1067" s="1059"/>
      <c r="R1067" s="1059"/>
      <c r="S1067" s="1059"/>
      <c r="T1067" s="1010"/>
      <c r="U1067" s="8"/>
      <c r="V1067" s="67"/>
      <c r="W1067" s="118">
        <f t="shared" si="352"/>
        <v>0</v>
      </c>
    </row>
    <row r="1068" spans="1:23" ht="18" customHeight="1">
      <c r="A1068" s="47"/>
      <c r="B1068" s="17">
        <f t="shared" si="348"/>
        <v>14</v>
      </c>
      <c r="C1068" s="1"/>
      <c r="D1068" s="1" t="s">
        <v>313</v>
      </c>
      <c r="E1068" s="17"/>
      <c r="F1068" s="118">
        <f>' WP II-I-1.4'!H1068</f>
        <v>1078537.3899999999</v>
      </c>
      <c r="G1068" s="17">
        <v>91</v>
      </c>
      <c r="H1068" s="47" t="str">
        <f>VLOOKUP(G1068,FactorTable,2)</f>
        <v>TAX INC</v>
      </c>
      <c r="I1068" s="17"/>
      <c r="J1068" s="434">
        <f t="shared" si="354" ref="J1068:S1069">$F1068*HLOOKUP(J$1318,FactorTable,$G1068+1)</f>
        <v>599976.92649607488</v>
      </c>
      <c r="K1068" s="434">
        <f t="shared" si="354"/>
        <v>92166.203249497412</v>
      </c>
      <c r="L1068" s="434">
        <f t="shared" si="354"/>
        <v>287316.44396856334</v>
      </c>
      <c r="M1068" s="434">
        <f t="shared" si="354"/>
        <v>3986.6730135593766</v>
      </c>
      <c r="N1068" s="434">
        <f t="shared" si="354"/>
        <v>83696.293001667218</v>
      </c>
      <c r="O1068" s="434">
        <f t="shared" si="354"/>
        <v>2895.0446012135362</v>
      </c>
      <c r="P1068" s="434">
        <f t="shared" si="354"/>
        <v>6777.2351344116914</v>
      </c>
      <c r="Q1068" s="434">
        <f t="shared" si="354"/>
        <v>626.67044217967259</v>
      </c>
      <c r="R1068" s="434">
        <f t="shared" si="354"/>
        <v>328.66698308130157</v>
      </c>
      <c r="S1068" s="434">
        <f t="shared" si="354"/>
        <v>767.23310975154948</v>
      </c>
      <c r="T1068" s="17"/>
      <c r="U1068" s="118">
        <f>SUM(I1068:T1068)</f>
        <v>1078537.3900000001</v>
      </c>
      <c r="V1068" s="67"/>
      <c r="W1068" s="118">
        <f t="shared" si="352"/>
        <v>0</v>
      </c>
    </row>
    <row r="1069" spans="1:23" ht="18" customHeight="1">
      <c r="A1069" s="47"/>
      <c r="B1069" s="17">
        <f t="shared" si="348"/>
        <v>15</v>
      </c>
      <c r="C1069" s="1"/>
      <c r="D1069" s="1" t="s">
        <v>314</v>
      </c>
      <c r="E1069" s="17"/>
      <c r="F1069" s="118">
        <f>' WP II-I-1.4'!H1069</f>
        <v>0</v>
      </c>
      <c r="G1069" s="17">
        <v>19</v>
      </c>
      <c r="H1069" s="47" t="str">
        <f>VLOOKUP(G1069,FactorTable,2)</f>
        <v>ENERGY ICL</v>
      </c>
      <c r="I1069" s="17"/>
      <c r="J1069" s="435">
        <f t="shared" si="354"/>
        <v>0</v>
      </c>
      <c r="K1069" s="435">
        <f t="shared" si="354"/>
        <v>0</v>
      </c>
      <c r="L1069" s="435">
        <f t="shared" si="354"/>
        <v>0</v>
      </c>
      <c r="M1069" s="435">
        <f t="shared" si="354"/>
        <v>0</v>
      </c>
      <c r="N1069" s="435">
        <f t="shared" si="354"/>
        <v>0</v>
      </c>
      <c r="O1069" s="435">
        <f t="shared" si="354"/>
        <v>0</v>
      </c>
      <c r="P1069" s="435">
        <f t="shared" si="354"/>
        <v>0</v>
      </c>
      <c r="Q1069" s="435">
        <f t="shared" si="354"/>
        <v>0</v>
      </c>
      <c r="R1069" s="435">
        <f t="shared" si="354"/>
        <v>0</v>
      </c>
      <c r="S1069" s="435">
        <f t="shared" si="354"/>
        <v>0</v>
      </c>
      <c r="T1069" s="17"/>
      <c r="U1069" s="118">
        <f>SUM(I1069:T1069)</f>
        <v>0</v>
      </c>
      <c r="V1069" s="67"/>
      <c r="W1069" s="118">
        <f t="shared" si="352"/>
        <v>0</v>
      </c>
    </row>
    <row r="1070" spans="1:23" ht="18" customHeight="1">
      <c r="A1070" s="47"/>
      <c r="B1070" s="17">
        <f t="shared" si="348"/>
        <v>16</v>
      </c>
      <c r="C1070" s="8"/>
      <c r="D1070" s="297" t="s">
        <v>715</v>
      </c>
      <c r="E1070" s="20"/>
      <c r="F1070" s="22">
        <f>SUM(F1068:F1069)</f>
        <v>1078537.3899999999</v>
      </c>
      <c r="G1070" s="20"/>
      <c r="H1070" s="20"/>
      <c r="I1070" s="1010"/>
      <c r="J1070" s="896">
        <f t="shared" si="355" ref="J1070:Q1070">SUM(J1068:J1069)</f>
        <v>599976.92649607488</v>
      </c>
      <c r="K1070" s="896">
        <f t="shared" si="355"/>
        <v>92166.203249497412</v>
      </c>
      <c r="L1070" s="896">
        <f t="shared" si="355"/>
        <v>287316.44396856334</v>
      </c>
      <c r="M1070" s="896">
        <f t="shared" si="355"/>
        <v>3986.6730135593766</v>
      </c>
      <c r="N1070" s="896">
        <f t="shared" si="355"/>
        <v>83696.293001667218</v>
      </c>
      <c r="O1070" s="896">
        <f>SUM(O1068:O1069)</f>
        <v>2895.0446012135362</v>
      </c>
      <c r="P1070" s="896">
        <f t="shared" si="355"/>
        <v>6777.2351344116914</v>
      </c>
      <c r="Q1070" s="896">
        <f t="shared" si="355"/>
        <v>626.67044217967259</v>
      </c>
      <c r="R1070" s="896">
        <f>SUM(R1068:R1069)</f>
        <v>328.66698308130157</v>
      </c>
      <c r="S1070" s="896">
        <f>SUM(S1068:S1069)</f>
        <v>767.23310975154948</v>
      </c>
      <c r="T1070" s="1010"/>
      <c r="U1070" s="299">
        <f>SUM(I1070:T1070)</f>
        <v>1078537.3900000001</v>
      </c>
      <c r="V1070" s="67"/>
      <c r="W1070" s="118">
        <f t="shared" si="352"/>
        <v>0</v>
      </c>
    </row>
    <row r="1071" spans="1:23" ht="18" customHeight="1" thickBot="1">
      <c r="A1071" s="47"/>
      <c r="B1071" s="17">
        <f t="shared" si="348"/>
        <v>17</v>
      </c>
      <c r="C1071" s="1"/>
      <c r="D1071" s="1"/>
      <c r="E1071" s="17"/>
      <c r="F1071" s="385"/>
      <c r="G1071" s="17"/>
      <c r="H1071" s="17"/>
      <c r="I1071" s="17"/>
      <c r="J1071" s="385"/>
      <c r="K1071" s="385"/>
      <c r="L1071" s="385"/>
      <c r="M1071" s="385"/>
      <c r="N1071" s="385"/>
      <c r="O1071" s="385"/>
      <c r="P1071" s="385"/>
      <c r="Q1071" s="385"/>
      <c r="R1071" s="385"/>
      <c r="S1071" s="385"/>
      <c r="T1071" s="17"/>
      <c r="U1071" s="385"/>
      <c r="V1071" s="67"/>
      <c r="W1071" s="118">
        <f t="shared" si="352"/>
        <v>0</v>
      </c>
    </row>
    <row r="1072" spans="1:23" ht="18" customHeight="1" thickBot="1">
      <c r="A1072" s="47"/>
      <c r="B1072" s="17">
        <f t="shared" si="348"/>
        <v>18</v>
      </c>
      <c r="C1072" s="284" t="s">
        <v>716</v>
      </c>
      <c r="D1072" s="285"/>
      <c r="E1072" s="374" t="s">
        <v>305</v>
      </c>
      <c r="F1072" s="255">
        <f>+F1070+F1065+F1061</f>
        <v>8538460.3599999994</v>
      </c>
      <c r="G1072" s="374"/>
      <c r="H1072" s="467"/>
      <c r="I1072" s="1066"/>
      <c r="J1072" s="446">
        <f t="shared" si="356" ref="J1072:Q1072">+J1070+J1065+J1061</f>
        <v>4759243.0661896737</v>
      </c>
      <c r="K1072" s="903">
        <f t="shared" si="356"/>
        <v>733334.03999625531</v>
      </c>
      <c r="L1072" s="903">
        <f t="shared" si="356"/>
        <v>2264727.2851111302</v>
      </c>
      <c r="M1072" s="903">
        <f t="shared" si="356"/>
        <v>31752.473308456865</v>
      </c>
      <c r="N1072" s="903">
        <f t="shared" si="356"/>
        <v>663072.54557320138</v>
      </c>
      <c r="O1072" s="903">
        <f>+O1070+O1065+O1061</f>
        <v>22694.899186695864</v>
      </c>
      <c r="P1072" s="903">
        <f t="shared" si="356"/>
        <v>49877.894932900817</v>
      </c>
      <c r="Q1072" s="903">
        <f t="shared" si="356"/>
        <v>5042.902098304653</v>
      </c>
      <c r="R1072" s="903">
        <f>+R1070+R1065+R1061</f>
        <v>2613.2350533705448</v>
      </c>
      <c r="S1072" s="380">
        <f>+S1070+S1065+S1061</f>
        <v>6102.0185500126681</v>
      </c>
      <c r="T1072" s="467"/>
      <c r="U1072" s="256">
        <f>SUM(I1072:T1072)</f>
        <v>8538460.3600000013</v>
      </c>
      <c r="V1072" s="67"/>
      <c r="W1072" s="118">
        <f t="shared" si="352"/>
        <v>0</v>
      </c>
    </row>
    <row r="1073" spans="1:23" ht="18" customHeight="1" thickBot="1">
      <c r="A1073" s="47"/>
      <c r="B1073" s="67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118">
        <f t="shared" si="352"/>
        <v>0</v>
      </c>
    </row>
    <row r="1074" spans="1:23" ht="18" customHeight="1">
      <c r="A1074" s="47"/>
      <c r="B1074" s="920" t="str">
        <f>+$B$4</f>
        <v>2022 RATE CASE</v>
      </c>
      <c r="C1074" s="935"/>
      <c r="D1074" s="969"/>
      <c r="F1074" s="332"/>
      <c r="H1074" s="134"/>
      <c r="U1074" s="134"/>
      <c r="V1074" s="134">
        <f>$H$2</f>
        <v>0</v>
      </c>
      <c r="W1074" s="118"/>
    </row>
    <row r="1075" spans="1:23" ht="18" customHeight="1">
      <c r="A1075" s="47"/>
      <c r="B1075" s="917" t="str">
        <f>+$B$5</f>
        <v>ONCOR ELECTRIC DELIVERY COMPANY LLC</v>
      </c>
      <c r="C1075" s="8"/>
      <c r="D1075" s="970"/>
      <c r="F1075" s="332"/>
      <c r="U1075" s="134"/>
      <c r="V1075" s="67"/>
      <c r="W1075" s="118"/>
    </row>
    <row r="1076" spans="1:23" ht="18" customHeight="1">
      <c r="A1076" s="47"/>
      <c r="B1076" s="917" t="str">
        <f>+$B$6</f>
        <v>II-I-1-MET:  CLASS REVENUE REQUIREMENT</v>
      </c>
      <c r="C1076" s="85"/>
      <c r="D1076" s="970"/>
      <c r="F1076" s="332"/>
      <c r="U1076" s="332"/>
      <c r="V1076" s="67"/>
      <c r="W1076" s="118"/>
    </row>
    <row r="1077" spans="1:23" ht="18" customHeight="1">
      <c r="A1077" s="47"/>
      <c r="B1077" s="406" t="str">
        <f>+$B$7</f>
        <v>TEST YEAR ENDING 12/31/2021</v>
      </c>
      <c r="C1077" s="85"/>
      <c r="D1077" s="970"/>
      <c r="F1077" s="19"/>
      <c r="U1077" s="332"/>
      <c r="V1077" s="67"/>
      <c r="W1077" s="118"/>
    </row>
    <row r="1078" spans="1:23" ht="18" customHeight="1">
      <c r="A1078" s="47"/>
      <c r="B1078" s="406" t="str">
        <f>+$B$8</f>
        <v>SPONSOR:  MATTHEW A. TROXLE</v>
      </c>
      <c r="C1078" s="85"/>
      <c r="D1078" s="970"/>
      <c r="F1078" s="332"/>
      <c r="U1078" s="332"/>
      <c r="V1078" s="67"/>
      <c r="W1078" s="118"/>
    </row>
    <row r="1079" spans="1:23" ht="18" customHeight="1" thickBot="1">
      <c r="A1079" s="47"/>
      <c r="B1079" s="410"/>
      <c r="C1079" s="934"/>
      <c r="D1079" s="936"/>
      <c r="F1079" s="332"/>
      <c r="U1079" s="332"/>
      <c r="V1079" s="67"/>
      <c r="W1079" s="118"/>
    </row>
    <row r="1080" spans="1:23" ht="18" customHeight="1" thickBot="1">
      <c r="A1080" s="47"/>
      <c r="B1080" s="13"/>
      <c r="C1080" s="14"/>
      <c r="D1080" s="14"/>
      <c r="E1080" s="14"/>
      <c r="F1080" s="13"/>
      <c r="G1080" s="14"/>
      <c r="H1080" s="14"/>
      <c r="I1080" s="14"/>
      <c r="J1080" s="238"/>
      <c r="K1080" s="238"/>
      <c r="L1080" s="14"/>
      <c r="M1080" s="238"/>
      <c r="N1080" s="238"/>
      <c r="O1080" s="238"/>
      <c r="P1080" s="238"/>
      <c r="Q1080" s="14"/>
      <c r="R1080" s="393" t="str">
        <f>R$10</f>
        <v xml:space="preserve"> </v>
      </c>
      <c r="S1080" s="394"/>
      <c r="T1080" s="238"/>
      <c r="U1080" s="13"/>
      <c r="V1080" s="67"/>
      <c r="W1080" s="118"/>
    </row>
    <row r="1081" spans="1:23" ht="18" customHeight="1">
      <c r="A1081" s="47"/>
      <c r="B1081" s="15" t="s">
        <v>2</v>
      </c>
      <c r="C1081" s="15" t="s">
        <v>370</v>
      </c>
      <c r="D1081" s="287" t="s">
        <v>315</v>
      </c>
      <c r="E1081" s="15" t="s">
        <v>371</v>
      </c>
      <c r="F1081" s="287" t="str">
        <f>F$11</f>
        <v>MET</v>
      </c>
      <c r="G1081" s="242" t="s">
        <v>741</v>
      </c>
      <c r="H1081" s="242" t="s">
        <v>376</v>
      </c>
      <c r="I1081" s="15"/>
      <c r="J1081" s="242" t="s">
        <v>730</v>
      </c>
      <c r="K1081" s="242" t="s">
        <v>409</v>
      </c>
      <c r="L1081" s="15" t="s">
        <v>409</v>
      </c>
      <c r="M1081" s="242" t="s">
        <v>410</v>
      </c>
      <c r="N1081" s="242" t="s">
        <v>410</v>
      </c>
      <c r="O1081" s="242" t="s">
        <v>410</v>
      </c>
      <c r="P1081" s="242" t="s">
        <v>411</v>
      </c>
      <c r="Q1081" s="15" t="s">
        <v>412</v>
      </c>
      <c r="R1081" s="396" t="str">
        <f>R$11</f>
        <v>Wholesale</v>
      </c>
      <c r="S1081" s="13" t="str">
        <f>S$11</f>
        <v>Wholesale</v>
      </c>
      <c r="T1081" s="242"/>
      <c r="U1081" s="15" t="s">
        <v>10</v>
      </c>
      <c r="V1081" s="67"/>
      <c r="W1081" s="118"/>
    </row>
    <row r="1082" spans="1:23" ht="18" customHeight="1">
      <c r="A1082" s="47"/>
      <c r="B1082" s="15"/>
      <c r="C1082" s="15"/>
      <c r="D1082" s="15"/>
      <c r="E1082" s="15"/>
      <c r="F1082" s="15"/>
      <c r="G1082" s="242" t="s">
        <v>742</v>
      </c>
      <c r="H1082" s="242" t="s">
        <v>743</v>
      </c>
      <c r="I1082" s="15"/>
      <c r="J1082" s="242"/>
      <c r="K1082" s="242" t="s">
        <v>731</v>
      </c>
      <c r="L1082" s="15" t="s">
        <v>732</v>
      </c>
      <c r="M1082" s="242" t="s">
        <v>731</v>
      </c>
      <c r="N1082" s="242" t="s">
        <v>732</v>
      </c>
      <c r="O1082" s="242" t="s">
        <v>414</v>
      </c>
      <c r="P1082" s="242"/>
      <c r="Q1082" s="15"/>
      <c r="R1082" s="235" t="str">
        <f>R$12</f>
        <v>XFMR</v>
      </c>
      <c r="S1082" s="15" t="str">
        <f>S$12</f>
        <v>DLS</v>
      </c>
      <c r="T1082" s="242"/>
      <c r="U1082" s="15"/>
      <c r="V1082" s="67"/>
      <c r="W1082" s="118"/>
    </row>
    <row r="1083" spans="1:23" ht="18" customHeight="1" thickBot="1">
      <c r="A1083" s="47"/>
      <c r="B1083" s="16"/>
      <c r="C1083" s="16"/>
      <c r="D1083" s="16"/>
      <c r="E1083" s="16"/>
      <c r="F1083" s="16" t="s">
        <v>13</v>
      </c>
      <c r="G1083" s="16" t="s">
        <v>14</v>
      </c>
      <c r="H1083" s="16" t="s">
        <v>15</v>
      </c>
      <c r="I1083" s="16"/>
      <c r="J1083" s="243" t="str">
        <f t="shared" si="357" ref="J1083:Q1083">J$13</f>
        <v>(d)</v>
      </c>
      <c r="K1083" s="243" t="str">
        <f t="shared" si="357"/>
        <v>(e)</v>
      </c>
      <c r="L1083" s="16" t="str">
        <f t="shared" si="357"/>
        <v>(f)</v>
      </c>
      <c r="M1083" s="243" t="str">
        <f t="shared" si="357"/>
        <v>(g)</v>
      </c>
      <c r="N1083" s="243" t="str">
        <f t="shared" si="357"/>
        <v>(h)</v>
      </c>
      <c r="O1083" s="243" t="str">
        <f>O$13</f>
        <v>(i)</v>
      </c>
      <c r="P1083" s="243" t="str">
        <f t="shared" si="357"/>
        <v>(j)</v>
      </c>
      <c r="Q1083" s="243" t="str">
        <f t="shared" si="357"/>
        <v>(k)</v>
      </c>
      <c r="R1083" s="243" t="str">
        <f>R$13</f>
        <v>(l)</v>
      </c>
      <c r="S1083" s="16" t="str">
        <f>S$13</f>
        <v>(m)</v>
      </c>
      <c r="T1083" s="16"/>
      <c r="U1083" s="16" t="s">
        <v>734</v>
      </c>
      <c r="V1083" s="67"/>
      <c r="W1083" s="118"/>
    </row>
    <row r="1084" spans="1:23" ht="18" customHeight="1">
      <c r="A1084" s="47"/>
      <c r="B1084" s="67"/>
      <c r="C1084" s="333"/>
      <c r="D1084" s="333"/>
      <c r="E1084" s="333"/>
      <c r="F1084" s="333"/>
      <c r="G1084" s="333"/>
      <c r="H1084" s="333"/>
      <c r="I1084" s="333"/>
      <c r="J1084" s="333"/>
      <c r="K1084" s="333"/>
      <c r="L1084" s="333"/>
      <c r="M1084" s="333"/>
      <c r="N1084" s="333"/>
      <c r="O1084" s="333"/>
      <c r="P1084" s="333"/>
      <c r="Q1084" s="333"/>
      <c r="R1084" s="333"/>
      <c r="S1084" s="333"/>
      <c r="T1084" s="333"/>
      <c r="U1084" s="43"/>
      <c r="V1084" s="67"/>
      <c r="W1084" s="118">
        <f t="shared" si="352"/>
        <v>0</v>
      </c>
    </row>
    <row r="1085" spans="1:23" ht="18" customHeight="1">
      <c r="A1085" s="47"/>
      <c r="B1085" s="17">
        <f t="shared" si="358" ref="B1085:B1130">B1084+1</f>
        <v>1</v>
      </c>
      <c r="C1085" s="366" t="s">
        <v>315</v>
      </c>
      <c r="D1085" s="8"/>
      <c r="E1085" s="20"/>
      <c r="F1085" s="22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8"/>
      <c r="V1085" s="67"/>
      <c r="W1085" s="118">
        <f t="shared" si="352"/>
        <v>0</v>
      </c>
    </row>
    <row r="1086" spans="1:23" ht="18" customHeight="1">
      <c r="A1086" s="47"/>
      <c r="B1086" s="17">
        <f t="shared" si="358"/>
        <v>2</v>
      </c>
      <c r="C1086" s="1"/>
      <c r="D1086" s="1"/>
      <c r="E1086" s="17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"/>
      <c r="V1086" s="67"/>
      <c r="W1086" s="118">
        <f t="shared" si="352"/>
        <v>0</v>
      </c>
    </row>
    <row r="1087" spans="1:23" ht="18" customHeight="1">
      <c r="A1087" s="47"/>
      <c r="B1087" s="17">
        <f t="shared" si="358"/>
        <v>3</v>
      </c>
      <c r="C1087" s="8"/>
      <c r="D1087" s="34" t="s">
        <v>361</v>
      </c>
      <c r="E1087" s="20" t="s">
        <v>510</v>
      </c>
      <c r="F1087" s="22">
        <f>+F599</f>
        <v>29703069.880629234</v>
      </c>
      <c r="G1087" s="20"/>
      <c r="H1087" s="20"/>
      <c r="I1087" s="1010"/>
      <c r="J1087" s="22">
        <f t="shared" si="359" ref="J1087:Q1087">+J599</f>
        <v>16524775.281618822</v>
      </c>
      <c r="K1087" s="22">
        <f t="shared" si="359"/>
        <v>2538756.3984703971</v>
      </c>
      <c r="L1087" s="22">
        <f t="shared" si="359"/>
        <v>7911329.3463404151</v>
      </c>
      <c r="M1087" s="22">
        <f t="shared" si="359"/>
        <v>109817.97924730455</v>
      </c>
      <c r="N1087" s="22">
        <f t="shared" si="359"/>
        <v>2305042.2615415896</v>
      </c>
      <c r="O1087" s="22">
        <f>+O599</f>
        <v>79699.05749076714</v>
      </c>
      <c r="P1087" s="22">
        <f t="shared" si="359"/>
        <v>186137.8254757566</v>
      </c>
      <c r="Q1087" s="22">
        <f t="shared" si="359"/>
        <v>17325.576260752849</v>
      </c>
      <c r="R1087" s="22">
        <f>+R599</f>
        <v>9052.9455012492126</v>
      </c>
      <c r="S1087" s="22">
        <f>+S599</f>
        <v>21133.208682178629</v>
      </c>
      <c r="T1087" s="20"/>
      <c r="U1087" s="21">
        <f>SUM(I1087:T1087)</f>
        <v>29703069.880629234</v>
      </c>
      <c r="V1087" s="47"/>
      <c r="W1087" s="118">
        <f t="shared" si="352"/>
        <v>0</v>
      </c>
    </row>
    <row r="1088" spans="1:23" ht="18" customHeight="1">
      <c r="A1088" s="47"/>
      <c r="B1088" s="17">
        <f t="shared" si="358"/>
        <v>4</v>
      </c>
      <c r="C1088" s="1"/>
      <c r="D1088" s="1"/>
      <c r="E1088" s="17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8"/>
      <c r="V1088" s="67"/>
      <c r="W1088" s="118">
        <f t="shared" si="352"/>
        <v>0</v>
      </c>
    </row>
    <row r="1089" spans="1:23" ht="18" customHeight="1">
      <c r="A1089" s="47"/>
      <c r="B1089" s="17">
        <f t="shared" si="358"/>
        <v>5</v>
      </c>
      <c r="C1089" s="1"/>
      <c r="D1089" s="8" t="s">
        <v>317</v>
      </c>
      <c r="E1089" s="20" t="s">
        <v>316</v>
      </c>
      <c r="F1089" s="19"/>
      <c r="G1089" s="20"/>
      <c r="H1089" s="20"/>
      <c r="I1089" s="1010"/>
      <c r="J1089" s="1059"/>
      <c r="K1089" s="1059"/>
      <c r="L1089" s="1059"/>
      <c r="M1089" s="1059"/>
      <c r="N1089" s="1059"/>
      <c r="O1089" s="1059"/>
      <c r="P1089" s="1059"/>
      <c r="Q1089" s="1059"/>
      <c r="R1089" s="1059"/>
      <c r="S1089" s="1059"/>
      <c r="T1089" s="1010"/>
      <c r="U1089" s="18"/>
      <c r="V1089" s="67"/>
      <c r="W1089" s="118">
        <f t="shared" si="352"/>
        <v>0</v>
      </c>
    </row>
    <row r="1090" spans="1:23" ht="18" customHeight="1">
      <c r="A1090" s="47"/>
      <c r="B1090" s="17">
        <f t="shared" si="358"/>
        <v>6</v>
      </c>
      <c r="C1090" s="1"/>
      <c r="D1090" s="19" t="s">
        <v>318</v>
      </c>
      <c r="E1090" s="17"/>
      <c r="F1090" s="118">
        <f>' WP II-I-1.4'!H1090</f>
        <v>10153815.380000001</v>
      </c>
      <c r="G1090" s="17">
        <v>68</v>
      </c>
      <c r="H1090" s="47" t="str">
        <f t="shared" si="360" ref="H1090:H1096">VLOOKUP(G1090,FactorTable,2)</f>
        <v>RATEBASE</v>
      </c>
      <c r="I1090" s="17"/>
      <c r="J1090" s="434">
        <f t="shared" si="361" ref="J1090:S1098">$F1090*HLOOKUP(J$1318,FactorTable,$G1090+1)</f>
        <v>5648894.8138982924</v>
      </c>
      <c r="K1090" s="434">
        <f t="shared" si="361"/>
        <v>867858.57045952056</v>
      </c>
      <c r="L1090" s="434">
        <f t="shared" si="361"/>
        <v>2704440.2452658182</v>
      </c>
      <c r="M1090" s="434">
        <f t="shared" si="361"/>
        <v>37540.614191161178</v>
      </c>
      <c r="N1090" s="434">
        <f t="shared" si="361"/>
        <v>787964.80164679757</v>
      </c>
      <c r="O1090" s="434">
        <f t="shared" si="361"/>
        <v>27244.642354257307</v>
      </c>
      <c r="P1090" s="434">
        <f t="shared" si="361"/>
        <v>63630.093546258577</v>
      </c>
      <c r="Q1090" s="434">
        <f t="shared" si="361"/>
        <v>5922.6438011554264</v>
      </c>
      <c r="R1090" s="434">
        <f t="shared" si="361"/>
        <v>3094.6948458291404</v>
      </c>
      <c r="S1090" s="434">
        <f t="shared" si="361"/>
        <v>7224.2599909107157</v>
      </c>
      <c r="T1090" s="17"/>
      <c r="U1090" s="18">
        <f t="shared" si="362" ref="U1090:U1099">SUM(I1090:T1090)</f>
        <v>10153815.379999999</v>
      </c>
      <c r="V1090" s="67"/>
      <c r="W1090" s="118">
        <f t="shared" si="352"/>
        <v>0</v>
      </c>
    </row>
    <row r="1091" spans="1:23" ht="18" customHeight="1">
      <c r="A1091" s="47"/>
      <c r="B1091" s="17">
        <f t="shared" si="358"/>
        <v>7</v>
      </c>
      <c r="C1091" s="1"/>
      <c r="D1091" s="19" t="s">
        <v>319</v>
      </c>
      <c r="E1091" s="17"/>
      <c r="F1091" s="118">
        <f>' WP II-I-1.4'!H1091</f>
        <v>0</v>
      </c>
      <c r="G1091" s="17">
        <v>59</v>
      </c>
      <c r="H1091" s="47" t="str">
        <f t="shared" si="360"/>
        <v>PLANT_N</v>
      </c>
      <c r="I1091" s="17"/>
      <c r="J1091" s="434">
        <f t="shared" si="361"/>
        <v>0</v>
      </c>
      <c r="K1091" s="434">
        <f t="shared" si="361"/>
        <v>0</v>
      </c>
      <c r="L1091" s="434">
        <f t="shared" si="361"/>
        <v>0</v>
      </c>
      <c r="M1091" s="434">
        <f t="shared" si="361"/>
        <v>0</v>
      </c>
      <c r="N1091" s="434">
        <f t="shared" si="361"/>
        <v>0</v>
      </c>
      <c r="O1091" s="434">
        <f t="shared" si="361"/>
        <v>0</v>
      </c>
      <c r="P1091" s="434">
        <f t="shared" si="361"/>
        <v>0</v>
      </c>
      <c r="Q1091" s="434">
        <f t="shared" si="361"/>
        <v>0</v>
      </c>
      <c r="R1091" s="434">
        <f t="shared" si="361"/>
        <v>0</v>
      </c>
      <c r="S1091" s="434">
        <f t="shared" si="361"/>
        <v>0</v>
      </c>
      <c r="T1091" s="17"/>
      <c r="U1091" s="18">
        <f t="shared" si="362"/>
        <v>0</v>
      </c>
      <c r="V1091" s="67"/>
      <c r="W1091" s="118">
        <f t="shared" si="352"/>
        <v>0</v>
      </c>
    </row>
    <row r="1092" spans="1:23" ht="18" customHeight="1">
      <c r="A1092" s="47"/>
      <c r="B1092" s="17">
        <f t="shared" si="358"/>
        <v>8</v>
      </c>
      <c r="C1092" s="1"/>
      <c r="D1092" s="19" t="s">
        <v>1247</v>
      </c>
      <c r="E1092" s="17"/>
      <c r="F1092" s="118">
        <f>' WP II-I-1.4'!H1092</f>
        <v>242603.98999999999</v>
      </c>
      <c r="G1092" s="17">
        <v>68</v>
      </c>
      <c r="H1092" s="47" t="str">
        <f t="shared" si="360"/>
        <v>RATEBASE</v>
      </c>
      <c r="I1092" s="17"/>
      <c r="J1092" s="434">
        <f t="shared" si="361"/>
        <v>134968.42020994407</v>
      </c>
      <c r="K1092" s="434">
        <f t="shared" si="361"/>
        <v>20735.649021538127</v>
      </c>
      <c r="L1092" s="434">
        <f t="shared" si="361"/>
        <v>64616.892238399756</v>
      </c>
      <c r="M1092" s="434">
        <f t="shared" si="361"/>
        <v>896.95375078075563</v>
      </c>
      <c r="N1092" s="434">
        <f t="shared" si="361"/>
        <v>18826.756022726862</v>
      </c>
      <c r="O1092" s="434">
        <f t="shared" si="361"/>
        <v>650.95323224852791</v>
      </c>
      <c r="P1092" s="434">
        <f t="shared" si="361"/>
        <v>1520.3068010081918</v>
      </c>
      <c r="Q1092" s="434">
        <f t="shared" si="361"/>
        <v>141.50907454347203</v>
      </c>
      <c r="R1092" s="434">
        <f t="shared" si="361"/>
        <v>73.941202329659077</v>
      </c>
      <c r="S1092" s="434">
        <f t="shared" si="361"/>
        <v>172.60844648056849</v>
      </c>
      <c r="T1092" s="17"/>
      <c r="U1092" s="18">
        <f t="shared" si="362"/>
        <v>242603.98999999996</v>
      </c>
      <c r="V1092" s="67"/>
      <c r="W1092" s="118">
        <f t="shared" si="352"/>
        <v>0</v>
      </c>
    </row>
    <row r="1093" spans="1:23" ht="18" customHeight="1">
      <c r="A1093" s="47"/>
      <c r="B1093" s="17">
        <f t="shared" si="358"/>
        <v>9</v>
      </c>
      <c r="C1093" s="1"/>
      <c r="D1093" s="19" t="s">
        <v>1248</v>
      </c>
      <c r="E1093" s="17"/>
      <c r="F1093" s="118">
        <f>' WP II-I-1.4'!H1093</f>
        <v>2549533.1000000001</v>
      </c>
      <c r="G1093" s="17">
        <v>68</v>
      </c>
      <c r="H1093" s="47" t="str">
        <f t="shared" si="360"/>
        <v>RATEBASE</v>
      </c>
      <c r="I1093" s="17"/>
      <c r="J1093" s="434">
        <f t="shared" si="361"/>
        <v>1418387.4501815133</v>
      </c>
      <c r="K1093" s="434">
        <f t="shared" si="361"/>
        <v>217911.5996006252</v>
      </c>
      <c r="L1093" s="434">
        <f t="shared" si="361"/>
        <v>679060.98980867246</v>
      </c>
      <c r="M1093" s="434">
        <f t="shared" si="361"/>
        <v>9426.1156907793938</v>
      </c>
      <c r="N1093" s="434">
        <f t="shared" si="361"/>
        <v>197850.98194620165</v>
      </c>
      <c r="O1093" s="434">
        <f t="shared" si="361"/>
        <v>6840.8883636646269</v>
      </c>
      <c r="P1093" s="434">
        <f t="shared" si="361"/>
        <v>15976.952857722987</v>
      </c>
      <c r="Q1093" s="434">
        <f t="shared" si="361"/>
        <v>1487.123396028851</v>
      </c>
      <c r="R1093" s="434">
        <f t="shared" si="361"/>
        <v>777.05046315711036</v>
      </c>
      <c r="S1093" s="434">
        <f t="shared" si="361"/>
        <v>1813.9476916343704</v>
      </c>
      <c r="T1093" s="17"/>
      <c r="U1093" s="18">
        <f t="shared" si="362"/>
        <v>2549533.0999999996</v>
      </c>
      <c r="V1093" s="67"/>
      <c r="W1093" s="118">
        <f t="shared" si="352"/>
        <v>0</v>
      </c>
    </row>
    <row r="1094" spans="1:23" ht="18" customHeight="1">
      <c r="A1094" s="47"/>
      <c r="B1094" s="17">
        <f t="shared" si="358"/>
        <v>10</v>
      </c>
      <c r="C1094" s="1"/>
      <c r="D1094" s="19" t="s">
        <v>1249</v>
      </c>
      <c r="E1094" s="17"/>
      <c r="F1094" s="118">
        <f>' WP II-I-1.4'!H1094</f>
        <v>-57030.739999999998</v>
      </c>
      <c r="G1094" s="17">
        <v>68</v>
      </c>
      <c r="H1094" s="47" t="str">
        <f t="shared" si="360"/>
        <v>RATEBASE</v>
      </c>
      <c r="I1094" s="17"/>
      <c r="J1094" s="434">
        <f t="shared" si="361"/>
        <v>-31728.039102753693</v>
      </c>
      <c r="K1094" s="434">
        <f t="shared" si="361"/>
        <v>-4874.484579081306</v>
      </c>
      <c r="L1094" s="434">
        <f t="shared" si="361"/>
        <v>-15189.977629206323</v>
      </c>
      <c r="M1094" s="434">
        <f t="shared" si="361"/>
        <v>-210.85364734851257</v>
      </c>
      <c r="N1094" s="434">
        <f t="shared" si="361"/>
        <v>-4425.7467808982437</v>
      </c>
      <c r="O1094" s="434">
        <f t="shared" si="361"/>
        <v>-153.02445990490682</v>
      </c>
      <c r="P1094" s="434">
        <f t="shared" si="361"/>
        <v>-357.38992540283414</v>
      </c>
      <c r="Q1094" s="434">
        <f t="shared" si="361"/>
        <v>-33.265599786423017</v>
      </c>
      <c r="R1094" s="434">
        <f t="shared" si="361"/>
        <v>-17.381913155468638</v>
      </c>
      <c r="S1094" s="434">
        <f t="shared" si="361"/>
        <v>-40.576362462287683</v>
      </c>
      <c r="T1094" s="17"/>
      <c r="U1094" s="18">
        <f t="shared" si="362"/>
        <v>-57030.740000000005</v>
      </c>
      <c r="V1094" s="67"/>
      <c r="W1094" s="118">
        <f t="shared" si="352"/>
        <v>0</v>
      </c>
    </row>
    <row r="1095" spans="1:23" ht="18" customHeight="1">
      <c r="A1095" s="47"/>
      <c r="B1095" s="17">
        <f t="shared" si="358"/>
        <v>11</v>
      </c>
      <c r="C1095" s="1"/>
      <c r="D1095" s="386" t="s">
        <v>1250</v>
      </c>
      <c r="E1095" s="17"/>
      <c r="F1095" s="118">
        <f>' WP II-I-1.4'!H1095</f>
        <v>8615.1800000000003</v>
      </c>
      <c r="G1095" s="17">
        <v>68</v>
      </c>
      <c r="H1095" s="47" t="str">
        <f t="shared" si="360"/>
        <v>RATEBASE</v>
      </c>
      <c r="I1095" s="17"/>
      <c r="J1095" s="434">
        <f t="shared" si="361"/>
        <v>4792.9023526130222</v>
      </c>
      <c r="K1095" s="434">
        <f t="shared" si="361"/>
        <v>736.34959069459194</v>
      </c>
      <c r="L1095" s="434">
        <f t="shared" si="361"/>
        <v>2294.6290276364243</v>
      </c>
      <c r="M1095" s="434">
        <f t="shared" si="361"/>
        <v>31.85198237939677</v>
      </c>
      <c r="N1095" s="434">
        <f t="shared" si="361"/>
        <v>668.56234290242298</v>
      </c>
      <c r="O1095" s="434">
        <f t="shared" si="361"/>
        <v>23.116187278712413</v>
      </c>
      <c r="P1095" s="434">
        <f t="shared" si="361"/>
        <v>53.988051663576329</v>
      </c>
      <c r="Q1095" s="434">
        <f t="shared" si="361"/>
        <v>5.0251694080770459</v>
      </c>
      <c r="R1095" s="434">
        <f t="shared" si="361"/>
        <v>2.6257472825835735</v>
      </c>
      <c r="S1095" s="434">
        <f t="shared" si="361"/>
        <v>6.1295481411928305</v>
      </c>
      <c r="T1095" s="17"/>
      <c r="U1095" s="18">
        <f t="shared" si="362"/>
        <v>8615.1800000000003</v>
      </c>
      <c r="V1095" s="67"/>
      <c r="W1095" s="118">
        <f t="shared" si="352"/>
        <v>0</v>
      </c>
    </row>
    <row r="1096" spans="1:23" ht="18" customHeight="1">
      <c r="A1096" s="47"/>
      <c r="B1096" s="17">
        <f t="shared" si="358"/>
        <v>12</v>
      </c>
      <c r="C1096" s="1"/>
      <c r="D1096" s="386" t="s">
        <v>998</v>
      </c>
      <c r="E1096" s="17"/>
      <c r="F1096" s="118">
        <f>' WP II-I-1.4'!H1096</f>
        <v>4388.0100000000002</v>
      </c>
      <c r="G1096" s="17">
        <v>68</v>
      </c>
      <c r="H1096" s="47" t="str">
        <f t="shared" si="360"/>
        <v>RATEBASE</v>
      </c>
      <c r="I1096" s="17"/>
      <c r="J1096" s="434">
        <f t="shared" si="361"/>
        <v>2441.1914147225557</v>
      </c>
      <c r="K1096" s="434">
        <f t="shared" si="361"/>
        <v>375.04838755124979</v>
      </c>
      <c r="L1096" s="434">
        <f t="shared" si="361"/>
        <v>1168.7341552421315</v>
      </c>
      <c r="M1096" s="434">
        <f t="shared" si="361"/>
        <v>16.223319443194086</v>
      </c>
      <c r="N1096" s="434">
        <f t="shared" si="361"/>
        <v>340.52199098327156</v>
      </c>
      <c r="O1096" s="434">
        <f t="shared" si="361"/>
        <v>11.773875988762029</v>
      </c>
      <c r="P1096" s="434">
        <f t="shared" si="361"/>
        <v>27.497987340982959</v>
      </c>
      <c r="Q1096" s="434">
        <f t="shared" si="361"/>
        <v>2.55949308248187</v>
      </c>
      <c r="R1096" s="434">
        <f t="shared" si="361"/>
        <v>1.3373841676493754</v>
      </c>
      <c r="S1096" s="434">
        <f t="shared" si="361"/>
        <v>3.1219914777213655</v>
      </c>
      <c r="T1096" s="17"/>
      <c r="U1096" s="18">
        <f t="shared" si="362"/>
        <v>4388.0099999999993</v>
      </c>
      <c r="V1096" s="118"/>
      <c r="W1096" s="118">
        <f t="shared" si="352"/>
        <v>0</v>
      </c>
    </row>
    <row r="1097" spans="1:23" ht="18" customHeight="1">
      <c r="A1097" s="47"/>
      <c r="B1097" s="17">
        <f t="shared" si="358"/>
        <v>13</v>
      </c>
      <c r="C1097" s="1"/>
      <c r="D1097" s="1"/>
      <c r="E1097" s="17"/>
      <c r="F1097" s="118"/>
      <c r="G1097" s="17"/>
      <c r="H1097" s="47"/>
      <c r="I1097" s="17"/>
      <c r="J1097" s="434">
        <f t="shared" si="361"/>
        <v>0</v>
      </c>
      <c r="K1097" s="434">
        <f t="shared" si="361"/>
        <v>0</v>
      </c>
      <c r="L1097" s="434">
        <f t="shared" si="361"/>
        <v>0</v>
      </c>
      <c r="M1097" s="434">
        <f t="shared" si="361"/>
        <v>0</v>
      </c>
      <c r="N1097" s="434">
        <f t="shared" si="361"/>
        <v>0</v>
      </c>
      <c r="O1097" s="434">
        <f t="shared" si="361"/>
        <v>0</v>
      </c>
      <c r="P1097" s="434">
        <f t="shared" si="361"/>
        <v>0</v>
      </c>
      <c r="Q1097" s="434">
        <f t="shared" si="361"/>
        <v>0</v>
      </c>
      <c r="R1097" s="434">
        <f t="shared" si="361"/>
        <v>0</v>
      </c>
      <c r="S1097" s="434">
        <f t="shared" si="361"/>
        <v>0</v>
      </c>
      <c r="T1097" s="17"/>
      <c r="U1097" s="18">
        <f t="shared" si="362"/>
        <v>0</v>
      </c>
      <c r="V1097" s="67"/>
      <c r="W1097" s="118">
        <f t="shared" si="352"/>
        <v>0</v>
      </c>
    </row>
    <row r="1098" spans="1:23" ht="18" customHeight="1">
      <c r="A1098" s="47"/>
      <c r="B1098" s="17">
        <f t="shared" si="358"/>
        <v>14</v>
      </c>
      <c r="C1098" s="1"/>
      <c r="D1098" s="1"/>
      <c r="E1098" s="17"/>
      <c r="F1098" s="118"/>
      <c r="G1098" s="17"/>
      <c r="H1098" s="47"/>
      <c r="I1098" s="17"/>
      <c r="J1098" s="435">
        <f t="shared" si="361"/>
        <v>0</v>
      </c>
      <c r="K1098" s="435">
        <f t="shared" si="361"/>
        <v>0</v>
      </c>
      <c r="L1098" s="435">
        <f t="shared" si="361"/>
        <v>0</v>
      </c>
      <c r="M1098" s="435">
        <f t="shared" si="361"/>
        <v>0</v>
      </c>
      <c r="N1098" s="435">
        <f t="shared" si="361"/>
        <v>0</v>
      </c>
      <c r="O1098" s="435">
        <f t="shared" si="361"/>
        <v>0</v>
      </c>
      <c r="P1098" s="435">
        <f t="shared" si="361"/>
        <v>0</v>
      </c>
      <c r="Q1098" s="435">
        <f t="shared" si="361"/>
        <v>0</v>
      </c>
      <c r="R1098" s="435">
        <f t="shared" si="361"/>
        <v>0</v>
      </c>
      <c r="S1098" s="435">
        <f t="shared" si="361"/>
        <v>0</v>
      </c>
      <c r="T1098" s="17"/>
      <c r="U1098" s="18">
        <f t="shared" si="362"/>
        <v>0</v>
      </c>
      <c r="V1098" s="118"/>
      <c r="W1098" s="118">
        <f t="shared" si="352"/>
        <v>0</v>
      </c>
    </row>
    <row r="1099" spans="1:23" ht="18" customHeight="1">
      <c r="A1099" s="47"/>
      <c r="B1099" s="17">
        <f t="shared" si="358"/>
        <v>15</v>
      </c>
      <c r="C1099" s="8"/>
      <c r="D1099" s="297" t="s">
        <v>491</v>
      </c>
      <c r="E1099" s="20"/>
      <c r="F1099" s="22">
        <f>SUM(F1090:F1098)</f>
        <v>12901924.92</v>
      </c>
      <c r="G1099" s="20"/>
      <c r="H1099" s="20"/>
      <c r="I1099" s="1010"/>
      <c r="J1099" s="896">
        <f t="shared" si="363" ref="J1099:Q1099">SUM(J1090:J1098)</f>
        <v>7177756.7389543317</v>
      </c>
      <c r="K1099" s="896">
        <f t="shared" si="363"/>
        <v>1102742.7324808482</v>
      </c>
      <c r="L1099" s="896">
        <f t="shared" si="363"/>
        <v>3436391.5128665632</v>
      </c>
      <c r="M1099" s="896">
        <f t="shared" si="363"/>
        <v>47700.905287195405</v>
      </c>
      <c r="N1099" s="896">
        <f t="shared" si="363"/>
        <v>1001225.8771687136</v>
      </c>
      <c r="O1099" s="896">
        <f>SUM(O1090:O1098)</f>
        <v>34618.349553533037</v>
      </c>
      <c r="P1099" s="896">
        <f t="shared" si="363"/>
        <v>80851.449318591476</v>
      </c>
      <c r="Q1099" s="896">
        <f t="shared" si="363"/>
        <v>7525.595334431885</v>
      </c>
      <c r="R1099" s="896">
        <f>SUM(R1090:R1098)</f>
        <v>3932.267729610674</v>
      </c>
      <c r="S1099" s="896">
        <f>SUM(S1090:S1098)</f>
        <v>9179.4913061822808</v>
      </c>
      <c r="T1099" s="1010"/>
      <c r="U1099" s="299">
        <f t="shared" si="362"/>
        <v>12901924.919999998</v>
      </c>
      <c r="V1099" s="67"/>
      <c r="W1099" s="118">
        <f t="shared" si="352"/>
        <v>0</v>
      </c>
    </row>
    <row r="1100" spans="1:23" ht="18" customHeight="1">
      <c r="A1100" s="47"/>
      <c r="B1100" s="17">
        <f t="shared" si="358"/>
        <v>16</v>
      </c>
      <c r="C1100" s="1"/>
      <c r="D1100" s="1"/>
      <c r="E1100" s="17"/>
      <c r="F1100" s="128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28"/>
      <c r="V1100" s="67"/>
      <c r="W1100" s="118">
        <f t="shared" si="352"/>
        <v>0</v>
      </c>
    </row>
    <row r="1101" spans="1:23" ht="18" customHeight="1">
      <c r="A1101" s="47"/>
      <c r="B1101" s="17">
        <f t="shared" si="358"/>
        <v>17</v>
      </c>
      <c r="C1101" s="8"/>
      <c r="D1101" s="8" t="s">
        <v>321</v>
      </c>
      <c r="E1101" s="20" t="s">
        <v>316</v>
      </c>
      <c r="F1101" s="22"/>
      <c r="G1101" s="20"/>
      <c r="H1101" s="20"/>
      <c r="I1101" s="1010"/>
      <c r="J1101" s="1059"/>
      <c r="K1101" s="1059"/>
      <c r="L1101" s="1059"/>
      <c r="M1101" s="1059"/>
      <c r="N1101" s="1059"/>
      <c r="O1101" s="1059"/>
      <c r="P1101" s="1059"/>
      <c r="Q1101" s="1059"/>
      <c r="R1101" s="1059"/>
      <c r="S1101" s="1059"/>
      <c r="T1101" s="1010"/>
      <c r="U1101" s="8"/>
      <c r="V1101" s="67"/>
      <c r="W1101" s="118">
        <f t="shared" si="352"/>
        <v>0</v>
      </c>
    </row>
    <row r="1102" spans="1:23" ht="18" customHeight="1">
      <c r="A1102" s="47"/>
      <c r="B1102" s="17">
        <f t="shared" si="358"/>
        <v>18</v>
      </c>
      <c r="C1102" s="1"/>
      <c r="D1102" s="1" t="s">
        <v>323</v>
      </c>
      <c r="E1102" s="17"/>
      <c r="F1102" s="118">
        <f>' WP II-I-1.4'!H1102</f>
        <v>4807.2200000000003</v>
      </c>
      <c r="G1102" s="17">
        <v>59</v>
      </c>
      <c r="H1102" s="47" t="str">
        <f t="shared" si="364" ref="H1102:H1106">VLOOKUP(G1102,FactorTable,2)</f>
        <v>PLANT_N</v>
      </c>
      <c r="I1102" s="17"/>
      <c r="J1102" s="434">
        <f t="shared" si="365" ref="J1102:S1108">$F1102*HLOOKUP(J$1318,FactorTable,$G1102+1)</f>
        <v>2680.0482954886747</v>
      </c>
      <c r="K1102" s="434">
        <f t="shared" si="365"/>
        <v>413.19442836445808</v>
      </c>
      <c r="L1102" s="434">
        <f t="shared" si="365"/>
        <v>1274.5125080281857</v>
      </c>
      <c r="M1102" s="434">
        <f t="shared" si="365"/>
        <v>17.896090767842679</v>
      </c>
      <c r="N1102" s="434">
        <f t="shared" si="365"/>
        <v>373.44320586531501</v>
      </c>
      <c r="O1102" s="434">
        <f t="shared" si="365"/>
        <v>12.761676891863607</v>
      </c>
      <c r="P1102" s="434">
        <f t="shared" si="365"/>
        <v>27.781188926133844</v>
      </c>
      <c r="Q1102" s="434">
        <f t="shared" si="365"/>
        <v>2.6715313583272877</v>
      </c>
      <c r="R1102" s="434">
        <f t="shared" si="365"/>
        <v>1.4725011798304164</v>
      </c>
      <c r="S1102" s="434">
        <f t="shared" si="365"/>
        <v>3.438573129368359</v>
      </c>
      <c r="T1102" s="17"/>
      <c r="U1102" s="18">
        <f t="shared" si="366" ref="U1102:U1106">SUM(I1102:T1102)</f>
        <v>4807.2199999999993</v>
      </c>
      <c r="V1102" s="67"/>
      <c r="W1102" s="118">
        <f>U1102-F1102</f>
        <v>0</v>
      </c>
    </row>
    <row r="1103" spans="1:23" ht="18" customHeight="1">
      <c r="A1103" s="47"/>
      <c r="B1103" s="17">
        <f t="shared" si="358"/>
        <v>19</v>
      </c>
      <c r="C1103" s="1"/>
      <c r="D1103" s="1" t="s">
        <v>1251</v>
      </c>
      <c r="E1103" s="17"/>
      <c r="F1103" s="290">
        <f>' WP II-I-1.4'!H1103</f>
        <v>281193.88</v>
      </c>
      <c r="G1103" s="17">
        <v>68</v>
      </c>
      <c r="H1103" s="47" t="str">
        <f t="shared" si="364"/>
        <v>RATEBASE</v>
      </c>
      <c r="I1103" s="17"/>
      <c r="J1103" s="434">
        <f t="shared" si="365"/>
        <v>156437.21999916239</v>
      </c>
      <c r="K1103" s="434">
        <f t="shared" si="365"/>
        <v>24033.972411931521</v>
      </c>
      <c r="L1103" s="434">
        <f t="shared" si="365"/>
        <v>74895.201196227281</v>
      </c>
      <c r="M1103" s="434">
        <f t="shared" si="365"/>
        <v>1039.6280183297633</v>
      </c>
      <c r="N1103" s="434">
        <f t="shared" si="365"/>
        <v>21821.440668984604</v>
      </c>
      <c r="O1103" s="434">
        <f t="shared" si="365"/>
        <v>754.49733977790186</v>
      </c>
      <c r="P1103" s="434">
        <f t="shared" si="365"/>
        <v>1762.1349433118614</v>
      </c>
      <c r="Q1103" s="434">
        <f t="shared" si="365"/>
        <v>164.01826584174535</v>
      </c>
      <c r="R1103" s="434">
        <f t="shared" si="365"/>
        <v>85.702685990209304</v>
      </c>
      <c r="S1103" s="434">
        <f t="shared" si="365"/>
        <v>200.06447044273014</v>
      </c>
      <c r="T1103" s="17"/>
      <c r="U1103" s="18">
        <f t="shared" si="366"/>
        <v>281193.87999999995</v>
      </c>
      <c r="V1103" s="67"/>
      <c r="W1103" s="118">
        <f t="shared" si="352"/>
        <v>0</v>
      </c>
    </row>
    <row r="1104" spans="1:23" ht="18" customHeight="1">
      <c r="A1104" s="47"/>
      <c r="B1104" s="17">
        <f t="shared" si="358"/>
        <v>20</v>
      </c>
      <c r="C1104" s="1"/>
      <c r="D1104" s="1" t="s">
        <v>1252</v>
      </c>
      <c r="E1104" s="17"/>
      <c r="F1104" s="290">
        <f>' WP II-I-1.4'!H1104</f>
        <v>0</v>
      </c>
      <c r="G1104" s="17">
        <v>68</v>
      </c>
      <c r="H1104" s="47" t="str">
        <f t="shared" si="364"/>
        <v>RATEBASE</v>
      </c>
      <c r="I1104" s="17"/>
      <c r="J1104" s="434">
        <f t="shared" si="365"/>
        <v>0</v>
      </c>
      <c r="K1104" s="434">
        <f t="shared" si="365"/>
        <v>0</v>
      </c>
      <c r="L1104" s="434">
        <f t="shared" si="365"/>
        <v>0</v>
      </c>
      <c r="M1104" s="434">
        <f t="shared" si="365"/>
        <v>0</v>
      </c>
      <c r="N1104" s="434">
        <f t="shared" si="365"/>
        <v>0</v>
      </c>
      <c r="O1104" s="434">
        <f t="shared" si="365"/>
        <v>0</v>
      </c>
      <c r="P1104" s="434">
        <f t="shared" si="365"/>
        <v>0</v>
      </c>
      <c r="Q1104" s="434">
        <f t="shared" si="365"/>
        <v>0</v>
      </c>
      <c r="R1104" s="434">
        <f t="shared" si="365"/>
        <v>0</v>
      </c>
      <c r="S1104" s="434">
        <f t="shared" si="365"/>
        <v>0</v>
      </c>
      <c r="T1104" s="17"/>
      <c r="U1104" s="18">
        <f t="shared" si="366"/>
        <v>0</v>
      </c>
      <c r="V1104" s="67"/>
      <c r="W1104" s="118">
        <f t="shared" si="352"/>
        <v>0</v>
      </c>
    </row>
    <row r="1105" spans="1:23" ht="18" customHeight="1">
      <c r="A1105" s="47"/>
      <c r="B1105" s="17">
        <f t="shared" si="358"/>
        <v>21</v>
      </c>
      <c r="C1105" s="1"/>
      <c r="D1105" s="1" t="s">
        <v>1253</v>
      </c>
      <c r="E1105" s="17"/>
      <c r="F1105" s="290">
        <f>' WP II-I-1.4'!H1105</f>
        <v>235256.39999999999</v>
      </c>
      <c r="G1105" s="17">
        <v>88</v>
      </c>
      <c r="H1105" s="47" t="str">
        <f t="shared" si="364"/>
        <v>PAYROLL</v>
      </c>
      <c r="I1105" s="17"/>
      <c r="J1105" s="434">
        <f t="shared" si="365"/>
        <v>131182.30381896262</v>
      </c>
      <c r="K1105" s="434">
        <f t="shared" si="365"/>
        <v>20218.254298433691</v>
      </c>
      <c r="L1105" s="434">
        <f t="shared" si="365"/>
        <v>62340.53599583172</v>
      </c>
      <c r="M1105" s="434">
        <f t="shared" si="365"/>
        <v>875.3517743763515</v>
      </c>
      <c r="N1105" s="434">
        <f t="shared" si="365"/>
        <v>18264.545394794466</v>
      </c>
      <c r="O1105" s="434">
        <f t="shared" si="365"/>
        <v>624.22021533349755</v>
      </c>
      <c r="P1105" s="434">
        <f t="shared" si="365"/>
        <v>1358.7121600868964</v>
      </c>
      <c r="Q1105" s="434">
        <f t="shared" si="365"/>
        <v>152.27541713292021</v>
      </c>
      <c r="R1105" s="434">
        <f t="shared" si="365"/>
        <v>72.022978432205591</v>
      </c>
      <c r="S1105" s="434">
        <f t="shared" si="365"/>
        <v>168.17794661561092</v>
      </c>
      <c r="T1105" s="17"/>
      <c r="U1105" s="18">
        <f t="shared" si="366"/>
        <v>235256.39999999999</v>
      </c>
      <c r="V1105" s="67"/>
      <c r="W1105" s="118">
        <f t="shared" si="352"/>
        <v>0</v>
      </c>
    </row>
    <row r="1106" spans="1:23" ht="18" customHeight="1">
      <c r="A1106" s="47"/>
      <c r="B1106" s="17">
        <f t="shared" si="358"/>
        <v>22</v>
      </c>
      <c r="C1106" s="1"/>
      <c r="D1106" s="28" t="s">
        <v>1254</v>
      </c>
      <c r="E1106" s="17"/>
      <c r="F1106" s="290">
        <f>' WP II-I-1.4'!H1106</f>
        <v>-815018.30000000005</v>
      </c>
      <c r="G1106" s="17">
        <v>36</v>
      </c>
      <c r="H1106" s="47" t="str">
        <f t="shared" si="364"/>
        <v>OPEB MED</v>
      </c>
      <c r="I1106" s="17"/>
      <c r="J1106" s="434">
        <f t="shared" si="365"/>
        <v>-454465.75841768569</v>
      </c>
      <c r="K1106" s="434">
        <f t="shared" si="365"/>
        <v>-70043.778818672406</v>
      </c>
      <c r="L1106" s="434">
        <f t="shared" si="365"/>
        <v>-215971.50032225088</v>
      </c>
      <c r="M1106" s="434">
        <f t="shared" si="365"/>
        <v>-3032.5539073716914</v>
      </c>
      <c r="N1106" s="434">
        <f t="shared" si="365"/>
        <v>-63275.382680081042</v>
      </c>
      <c r="O1106" s="434">
        <f t="shared" si="365"/>
        <v>-2162.5379744259503</v>
      </c>
      <c r="P1106" s="434">
        <f t="shared" si="365"/>
        <v>-4707.0994663837</v>
      </c>
      <c r="Q1106" s="434">
        <f t="shared" si="365"/>
        <v>-527.54038403828133</v>
      </c>
      <c r="R1106" s="434">
        <f t="shared" si="365"/>
        <v>-249.5151904167235</v>
      </c>
      <c r="S1106" s="434">
        <f t="shared" si="365"/>
        <v>-582.63283867365976</v>
      </c>
      <c r="T1106" s="17"/>
      <c r="U1106" s="18">
        <f t="shared" si="366"/>
        <v>-815018.29999999993</v>
      </c>
      <c r="V1106" s="67"/>
      <c r="W1106" s="118">
        <f t="shared" si="352"/>
        <v>0</v>
      </c>
    </row>
    <row r="1107" spans="1:23" ht="18" customHeight="1">
      <c r="A1107" s="47"/>
      <c r="B1107" s="17">
        <f t="shared" si="358"/>
        <v>23</v>
      </c>
      <c r="C1107" s="1"/>
      <c r="D1107" s="28" t="s">
        <v>1374</v>
      </c>
      <c r="E1107" s="17"/>
      <c r="F1107" s="290">
        <f>' WP II-I-1.4'!H1107</f>
        <v>0</v>
      </c>
      <c r="G1107" s="17">
        <v>68</v>
      </c>
      <c r="H1107" s="47" t="str">
        <f t="shared" si="367" ref="H1107:H1108">VLOOKUP(G1107,FactorTable,2)</f>
        <v>RATEBASE</v>
      </c>
      <c r="I1107" s="17"/>
      <c r="J1107" s="434">
        <f t="shared" si="365"/>
        <v>0</v>
      </c>
      <c r="K1107" s="434">
        <f t="shared" si="365"/>
        <v>0</v>
      </c>
      <c r="L1107" s="434">
        <f t="shared" si="365"/>
        <v>0</v>
      </c>
      <c r="M1107" s="434">
        <f t="shared" si="365"/>
        <v>0</v>
      </c>
      <c r="N1107" s="434">
        <f t="shared" si="365"/>
        <v>0</v>
      </c>
      <c r="O1107" s="434">
        <f t="shared" si="365"/>
        <v>0</v>
      </c>
      <c r="P1107" s="434">
        <f t="shared" si="365"/>
        <v>0</v>
      </c>
      <c r="Q1107" s="434">
        <f t="shared" si="365"/>
        <v>0</v>
      </c>
      <c r="R1107" s="434">
        <f t="shared" si="365"/>
        <v>0</v>
      </c>
      <c r="S1107" s="434">
        <f t="shared" si="365"/>
        <v>0</v>
      </c>
      <c r="T1107" s="17"/>
      <c r="U1107" s="18">
        <f t="shared" si="368" ref="U1107:U1108">SUM(I1107:T1107)</f>
        <v>0</v>
      </c>
      <c r="V1107" s="67"/>
      <c r="W1107" s="118">
        <f t="shared" si="352"/>
        <v>0</v>
      </c>
    </row>
    <row r="1108" spans="1:23" ht="18" customHeight="1">
      <c r="A1108" s="47"/>
      <c r="B1108" s="17">
        <f t="shared" si="358"/>
        <v>24</v>
      </c>
      <c r="C1108" s="1"/>
      <c r="D1108" t="s">
        <v>322</v>
      </c>
      <c r="F1108" s="290">
        <f>' WP II-I-1.4'!H1108</f>
        <v>0</v>
      </c>
      <c r="G1108" s="17">
        <v>68</v>
      </c>
      <c r="H1108" s="47" t="str">
        <f t="shared" si="367"/>
        <v>RATEBASE</v>
      </c>
      <c r="I1108" s="17"/>
      <c r="J1108" s="435">
        <f t="shared" si="365"/>
        <v>0</v>
      </c>
      <c r="K1108" s="435">
        <f t="shared" si="365"/>
        <v>0</v>
      </c>
      <c r="L1108" s="435">
        <f t="shared" si="365"/>
        <v>0</v>
      </c>
      <c r="M1108" s="435">
        <f t="shared" si="365"/>
        <v>0</v>
      </c>
      <c r="N1108" s="435">
        <f t="shared" si="365"/>
        <v>0</v>
      </c>
      <c r="O1108" s="435">
        <f t="shared" si="365"/>
        <v>0</v>
      </c>
      <c r="P1108" s="435">
        <f t="shared" si="365"/>
        <v>0</v>
      </c>
      <c r="Q1108" s="435">
        <f t="shared" si="365"/>
        <v>0</v>
      </c>
      <c r="R1108" s="435">
        <f t="shared" si="365"/>
        <v>0</v>
      </c>
      <c r="S1108" s="435">
        <f t="shared" si="365"/>
        <v>0</v>
      </c>
      <c r="T1108" s="17"/>
      <c r="U1108" s="18">
        <f t="shared" si="368"/>
        <v>0</v>
      </c>
      <c r="V1108" s="67"/>
      <c r="W1108" s="118">
        <f>U1109-F1109</f>
        <v>0</v>
      </c>
    </row>
    <row r="1109" spans="1:23" ht="18" customHeight="1">
      <c r="A1109" s="47"/>
      <c r="B1109" s="17">
        <f t="shared" si="358"/>
        <v>25</v>
      </c>
      <c r="C1109" s="1"/>
      <c r="D1109" s="297" t="s">
        <v>491</v>
      </c>
      <c r="E1109" s="17"/>
      <c r="F1109" s="896">
        <f>SUM(F1102:F1108)</f>
        <v>-293760.80000000005</v>
      </c>
      <c r="G1109" s="17"/>
      <c r="H1109" s="17"/>
      <c r="I1109" s="17"/>
      <c r="J1109" s="896">
        <f t="shared" si="369" ref="J1109:U1109">SUM(J1102:J1108)</f>
        <v>-164166.18630407198</v>
      </c>
      <c r="K1109" s="896">
        <f t="shared" si="369"/>
        <v>-25378.357679942739</v>
      </c>
      <c r="L1109" s="896">
        <f t="shared" si="369"/>
        <v>-77461.250622163701</v>
      </c>
      <c r="M1109" s="896">
        <f t="shared" si="369"/>
        <v>-1099.678023897734</v>
      </c>
      <c r="N1109" s="896">
        <f t="shared" si="369"/>
        <v>-22815.953410436654</v>
      </c>
      <c r="O1109" s="896">
        <f t="shared" si="369"/>
        <v>-771.05874242268737</v>
      </c>
      <c r="P1109" s="896">
        <f t="shared" si="369"/>
        <v>-1558.4711740588082</v>
      </c>
      <c r="Q1109" s="896">
        <f t="shared" si="369"/>
        <v>-208.57516970528849</v>
      </c>
      <c r="R1109" s="896">
        <f t="shared" si="369"/>
        <v>-90.317024814478202</v>
      </c>
      <c r="S1109" s="896">
        <f t="shared" si="369"/>
        <v>-210.95184848595034</v>
      </c>
      <c r="T1109" s="896">
        <f t="shared" si="369"/>
        <v>0</v>
      </c>
      <c r="U1109" s="896">
        <f t="shared" si="369"/>
        <v>-293760.80000000005</v>
      </c>
      <c r="V1109" s="67"/>
      <c r="W1109" s="118" t="b">
        <f>' WP II-I-1.4'!$H$1109=F1109</f>
        <v>1</v>
      </c>
    </row>
    <row r="1110" spans="1:23" ht="18" customHeight="1">
      <c r="A1110" s="47"/>
      <c r="B1110" s="17">
        <f t="shared" si="358"/>
        <v>26</v>
      </c>
      <c r="C1110" s="8"/>
      <c r="D1110" s="8" t="s">
        <v>435</v>
      </c>
      <c r="E1110" s="20"/>
      <c r="F1110" s="22">
        <f>+F1087-F1099+F1109</f>
        <v>16507384.160629232</v>
      </c>
      <c r="G1110" s="20"/>
      <c r="H1110" s="20"/>
      <c r="I1110" s="20"/>
      <c r="J1110" s="896">
        <f t="shared" si="370" ref="J1110:S1110">+J1087-J1099+J1109</f>
        <v>9182852.3563604187</v>
      </c>
      <c r="K1110" s="896">
        <f t="shared" si="370"/>
        <v>1410635.3083096063</v>
      </c>
      <c r="L1110" s="896">
        <f t="shared" si="370"/>
        <v>4397476.5828516884</v>
      </c>
      <c r="M1110" s="896">
        <f t="shared" si="370"/>
        <v>61017.395936211411</v>
      </c>
      <c r="N1110" s="896">
        <f t="shared" si="370"/>
        <v>1281000.4309624394</v>
      </c>
      <c r="O1110" s="896">
        <f t="shared" si="370"/>
        <v>44309.649194811413</v>
      </c>
      <c r="P1110" s="896">
        <f t="shared" si="370"/>
        <v>103727.90498310632</v>
      </c>
      <c r="Q1110" s="896">
        <f t="shared" si="370"/>
        <v>9591.4057566156753</v>
      </c>
      <c r="R1110" s="896">
        <f t="shared" si="370"/>
        <v>5030.3607468240607</v>
      </c>
      <c r="S1110" s="896">
        <f t="shared" si="370"/>
        <v>11742.765527510397</v>
      </c>
      <c r="T1110" s="20"/>
      <c r="U1110" s="299">
        <f>SUM(I1110:T1110)</f>
        <v>16507384.160629232</v>
      </c>
      <c r="V1110" s="67"/>
      <c r="W1110" s="118">
        <f t="shared" si="352"/>
        <v>0</v>
      </c>
    </row>
    <row r="1111" spans="1:23" ht="18" customHeight="1">
      <c r="A1111" s="47"/>
      <c r="B1111" s="17">
        <f t="shared" si="358"/>
        <v>27</v>
      </c>
      <c r="C1111" s="8"/>
      <c r="D1111" s="8" t="s">
        <v>436</v>
      </c>
      <c r="E1111" s="20" t="s">
        <v>316</v>
      </c>
      <c r="F1111" s="122">
        <f>0.21/(1-0.21)</f>
        <v>0.26582278481012656</v>
      </c>
      <c r="G1111" s="20"/>
      <c r="H1111" s="20"/>
      <c r="I1111" s="20"/>
      <c r="J1111" s="122">
        <f>0.21/(1-0.21)</f>
        <v>0.26582278481012656</v>
      </c>
      <c r="K1111" s="122">
        <f t="shared" si="371" ref="K1111:S1111">0.21/(1-0.21)</f>
        <v>0.26582278481012656</v>
      </c>
      <c r="L1111" s="122">
        <f t="shared" si="371"/>
        <v>0.26582278481012656</v>
      </c>
      <c r="M1111" s="122">
        <f t="shared" si="371"/>
        <v>0.26582278481012656</v>
      </c>
      <c r="N1111" s="122">
        <f t="shared" si="371"/>
        <v>0.26582278481012656</v>
      </c>
      <c r="O1111" s="122">
        <f t="shared" si="371"/>
        <v>0.26582278481012656</v>
      </c>
      <c r="P1111" s="122">
        <f t="shared" si="371"/>
        <v>0.26582278481012656</v>
      </c>
      <c r="Q1111" s="122">
        <f t="shared" si="371"/>
        <v>0.26582278481012656</v>
      </c>
      <c r="R1111" s="122">
        <f t="shared" si="371"/>
        <v>0.26582278481012656</v>
      </c>
      <c r="S1111" s="122">
        <f t="shared" si="371"/>
        <v>0.26582278481012656</v>
      </c>
      <c r="T1111" s="20"/>
      <c r="U1111" s="122">
        <f>U1113/U1110</f>
        <v>0.26582278481012661</v>
      </c>
      <c r="V1111" s="67"/>
      <c r="W1111" s="118">
        <f t="shared" si="352"/>
        <v>0</v>
      </c>
    </row>
    <row r="1112" spans="1:23" ht="18" customHeight="1">
      <c r="A1112" s="47"/>
      <c r="B1112" s="17">
        <f t="shared" si="358"/>
        <v>28</v>
      </c>
      <c r="C1112" s="1"/>
      <c r="D1112" s="1"/>
      <c r="E1112" s="17"/>
      <c r="F1112" s="19"/>
      <c r="G1112" s="17"/>
      <c r="H1112" s="17"/>
      <c r="I1112" s="17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7"/>
      <c r="U1112" s="8"/>
      <c r="V1112" s="67"/>
      <c r="W1112" s="118">
        <f t="shared" si="352"/>
        <v>0</v>
      </c>
    </row>
    <row r="1113" spans="1:23" ht="18" customHeight="1">
      <c r="A1113" s="47"/>
      <c r="B1113" s="17">
        <f t="shared" si="358"/>
        <v>29</v>
      </c>
      <c r="C1113" s="8"/>
      <c r="D1113" s="8" t="s">
        <v>717</v>
      </c>
      <c r="E1113" s="20"/>
      <c r="F1113" s="22">
        <f>+F1110*F1111</f>
        <v>4388038.8275090354</v>
      </c>
      <c r="G1113" s="20"/>
      <c r="H1113" s="20"/>
      <c r="I1113" s="20"/>
      <c r="J1113" s="896">
        <f t="shared" si="372" ref="J1113:Q1113">+J1110*J1111</f>
        <v>2441011.3858679594</v>
      </c>
      <c r="K1113" s="896">
        <f t="shared" si="372"/>
        <v>374979.00600635097</v>
      </c>
      <c r="L1113" s="896">
        <f t="shared" si="372"/>
        <v>1168949.4713909549</v>
      </c>
      <c r="M1113" s="896">
        <f t="shared" si="372"/>
        <v>16219.814109625817</v>
      </c>
      <c r="N1113" s="896">
        <f t="shared" si="372"/>
        <v>340519.10190140788</v>
      </c>
      <c r="O1113" s="896">
        <f>+O1110*O1111</f>
        <v>11778.514342924551</v>
      </c>
      <c r="P1113" s="896">
        <f t="shared" si="372"/>
        <v>27573.240565129523</v>
      </c>
      <c r="Q1113" s="896">
        <f t="shared" si="372"/>
        <v>2549.6141884674576</v>
      </c>
      <c r="R1113" s="896">
        <f>+R1110*R1111</f>
        <v>1337.1845023203198</v>
      </c>
      <c r="S1113" s="896">
        <f>+S1110*S1111</f>
        <v>3121.4946338951686</v>
      </c>
      <c r="T1113" s="20"/>
      <c r="U1113" s="299">
        <f>SUM(I1113:T1113)</f>
        <v>4388038.8275090363</v>
      </c>
      <c r="V1113" s="67"/>
      <c r="W1113" s="118">
        <f t="shared" si="352"/>
        <v>0</v>
      </c>
    </row>
    <row r="1114" spans="1:23" ht="18" customHeight="1">
      <c r="A1114" s="47"/>
      <c r="B1114" s="17">
        <f t="shared" si="358"/>
        <v>30</v>
      </c>
      <c r="C1114" s="1"/>
      <c r="D1114" s="1"/>
      <c r="E1114" s="17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"/>
      <c r="V1114" s="67"/>
      <c r="W1114" s="118">
        <f t="shared" si="352"/>
        <v>0</v>
      </c>
    </row>
    <row r="1115" spans="1:23" ht="18" customHeight="1">
      <c r="A1115" s="47"/>
      <c r="B1115" s="17">
        <f t="shared" si="358"/>
        <v>31</v>
      </c>
      <c r="C1115" s="8"/>
      <c r="D1115" s="8" t="s">
        <v>324</v>
      </c>
      <c r="E1115" s="20" t="s">
        <v>316</v>
      </c>
      <c r="F1115" s="22"/>
      <c r="G1115" s="20"/>
      <c r="H1115" s="20"/>
      <c r="I1115" s="1010"/>
      <c r="J1115" s="1059"/>
      <c r="K1115" s="1059"/>
      <c r="L1115" s="1059"/>
      <c r="M1115" s="1059"/>
      <c r="N1115" s="1059"/>
      <c r="O1115" s="1059"/>
      <c r="P1115" s="1059"/>
      <c r="Q1115" s="1059"/>
      <c r="R1115" s="1059"/>
      <c r="S1115" s="1059"/>
      <c r="T1115" s="1010"/>
      <c r="U1115" s="8"/>
      <c r="V1115" s="67"/>
      <c r="W1115" s="118">
        <f t="shared" si="352"/>
        <v>0</v>
      </c>
    </row>
    <row r="1116" spans="1:23" ht="18" customHeight="1">
      <c r="A1116" s="47"/>
      <c r="B1116" s="17">
        <f t="shared" si="358"/>
        <v>32</v>
      </c>
      <c r="C1116" s="1"/>
      <c r="D1116" s="778" t="s">
        <v>319</v>
      </c>
      <c r="E1116" s="17"/>
      <c r="F1116" s="118">
        <f>' WP II-I-1.4'!H1117</f>
        <v>0</v>
      </c>
      <c r="G1116" s="17">
        <v>59</v>
      </c>
      <c r="H1116" s="47" t="str">
        <f>VLOOKUP(G1116,FactorTable,2)</f>
        <v>PLANT_N</v>
      </c>
      <c r="I1116" s="17"/>
      <c r="J1116" s="434">
        <f t="shared" si="373" ref="J1116:S1120">$F1116*HLOOKUP(J$1318,FactorTable,$G1116+1)</f>
        <v>0</v>
      </c>
      <c r="K1116" s="434">
        <f t="shared" si="373"/>
        <v>0</v>
      </c>
      <c r="L1116" s="434">
        <f t="shared" si="373"/>
        <v>0</v>
      </c>
      <c r="M1116" s="434">
        <f t="shared" si="373"/>
        <v>0</v>
      </c>
      <c r="N1116" s="434">
        <f t="shared" si="373"/>
        <v>0</v>
      </c>
      <c r="O1116" s="434">
        <f t="shared" si="373"/>
        <v>0</v>
      </c>
      <c r="P1116" s="434">
        <f t="shared" si="373"/>
        <v>0</v>
      </c>
      <c r="Q1116" s="434">
        <f t="shared" si="373"/>
        <v>0</v>
      </c>
      <c r="R1116" s="434">
        <f t="shared" si="373"/>
        <v>0</v>
      </c>
      <c r="S1116" s="434">
        <f t="shared" si="373"/>
        <v>0</v>
      </c>
      <c r="T1116" s="17"/>
      <c r="U1116" s="18">
        <f>SUM(I1116:T1116)</f>
        <v>0</v>
      </c>
      <c r="V1116" s="67"/>
      <c r="W1116" s="118">
        <f t="shared" si="352"/>
        <v>0</v>
      </c>
    </row>
    <row r="1117" spans="1:23" ht="18" customHeight="1">
      <c r="A1117" s="47"/>
      <c r="B1117" s="17">
        <f t="shared" si="358"/>
        <v>33</v>
      </c>
      <c r="C1117" s="1"/>
      <c r="D1117" s="778" t="s">
        <v>1247</v>
      </c>
      <c r="E1117" s="17"/>
      <c r="F1117" s="118">
        <f>' WP II-I-1.4'!H1118</f>
        <v>242603.98999999999</v>
      </c>
      <c r="G1117" s="17">
        <v>68</v>
      </c>
      <c r="H1117" s="47" t="str">
        <f>VLOOKUP(G1117,FactorTable,2)</f>
        <v>RATEBASE</v>
      </c>
      <c r="I1117" s="17"/>
      <c r="J1117" s="434">
        <f t="shared" si="373"/>
        <v>134968.42020994407</v>
      </c>
      <c r="K1117" s="434">
        <f t="shared" si="373"/>
        <v>20735.649021538127</v>
      </c>
      <c r="L1117" s="434">
        <f t="shared" si="373"/>
        <v>64616.892238399756</v>
      </c>
      <c r="M1117" s="434">
        <f t="shared" si="373"/>
        <v>896.95375078075563</v>
      </c>
      <c r="N1117" s="434">
        <f t="shared" si="373"/>
        <v>18826.756022726862</v>
      </c>
      <c r="O1117" s="434">
        <f t="shared" si="373"/>
        <v>650.95323224852791</v>
      </c>
      <c r="P1117" s="434">
        <f t="shared" si="373"/>
        <v>1520.3068010081918</v>
      </c>
      <c r="Q1117" s="434">
        <f t="shared" si="373"/>
        <v>141.50907454347203</v>
      </c>
      <c r="R1117" s="434">
        <f t="shared" si="373"/>
        <v>73.941202329659077</v>
      </c>
      <c r="S1117" s="434">
        <f t="shared" si="373"/>
        <v>172.60844648056849</v>
      </c>
      <c r="T1117" s="17"/>
      <c r="U1117" s="18">
        <f>SUM(I1117:T1117)</f>
        <v>242603.98999999996</v>
      </c>
      <c r="V1117" s="67"/>
      <c r="W1117" s="118">
        <f t="shared" si="352"/>
        <v>0</v>
      </c>
    </row>
    <row r="1118" spans="1:23" ht="18" customHeight="1">
      <c r="A1118" s="47"/>
      <c r="B1118" s="17">
        <f t="shared" si="358"/>
        <v>34</v>
      </c>
      <c r="C1118" s="1"/>
      <c r="D1118" s="778" t="s">
        <v>1248</v>
      </c>
      <c r="E1118" s="17"/>
      <c r="F1118" s="118">
        <f>' WP II-I-1.4'!H1119</f>
        <v>2549533.1000000001</v>
      </c>
      <c r="G1118" s="17">
        <v>68</v>
      </c>
      <c r="H1118" s="47" t="str">
        <f>VLOOKUP(G1118,FactorTable,2)</f>
        <v>RATEBASE</v>
      </c>
      <c r="I1118" s="17"/>
      <c r="J1118" s="434">
        <f t="shared" si="373"/>
        <v>1418387.4501815133</v>
      </c>
      <c r="K1118" s="434">
        <f t="shared" si="373"/>
        <v>217911.5996006252</v>
      </c>
      <c r="L1118" s="434">
        <f t="shared" si="373"/>
        <v>679060.98980867246</v>
      </c>
      <c r="M1118" s="434">
        <f t="shared" si="373"/>
        <v>9426.1156907793938</v>
      </c>
      <c r="N1118" s="434">
        <f t="shared" si="373"/>
        <v>197850.98194620165</v>
      </c>
      <c r="O1118" s="434">
        <f t="shared" si="373"/>
        <v>6840.8883636646269</v>
      </c>
      <c r="P1118" s="434">
        <f t="shared" si="373"/>
        <v>15976.952857722987</v>
      </c>
      <c r="Q1118" s="434">
        <f t="shared" si="373"/>
        <v>1487.123396028851</v>
      </c>
      <c r="R1118" s="434">
        <f t="shared" si="373"/>
        <v>777.05046315711036</v>
      </c>
      <c r="S1118" s="434">
        <f t="shared" si="373"/>
        <v>1813.9476916343704</v>
      </c>
      <c r="T1118" s="17"/>
      <c r="U1118" s="18">
        <f>SUM(I1118:T1118)</f>
        <v>2549533.0999999996</v>
      </c>
      <c r="V1118" s="67"/>
      <c r="W1118" s="118">
        <f t="shared" si="352"/>
        <v>0</v>
      </c>
    </row>
    <row r="1119" spans="1:23" ht="18" customHeight="1">
      <c r="A1119" s="47"/>
      <c r="B1119" s="17">
        <f t="shared" si="358"/>
        <v>35</v>
      </c>
      <c r="C1119" s="1"/>
      <c r="D1119" s="778" t="s">
        <v>1249</v>
      </c>
      <c r="E1119" s="17"/>
      <c r="F1119" s="118">
        <f>' WP II-I-1.4'!H1120</f>
        <v>-57030.739999999998</v>
      </c>
      <c r="G1119" s="17">
        <v>68</v>
      </c>
      <c r="H1119" s="47" t="str">
        <f>VLOOKUP(G1119,FactorTable,2)</f>
        <v>RATEBASE</v>
      </c>
      <c r="I1119" s="17"/>
      <c r="J1119" s="434">
        <f t="shared" si="373"/>
        <v>-31728.039102753693</v>
      </c>
      <c r="K1119" s="434">
        <f t="shared" si="373"/>
        <v>-4874.484579081306</v>
      </c>
      <c r="L1119" s="434">
        <f t="shared" si="373"/>
        <v>-15189.977629206323</v>
      </c>
      <c r="M1119" s="434">
        <f t="shared" si="373"/>
        <v>-210.85364734851257</v>
      </c>
      <c r="N1119" s="434">
        <f t="shared" si="373"/>
        <v>-4425.7467808982437</v>
      </c>
      <c r="O1119" s="434">
        <f t="shared" si="373"/>
        <v>-153.02445990490682</v>
      </c>
      <c r="P1119" s="434">
        <f t="shared" si="373"/>
        <v>-357.38992540283414</v>
      </c>
      <c r="Q1119" s="434">
        <f t="shared" si="373"/>
        <v>-33.265599786423017</v>
      </c>
      <c r="R1119" s="434">
        <f t="shared" si="373"/>
        <v>-17.381913155468638</v>
      </c>
      <c r="S1119" s="434">
        <f t="shared" si="373"/>
        <v>-40.576362462287683</v>
      </c>
      <c r="T1119" s="17"/>
      <c r="U1119" s="18">
        <f t="shared" si="374" ref="U1119:U1120">SUM(I1119:T1119)</f>
        <v>-57030.740000000005</v>
      </c>
      <c r="V1119" s="67"/>
      <c r="W1119" s="118">
        <f t="shared" si="375" ref="W1119:W1120">U1119-F1119</f>
        <v>0</v>
      </c>
    </row>
    <row r="1120" spans="1:23" ht="18" customHeight="1">
      <c r="A1120" s="47"/>
      <c r="B1120" s="17">
        <f t="shared" si="358"/>
        <v>36</v>
      </c>
      <c r="C1120" s="1"/>
      <c r="D1120" s="778" t="s">
        <v>1250</v>
      </c>
      <c r="E1120" s="17"/>
      <c r="F1120" s="118">
        <f>' WP II-I-1.4'!H1121</f>
        <v>8615.1800000000003</v>
      </c>
      <c r="G1120" s="17">
        <v>68</v>
      </c>
      <c r="H1120" s="47" t="str">
        <f>VLOOKUP(G1120,FactorTable,2)</f>
        <v>RATEBASE</v>
      </c>
      <c r="I1120" s="17"/>
      <c r="J1120" s="435">
        <f t="shared" si="373"/>
        <v>4792.9023526130222</v>
      </c>
      <c r="K1120" s="435">
        <f t="shared" si="373"/>
        <v>736.34959069459194</v>
      </c>
      <c r="L1120" s="435">
        <f t="shared" si="373"/>
        <v>2294.6290276364243</v>
      </c>
      <c r="M1120" s="435">
        <f t="shared" si="373"/>
        <v>31.85198237939677</v>
      </c>
      <c r="N1120" s="435">
        <f t="shared" si="373"/>
        <v>668.56234290242298</v>
      </c>
      <c r="O1120" s="435">
        <f t="shared" si="373"/>
        <v>23.116187278712413</v>
      </c>
      <c r="P1120" s="435">
        <f t="shared" si="373"/>
        <v>53.988051663576329</v>
      </c>
      <c r="Q1120" s="435">
        <f t="shared" si="373"/>
        <v>5.0251694080770459</v>
      </c>
      <c r="R1120" s="435">
        <f t="shared" si="373"/>
        <v>2.6257472825835735</v>
      </c>
      <c r="S1120" s="435">
        <f t="shared" si="373"/>
        <v>6.1295481411928305</v>
      </c>
      <c r="T1120" s="17"/>
      <c r="U1120" s="18">
        <f t="shared" si="374"/>
        <v>8615.1800000000003</v>
      </c>
      <c r="V1120" s="67"/>
      <c r="W1120" s="118">
        <f t="shared" si="375"/>
        <v>0</v>
      </c>
    </row>
    <row r="1121" spans="1:23" ht="18" customHeight="1">
      <c r="A1121" s="47"/>
      <c r="B1121" s="17">
        <f t="shared" si="358"/>
        <v>37</v>
      </c>
      <c r="C1121" s="1"/>
      <c r="D1121" s="297" t="s">
        <v>491</v>
      </c>
      <c r="E1121" s="17"/>
      <c r="F1121" s="22">
        <f>SUM(F1116:F1118)</f>
        <v>2792137.0899999999</v>
      </c>
      <c r="G1121" s="17"/>
      <c r="H1121" s="17"/>
      <c r="I1121" s="17"/>
      <c r="J1121" s="896">
        <f t="shared" si="376" ref="J1121:Q1121">SUM(J1116:J1118)</f>
        <v>1553355.8703914573</v>
      </c>
      <c r="K1121" s="896">
        <f t="shared" si="376"/>
        <v>238647.24862216332</v>
      </c>
      <c r="L1121" s="896">
        <f t="shared" si="376"/>
        <v>743677.88204707217</v>
      </c>
      <c r="M1121" s="896">
        <f t="shared" si="376"/>
        <v>10323.06944156015</v>
      </c>
      <c r="N1121" s="896">
        <f t="shared" si="376"/>
        <v>216677.7379689285</v>
      </c>
      <c r="O1121" s="896">
        <f>SUM(O1116:O1118)</f>
        <v>7491.8415959131544</v>
      </c>
      <c r="P1121" s="896">
        <f t="shared" si="376"/>
        <v>17497.259658731178</v>
      </c>
      <c r="Q1121" s="896">
        <f t="shared" si="376"/>
        <v>1628.632470572323</v>
      </c>
      <c r="R1121" s="896">
        <f>SUM(R1116:R1118)</f>
        <v>850.99166548676942</v>
      </c>
      <c r="S1121" s="896">
        <f>SUM(S1116:S1118)</f>
        <v>1986.5561381149389</v>
      </c>
      <c r="T1121" s="17"/>
      <c r="U1121" s="299">
        <f>SUM(I1121:T1121)</f>
        <v>2792137.0899999999</v>
      </c>
      <c r="V1121" s="67"/>
      <c r="W1121" s="118">
        <f t="shared" si="352"/>
        <v>0</v>
      </c>
    </row>
    <row r="1122" spans="1:23" ht="18" customHeight="1">
      <c r="A1122" s="47"/>
      <c r="B1122" s="17">
        <f t="shared" si="358"/>
        <v>38</v>
      </c>
      <c r="C1122" s="1"/>
      <c r="D1122" s="1"/>
      <c r="E1122" s="17"/>
      <c r="F1122" s="291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8"/>
      <c r="V1122" s="67"/>
      <c r="W1122" s="118">
        <f t="shared" si="352"/>
        <v>0</v>
      </c>
    </row>
    <row r="1123" spans="1:23" ht="18" customHeight="1">
      <c r="A1123" s="47"/>
      <c r="B1123" s="17">
        <f t="shared" si="358"/>
        <v>39</v>
      </c>
      <c r="C1123" s="8"/>
      <c r="D1123" s="8" t="s">
        <v>325</v>
      </c>
      <c r="E1123" s="20" t="s">
        <v>316</v>
      </c>
      <c r="F1123" s="22"/>
      <c r="G1123" s="20"/>
      <c r="H1123" s="20"/>
      <c r="I1123" s="1010"/>
      <c r="J1123" s="1059"/>
      <c r="K1123" s="1059"/>
      <c r="L1123" s="1059"/>
      <c r="M1123" s="1059"/>
      <c r="N1123" s="1059"/>
      <c r="O1123" s="1059"/>
      <c r="P1123" s="1059"/>
      <c r="Q1123" s="1059"/>
      <c r="R1123" s="1059"/>
      <c r="S1123" s="1059"/>
      <c r="T1123" s="1010"/>
      <c r="U1123" s="18"/>
      <c r="V1123" s="67"/>
      <c r="W1123" s="118">
        <f t="shared" si="352"/>
        <v>0</v>
      </c>
    </row>
    <row r="1124" spans="1:23" ht="18" customHeight="1">
      <c r="A1124" s="47"/>
      <c r="B1124" s="17">
        <f t="shared" si="358"/>
        <v>40</v>
      </c>
      <c r="C1124" s="1"/>
      <c r="D1124" s="778" t="s">
        <v>323</v>
      </c>
      <c r="E1124" s="17"/>
      <c r="F1124" s="118">
        <f>' WP II-I-1.4'!H1125</f>
        <v>4807.2200000000003</v>
      </c>
      <c r="G1124" s="17">
        <v>68</v>
      </c>
      <c r="H1124" s="47" t="str">
        <f>VLOOKUP(G1124,FactorTable,2)</f>
        <v>RATEBASE</v>
      </c>
      <c r="I1124" s="17"/>
      <c r="J1124" s="434">
        <f t="shared" si="377" ref="J1124:Q1127">$F1124*HLOOKUP(J$1318,FactorTable,$G1124+1)</f>
        <v>2674.4114513600844</v>
      </c>
      <c r="K1124" s="434">
        <f t="shared" si="377"/>
        <v>410.87876044132059</v>
      </c>
      <c r="L1124" s="434">
        <f t="shared" si="377"/>
        <v>1280.3895628686078</v>
      </c>
      <c r="M1124" s="434">
        <f t="shared" si="377"/>
        <v>17.773219681293224</v>
      </c>
      <c r="N1124" s="434">
        <f t="shared" si="377"/>
        <v>373.05387305284233</v>
      </c>
      <c r="O1124" s="434">
        <f>$F1124*HLOOKUP(O$1318,FactorTable,$G1124+1)</f>
        <v>12.89869716128646</v>
      </c>
      <c r="P1124" s="434">
        <f t="shared" si="377"/>
        <v>30.125016740007453</v>
      </c>
      <c r="Q1124" s="434">
        <f t="shared" si="377"/>
        <v>2.8040151084360554</v>
      </c>
      <c r="R1124" s="434">
        <f t="shared" si="378" ref="R1124:S1127">$F1124*HLOOKUP(R$1318,FactorTable,$G1124+1)</f>
        <v>1.4651516105039484</v>
      </c>
      <c r="S1124" s="434">
        <f t="shared" si="378"/>
        <v>3.420251975618037</v>
      </c>
      <c r="T1124" s="17"/>
      <c r="U1124" s="18">
        <f>SUM(I1124:T1124)</f>
        <v>4807.2200000000003</v>
      </c>
      <c r="V1124" s="67"/>
      <c r="W1124" s="118">
        <f t="shared" si="352"/>
        <v>0</v>
      </c>
    </row>
    <row r="1125" spans="1:23" ht="18" customHeight="1">
      <c r="A1125" s="47"/>
      <c r="B1125" s="17">
        <f t="shared" si="358"/>
        <v>41</v>
      </c>
      <c r="C1125" s="1"/>
      <c r="D1125" s="1311" t="s">
        <v>1380</v>
      </c>
      <c r="E1125" s="17"/>
      <c r="F1125" s="118">
        <f>' WP II-I-1.4'!H1126</f>
        <v>0</v>
      </c>
      <c r="G1125" s="17">
        <v>68</v>
      </c>
      <c r="H1125" s="47" t="str">
        <f>VLOOKUP(G1125,FactorTable,2)</f>
        <v>RATEBASE</v>
      </c>
      <c r="I1125" s="17"/>
      <c r="J1125" s="434">
        <f t="shared" si="379" ref="J1125:N1126">$F1125*HLOOKUP(J$1318,FactorTable,$G1125+1)</f>
        <v>0</v>
      </c>
      <c r="K1125" s="434">
        <f t="shared" si="379"/>
        <v>0</v>
      </c>
      <c r="L1125" s="434">
        <f t="shared" si="379"/>
        <v>0</v>
      </c>
      <c r="M1125" s="434">
        <f t="shared" si="379"/>
        <v>0</v>
      </c>
      <c r="N1125" s="434">
        <f t="shared" si="379"/>
        <v>0</v>
      </c>
      <c r="O1125" s="434">
        <f>$F1125*HLOOKUP(O$1318,FactorTable,$G1125+1)</f>
        <v>0</v>
      </c>
      <c r="P1125" s="434">
        <f t="shared" si="380" ref="P1125:S1126">$F1125*HLOOKUP(P$1318,FactorTable,$G1125+1)</f>
        <v>0</v>
      </c>
      <c r="Q1125" s="434">
        <f t="shared" si="380"/>
        <v>0</v>
      </c>
      <c r="R1125" s="434">
        <f t="shared" si="380"/>
        <v>0</v>
      </c>
      <c r="S1125" s="434">
        <f t="shared" si="380"/>
        <v>0</v>
      </c>
      <c r="T1125" s="17"/>
      <c r="U1125" s="18">
        <f>SUM(I1125:T1125)</f>
        <v>0</v>
      </c>
      <c r="V1125" s="67"/>
      <c r="W1125" s="118">
        <f>U1125-F1125</f>
        <v>0</v>
      </c>
    </row>
    <row r="1126" spans="1:23" ht="18" customHeight="1">
      <c r="A1126" s="47"/>
      <c r="B1126" s="17">
        <f t="shared" si="358"/>
        <v>42</v>
      </c>
      <c r="C1126" s="1"/>
      <c r="D1126" s="778" t="s">
        <v>326</v>
      </c>
      <c r="F1126" s="118">
        <f>' WP II-I-1.4'!H1127</f>
        <v>0</v>
      </c>
      <c r="G1126">
        <v>59</v>
      </c>
      <c r="H1126" s="47" t="str">
        <f>VLOOKUP(G1126,FactorTable,2)</f>
        <v>PLANT_N</v>
      </c>
      <c r="J1126" s="434">
        <f t="shared" si="379"/>
        <v>0</v>
      </c>
      <c r="K1126" s="434">
        <f t="shared" si="379"/>
        <v>0</v>
      </c>
      <c r="L1126" s="434">
        <f t="shared" si="379"/>
        <v>0</v>
      </c>
      <c r="M1126" s="434">
        <f t="shared" si="379"/>
        <v>0</v>
      </c>
      <c r="N1126" s="434">
        <f t="shared" si="379"/>
        <v>0</v>
      </c>
      <c r="O1126" s="434">
        <f>$F1126*HLOOKUP(O$1318,FactorTable,$G1126+1)</f>
        <v>0</v>
      </c>
      <c r="P1126" s="434">
        <f t="shared" si="380"/>
        <v>0</v>
      </c>
      <c r="Q1126" s="434">
        <f t="shared" si="380"/>
        <v>0</v>
      </c>
      <c r="R1126" s="434">
        <f t="shared" si="380"/>
        <v>0</v>
      </c>
      <c r="S1126" s="434">
        <f t="shared" si="380"/>
        <v>0</v>
      </c>
      <c r="U1126" s="18">
        <f>SUM(I1126:T1126)</f>
        <v>0</v>
      </c>
      <c r="W1126" s="118">
        <f>U1126-F1126</f>
        <v>0</v>
      </c>
    </row>
    <row r="1127" spans="1:23" ht="18" customHeight="1">
      <c r="A1127" s="47"/>
      <c r="B1127" s="17">
        <f t="shared" si="358"/>
        <v>43</v>
      </c>
      <c r="C1127" s="1"/>
      <c r="D1127" s="19"/>
      <c r="E1127" s="17"/>
      <c r="F1127" s="118"/>
      <c r="G1127" s="17"/>
      <c r="H1127" s="47"/>
      <c r="I1127" s="17"/>
      <c r="J1127" s="435">
        <f t="shared" si="377"/>
        <v>0</v>
      </c>
      <c r="K1127" s="435">
        <f t="shared" si="377"/>
        <v>0</v>
      </c>
      <c r="L1127" s="435">
        <f t="shared" si="377"/>
        <v>0</v>
      </c>
      <c r="M1127" s="435">
        <f t="shared" si="377"/>
        <v>0</v>
      </c>
      <c r="N1127" s="435">
        <f t="shared" si="377"/>
        <v>0</v>
      </c>
      <c r="O1127" s="435">
        <f>$F1127*HLOOKUP(O$1318,FactorTable,$G1127+1)</f>
        <v>0</v>
      </c>
      <c r="P1127" s="435">
        <f t="shared" si="377"/>
        <v>0</v>
      </c>
      <c r="Q1127" s="435">
        <f t="shared" si="377"/>
        <v>0</v>
      </c>
      <c r="R1127" s="435">
        <f t="shared" si="378"/>
        <v>0</v>
      </c>
      <c r="S1127" s="435">
        <f t="shared" si="378"/>
        <v>0</v>
      </c>
      <c r="T1127" s="17"/>
      <c r="U1127" s="18">
        <f>SUM(I1127:T1127)</f>
        <v>0</v>
      </c>
      <c r="V1127" s="67"/>
      <c r="W1127" s="118">
        <f t="shared" si="352"/>
        <v>0</v>
      </c>
    </row>
    <row r="1128" spans="1:23" ht="18" customHeight="1">
      <c r="A1128" s="47"/>
      <c r="B1128" s="17">
        <f t="shared" si="358"/>
        <v>44</v>
      </c>
      <c r="C1128" s="1"/>
      <c r="D1128" s="297" t="s">
        <v>491</v>
      </c>
      <c r="E1128" s="17"/>
      <c r="F1128" s="22">
        <f>SUM(F1124:F1127)</f>
        <v>4807.2200000000003</v>
      </c>
      <c r="G1128" s="17"/>
      <c r="H1128" s="17"/>
      <c r="I1128" s="17"/>
      <c r="J1128" s="896">
        <f t="shared" si="381" ref="J1128:Q1128">SUM(J1124:J1127)</f>
        <v>2674.4114513600844</v>
      </c>
      <c r="K1128" s="896">
        <f t="shared" si="381"/>
        <v>410.87876044132059</v>
      </c>
      <c r="L1128" s="896">
        <f t="shared" si="381"/>
        <v>1280.3895628686078</v>
      </c>
      <c r="M1128" s="896">
        <f t="shared" si="381"/>
        <v>17.773219681293224</v>
      </c>
      <c r="N1128" s="896">
        <f t="shared" si="381"/>
        <v>373.05387305284233</v>
      </c>
      <c r="O1128" s="896">
        <f>SUM(O1124:O1127)</f>
        <v>12.89869716128646</v>
      </c>
      <c r="P1128" s="896">
        <f t="shared" si="381"/>
        <v>30.125016740007453</v>
      </c>
      <c r="Q1128" s="896">
        <f t="shared" si="381"/>
        <v>2.8040151084360554</v>
      </c>
      <c r="R1128" s="896">
        <f>SUM(R1124:R1127)</f>
        <v>1.4651516105039484</v>
      </c>
      <c r="S1128" s="896">
        <f>SUM(S1124:S1127)</f>
        <v>3.420251975618037</v>
      </c>
      <c r="T1128" s="17"/>
      <c r="U1128" s="299">
        <f>SUM(I1128:T1128)</f>
        <v>4807.2200000000003</v>
      </c>
      <c r="V1128" s="67"/>
      <c r="W1128" s="118">
        <f t="shared" si="352"/>
        <v>0</v>
      </c>
    </row>
    <row r="1129" spans="1:23" ht="18" customHeight="1" thickBot="1">
      <c r="A1129" s="47"/>
      <c r="B1129" s="17">
        <f t="shared" si="358"/>
        <v>45</v>
      </c>
      <c r="C1129" s="1"/>
      <c r="D1129" s="1"/>
      <c r="E1129" s="17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"/>
      <c r="V1129" s="67"/>
      <c r="W1129" s="118">
        <f t="shared" si="352"/>
        <v>0</v>
      </c>
    </row>
    <row r="1130" spans="1:23" ht="18" customHeight="1" thickBot="1">
      <c r="A1130" s="47"/>
      <c r="B1130" s="17">
        <f t="shared" si="358"/>
        <v>46</v>
      </c>
      <c r="C1130" s="284" t="s">
        <v>718</v>
      </c>
      <c r="D1130" s="285"/>
      <c r="E1130" s="374" t="s">
        <v>316</v>
      </c>
      <c r="F1130" s="255">
        <f>+F1113-SUM(F1116:F1120)+SUM(F1124:F1127)</f>
        <v>1649124.5175090355</v>
      </c>
      <c r="G1130" s="374"/>
      <c r="H1130" s="467"/>
      <c r="I1130" s="1066"/>
      <c r="J1130" s="903">
        <f t="shared" si="382" ref="J1130:S1130">+J1113-SUM(J1116:J1120)+SUM(J1124:J1127)</f>
        <v>917265.0636780028</v>
      </c>
      <c r="K1130" s="903">
        <f t="shared" si="382"/>
        <v>140880.77113301569</v>
      </c>
      <c r="L1130" s="903">
        <f t="shared" si="382"/>
        <v>439447.32750832138</v>
      </c>
      <c r="M1130" s="903">
        <f t="shared" si="382"/>
        <v>6093.5195527160749</v>
      </c>
      <c r="N1130" s="903">
        <f t="shared" si="382"/>
        <v>127971.60224352805</v>
      </c>
      <c r="O1130" s="903">
        <f t="shared" si="382"/>
        <v>4429.4797167988772</v>
      </c>
      <c r="P1130" s="903">
        <f t="shared" si="382"/>
        <v>10409.50779687761</v>
      </c>
      <c r="Q1130" s="903">
        <f t="shared" si="382"/>
        <v>952.0261633819166</v>
      </c>
      <c r="R1130" s="903">
        <f t="shared" si="382"/>
        <v>502.41415431693935</v>
      </c>
      <c r="S1130" s="903">
        <f t="shared" si="382"/>
        <v>1172.8055620769426</v>
      </c>
      <c r="T1130" s="467"/>
      <c r="U1130" s="380">
        <f>SUM(I1130:T1130)</f>
        <v>1649124.5175090362</v>
      </c>
      <c r="V1130" s="67"/>
      <c r="W1130" s="118">
        <f t="shared" si="352"/>
        <v>0</v>
      </c>
    </row>
    <row r="1131" spans="1:23" ht="18" customHeight="1">
      <c r="A1131" s="47"/>
      <c r="B1131" s="67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118">
        <f t="shared" si="383" ref="W1131:W1194">U1131-F1131</f>
        <v>0</v>
      </c>
    </row>
    <row r="1132" spans="1:23" ht="18" customHeight="1">
      <c r="A1132" s="47"/>
      <c r="B1132" s="67"/>
      <c r="C1132" s="67"/>
      <c r="D1132" s="67"/>
      <c r="E1132" s="67"/>
      <c r="F1132" s="67"/>
      <c r="G1132" s="67"/>
      <c r="H1132" s="134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134"/>
      <c r="V1132" s="134">
        <f>$H$2</f>
        <v>0</v>
      </c>
      <c r="W1132" s="118"/>
    </row>
    <row r="1133" spans="1:23" ht="18" customHeight="1" thickBot="1">
      <c r="A1133" s="47"/>
      <c r="B1133" s="67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118"/>
    </row>
    <row r="1134" spans="1:23" ht="18" customHeight="1">
      <c r="A1134" s="47"/>
      <c r="B1134" s="920" t="str">
        <f>+$B$4</f>
        <v>2022 RATE CASE</v>
      </c>
      <c r="C1134" s="935"/>
      <c r="D1134" s="969"/>
      <c r="F1134" s="332"/>
      <c r="U1134" s="134"/>
      <c r="W1134" s="118"/>
    </row>
    <row r="1135" spans="1:23" ht="18" customHeight="1">
      <c r="A1135" s="47"/>
      <c r="B1135" s="917" t="str">
        <f>+$B$5</f>
        <v>ONCOR ELECTRIC DELIVERY COMPANY LLC</v>
      </c>
      <c r="C1135" s="8"/>
      <c r="D1135" s="970"/>
      <c r="F1135" s="332"/>
      <c r="U1135" s="134"/>
      <c r="V1135" s="67"/>
      <c r="W1135" s="118"/>
    </row>
    <row r="1136" spans="1:23" ht="18" customHeight="1">
      <c r="A1136" s="47"/>
      <c r="B1136" s="917" t="str">
        <f>+$B$6</f>
        <v>II-I-1-MET:  CLASS REVENUE REQUIREMENT</v>
      </c>
      <c r="C1136" s="85"/>
      <c r="D1136" s="970"/>
      <c r="F1136" s="332"/>
      <c r="U1136" s="332"/>
      <c r="V1136" s="67"/>
      <c r="W1136" s="118"/>
    </row>
    <row r="1137" spans="1:23" ht="18" customHeight="1">
      <c r="A1137" s="47"/>
      <c r="B1137" s="406" t="str">
        <f>+$B$7</f>
        <v>TEST YEAR ENDING 12/31/2021</v>
      </c>
      <c r="C1137" s="85"/>
      <c r="D1137" s="970"/>
      <c r="F1137" s="332"/>
      <c r="U1137" s="332"/>
      <c r="V1137" s="67"/>
      <c r="W1137" s="118"/>
    </row>
    <row r="1138" spans="1:23" ht="18" customHeight="1">
      <c r="A1138" s="47"/>
      <c r="B1138" s="406" t="str">
        <f>+$B$8</f>
        <v>SPONSOR:  MATTHEW A. TROXLE</v>
      </c>
      <c r="C1138" s="85"/>
      <c r="D1138" s="970"/>
      <c r="F1138" s="332"/>
      <c r="U1138" s="332"/>
      <c r="V1138" s="67"/>
      <c r="W1138" s="118"/>
    </row>
    <row r="1139" spans="1:23" ht="18" customHeight="1" thickBot="1">
      <c r="A1139" s="47"/>
      <c r="B1139" s="410"/>
      <c r="C1139" s="934"/>
      <c r="D1139" s="936"/>
      <c r="F1139" s="332"/>
      <c r="U1139" s="332"/>
      <c r="V1139" s="67"/>
      <c r="W1139" s="118"/>
    </row>
    <row r="1140" spans="1:23" ht="18" customHeight="1" thickBot="1">
      <c r="A1140" s="47"/>
      <c r="B1140" s="13"/>
      <c r="C1140" s="14"/>
      <c r="D1140" s="14"/>
      <c r="E1140" s="14"/>
      <c r="F1140" s="13"/>
      <c r="G1140" s="14"/>
      <c r="H1140" s="14"/>
      <c r="I1140" s="14"/>
      <c r="J1140" s="238"/>
      <c r="K1140" s="238"/>
      <c r="L1140" s="14"/>
      <c r="M1140" s="238"/>
      <c r="N1140" s="238"/>
      <c r="O1140" s="238"/>
      <c r="P1140" s="238"/>
      <c r="Q1140" s="14"/>
      <c r="R1140" s="393" t="str">
        <f>R$10</f>
        <v xml:space="preserve"> </v>
      </c>
      <c r="S1140" s="394"/>
      <c r="T1140" s="238"/>
      <c r="U1140" s="13"/>
      <c r="V1140" s="67"/>
      <c r="W1140" s="118"/>
    </row>
    <row r="1141" spans="1:23" ht="18" customHeight="1">
      <c r="A1141" s="47"/>
      <c r="B1141" s="15" t="s">
        <v>2</v>
      </c>
      <c r="C1141" s="15" t="s">
        <v>370</v>
      </c>
      <c r="D1141" s="287" t="s">
        <v>719</v>
      </c>
      <c r="E1141" s="15" t="s">
        <v>371</v>
      </c>
      <c r="F1141" s="287" t="str">
        <f>F$11</f>
        <v>MET</v>
      </c>
      <c r="G1141" s="242" t="s">
        <v>741</v>
      </c>
      <c r="H1141" s="242" t="s">
        <v>376</v>
      </c>
      <c r="I1141" s="15"/>
      <c r="J1141" s="242" t="s">
        <v>730</v>
      </c>
      <c r="K1141" s="242" t="s">
        <v>409</v>
      </c>
      <c r="L1141" s="15" t="s">
        <v>409</v>
      </c>
      <c r="M1141" s="242" t="s">
        <v>410</v>
      </c>
      <c r="N1141" s="242" t="s">
        <v>410</v>
      </c>
      <c r="O1141" s="242" t="s">
        <v>410</v>
      </c>
      <c r="P1141" s="242" t="s">
        <v>411</v>
      </c>
      <c r="Q1141" s="15" t="s">
        <v>412</v>
      </c>
      <c r="R1141" s="396" t="str">
        <f>R$11</f>
        <v>Wholesale</v>
      </c>
      <c r="S1141" s="13" t="str">
        <f>S$11</f>
        <v>Wholesale</v>
      </c>
      <c r="T1141" s="242"/>
      <c r="U1141" s="15" t="s">
        <v>10</v>
      </c>
      <c r="V1141" s="67"/>
      <c r="W1141" s="118"/>
    </row>
    <row r="1142" spans="1:23" ht="18" customHeight="1">
      <c r="A1142" s="47"/>
      <c r="B1142" s="15"/>
      <c r="C1142" s="15"/>
      <c r="D1142" s="15"/>
      <c r="E1142" s="15"/>
      <c r="F1142" s="15"/>
      <c r="G1142" s="242" t="s">
        <v>742</v>
      </c>
      <c r="H1142" s="242" t="s">
        <v>743</v>
      </c>
      <c r="I1142" s="15"/>
      <c r="J1142" s="242"/>
      <c r="K1142" s="242" t="s">
        <v>731</v>
      </c>
      <c r="L1142" s="15" t="s">
        <v>732</v>
      </c>
      <c r="M1142" s="242" t="s">
        <v>731</v>
      </c>
      <c r="N1142" s="242" t="s">
        <v>732</v>
      </c>
      <c r="O1142" s="242" t="s">
        <v>414</v>
      </c>
      <c r="P1142" s="242"/>
      <c r="Q1142" s="15"/>
      <c r="R1142" s="235" t="str">
        <f>R$12</f>
        <v>XFMR</v>
      </c>
      <c r="S1142" s="15" t="str">
        <f>S$12</f>
        <v>DLS</v>
      </c>
      <c r="T1142" s="242"/>
      <c r="U1142" s="15"/>
      <c r="V1142" s="67"/>
      <c r="W1142" s="118"/>
    </row>
    <row r="1143" spans="1:23" ht="18" customHeight="1" thickBot="1">
      <c r="A1143" s="47"/>
      <c r="B1143" s="16"/>
      <c r="C1143" s="16"/>
      <c r="D1143" s="16"/>
      <c r="E1143" s="16"/>
      <c r="F1143" s="16" t="s">
        <v>13</v>
      </c>
      <c r="G1143" s="16" t="s">
        <v>14</v>
      </c>
      <c r="H1143" s="16" t="s">
        <v>15</v>
      </c>
      <c r="I1143" s="16"/>
      <c r="J1143" s="243" t="str">
        <f t="shared" si="384" ref="J1143:Q1143">J$13</f>
        <v>(d)</v>
      </c>
      <c r="K1143" s="243" t="str">
        <f t="shared" si="384"/>
        <v>(e)</v>
      </c>
      <c r="L1143" s="16" t="str">
        <f t="shared" si="384"/>
        <v>(f)</v>
      </c>
      <c r="M1143" s="243" t="str">
        <f t="shared" si="384"/>
        <v>(g)</v>
      </c>
      <c r="N1143" s="243" t="str">
        <f t="shared" si="384"/>
        <v>(h)</v>
      </c>
      <c r="O1143" s="243" t="str">
        <f>O$13</f>
        <v>(i)</v>
      </c>
      <c r="P1143" s="243" t="str">
        <f t="shared" si="384"/>
        <v>(j)</v>
      </c>
      <c r="Q1143" s="243" t="str">
        <f t="shared" si="384"/>
        <v>(k)</v>
      </c>
      <c r="R1143" s="243" t="str">
        <f>R$13</f>
        <v>(l)</v>
      </c>
      <c r="S1143" s="16" t="str">
        <f>S$13</f>
        <v>(m)</v>
      </c>
      <c r="T1143" s="16"/>
      <c r="U1143" s="16" t="s">
        <v>734</v>
      </c>
      <c r="V1143" s="67"/>
      <c r="W1143" s="118"/>
    </row>
    <row r="1144" spans="1:23" ht="18" customHeight="1">
      <c r="A1144" s="47"/>
      <c r="B1144" s="67"/>
      <c r="C1144" s="333"/>
      <c r="D1144" s="333"/>
      <c r="E1144" s="333"/>
      <c r="F1144" s="333"/>
      <c r="G1144" s="333"/>
      <c r="H1144" s="333"/>
      <c r="I1144" s="333"/>
      <c r="J1144" s="333"/>
      <c r="K1144" s="333"/>
      <c r="L1144" s="333"/>
      <c r="M1144" s="333"/>
      <c r="N1144" s="333"/>
      <c r="O1144" s="333"/>
      <c r="P1144" s="333"/>
      <c r="Q1144" s="333"/>
      <c r="R1144" s="333"/>
      <c r="S1144" s="333"/>
      <c r="T1144" s="333"/>
      <c r="U1144" s="43"/>
      <c r="V1144" s="67"/>
      <c r="W1144" s="118">
        <f t="shared" si="383"/>
        <v>0</v>
      </c>
    </row>
    <row r="1145" spans="1:23" ht="18" customHeight="1">
      <c r="A1145" s="47"/>
      <c r="B1145" s="17">
        <f t="shared" si="385" ref="B1145:B1156">B1144+1</f>
        <v>1</v>
      </c>
      <c r="C1145" s="366" t="s">
        <v>719</v>
      </c>
      <c r="D1145" s="8"/>
      <c r="E1145" s="20"/>
      <c r="F1145" s="22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8"/>
      <c r="V1145" s="67"/>
      <c r="W1145" s="118">
        <f t="shared" si="383"/>
        <v>0</v>
      </c>
    </row>
    <row r="1146" spans="1:23" ht="18" customHeight="1">
      <c r="A1146" s="47"/>
      <c r="B1146" s="17">
        <f t="shared" si="385"/>
        <v>2</v>
      </c>
      <c r="C1146" s="8"/>
      <c r="D1146" s="1"/>
      <c r="E1146" s="17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"/>
      <c r="V1146" s="67"/>
      <c r="W1146" s="118">
        <f t="shared" si="383"/>
        <v>0</v>
      </c>
    </row>
    <row r="1147" spans="1:23" ht="18" customHeight="1">
      <c r="A1147" s="47"/>
      <c r="B1147" s="17">
        <f t="shared" si="385"/>
        <v>3</v>
      </c>
      <c r="C1147" s="8" t="s">
        <v>720</v>
      </c>
      <c r="D1147" s="8"/>
      <c r="E1147" s="20"/>
      <c r="F1147" s="22"/>
      <c r="G1147" s="20"/>
      <c r="H1147" s="20"/>
      <c r="I1147" s="20"/>
      <c r="J1147" s="1059"/>
      <c r="K1147" s="1059"/>
      <c r="L1147" s="1059"/>
      <c r="M1147" s="1059"/>
      <c r="N1147" s="1059"/>
      <c r="O1147" s="1059"/>
      <c r="P1147" s="1059"/>
      <c r="Q1147" s="1059"/>
      <c r="R1147" s="1059"/>
      <c r="S1147" s="1059"/>
      <c r="T1147" s="20"/>
      <c r="U1147" s="8"/>
      <c r="V1147" s="67"/>
      <c r="W1147" s="118">
        <f t="shared" si="383"/>
        <v>0</v>
      </c>
    </row>
    <row r="1148" spans="1:23" ht="18" customHeight="1">
      <c r="A1148" s="47"/>
      <c r="B1148" s="17">
        <f t="shared" si="385"/>
        <v>4</v>
      </c>
      <c r="C1148" s="730" t="s">
        <v>328</v>
      </c>
      <c r="D1148" s="1" t="s">
        <v>329</v>
      </c>
      <c r="E1148" s="20" t="s">
        <v>330</v>
      </c>
      <c r="F1148" s="118">
        <f>' WP II-I-1.4'!H1150</f>
        <v>0</v>
      </c>
      <c r="G1148" s="17">
        <v>10</v>
      </c>
      <c r="H1148" s="47" t="str">
        <f>VLOOKUP(G1148,FactorTable,2)</f>
        <v>CUS U RTL</v>
      </c>
      <c r="I1148" s="1010"/>
      <c r="J1148" s="434">
        <f t="shared" si="386" ref="J1148:Q1148">$F1148*HLOOKUP(J$1318,FactorTable,$G1148+1)</f>
        <v>0</v>
      </c>
      <c r="K1148" s="434">
        <f t="shared" si="386"/>
        <v>0</v>
      </c>
      <c r="L1148" s="434">
        <f t="shared" si="386"/>
        <v>0</v>
      </c>
      <c r="M1148" s="434">
        <f t="shared" si="386"/>
        <v>0</v>
      </c>
      <c r="N1148" s="434">
        <f t="shared" si="386"/>
        <v>0</v>
      </c>
      <c r="O1148" s="434">
        <f>$F1148*HLOOKUP(O$1318,FactorTable,$G1148+1)</f>
        <v>0</v>
      </c>
      <c r="P1148" s="434">
        <f t="shared" si="386"/>
        <v>0</v>
      </c>
      <c r="Q1148" s="434">
        <f t="shared" si="386"/>
        <v>0</v>
      </c>
      <c r="R1148" s="434">
        <f>$F1148*HLOOKUP(R$1318,FactorTable,$G1148+1)</f>
        <v>0</v>
      </c>
      <c r="S1148" s="434">
        <f>$F1148*HLOOKUP(S$1318,FactorTable,$G1148+1)</f>
        <v>0</v>
      </c>
      <c r="T1148" s="1010"/>
      <c r="U1148" s="118">
        <f>SUM(I1148:T1148)</f>
        <v>0</v>
      </c>
      <c r="V1148" s="67"/>
      <c r="W1148" s="118">
        <f t="shared" si="383"/>
        <v>0</v>
      </c>
    </row>
    <row r="1149" spans="1:23" ht="18" customHeight="1" thickBot="1">
      <c r="A1149" s="47"/>
      <c r="B1149" s="17">
        <f t="shared" si="385"/>
        <v>5</v>
      </c>
      <c r="C1149" s="1"/>
      <c r="D1149" s="1"/>
      <c r="E1149" s="17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"/>
      <c r="V1149" s="67"/>
      <c r="W1149" s="118">
        <f t="shared" si="383"/>
        <v>0</v>
      </c>
    </row>
    <row r="1150" spans="1:23" ht="18" customHeight="1" thickBot="1">
      <c r="A1150" s="47"/>
      <c r="B1150" s="17">
        <f t="shared" si="385"/>
        <v>6</v>
      </c>
      <c r="C1150" s="284" t="s">
        <v>721</v>
      </c>
      <c r="D1150" s="336"/>
      <c r="E1150" s="337"/>
      <c r="F1150" s="278">
        <f>+F1148+F1072+F1040-F1038-F1037</f>
        <v>39452824.030000001</v>
      </c>
      <c r="G1150" s="337"/>
      <c r="H1150" s="457"/>
      <c r="I1150" s="458"/>
      <c r="J1150" s="356">
        <f t="shared" si="387" ref="J1150:Q1150">+J1148+J1072+J1040-J1038-J1037</f>
        <v>21994149.656672433</v>
      </c>
      <c r="K1150" s="905">
        <f t="shared" si="387"/>
        <v>3390512.7888108762</v>
      </c>
      <c r="L1150" s="905">
        <f t="shared" si="387"/>
        <v>10460887.056277655</v>
      </c>
      <c r="M1150" s="905">
        <f t="shared" si="387"/>
        <v>146839.00112878089</v>
      </c>
      <c r="N1150" s="905">
        <f t="shared" si="387"/>
        <v>3064618.3612860302</v>
      </c>
      <c r="O1150" s="905">
        <f>+O1148+O1072+O1040-O1038-O1037</f>
        <v>104762.93860950299</v>
      </c>
      <c r="P1150" s="905">
        <f t="shared" si="387"/>
        <v>228533.70383024245</v>
      </c>
      <c r="Q1150" s="905">
        <f t="shared" si="387"/>
        <v>22223.037804001258</v>
      </c>
      <c r="R1150" s="905">
        <f>+R1148+R1072+R1040-R1038-R1037</f>
        <v>12082.624217540597</v>
      </c>
      <c r="S1150" s="279">
        <f>+S1148+S1072+S1040-S1038-S1037</f>
        <v>28214.861362944761</v>
      </c>
      <c r="T1150" s="458"/>
      <c r="U1150" s="279">
        <f>SUM(I1150:T1150)</f>
        <v>39452824.029999994</v>
      </c>
      <c r="V1150" s="67"/>
      <c r="W1150" s="118">
        <f t="shared" si="383"/>
        <v>0</v>
      </c>
    </row>
    <row r="1151" spans="1:23" ht="18" customHeight="1" thickBot="1">
      <c r="A1151" s="47"/>
      <c r="B1151" s="17">
        <f t="shared" si="385"/>
        <v>7</v>
      </c>
      <c r="C1151" s="8"/>
      <c r="D1151" s="36"/>
      <c r="E1151" s="37"/>
      <c r="F1151" s="39"/>
      <c r="G1151" s="37"/>
      <c r="H1151" s="37"/>
      <c r="I1151" s="37"/>
      <c r="J1151" s="39"/>
      <c r="K1151" s="39"/>
      <c r="L1151" s="898"/>
      <c r="M1151" s="898"/>
      <c r="N1151" s="39"/>
      <c r="O1151" s="39"/>
      <c r="P1151" s="39"/>
      <c r="Q1151" s="39"/>
      <c r="R1151" s="39"/>
      <c r="S1151" s="39"/>
      <c r="T1151" s="37"/>
      <c r="U1151" s="290"/>
      <c r="V1151" s="47"/>
      <c r="W1151" s="118">
        <f t="shared" si="383"/>
        <v>0</v>
      </c>
    </row>
    <row r="1152" spans="1:23" ht="18" customHeight="1" thickBot="1">
      <c r="A1152" s="47"/>
      <c r="B1152" s="17">
        <f t="shared" si="385"/>
        <v>8</v>
      </c>
      <c r="C1152" s="284" t="s">
        <v>722</v>
      </c>
      <c r="D1152" s="336"/>
      <c r="E1152" s="337"/>
      <c r="F1152" s="278">
        <f>F1150+F1130</f>
        <v>41101948.547509037</v>
      </c>
      <c r="G1152" s="337"/>
      <c r="H1152" s="457"/>
      <c r="I1152" s="458"/>
      <c r="J1152" s="356">
        <f t="shared" si="388" ref="J1152:Q1152">J1150+J1130</f>
        <v>22911414.720350437</v>
      </c>
      <c r="K1152" s="905">
        <f t="shared" si="388"/>
        <v>3531393.5599438921</v>
      </c>
      <c r="L1152" s="905">
        <f t="shared" si="388"/>
        <v>10900334.383785976</v>
      </c>
      <c r="M1152" s="905">
        <f t="shared" si="388"/>
        <v>152932.52068149697</v>
      </c>
      <c r="N1152" s="905">
        <f t="shared" si="388"/>
        <v>3192589.9635295584</v>
      </c>
      <c r="O1152" s="905">
        <f>O1150+O1130</f>
        <v>109192.41832630186</v>
      </c>
      <c r="P1152" s="905">
        <f t="shared" si="388"/>
        <v>238943.21162712007</v>
      </c>
      <c r="Q1152" s="905">
        <f t="shared" si="388"/>
        <v>23175.063967383176</v>
      </c>
      <c r="R1152" s="905">
        <f>R1150+R1130</f>
        <v>12585.038371857536</v>
      </c>
      <c r="S1152" s="279">
        <f>S1150+S1130</f>
        <v>29387.666925021702</v>
      </c>
      <c r="T1152" s="458"/>
      <c r="U1152" s="279">
        <f>SUM(I1152:T1152)</f>
        <v>41101948.547509052</v>
      </c>
      <c r="V1152" s="67"/>
      <c r="W1152" s="118">
        <f t="shared" si="383"/>
        <v>0</v>
      </c>
    </row>
    <row r="1153" spans="1:23" ht="18" customHeight="1" thickBot="1">
      <c r="A1153" s="47"/>
      <c r="B1153" s="17">
        <f t="shared" si="385"/>
        <v>9</v>
      </c>
      <c r="C1153" s="8"/>
      <c r="D1153" s="36"/>
      <c r="E1153" s="37"/>
      <c r="F1153" s="39"/>
      <c r="G1153" s="37"/>
      <c r="H1153" s="37"/>
      <c r="I1153" s="37"/>
      <c r="J1153" s="39"/>
      <c r="K1153" s="39"/>
      <c r="L1153" s="898"/>
      <c r="M1153" s="898"/>
      <c r="N1153" s="39"/>
      <c r="O1153" s="39"/>
      <c r="P1153" s="39"/>
      <c r="Q1153" s="39"/>
      <c r="R1153" s="39"/>
      <c r="S1153" s="39"/>
      <c r="T1153" s="37"/>
      <c r="U1153" s="290"/>
      <c r="V1153" s="47"/>
      <c r="W1153" s="118">
        <f t="shared" si="383"/>
        <v>0</v>
      </c>
    </row>
    <row r="1154" spans="1:23" ht="18" customHeight="1" thickBot="1">
      <c r="A1154" s="47"/>
      <c r="B1154" s="17">
        <f t="shared" si="385"/>
        <v>10</v>
      </c>
      <c r="C1154" s="284" t="s">
        <v>723</v>
      </c>
      <c r="D1154" s="336"/>
      <c r="E1154" s="337"/>
      <c r="F1154" s="278">
        <f>F1130+F1072+F1040+F762</f>
        <v>175732623.48750904</v>
      </c>
      <c r="G1154" s="337"/>
      <c r="H1154" s="457"/>
      <c r="I1154" s="458"/>
      <c r="J1154" s="356">
        <f t="shared" si="389" ref="J1154:Q1154">J1130+J1072+J1040+J762</f>
        <v>98003403.121815786</v>
      </c>
      <c r="K1154" s="905">
        <f t="shared" si="389"/>
        <v>15098506.355466276</v>
      </c>
      <c r="L1154" s="905">
        <f t="shared" si="389"/>
        <v>46551650.132307693</v>
      </c>
      <c r="M1154" s="905">
        <f t="shared" si="389"/>
        <v>653446.2568505269</v>
      </c>
      <c r="N1154" s="905">
        <f t="shared" si="389"/>
        <v>13635593.137598783</v>
      </c>
      <c r="O1154" s="905">
        <f>O1130+O1072+O1040+O762</f>
        <v>466242.39127264638</v>
      </c>
      <c r="P1154" s="905">
        <f t="shared" si="389"/>
        <v>1016163.7578643393</v>
      </c>
      <c r="Q1154" s="905">
        <f t="shared" si="389"/>
        <v>128294.59119129242</v>
      </c>
      <c r="R1154" s="905">
        <f>R1130+R1072+R1040+R762</f>
        <v>53770.495681755696</v>
      </c>
      <c r="S1154" s="279">
        <f>S1130+S1072+S1040+S762</f>
        <v>125553.24745996295</v>
      </c>
      <c r="T1154" s="458"/>
      <c r="U1154" s="279">
        <f>SUM(I1154:T1154)</f>
        <v>175732623.48750904</v>
      </c>
      <c r="V1154" s="67"/>
      <c r="W1154" s="118">
        <f t="shared" si="383"/>
        <v>0</v>
      </c>
    </row>
    <row r="1155" spans="1:23" ht="18" customHeight="1" thickBot="1">
      <c r="A1155" s="47"/>
      <c r="B1155" s="17">
        <f t="shared" si="385"/>
        <v>11</v>
      </c>
      <c r="C1155" s="8"/>
      <c r="D1155" s="36"/>
      <c r="E1155" s="37"/>
      <c r="F1155" s="39"/>
      <c r="G1155" s="37"/>
      <c r="H1155" s="37"/>
      <c r="I1155" s="37"/>
      <c r="J1155" s="39"/>
      <c r="K1155" s="39"/>
      <c r="L1155" s="898"/>
      <c r="M1155" s="898"/>
      <c r="N1155" s="39"/>
      <c r="O1155" s="39"/>
      <c r="P1155" s="39"/>
      <c r="Q1155" s="39"/>
      <c r="R1155" s="39"/>
      <c r="S1155" s="39"/>
      <c r="T1155" s="37"/>
      <c r="U1155" s="290"/>
      <c r="V1155" s="47"/>
      <c r="W1155" s="118">
        <f t="shared" si="383"/>
        <v>0</v>
      </c>
    </row>
    <row r="1156" spans="1:23" ht="18" customHeight="1" thickBot="1">
      <c r="A1156" s="47"/>
      <c r="B1156" s="17">
        <f t="shared" si="385"/>
        <v>12</v>
      </c>
      <c r="C1156" s="284" t="s">
        <v>1268</v>
      </c>
      <c r="D1156" s="336"/>
      <c r="E1156" s="337"/>
      <c r="F1156" s="278">
        <f>F1154-F622</f>
        <v>175732623.48750904</v>
      </c>
      <c r="G1156" s="337"/>
      <c r="H1156" s="457"/>
      <c r="I1156" s="458"/>
      <c r="J1156" s="356">
        <f t="shared" si="390" ref="J1156:Q1156">J1154-J622</f>
        <v>98003403.121815786</v>
      </c>
      <c r="K1156" s="905">
        <f t="shared" si="390"/>
        <v>15098506.355466276</v>
      </c>
      <c r="L1156" s="905">
        <f t="shared" si="390"/>
        <v>46551650.132307693</v>
      </c>
      <c r="M1156" s="905">
        <f t="shared" si="390"/>
        <v>653446.2568505269</v>
      </c>
      <c r="N1156" s="905">
        <f t="shared" si="390"/>
        <v>13635593.137598783</v>
      </c>
      <c r="O1156" s="905">
        <f>O1154-O622</f>
        <v>466242.39127264638</v>
      </c>
      <c r="P1156" s="905">
        <f t="shared" si="390"/>
        <v>1016163.7578643393</v>
      </c>
      <c r="Q1156" s="905">
        <f t="shared" si="390"/>
        <v>128294.59119129242</v>
      </c>
      <c r="R1156" s="905">
        <f>R1154-R622</f>
        <v>53770.495681755696</v>
      </c>
      <c r="S1156" s="279">
        <f>S1154-S622</f>
        <v>125553.24745996295</v>
      </c>
      <c r="T1156" s="458"/>
      <c r="U1156" s="279">
        <f>SUM(I1156:T1156)</f>
        <v>175732623.48750904</v>
      </c>
      <c r="V1156" s="67"/>
      <c r="W1156" s="118">
        <f t="shared" si="383"/>
        <v>0</v>
      </c>
    </row>
    <row r="1157" spans="1:23" ht="18" customHeight="1">
      <c r="A1157" s="47"/>
      <c r="B1157" s="67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118">
        <f t="shared" si="383"/>
        <v>0</v>
      </c>
    </row>
    <row r="1158" spans="1:23" ht="18" customHeight="1">
      <c r="A1158" s="47"/>
      <c r="B1158" s="67"/>
      <c r="C1158" s="67"/>
      <c r="D1158" s="67"/>
      <c r="E1158" s="67"/>
      <c r="F1158" s="67"/>
      <c r="G1158" s="67"/>
      <c r="H1158" s="134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134"/>
      <c r="V1158" s="134">
        <f>$H$2</f>
        <v>0</v>
      </c>
      <c r="W1158" s="118"/>
    </row>
    <row r="1159" spans="1:23" ht="18" customHeight="1" thickBot="1">
      <c r="A1159" s="47"/>
      <c r="B1159" s="67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118"/>
    </row>
    <row r="1160" spans="1:23" ht="18" customHeight="1">
      <c r="A1160" s="47"/>
      <c r="B1160" s="920" t="str">
        <f>+$B$4</f>
        <v>2022 RATE CASE</v>
      </c>
      <c r="C1160" s="935"/>
      <c r="D1160" s="620"/>
      <c r="F1160" s="12"/>
      <c r="U1160" s="134"/>
      <c r="W1160" s="118"/>
    </row>
    <row r="1161" spans="1:23" ht="18" customHeight="1">
      <c r="A1161" s="47"/>
      <c r="B1161" s="917" t="str">
        <f>+$B$5</f>
        <v>ONCOR ELECTRIC DELIVERY COMPANY LLC</v>
      </c>
      <c r="C1161" s="8"/>
      <c r="D1161" s="621"/>
      <c r="F1161" s="12"/>
      <c r="U1161" s="134"/>
      <c r="V1161" s="67"/>
      <c r="W1161" s="118"/>
    </row>
    <row r="1162" spans="1:23" ht="18" customHeight="1">
      <c r="A1162" s="47"/>
      <c r="B1162" s="917" t="str">
        <f>+$B$6</f>
        <v>II-I-1-MET:  CLASS REVENUE REQUIREMENT</v>
      </c>
      <c r="C1162" s="85"/>
      <c r="D1162" s="621"/>
      <c r="F1162" s="12"/>
      <c r="U1162" s="12"/>
      <c r="V1162" s="67"/>
      <c r="W1162" s="118"/>
    </row>
    <row r="1163" spans="1:23" ht="18" customHeight="1">
      <c r="A1163" s="47"/>
      <c r="B1163" s="406" t="str">
        <f>+$B$7</f>
        <v>TEST YEAR ENDING 12/31/2021</v>
      </c>
      <c r="C1163" s="85"/>
      <c r="D1163" s="621"/>
      <c r="F1163" s="12"/>
      <c r="U1163" s="12"/>
      <c r="V1163" s="67"/>
      <c r="W1163" s="118"/>
    </row>
    <row r="1164" spans="1:23" ht="18" customHeight="1">
      <c r="A1164" s="47"/>
      <c r="B1164" s="406" t="str">
        <f>+$B$8</f>
        <v>SPONSOR:  MATTHEW A. TROXLE</v>
      </c>
      <c r="C1164" s="85"/>
      <c r="D1164" s="621"/>
      <c r="F1164" s="12"/>
      <c r="U1164" s="12"/>
      <c r="V1164" s="67"/>
      <c r="W1164" s="118"/>
    </row>
    <row r="1165" spans="1:23" ht="18" customHeight="1" thickBot="1">
      <c r="A1165" s="47"/>
      <c r="B1165" s="410"/>
      <c r="C1165" s="934"/>
      <c r="D1165" s="622"/>
      <c r="F1165" s="12"/>
      <c r="U1165" s="12"/>
      <c r="V1165" s="67"/>
      <c r="W1165" s="118"/>
    </row>
    <row r="1166" spans="1:23" ht="18" customHeight="1" thickBot="1">
      <c r="A1166" s="47"/>
      <c r="B1166" s="13"/>
      <c r="C1166" s="14"/>
      <c r="D1166" s="14"/>
      <c r="E1166" s="14"/>
      <c r="F1166" s="13"/>
      <c r="G1166" s="14"/>
      <c r="H1166" s="14"/>
      <c r="I1166" s="14"/>
      <c r="J1166" s="238"/>
      <c r="K1166" s="238"/>
      <c r="L1166" s="14"/>
      <c r="M1166" s="238"/>
      <c r="N1166" s="238"/>
      <c r="O1166" s="238"/>
      <c r="P1166" s="238"/>
      <c r="Q1166" s="14"/>
      <c r="R1166" s="393" t="str">
        <f>R$10</f>
        <v xml:space="preserve"> </v>
      </c>
      <c r="S1166" s="394"/>
      <c r="T1166" s="238"/>
      <c r="U1166" s="13"/>
      <c r="V1166" s="67"/>
      <c r="W1166" s="118"/>
    </row>
    <row r="1167" spans="1:23" ht="18" customHeight="1">
      <c r="A1167" s="47"/>
      <c r="B1167" s="15" t="s">
        <v>2</v>
      </c>
      <c r="C1167" s="15" t="s">
        <v>370</v>
      </c>
      <c r="D1167" s="287" t="s">
        <v>334</v>
      </c>
      <c r="E1167" s="15" t="s">
        <v>371</v>
      </c>
      <c r="F1167" s="287" t="str">
        <f>F$11</f>
        <v>MET</v>
      </c>
      <c r="G1167" s="242" t="s">
        <v>741</v>
      </c>
      <c r="H1167" s="242" t="s">
        <v>376</v>
      </c>
      <c r="I1167" s="15"/>
      <c r="J1167" s="242" t="s">
        <v>730</v>
      </c>
      <c r="K1167" s="242" t="s">
        <v>409</v>
      </c>
      <c r="L1167" s="15" t="s">
        <v>409</v>
      </c>
      <c r="M1167" s="242" t="s">
        <v>410</v>
      </c>
      <c r="N1167" s="242" t="s">
        <v>410</v>
      </c>
      <c r="O1167" s="242" t="s">
        <v>410</v>
      </c>
      <c r="P1167" s="242" t="s">
        <v>411</v>
      </c>
      <c r="Q1167" s="15" t="s">
        <v>412</v>
      </c>
      <c r="R1167" s="396" t="str">
        <f>R$11</f>
        <v>Wholesale</v>
      </c>
      <c r="S1167" s="13" t="str">
        <f>S$11</f>
        <v>Wholesale</v>
      </c>
      <c r="T1167" s="242"/>
      <c r="U1167" s="15" t="s">
        <v>10</v>
      </c>
      <c r="V1167" s="67"/>
      <c r="W1167" s="118"/>
    </row>
    <row r="1168" spans="1:23" ht="18" customHeight="1">
      <c r="A1168" s="47"/>
      <c r="B1168" s="15"/>
      <c r="C1168" s="15"/>
      <c r="D1168" s="15"/>
      <c r="E1168" s="15"/>
      <c r="F1168" s="15"/>
      <c r="G1168" s="242" t="s">
        <v>742</v>
      </c>
      <c r="H1168" s="242" t="s">
        <v>743</v>
      </c>
      <c r="I1168" s="15"/>
      <c r="J1168" s="242"/>
      <c r="K1168" s="242" t="s">
        <v>731</v>
      </c>
      <c r="L1168" s="15" t="s">
        <v>732</v>
      </c>
      <c r="M1168" s="242" t="s">
        <v>731</v>
      </c>
      <c r="N1168" s="242" t="s">
        <v>732</v>
      </c>
      <c r="O1168" s="242" t="s">
        <v>414</v>
      </c>
      <c r="P1168" s="242"/>
      <c r="Q1168" s="15"/>
      <c r="R1168" s="235" t="str">
        <f>R$12</f>
        <v>XFMR</v>
      </c>
      <c r="S1168" s="15" t="str">
        <f>S$12</f>
        <v>DLS</v>
      </c>
      <c r="T1168" s="242"/>
      <c r="U1168" s="15"/>
      <c r="V1168" s="67"/>
      <c r="W1168" s="118"/>
    </row>
    <row r="1169" spans="1:23" ht="18" customHeight="1" thickBot="1">
      <c r="A1169" s="47"/>
      <c r="B1169" s="16"/>
      <c r="C1169" s="16"/>
      <c r="D1169" s="16"/>
      <c r="E1169" s="16"/>
      <c r="F1169" s="16" t="s">
        <v>13</v>
      </c>
      <c r="G1169" s="16" t="s">
        <v>14</v>
      </c>
      <c r="H1169" s="16" t="s">
        <v>15</v>
      </c>
      <c r="I1169" s="16"/>
      <c r="J1169" s="243" t="str">
        <f t="shared" si="391" ref="J1169:Q1169">J$13</f>
        <v>(d)</v>
      </c>
      <c r="K1169" s="243" t="str">
        <f t="shared" si="391"/>
        <v>(e)</v>
      </c>
      <c r="L1169" s="16" t="str">
        <f t="shared" si="391"/>
        <v>(f)</v>
      </c>
      <c r="M1169" s="243" t="str">
        <f t="shared" si="391"/>
        <v>(g)</v>
      </c>
      <c r="N1169" s="243" t="str">
        <f t="shared" si="391"/>
        <v>(h)</v>
      </c>
      <c r="O1169" s="243" t="str">
        <f>O$13</f>
        <v>(i)</v>
      </c>
      <c r="P1169" s="243" t="str">
        <f t="shared" si="391"/>
        <v>(j)</v>
      </c>
      <c r="Q1169" s="243" t="str">
        <f t="shared" si="391"/>
        <v>(k)</v>
      </c>
      <c r="R1169" s="243" t="str">
        <f>R$13</f>
        <v>(l)</v>
      </c>
      <c r="S1169" s="16" t="str">
        <f>S$13</f>
        <v>(m)</v>
      </c>
      <c r="T1169" s="16"/>
      <c r="U1169" s="16" t="s">
        <v>734</v>
      </c>
      <c r="V1169" s="67"/>
      <c r="W1169" s="118"/>
    </row>
    <row r="1170" spans="1:23" ht="18" customHeight="1">
      <c r="A1170" s="47"/>
      <c r="B1170" s="67"/>
      <c r="C1170" s="100"/>
      <c r="D1170" s="100"/>
      <c r="E1170" s="315"/>
      <c r="F1170" s="373"/>
      <c r="G1170" s="17"/>
      <c r="H1170" s="315"/>
      <c r="I1170" s="315"/>
      <c r="J1170" s="315"/>
      <c r="K1170" s="315"/>
      <c r="L1170" s="315"/>
      <c r="M1170" s="315"/>
      <c r="N1170" s="315"/>
      <c r="O1170" s="315"/>
      <c r="P1170" s="315"/>
      <c r="Q1170" s="315"/>
      <c r="R1170" s="315"/>
      <c r="S1170" s="315"/>
      <c r="T1170" s="315"/>
      <c r="U1170" s="1"/>
      <c r="V1170" s="67"/>
      <c r="W1170" s="118">
        <f t="shared" si="383"/>
        <v>0</v>
      </c>
    </row>
    <row r="1171" spans="1:23" ht="18" customHeight="1">
      <c r="A1171" s="47"/>
      <c r="B1171" s="17">
        <f t="shared" si="392" ref="B1171:B1194">B1170+1</f>
        <v>1</v>
      </c>
      <c r="C1171" s="8" t="s">
        <v>724</v>
      </c>
      <c r="D1171" s="8"/>
      <c r="E1171" s="20" t="s">
        <v>335</v>
      </c>
      <c r="F1171" s="22"/>
      <c r="G1171" s="17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8"/>
      <c r="V1171" s="67"/>
      <c r="W1171" s="118">
        <f t="shared" si="383"/>
        <v>0</v>
      </c>
    </row>
    <row r="1172" spans="1:23" ht="18" customHeight="1">
      <c r="A1172" s="47"/>
      <c r="B1172" s="17">
        <f t="shared" si="392"/>
        <v>2</v>
      </c>
      <c r="C1172" s="8" t="s">
        <v>336</v>
      </c>
      <c r="D1172" s="8"/>
      <c r="E1172" s="20"/>
      <c r="F1172" s="22"/>
      <c r="G1172" s="17"/>
      <c r="H1172" s="20"/>
      <c r="I1172" s="1010"/>
      <c r="J1172" s="1059"/>
      <c r="K1172" s="1059"/>
      <c r="L1172" s="1059"/>
      <c r="M1172" s="1059"/>
      <c r="N1172" s="1059"/>
      <c r="O1172" s="1059"/>
      <c r="P1172" s="1059"/>
      <c r="Q1172" s="1059"/>
      <c r="R1172" s="1059"/>
      <c r="S1172" s="1059"/>
      <c r="T1172" s="1010"/>
      <c r="U1172" s="8"/>
      <c r="V1172" s="67"/>
      <c r="W1172" s="118">
        <f t="shared" si="383"/>
        <v>0</v>
      </c>
    </row>
    <row r="1173" spans="1:23" ht="18" customHeight="1">
      <c r="A1173" s="47"/>
      <c r="B1173" s="17">
        <f t="shared" si="392"/>
        <v>3</v>
      </c>
      <c r="C1173" s="1" t="s">
        <v>337</v>
      </c>
      <c r="D1173" s="1" t="s">
        <v>338</v>
      </c>
      <c r="E1173" s="17"/>
      <c r="F1173" s="118">
        <f>' WP II-I-1.4'!H1175</f>
        <v>0</v>
      </c>
      <c r="G1173" s="17">
        <v>57</v>
      </c>
      <c r="H1173" s="47" t="str">
        <f t="shared" si="393" ref="H1173:H1183">VLOOKUP(G1173,FactorTable,2)</f>
        <v>PLTDIST_N xWHL</v>
      </c>
      <c r="I1173" s="17"/>
      <c r="J1173" s="434">
        <f t="shared" si="394" ref="J1173:Q1183">$F1173*HLOOKUP(J$1318,FactorTable,$G1173+1)</f>
        <v>0</v>
      </c>
      <c r="K1173" s="434">
        <f t="shared" si="394"/>
        <v>0</v>
      </c>
      <c r="L1173" s="434">
        <f t="shared" si="394"/>
        <v>0</v>
      </c>
      <c r="M1173" s="434">
        <f t="shared" si="394"/>
        <v>0</v>
      </c>
      <c r="N1173" s="434">
        <f t="shared" si="394"/>
        <v>0</v>
      </c>
      <c r="O1173" s="434">
        <f t="shared" si="395" ref="O1173:O1183">$F1173*HLOOKUP(O$1318,FactorTable,$G1173+1)</f>
        <v>0</v>
      </c>
      <c r="P1173" s="434">
        <f t="shared" si="394"/>
        <v>0</v>
      </c>
      <c r="Q1173" s="434">
        <f t="shared" si="394"/>
        <v>0</v>
      </c>
      <c r="R1173" s="434">
        <f t="shared" si="396" ref="R1173:S1183">$F1173*HLOOKUP(R$1318,FactorTable,$G1173+1)</f>
        <v>0</v>
      </c>
      <c r="S1173" s="434">
        <f t="shared" si="396"/>
        <v>0</v>
      </c>
      <c r="T1173" s="17"/>
      <c r="U1173" s="118">
        <f t="shared" si="397" ref="U1173:U1184">SUM(I1173:T1173)</f>
        <v>0</v>
      </c>
      <c r="V1173" s="67"/>
      <c r="W1173" s="118">
        <f t="shared" si="383"/>
        <v>0</v>
      </c>
    </row>
    <row r="1174" spans="1:23" ht="18" customHeight="1">
      <c r="A1174" s="47"/>
      <c r="B1174" s="17">
        <f t="shared" si="392"/>
        <v>4</v>
      </c>
      <c r="C1174" s="1" t="s">
        <v>339</v>
      </c>
      <c r="D1174" s="1" t="s">
        <v>340</v>
      </c>
      <c r="E1174" s="17"/>
      <c r="F1174" s="118">
        <f>' WP II-I-1.4'!H1176</f>
        <v>0</v>
      </c>
      <c r="G1174" s="17">
        <v>92</v>
      </c>
      <c r="H1174" s="47" t="str">
        <f t="shared" si="393"/>
        <v>RCOS x565</v>
      </c>
      <c r="I1174" s="17"/>
      <c r="J1174" s="434">
        <f t="shared" si="394"/>
        <v>0</v>
      </c>
      <c r="K1174" s="434">
        <f t="shared" si="394"/>
        <v>0</v>
      </c>
      <c r="L1174" s="434">
        <f t="shared" si="394"/>
        <v>0</v>
      </c>
      <c r="M1174" s="434">
        <f t="shared" si="394"/>
        <v>0</v>
      </c>
      <c r="N1174" s="434">
        <f t="shared" si="394"/>
        <v>0</v>
      </c>
      <c r="O1174" s="434">
        <f t="shared" si="395"/>
        <v>0</v>
      </c>
      <c r="P1174" s="434">
        <f t="shared" si="394"/>
        <v>0</v>
      </c>
      <c r="Q1174" s="434">
        <f t="shared" si="394"/>
        <v>0</v>
      </c>
      <c r="R1174" s="434">
        <f t="shared" si="396"/>
        <v>0</v>
      </c>
      <c r="S1174" s="434">
        <f t="shared" si="396"/>
        <v>0</v>
      </c>
      <c r="T1174" s="17"/>
      <c r="U1174" s="118">
        <f t="shared" si="397"/>
        <v>0</v>
      </c>
      <c r="V1174" s="67"/>
      <c r="W1174" s="118">
        <f t="shared" si="383"/>
        <v>0</v>
      </c>
    </row>
    <row r="1175" spans="1:23" ht="18" customHeight="1">
      <c r="A1175" s="47"/>
      <c r="B1175" s="17">
        <f t="shared" si="392"/>
        <v>5</v>
      </c>
      <c r="C1175" s="1" t="s">
        <v>725</v>
      </c>
      <c r="D1175" s="28" t="s">
        <v>342</v>
      </c>
      <c r="E1175" s="17"/>
      <c r="F1175" s="118">
        <f>' WP II-I-1.4'!H1177</f>
        <v>5094630.9699999997</v>
      </c>
      <c r="G1175" s="17">
        <v>8</v>
      </c>
      <c r="H1175" s="47" t="str">
        <f t="shared" si="393"/>
        <v>CUS W RTL</v>
      </c>
      <c r="I1175" s="17"/>
      <c r="J1175" s="434">
        <f t="shared" si="394"/>
        <v>2843185.9046486132</v>
      </c>
      <c r="K1175" s="434">
        <f t="shared" si="394"/>
        <v>438346.046443525</v>
      </c>
      <c r="L1175" s="434">
        <f t="shared" si="394"/>
        <v>1352093.5440692713</v>
      </c>
      <c r="M1175" s="434">
        <f t="shared" si="394"/>
        <v>18985.446308968392</v>
      </c>
      <c r="N1175" s="434">
        <f t="shared" si="394"/>
        <v>396175.12150446291</v>
      </c>
      <c r="O1175" s="434">
        <f t="shared" si="395"/>
        <v>13538.494780001949</v>
      </c>
      <c r="P1175" s="434">
        <f t="shared" si="394"/>
        <v>29472.261713388856</v>
      </c>
      <c r="Q1175" s="434">
        <f t="shared" si="394"/>
        <v>2834.1505317679116</v>
      </c>
      <c r="R1175" s="434">
        <f t="shared" si="396"/>
        <v>0</v>
      </c>
      <c r="S1175" s="434">
        <f t="shared" si="396"/>
        <v>0</v>
      </c>
      <c r="T1175" s="17"/>
      <c r="U1175" s="118">
        <f t="shared" si="397"/>
        <v>5094630.9700000007</v>
      </c>
      <c r="V1175" s="67"/>
      <c r="W1175" s="118">
        <f t="shared" si="383"/>
        <v>0</v>
      </c>
    </row>
    <row r="1176" spans="1:23" ht="18" customHeight="1">
      <c r="A1176" s="47"/>
      <c r="B1176" s="17">
        <f t="shared" si="392"/>
        <v>6</v>
      </c>
      <c r="C1176" s="1" t="s">
        <v>725</v>
      </c>
      <c r="D1176" s="1" t="s">
        <v>344</v>
      </c>
      <c r="E1176" s="17"/>
      <c r="F1176" s="118">
        <f>' WP II-I-1.4'!H1178</f>
        <v>0</v>
      </c>
      <c r="G1176" s="17">
        <v>58</v>
      </c>
      <c r="H1176" s="47" t="str">
        <f t="shared" si="393"/>
        <v>PLTDIST_N</v>
      </c>
      <c r="I1176" s="17"/>
      <c r="J1176" s="434">
        <f t="shared" si="394"/>
        <v>0</v>
      </c>
      <c r="K1176" s="434">
        <f t="shared" si="394"/>
        <v>0</v>
      </c>
      <c r="L1176" s="434">
        <f t="shared" si="394"/>
        <v>0</v>
      </c>
      <c r="M1176" s="434">
        <f t="shared" si="394"/>
        <v>0</v>
      </c>
      <c r="N1176" s="434">
        <f t="shared" si="394"/>
        <v>0</v>
      </c>
      <c r="O1176" s="434">
        <f t="shared" si="395"/>
        <v>0</v>
      </c>
      <c r="P1176" s="434">
        <f t="shared" si="394"/>
        <v>0</v>
      </c>
      <c r="Q1176" s="434">
        <f t="shared" si="394"/>
        <v>0</v>
      </c>
      <c r="R1176" s="434">
        <f t="shared" si="396"/>
        <v>0</v>
      </c>
      <c r="S1176" s="434">
        <f t="shared" si="396"/>
        <v>0</v>
      </c>
      <c r="T1176" s="17"/>
      <c r="U1176" s="118">
        <f t="shared" si="397"/>
        <v>0</v>
      </c>
      <c r="V1176" s="67"/>
      <c r="W1176" s="118">
        <f t="shared" si="383"/>
        <v>0</v>
      </c>
    </row>
    <row r="1177" spans="1:23" ht="18" customHeight="1">
      <c r="A1177" s="47"/>
      <c r="B1177" s="17">
        <f t="shared" si="392"/>
        <v>7</v>
      </c>
      <c r="C1177" s="1" t="s">
        <v>345</v>
      </c>
      <c r="D1177" s="1" t="s">
        <v>346</v>
      </c>
      <c r="E1177" s="17"/>
      <c r="F1177" s="290">
        <f>' WP II-I-1.4'!H1179</f>
        <v>0</v>
      </c>
      <c r="G1177" s="17">
        <v>45</v>
      </c>
      <c r="H1177" s="47" t="str">
        <f t="shared" si="393"/>
        <v>PLT 364</v>
      </c>
      <c r="I1177" s="17"/>
      <c r="J1177" s="434">
        <f t="shared" si="394"/>
        <v>0</v>
      </c>
      <c r="K1177" s="434">
        <f t="shared" si="394"/>
        <v>0</v>
      </c>
      <c r="L1177" s="434">
        <f t="shared" si="394"/>
        <v>0</v>
      </c>
      <c r="M1177" s="434">
        <f t="shared" si="394"/>
        <v>0</v>
      </c>
      <c r="N1177" s="434">
        <f t="shared" si="394"/>
        <v>0</v>
      </c>
      <c r="O1177" s="434">
        <f t="shared" si="395"/>
        <v>0</v>
      </c>
      <c r="P1177" s="434">
        <f t="shared" si="394"/>
        <v>0</v>
      </c>
      <c r="Q1177" s="434">
        <f t="shared" si="394"/>
        <v>0</v>
      </c>
      <c r="R1177" s="434">
        <f t="shared" si="396"/>
        <v>0</v>
      </c>
      <c r="S1177" s="434">
        <f t="shared" si="396"/>
        <v>0</v>
      </c>
      <c r="T1177" s="17"/>
      <c r="U1177" s="118">
        <f t="shared" si="397"/>
        <v>0</v>
      </c>
      <c r="V1177" s="67"/>
      <c r="W1177" s="118">
        <f t="shared" si="383"/>
        <v>0</v>
      </c>
    </row>
    <row r="1178" spans="1:23" ht="18" customHeight="1">
      <c r="A1178" s="47"/>
      <c r="B1178" s="17">
        <f t="shared" si="392"/>
        <v>8</v>
      </c>
      <c r="C1178" s="1" t="s">
        <v>372</v>
      </c>
      <c r="D1178" s="1" t="s">
        <v>959</v>
      </c>
      <c r="E1178" s="17" t="s">
        <v>961</v>
      </c>
      <c r="F1178" s="290">
        <f>' WP II-I-1.4'!H1180</f>
        <v>0</v>
      </c>
      <c r="G1178" s="17">
        <v>45</v>
      </c>
      <c r="H1178" s="47" t="str">
        <f t="shared" si="393"/>
        <v>PLT 364</v>
      </c>
      <c r="I1178" s="17"/>
      <c r="J1178" s="434">
        <f t="shared" si="394"/>
        <v>0</v>
      </c>
      <c r="K1178" s="434">
        <f t="shared" si="394"/>
        <v>0</v>
      </c>
      <c r="L1178" s="434">
        <f t="shared" si="394"/>
        <v>0</v>
      </c>
      <c r="M1178" s="434">
        <f t="shared" si="394"/>
        <v>0</v>
      </c>
      <c r="N1178" s="434">
        <f t="shared" si="394"/>
        <v>0</v>
      </c>
      <c r="O1178" s="434">
        <f t="shared" si="395"/>
        <v>0</v>
      </c>
      <c r="P1178" s="434">
        <f t="shared" si="394"/>
        <v>0</v>
      </c>
      <c r="Q1178" s="434">
        <f t="shared" si="394"/>
        <v>0</v>
      </c>
      <c r="R1178" s="434">
        <f t="shared" si="396"/>
        <v>0</v>
      </c>
      <c r="S1178" s="434">
        <f t="shared" si="396"/>
        <v>0</v>
      </c>
      <c r="T1178" s="17"/>
      <c r="U1178" s="118">
        <f t="shared" si="397"/>
        <v>0</v>
      </c>
      <c r="V1178" s="67"/>
      <c r="W1178" s="118">
        <f t="shared" si="383"/>
        <v>0</v>
      </c>
    </row>
    <row r="1179" spans="1:23" ht="18" customHeight="1">
      <c r="A1179" s="47"/>
      <c r="B1179" s="17">
        <f t="shared" si="392"/>
        <v>9</v>
      </c>
      <c r="C1179" s="1" t="s">
        <v>374</v>
      </c>
      <c r="D1179" s="1" t="s">
        <v>960</v>
      </c>
      <c r="E1179" s="17" t="s">
        <v>961</v>
      </c>
      <c r="F1179" s="290">
        <f>' WP II-I-1.4'!H1181</f>
        <v>0</v>
      </c>
      <c r="G1179" s="17">
        <v>47</v>
      </c>
      <c r="H1179" s="47" t="str">
        <f t="shared" si="393"/>
        <v>PLT 366</v>
      </c>
      <c r="I1179" s="17"/>
      <c r="J1179" s="434">
        <f t="shared" si="394"/>
        <v>0</v>
      </c>
      <c r="K1179" s="434">
        <f t="shared" si="394"/>
        <v>0</v>
      </c>
      <c r="L1179" s="434">
        <f t="shared" si="394"/>
        <v>0</v>
      </c>
      <c r="M1179" s="434">
        <f t="shared" si="394"/>
        <v>0</v>
      </c>
      <c r="N1179" s="434">
        <f t="shared" si="394"/>
        <v>0</v>
      </c>
      <c r="O1179" s="434">
        <f t="shared" si="395"/>
        <v>0</v>
      </c>
      <c r="P1179" s="434">
        <f t="shared" si="394"/>
        <v>0</v>
      </c>
      <c r="Q1179" s="434">
        <f t="shared" si="394"/>
        <v>0</v>
      </c>
      <c r="R1179" s="434">
        <f t="shared" si="396"/>
        <v>0</v>
      </c>
      <c r="S1179" s="434">
        <f t="shared" si="396"/>
        <v>0</v>
      </c>
      <c r="T1179" s="17"/>
      <c r="U1179" s="118">
        <f>SUM(I1179:T1179)</f>
        <v>0</v>
      </c>
      <c r="V1179" s="67"/>
      <c r="W1179" s="118">
        <f t="shared" si="383"/>
        <v>0</v>
      </c>
    </row>
    <row r="1180" spans="1:23" ht="18" customHeight="1">
      <c r="A1180" s="47"/>
      <c r="B1180" s="17">
        <f t="shared" si="392"/>
        <v>10</v>
      </c>
      <c r="C1180" s="1" t="s">
        <v>349</v>
      </c>
      <c r="D1180" s="1" t="s">
        <v>350</v>
      </c>
      <c r="E1180" s="17"/>
      <c r="F1180" s="290">
        <f>' WP II-I-1.4'!H1182</f>
        <v>0</v>
      </c>
      <c r="G1180" s="17">
        <v>45</v>
      </c>
      <c r="H1180" s="47" t="str">
        <f t="shared" si="393"/>
        <v>PLT 364</v>
      </c>
      <c r="I1180" s="17"/>
      <c r="J1180" s="434">
        <f t="shared" si="394"/>
        <v>0</v>
      </c>
      <c r="K1180" s="434">
        <f t="shared" si="394"/>
        <v>0</v>
      </c>
      <c r="L1180" s="434">
        <f t="shared" si="394"/>
        <v>0</v>
      </c>
      <c r="M1180" s="434">
        <f t="shared" si="394"/>
        <v>0</v>
      </c>
      <c r="N1180" s="434">
        <f t="shared" si="394"/>
        <v>0</v>
      </c>
      <c r="O1180" s="434">
        <f t="shared" si="395"/>
        <v>0</v>
      </c>
      <c r="P1180" s="434">
        <f t="shared" si="394"/>
        <v>0</v>
      </c>
      <c r="Q1180" s="434">
        <f t="shared" si="394"/>
        <v>0</v>
      </c>
      <c r="R1180" s="434">
        <f t="shared" si="396"/>
        <v>0</v>
      </c>
      <c r="S1180" s="434">
        <f t="shared" si="396"/>
        <v>0</v>
      </c>
      <c r="T1180" s="17"/>
      <c r="U1180" s="118">
        <f t="shared" si="397"/>
        <v>0</v>
      </c>
      <c r="V1180" s="67"/>
      <c r="W1180" s="118">
        <f t="shared" si="383"/>
        <v>0</v>
      </c>
    </row>
    <row r="1181" spans="1:23" ht="18" customHeight="1">
      <c r="A1181" s="47"/>
      <c r="B1181" s="17">
        <f t="shared" si="392"/>
        <v>11</v>
      </c>
      <c r="C1181" s="1" t="s">
        <v>351</v>
      </c>
      <c r="D1181" s="1" t="s">
        <v>352</v>
      </c>
      <c r="E1181" s="17"/>
      <c r="F1181" s="290">
        <f>' WP II-I-1.4'!H1183</f>
        <v>0</v>
      </c>
      <c r="G1181" s="17">
        <v>62</v>
      </c>
      <c r="H1181" s="47" t="str">
        <f t="shared" si="393"/>
        <v>PLTGEN</v>
      </c>
      <c r="I1181" s="17"/>
      <c r="J1181" s="434">
        <f t="shared" si="394"/>
        <v>0</v>
      </c>
      <c r="K1181" s="434">
        <f t="shared" si="394"/>
        <v>0</v>
      </c>
      <c r="L1181" s="434">
        <f t="shared" si="394"/>
        <v>0</v>
      </c>
      <c r="M1181" s="434">
        <f t="shared" si="394"/>
        <v>0</v>
      </c>
      <c r="N1181" s="434">
        <f t="shared" si="394"/>
        <v>0</v>
      </c>
      <c r="O1181" s="434">
        <f t="shared" si="395"/>
        <v>0</v>
      </c>
      <c r="P1181" s="434">
        <f t="shared" si="394"/>
        <v>0</v>
      </c>
      <c r="Q1181" s="434">
        <f t="shared" si="394"/>
        <v>0</v>
      </c>
      <c r="R1181" s="434">
        <f t="shared" si="396"/>
        <v>0</v>
      </c>
      <c r="S1181" s="434">
        <f t="shared" si="396"/>
        <v>0</v>
      </c>
      <c r="T1181" s="17"/>
      <c r="U1181" s="118">
        <f t="shared" si="397"/>
        <v>0</v>
      </c>
      <c r="V1181" s="67"/>
      <c r="W1181" s="118">
        <f t="shared" si="383"/>
        <v>0</v>
      </c>
    </row>
    <row r="1182" spans="1:23" ht="18" customHeight="1">
      <c r="A1182" s="47"/>
      <c r="B1182" s="17">
        <f t="shared" si="392"/>
        <v>12</v>
      </c>
      <c r="C1182" s="1" t="s">
        <v>353</v>
      </c>
      <c r="D1182" s="1" t="s">
        <v>354</v>
      </c>
      <c r="E1182" s="17"/>
      <c r="F1182" s="118">
        <f>' WP II-I-1.4'!H1184</f>
        <v>0</v>
      </c>
      <c r="G1182" s="17">
        <v>40</v>
      </c>
      <c r="H1182" s="47" t="str">
        <f t="shared" si="393"/>
        <v>PLT 360</v>
      </c>
      <c r="I1182" s="17"/>
      <c r="J1182" s="434">
        <f t="shared" si="394"/>
        <v>0</v>
      </c>
      <c r="K1182" s="434">
        <f t="shared" si="394"/>
        <v>0</v>
      </c>
      <c r="L1182" s="434">
        <f t="shared" si="394"/>
        <v>0</v>
      </c>
      <c r="M1182" s="434">
        <f t="shared" si="394"/>
        <v>0</v>
      </c>
      <c r="N1182" s="434">
        <f t="shared" si="394"/>
        <v>0</v>
      </c>
      <c r="O1182" s="434">
        <f t="shared" si="395"/>
        <v>0</v>
      </c>
      <c r="P1182" s="434">
        <f t="shared" si="394"/>
        <v>0</v>
      </c>
      <c r="Q1182" s="434">
        <f t="shared" si="394"/>
        <v>0</v>
      </c>
      <c r="R1182" s="434">
        <f t="shared" si="396"/>
        <v>0</v>
      </c>
      <c r="S1182" s="434">
        <f t="shared" si="396"/>
        <v>0</v>
      </c>
      <c r="T1182" s="17"/>
      <c r="U1182" s="118">
        <f t="shared" si="397"/>
        <v>0</v>
      </c>
      <c r="V1182" s="67"/>
      <c r="W1182" s="118">
        <f t="shared" si="383"/>
        <v>0</v>
      </c>
    </row>
    <row r="1183" spans="1:23" ht="18" customHeight="1">
      <c r="A1183" s="47"/>
      <c r="B1183" s="17">
        <f t="shared" si="392"/>
        <v>13</v>
      </c>
      <c r="C1183" s="1" t="s">
        <v>355</v>
      </c>
      <c r="D1183" s="1" t="s">
        <v>356</v>
      </c>
      <c r="E1183" s="17"/>
      <c r="F1183" s="118">
        <f>' WP II-I-1.4'!H1185</f>
        <v>0</v>
      </c>
      <c r="G1183" s="17">
        <v>58</v>
      </c>
      <c r="H1183" s="47" t="str">
        <f t="shared" si="393"/>
        <v>PLTDIST_N</v>
      </c>
      <c r="I1183" s="17"/>
      <c r="J1183" s="434">
        <f t="shared" si="394"/>
        <v>0</v>
      </c>
      <c r="K1183" s="434">
        <f t="shared" si="394"/>
        <v>0</v>
      </c>
      <c r="L1183" s="434">
        <f t="shared" si="394"/>
        <v>0</v>
      </c>
      <c r="M1183" s="434">
        <f t="shared" si="394"/>
        <v>0</v>
      </c>
      <c r="N1183" s="434">
        <f t="shared" si="394"/>
        <v>0</v>
      </c>
      <c r="O1183" s="434">
        <f t="shared" si="395"/>
        <v>0</v>
      </c>
      <c r="P1183" s="434">
        <f t="shared" si="394"/>
        <v>0</v>
      </c>
      <c r="Q1183" s="434">
        <f t="shared" si="394"/>
        <v>0</v>
      </c>
      <c r="R1183" s="434">
        <f t="shared" si="396"/>
        <v>0</v>
      </c>
      <c r="S1183" s="434">
        <f t="shared" si="396"/>
        <v>0</v>
      </c>
      <c r="T1183" s="17"/>
      <c r="U1183" s="118">
        <f t="shared" si="397"/>
        <v>0</v>
      </c>
      <c r="V1183" s="67"/>
      <c r="W1183" s="118">
        <f t="shared" si="383"/>
        <v>0</v>
      </c>
    </row>
    <row r="1184" spans="1:23" ht="18" customHeight="1">
      <c r="A1184" s="47"/>
      <c r="B1184" s="17">
        <f t="shared" si="392"/>
        <v>14</v>
      </c>
      <c r="C1184" s="252"/>
      <c r="D1184" s="388" t="s">
        <v>491</v>
      </c>
      <c r="E1184" s="252"/>
      <c r="F1184" s="22">
        <f>SUM(F1173:F1183)</f>
        <v>5094630.9699999997</v>
      </c>
      <c r="G1184" s="252"/>
      <c r="H1184" s="252"/>
      <c r="I1184" s="252"/>
      <c r="J1184" s="22">
        <f t="shared" si="398" ref="J1184:Q1184">SUM(J1173:J1183)</f>
        <v>2843185.9046486132</v>
      </c>
      <c r="K1184" s="22">
        <f t="shared" si="398"/>
        <v>438346.046443525</v>
      </c>
      <c r="L1184" s="22">
        <f t="shared" si="398"/>
        <v>1352093.5440692713</v>
      </c>
      <c r="M1184" s="22">
        <f t="shared" si="398"/>
        <v>18985.446308968392</v>
      </c>
      <c r="N1184" s="22">
        <f t="shared" si="398"/>
        <v>396175.12150446291</v>
      </c>
      <c r="O1184" s="22">
        <f>SUM(O1173:O1183)</f>
        <v>13538.494780001949</v>
      </c>
      <c r="P1184" s="22">
        <f t="shared" si="398"/>
        <v>29472.261713388856</v>
      </c>
      <c r="Q1184" s="22">
        <f t="shared" si="398"/>
        <v>2834.1505317679116</v>
      </c>
      <c r="R1184" s="22">
        <f>SUM(R1173:R1183)</f>
        <v>0</v>
      </c>
      <c r="S1184" s="22">
        <f>SUM(S1173:S1183)</f>
        <v>0</v>
      </c>
      <c r="T1184" s="252"/>
      <c r="U1184" s="22">
        <f t="shared" si="397"/>
        <v>5094630.9700000007</v>
      </c>
      <c r="V1184" s="67"/>
      <c r="W1184" s="118">
        <f t="shared" si="383"/>
        <v>0</v>
      </c>
    </row>
    <row r="1185" spans="1:23" ht="18" customHeight="1" thickBot="1">
      <c r="A1185" s="47"/>
      <c r="B1185" s="17">
        <f t="shared" si="392"/>
        <v>15</v>
      </c>
      <c r="C1185" s="1"/>
      <c r="D1185" s="1"/>
      <c r="E1185" s="17"/>
      <c r="F1185" s="19"/>
      <c r="G1185" s="17"/>
      <c r="H1185" s="17"/>
      <c r="I1185" s="17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7"/>
      <c r="U1185" s="24"/>
      <c r="V1185" s="67"/>
      <c r="W1185" s="118">
        <f t="shared" si="383"/>
        <v>0</v>
      </c>
    </row>
    <row r="1186" spans="1:23" ht="18" customHeight="1" thickBot="1">
      <c r="A1186" s="47"/>
      <c r="B1186" s="17">
        <f t="shared" si="392"/>
        <v>16</v>
      </c>
      <c r="C1186" s="284" t="s">
        <v>727</v>
      </c>
      <c r="D1186" s="316"/>
      <c r="E1186" s="316" t="s">
        <v>335</v>
      </c>
      <c r="F1186" s="255">
        <f>+F1184</f>
        <v>5094630.9699999997</v>
      </c>
      <c r="G1186" s="316"/>
      <c r="H1186" s="444"/>
      <c r="I1186" s="445"/>
      <c r="J1186" s="446">
        <f t="shared" si="399" ref="J1186:Q1186">+J1184</f>
        <v>2843185.9046486132</v>
      </c>
      <c r="K1186" s="903">
        <f t="shared" si="399"/>
        <v>438346.046443525</v>
      </c>
      <c r="L1186" s="903">
        <f t="shared" si="399"/>
        <v>1352093.5440692713</v>
      </c>
      <c r="M1186" s="903">
        <f t="shared" si="399"/>
        <v>18985.446308968392</v>
      </c>
      <c r="N1186" s="903">
        <f t="shared" si="399"/>
        <v>396175.12150446291</v>
      </c>
      <c r="O1186" s="903">
        <f>+O1184</f>
        <v>13538.494780001949</v>
      </c>
      <c r="P1186" s="903">
        <f t="shared" si="399"/>
        <v>29472.261713388856</v>
      </c>
      <c r="Q1186" s="903">
        <f t="shared" si="399"/>
        <v>2834.1505317679116</v>
      </c>
      <c r="R1186" s="903">
        <f>+R1184</f>
        <v>0</v>
      </c>
      <c r="S1186" s="380">
        <f>+S1184</f>
        <v>0</v>
      </c>
      <c r="T1186" s="445"/>
      <c r="U1186" s="256">
        <f>SUM(I1186:T1186)</f>
        <v>5094630.9700000007</v>
      </c>
      <c r="V1186" s="67"/>
      <c r="W1186" s="118">
        <f t="shared" si="383"/>
        <v>0</v>
      </c>
    </row>
    <row r="1187" spans="1:23" ht="18" customHeight="1" thickBot="1">
      <c r="A1187" s="47"/>
      <c r="B1187" s="17">
        <f t="shared" si="392"/>
        <v>17</v>
      </c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118">
        <f t="shared" si="383"/>
        <v>0</v>
      </c>
    </row>
    <row r="1188" spans="1:23" ht="18" customHeight="1" thickBot="1">
      <c r="A1188" s="159"/>
      <c r="B1188" s="17">
        <f t="shared" si="392"/>
        <v>18</v>
      </c>
      <c r="C1188" s="284" t="s">
        <v>511</v>
      </c>
      <c r="D1188" s="316"/>
      <c r="E1188" s="316"/>
      <c r="F1188" s="255">
        <f>F599+F1154</f>
        <v>205435693.36813828</v>
      </c>
      <c r="G1188" s="316"/>
      <c r="H1188" s="444"/>
      <c r="I1188" s="445"/>
      <c r="J1188" s="446">
        <f t="shared" si="400" ref="J1188:Q1188">J599+J1154</f>
        <v>114528178.4034346</v>
      </c>
      <c r="K1188" s="903">
        <f t="shared" si="400"/>
        <v>17637262.753936674</v>
      </c>
      <c r="L1188" s="903">
        <f t="shared" si="400"/>
        <v>54462979.478648111</v>
      </c>
      <c r="M1188" s="903">
        <f t="shared" si="400"/>
        <v>763264.23609783151</v>
      </c>
      <c r="N1188" s="903">
        <f t="shared" si="400"/>
        <v>15940635.399140373</v>
      </c>
      <c r="O1188" s="903">
        <f>O599+O1154</f>
        <v>545941.44876341347</v>
      </c>
      <c r="P1188" s="903">
        <f t="shared" si="400"/>
        <v>1202301.5833400958</v>
      </c>
      <c r="Q1188" s="903">
        <f t="shared" si="400"/>
        <v>145620.16745204528</v>
      </c>
      <c r="R1188" s="903">
        <f>R599+R1154</f>
        <v>62823.441183004907</v>
      </c>
      <c r="S1188" s="380">
        <f>S599+S1154</f>
        <v>146686.45614214157</v>
      </c>
      <c r="T1188" s="445"/>
      <c r="U1188" s="256">
        <f>SUM(I1188:T1188)</f>
        <v>205435693.36813831</v>
      </c>
      <c r="V1188" s="129"/>
      <c r="W1188" s="118">
        <f t="shared" si="383"/>
        <v>0</v>
      </c>
    </row>
    <row r="1189" spans="1:23" ht="18" customHeight="1" thickBot="1">
      <c r="A1189" s="47"/>
      <c r="B1189" s="17">
        <f t="shared" si="392"/>
        <v>19</v>
      </c>
      <c r="C1189" s="67"/>
      <c r="D1189" s="67"/>
      <c r="E1189" s="67"/>
      <c r="F1189" s="67"/>
      <c r="G1189" s="67"/>
      <c r="H1189" s="67"/>
      <c r="I1189" s="67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67"/>
      <c r="V1189" s="67"/>
      <c r="W1189" s="118">
        <f t="shared" si="383"/>
        <v>0</v>
      </c>
    </row>
    <row r="1190" spans="1:23" ht="18" customHeight="1" thickBot="1">
      <c r="A1190" s="159"/>
      <c r="B1190" s="17">
        <f t="shared" si="392"/>
        <v>20</v>
      </c>
      <c r="C1190" s="284" t="s">
        <v>728</v>
      </c>
      <c r="D1190" s="316"/>
      <c r="E1190" s="316"/>
      <c r="F1190" s="255">
        <f>F1188-F1186</f>
        <v>200341062.39813829</v>
      </c>
      <c r="G1190" s="316"/>
      <c r="H1190" s="444"/>
      <c r="I1190" s="1061"/>
      <c r="J1190" s="446">
        <f t="shared" si="401" ref="J1190:Q1190">J1188-J1186</f>
        <v>111684992.49878599</v>
      </c>
      <c r="K1190" s="903">
        <f t="shared" si="401"/>
        <v>17198916.707493149</v>
      </c>
      <c r="L1190" s="903">
        <f t="shared" si="401"/>
        <v>53110885.934578843</v>
      </c>
      <c r="M1190" s="903">
        <f t="shared" si="401"/>
        <v>744278.78978886316</v>
      </c>
      <c r="N1190" s="903">
        <f t="shared" si="401"/>
        <v>15544460.27763591</v>
      </c>
      <c r="O1190" s="903">
        <f>O1188-O1186</f>
        <v>532402.95398341154</v>
      </c>
      <c r="P1190" s="903">
        <f t="shared" si="401"/>
        <v>1172829.321626707</v>
      </c>
      <c r="Q1190" s="903">
        <f t="shared" si="401"/>
        <v>142786.01692027735</v>
      </c>
      <c r="R1190" s="903">
        <f>R1188-R1186</f>
        <v>62823.441183004907</v>
      </c>
      <c r="S1190" s="380">
        <f>S1188-S1186</f>
        <v>146686.45614214157</v>
      </c>
      <c r="T1190" s="445"/>
      <c r="U1190" s="256">
        <f>SUM(I1190:T1190)</f>
        <v>200341062.39813826</v>
      </c>
      <c r="V1190" s="129"/>
      <c r="W1190" s="118">
        <f t="shared" si="383"/>
        <v>0</v>
      </c>
    </row>
    <row r="1191" spans="1:23" ht="18" customHeight="1" thickBot="1">
      <c r="A1191" s="47"/>
      <c r="B1191" s="17">
        <f t="shared" si="392"/>
        <v>21</v>
      </c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118">
        <f t="shared" si="383"/>
        <v>0</v>
      </c>
    </row>
    <row r="1192" spans="1:23" ht="18" customHeight="1">
      <c r="A1192" s="159"/>
      <c r="B1192" s="17">
        <f t="shared" si="392"/>
        <v>22</v>
      </c>
      <c r="C1192" s="319" t="s">
        <v>1266</v>
      </c>
      <c r="D1192" s="305"/>
      <c r="E1192" s="305"/>
      <c r="F1192" s="306">
        <f>F1188-F622</f>
        <v>205435693.36813828</v>
      </c>
      <c r="G1192" s="305"/>
      <c r="H1192" s="437"/>
      <c r="I1192" s="857"/>
      <c r="J1192" s="439">
        <f>J1188-J622</f>
        <v>114528178.4034346</v>
      </c>
      <c r="K1192" s="908">
        <f t="shared" si="402" ref="K1192:S1192">K1188-K622</f>
        <v>17637262.753936674</v>
      </c>
      <c r="L1192" s="908">
        <f t="shared" si="402"/>
        <v>54462979.478648111</v>
      </c>
      <c r="M1192" s="908">
        <f t="shared" si="402"/>
        <v>763264.23609783151</v>
      </c>
      <c r="N1192" s="908">
        <f t="shared" si="402"/>
        <v>15940635.399140373</v>
      </c>
      <c r="O1192" s="908">
        <f t="shared" si="402"/>
        <v>545941.44876341347</v>
      </c>
      <c r="P1192" s="908">
        <f t="shared" si="402"/>
        <v>1202301.5833400958</v>
      </c>
      <c r="Q1192" s="908">
        <f t="shared" si="402"/>
        <v>145620.16745204528</v>
      </c>
      <c r="R1192" s="908">
        <f t="shared" si="402"/>
        <v>62823.441183004907</v>
      </c>
      <c r="S1192" s="641">
        <f t="shared" si="402"/>
        <v>146686.45614214157</v>
      </c>
      <c r="T1192" s="437"/>
      <c r="U1192" s="307">
        <f>SUM(I1192:T1192)</f>
        <v>205435693.36813831</v>
      </c>
      <c r="V1192" s="129"/>
      <c r="W1192" s="118">
        <f t="shared" si="383"/>
        <v>0</v>
      </c>
    </row>
    <row r="1193" spans="1:23" ht="18" customHeight="1">
      <c r="A1193" s="47"/>
      <c r="B1193" s="17">
        <f t="shared" si="392"/>
        <v>23</v>
      </c>
      <c r="C1193" s="389"/>
      <c r="D1193" s="390"/>
      <c r="E1193" s="390"/>
      <c r="F1193" s="390"/>
      <c r="G1193" s="390"/>
      <c r="H1193" s="301"/>
      <c r="I1193" s="389"/>
      <c r="J1193" s="389"/>
      <c r="K1193" s="390"/>
      <c r="L1193" s="390"/>
      <c r="M1193" s="390"/>
      <c r="N1193" s="390"/>
      <c r="O1193" s="390"/>
      <c r="P1193" s="390"/>
      <c r="Q1193" s="390"/>
      <c r="R1193" s="390"/>
      <c r="S1193" s="301"/>
      <c r="T1193" s="301"/>
      <c r="U1193" s="301"/>
      <c r="V1193" s="67"/>
      <c r="W1193" s="118">
        <f t="shared" si="383"/>
        <v>0</v>
      </c>
    </row>
    <row r="1194" spans="1:23" ht="18" customHeight="1" thickBot="1">
      <c r="A1194" s="159"/>
      <c r="B1194" s="17">
        <f t="shared" si="392"/>
        <v>24</v>
      </c>
      <c r="C1194" s="326" t="s">
        <v>1270</v>
      </c>
      <c r="D1194" s="311"/>
      <c r="E1194" s="311"/>
      <c r="F1194" s="312">
        <f>F1192-F1186</f>
        <v>200341062.39813829</v>
      </c>
      <c r="G1194" s="311"/>
      <c r="H1194" s="440"/>
      <c r="I1194" s="1062"/>
      <c r="J1194" s="442">
        <f t="shared" si="403" ref="J1194:Q1194">J1192-J1186</f>
        <v>111684992.49878599</v>
      </c>
      <c r="K1194" s="312">
        <f t="shared" si="403"/>
        <v>17198916.707493149</v>
      </c>
      <c r="L1194" s="312">
        <f t="shared" si="403"/>
        <v>53110885.934578843</v>
      </c>
      <c r="M1194" s="312">
        <f t="shared" si="403"/>
        <v>744278.78978886316</v>
      </c>
      <c r="N1194" s="312">
        <f t="shared" si="403"/>
        <v>15544460.27763591</v>
      </c>
      <c r="O1194" s="312">
        <f>O1192-O1186</f>
        <v>532402.95398341154</v>
      </c>
      <c r="P1194" s="312">
        <f t="shared" si="403"/>
        <v>1172829.321626707</v>
      </c>
      <c r="Q1194" s="312">
        <f t="shared" si="403"/>
        <v>142786.01692027735</v>
      </c>
      <c r="R1194" s="312">
        <f>R1192-R1186</f>
        <v>62823.441183004907</v>
      </c>
      <c r="S1194" s="443">
        <f>S1192-S1186</f>
        <v>146686.45614214157</v>
      </c>
      <c r="T1194" s="440"/>
      <c r="U1194" s="313">
        <f>SUM(I1194:T1194)</f>
        <v>200341062.39813826</v>
      </c>
      <c r="V1194" s="129"/>
      <c r="W1194" s="118">
        <f t="shared" si="383"/>
        <v>0</v>
      </c>
    </row>
    <row r="1195" spans="1:23" ht="18" customHeight="1">
      <c r="A1195" s="386"/>
      <c r="B1195" s="17"/>
      <c r="U1195" s="233"/>
      <c r="W1195" s="118"/>
    </row>
    <row r="1196" spans="1:23" ht="18" customHeight="1">
      <c r="A1196" s="386"/>
      <c r="B1196" s="17"/>
      <c r="U1196" s="233"/>
      <c r="W1196" s="118"/>
    </row>
    <row r="1197" spans="1:23" ht="18" customHeight="1">
      <c r="A1197" s="386"/>
      <c r="B1197" s="17"/>
      <c r="C1197" s="67"/>
      <c r="F1197" s="392"/>
      <c r="U1197" s="392"/>
      <c r="W1197" s="118"/>
    </row>
    <row r="1198" spans="1:23" ht="18" customHeight="1">
      <c r="A1198" s="386"/>
      <c r="U1198" s="233"/>
      <c r="W1198" s="118">
        <f>U1198-F1198</f>
        <v>0</v>
      </c>
    </row>
    <row r="1199" spans="1:23" ht="18" customHeight="1" thickBot="1">
      <c r="A1199" s="386"/>
      <c r="H1199" s="134"/>
      <c r="U1199" s="134"/>
      <c r="W1199" s="118"/>
    </row>
    <row r="1200" spans="1:23" ht="18" customHeight="1">
      <c r="A1200" s="47"/>
      <c r="B1200" s="920" t="str">
        <f>+$B$4</f>
        <v>2022 RATE CASE</v>
      </c>
      <c r="C1200" s="935"/>
      <c r="D1200" s="620"/>
      <c r="F1200" s="12"/>
      <c r="U1200" s="134"/>
      <c r="W1200" s="118"/>
    </row>
    <row r="1201" spans="1:23" ht="18" customHeight="1">
      <c r="A1201" s="47"/>
      <c r="B1201" s="917" t="str">
        <f>+$B$5</f>
        <v>ONCOR ELECTRIC DELIVERY COMPANY LLC</v>
      </c>
      <c r="C1201" s="8"/>
      <c r="D1201" s="621"/>
      <c r="F1201" s="12"/>
      <c r="U1201" s="134"/>
      <c r="V1201" s="67"/>
      <c r="W1201" s="118"/>
    </row>
    <row r="1202" spans="1:23" ht="18" customHeight="1">
      <c r="A1202" s="47"/>
      <c r="B1202" s="917" t="s">
        <v>962</v>
      </c>
      <c r="C1202" s="85"/>
      <c r="D1202" s="621"/>
      <c r="F1202" s="12"/>
      <c r="U1202" s="12"/>
      <c r="V1202" s="67"/>
      <c r="W1202" s="118"/>
    </row>
    <row r="1203" spans="1:23" ht="18" customHeight="1">
      <c r="A1203" s="47"/>
      <c r="B1203" s="406" t="str">
        <f>+$B$7</f>
        <v>TEST YEAR ENDING 12/31/2021</v>
      </c>
      <c r="C1203" s="85"/>
      <c r="D1203" s="621"/>
      <c r="F1203" s="12"/>
      <c r="U1203" s="12"/>
      <c r="V1203" s="67"/>
      <c r="W1203" s="118"/>
    </row>
    <row r="1204" spans="1:23" ht="18" customHeight="1">
      <c r="A1204" s="47"/>
      <c r="B1204" s="406" t="str">
        <f>+$B$8</f>
        <v>SPONSOR:  MATTHEW A. TROXLE</v>
      </c>
      <c r="C1204" s="85"/>
      <c r="D1204" s="621"/>
      <c r="F1204" s="12"/>
      <c r="U1204" s="12"/>
      <c r="V1204" s="67"/>
      <c r="W1204" s="118"/>
    </row>
    <row r="1205" spans="1:22" ht="18" customHeight="1" thickBot="1">
      <c r="A1205" s="47"/>
      <c r="B1205" s="410"/>
      <c r="C1205" s="85"/>
      <c r="D1205" s="621"/>
      <c r="F1205" s="12"/>
      <c r="U1205" s="12"/>
      <c r="V1205" s="67"/>
    </row>
    <row r="1206" spans="1:22" ht="18" customHeight="1" thickBot="1">
      <c r="A1206" s="47"/>
      <c r="B1206" s="396"/>
      <c r="C1206" s="470"/>
      <c r="D1206" s="471"/>
      <c r="E1206" s="471"/>
      <c r="F1206" s="237"/>
      <c r="G1206" s="238"/>
      <c r="H1206" s="438" t="str">
        <f>F$11</f>
        <v>MET</v>
      </c>
      <c r="I1206" s="14"/>
      <c r="J1206" s="14"/>
      <c r="K1206" s="238"/>
      <c r="L1206" s="14"/>
      <c r="M1206" s="14"/>
      <c r="N1206" s="238"/>
      <c r="O1206" s="238"/>
      <c r="P1206" s="238"/>
      <c r="Q1206" s="14"/>
      <c r="R1206" s="393" t="str">
        <f>R$10</f>
        <v xml:space="preserve"> </v>
      </c>
      <c r="S1206" s="394"/>
      <c r="T1206" s="238"/>
      <c r="U1206" s="13"/>
      <c r="V1206" s="67"/>
    </row>
    <row r="1207" spans="1:22" ht="18" customHeight="1">
      <c r="A1207" s="47"/>
      <c r="B1207" s="235" t="s">
        <v>2</v>
      </c>
      <c r="C1207" s="235"/>
      <c r="D1207" s="472" t="s">
        <v>744</v>
      </c>
      <c r="E1207" s="395"/>
      <c r="F1207" s="242"/>
      <c r="G1207" s="242" t="s">
        <v>741</v>
      </c>
      <c r="H1207" s="15" t="s">
        <v>376</v>
      </c>
      <c r="I1207" s="15"/>
      <c r="J1207" s="15" t="s">
        <v>730</v>
      </c>
      <c r="K1207" s="242" t="s">
        <v>409</v>
      </c>
      <c r="L1207" s="15" t="s">
        <v>409</v>
      </c>
      <c r="M1207" s="15" t="s">
        <v>410</v>
      </c>
      <c r="N1207" s="242" t="s">
        <v>410</v>
      </c>
      <c r="O1207" s="242" t="s">
        <v>410</v>
      </c>
      <c r="P1207" s="242" t="s">
        <v>411</v>
      </c>
      <c r="Q1207" s="15" t="s">
        <v>412</v>
      </c>
      <c r="R1207" s="396" t="str">
        <f>R$11</f>
        <v>Wholesale</v>
      </c>
      <c r="S1207" s="13" t="str">
        <f>S$11</f>
        <v>Wholesale</v>
      </c>
      <c r="T1207" s="242"/>
      <c r="U1207" s="15" t="s">
        <v>10</v>
      </c>
      <c r="V1207" s="67"/>
    </row>
    <row r="1208" spans="1:22" ht="18" customHeight="1">
      <c r="A1208" s="47"/>
      <c r="B1208" s="235"/>
      <c r="C1208" s="235"/>
      <c r="D1208" s="395"/>
      <c r="E1208" s="395"/>
      <c r="F1208" s="242"/>
      <c r="G1208" s="242" t="s">
        <v>742</v>
      </c>
      <c r="H1208" s="15" t="s">
        <v>743</v>
      </c>
      <c r="I1208" s="15"/>
      <c r="J1208" s="15"/>
      <c r="K1208" s="242" t="s">
        <v>731</v>
      </c>
      <c r="L1208" s="15" t="s">
        <v>732</v>
      </c>
      <c r="M1208" s="15" t="s">
        <v>731</v>
      </c>
      <c r="N1208" s="242" t="s">
        <v>732</v>
      </c>
      <c r="O1208" s="242" t="s">
        <v>414</v>
      </c>
      <c r="P1208" s="242"/>
      <c r="Q1208" s="15"/>
      <c r="R1208" s="235" t="str">
        <f>R$12</f>
        <v>XFMR</v>
      </c>
      <c r="S1208" s="15" t="str">
        <f>S$12</f>
        <v>DLS</v>
      </c>
      <c r="T1208" s="242"/>
      <c r="U1208" s="15"/>
      <c r="V1208" s="67"/>
    </row>
    <row r="1209" spans="1:22" ht="18" customHeight="1" thickBot="1">
      <c r="A1209" s="47"/>
      <c r="B1209" s="243"/>
      <c r="C1209" s="243"/>
      <c r="D1209" s="473" t="s">
        <v>13</v>
      </c>
      <c r="E1209" s="473"/>
      <c r="F1209" s="245"/>
      <c r="G1209" s="245" t="s">
        <v>14</v>
      </c>
      <c r="H1209" s="16" t="s">
        <v>15</v>
      </c>
      <c r="I1209" s="16"/>
      <c r="J1209" s="16" t="str">
        <f t="shared" si="404" ref="J1209:Q1209">J$13</f>
        <v>(d)</v>
      </c>
      <c r="K1209" s="243" t="str">
        <f t="shared" si="404"/>
        <v>(e)</v>
      </c>
      <c r="L1209" s="16" t="str">
        <f t="shared" si="404"/>
        <v>(f)</v>
      </c>
      <c r="M1209" s="16" t="str">
        <f t="shared" si="404"/>
        <v>(g)</v>
      </c>
      <c r="N1209" s="243" t="str">
        <f t="shared" si="404"/>
        <v>(h)</v>
      </c>
      <c r="O1209" s="243" t="str">
        <f>O$13</f>
        <v>(i)</v>
      </c>
      <c r="P1209" s="243" t="str">
        <f t="shared" si="404"/>
        <v>(j)</v>
      </c>
      <c r="Q1209" s="243" t="str">
        <f t="shared" si="404"/>
        <v>(k)</v>
      </c>
      <c r="R1209" s="243" t="str">
        <f>R$13</f>
        <v>(l)</v>
      </c>
      <c r="S1209" s="16" t="str">
        <f>S$13</f>
        <v>(m)</v>
      </c>
      <c r="T1209" s="16"/>
      <c r="U1209" s="16" t="s">
        <v>734</v>
      </c>
      <c r="V1209" s="67"/>
    </row>
    <row r="1210" spans="1:21" ht="18" customHeight="1">
      <c r="A1210" s="386"/>
      <c r="B1210" s="1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U1210" s="233"/>
    </row>
    <row r="1211" spans="1:21" ht="18" customHeight="1">
      <c r="A1211" s="386"/>
      <c r="B1211" s="1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U1211" s="233"/>
    </row>
    <row r="1212" spans="1:21" ht="18" customHeight="1">
      <c r="A1212" s="386"/>
      <c r="B1212" s="17">
        <f t="shared" si="405" ref="B1212:B1275">B1211+1</f>
        <v>1</v>
      </c>
      <c r="D1212" s="67" t="s">
        <v>745</v>
      </c>
      <c r="G1212" s="17">
        <f t="shared" si="406" ref="G1212:G1275">G1211+1</f>
        <v>1</v>
      </c>
      <c r="H1212" s="67" t="str">
        <f>VLOOKUP(G1212,FactorTable,2)</f>
        <v>ASSIGNED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8">
        <v>0</v>
      </c>
      <c r="S1212" s="18">
        <v>0</v>
      </c>
      <c r="T1212" s="386"/>
      <c r="U1212" s="18">
        <v>0</v>
      </c>
    </row>
    <row r="1213" spans="1:21" ht="18" customHeight="1">
      <c r="A1213" s="386"/>
      <c r="B1213" s="17">
        <f t="shared" si="405"/>
        <v>2</v>
      </c>
      <c r="D1213" s="67" t="s">
        <v>746</v>
      </c>
      <c r="G1213" s="17">
        <f t="shared" si="406"/>
        <v>2</v>
      </c>
      <c r="H1213" s="67" t="str">
        <f>VLOOKUP(G1213,FactorTable,2)</f>
        <v>N / A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8">
        <v>0</v>
      </c>
      <c r="R1213" s="18">
        <v>0</v>
      </c>
      <c r="S1213" s="18">
        <v>0</v>
      </c>
      <c r="T1213" s="386"/>
      <c r="U1213" s="18">
        <v>0</v>
      </c>
    </row>
    <row r="1214" spans="1:21" ht="18" customHeight="1">
      <c r="A1214" s="386"/>
      <c r="B1214" s="17">
        <f t="shared" si="405"/>
        <v>3</v>
      </c>
      <c r="G1214" s="17">
        <f t="shared" si="406"/>
        <v>3</v>
      </c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U1214" s="233"/>
    </row>
    <row r="1215" spans="1:21" ht="18" customHeight="1">
      <c r="A1215" s="386"/>
      <c r="B1215" s="17">
        <f t="shared" si="405"/>
        <v>4</v>
      </c>
      <c r="G1215" s="17">
        <f t="shared" si="406"/>
        <v>4</v>
      </c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U1215" s="233"/>
    </row>
    <row r="1216" spans="1:21" ht="18" customHeight="1">
      <c r="A1216" s="386"/>
      <c r="B1216" s="17">
        <f t="shared" si="405"/>
        <v>5</v>
      </c>
      <c r="G1216" s="17">
        <f t="shared" si="406"/>
        <v>5</v>
      </c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U1216" s="233"/>
    </row>
    <row r="1217" spans="1:21" ht="18" customHeight="1">
      <c r="A1217" s="386"/>
      <c r="B1217" s="17">
        <f t="shared" si="405"/>
        <v>6</v>
      </c>
      <c r="D1217" s="67" t="s">
        <v>747</v>
      </c>
      <c r="E1217" t="s">
        <v>0</v>
      </c>
      <c r="G1217" s="17">
        <f t="shared" si="406"/>
        <v>6</v>
      </c>
      <c r="H1217" s="47" t="str">
        <f>VLOOKUP(G1217,FactorTable,2)</f>
        <v>CUS W ALL</v>
      </c>
      <c r="J1217" s="475">
        <f>'WP II-I-2.2'!E17</f>
        <v>0.55750481473464375</v>
      </c>
      <c r="K1217" s="475">
        <f>'WP II-I-2.2'!F17</f>
        <v>0.085952885111240593</v>
      </c>
      <c r="L1217" s="475">
        <f>'WP II-I-2.2'!G17</f>
        <v>0.26512464751523457</v>
      </c>
      <c r="M1217" s="475">
        <f>'WP II-I-2.2'!H17</f>
        <v>0.003722752602926988</v>
      </c>
      <c r="N1217" s="475">
        <f>'WP II-I-2.2'!I17</f>
        <v>0.077683818478312835</v>
      </c>
      <c r="O1217" s="475">
        <f>'WP II-I-2.2'!J17</f>
        <v>0.0026546895902129727</v>
      </c>
      <c r="P1217" s="475">
        <f>'WP II-I-2.2'!K17</f>
        <v>0.0057790550310020863</v>
      </c>
      <c r="Q1217" s="475">
        <f>'WP II-I-2.2'!L17</f>
        <v>0.00055573311775356405</v>
      </c>
      <c r="R1217" s="475">
        <f>'WP II-I-2.2'!M17</f>
        <v>0.00030631033733226608</v>
      </c>
      <c r="S1217" s="475">
        <f>'WP II-I-2.2'!N17</f>
        <v>0.00071529348134022558</v>
      </c>
      <c r="U1217" s="476">
        <f>MAX(0.0000001,SUM(I1217:T1217))</f>
        <v>0.99999999999999989</v>
      </c>
    </row>
    <row r="1218" spans="1:21" ht="18" customHeight="1">
      <c r="A1218" s="386"/>
      <c r="B1218" s="17">
        <f t="shared" si="405"/>
        <v>7</v>
      </c>
      <c r="D1218" s="67" t="s">
        <v>748</v>
      </c>
      <c r="G1218" s="17">
        <f t="shared" si="406"/>
        <v>7</v>
      </c>
      <c r="H1218" s="67" t="str">
        <f>VLOOKUP(G1218,FactorTable,2)</f>
        <v>CUS W SEC</v>
      </c>
      <c r="J1218" s="67">
        <f>J1217</f>
        <v>0.55750481473464375</v>
      </c>
      <c r="K1218" s="67">
        <f>K1217</f>
        <v>0.085952885111240593</v>
      </c>
      <c r="L1218" s="67">
        <f>L1217</f>
        <v>0.26512464751523457</v>
      </c>
      <c r="M1218" s="18">
        <v>0</v>
      </c>
      <c r="N1218" s="18">
        <v>0</v>
      </c>
      <c r="O1218" s="18">
        <v>0</v>
      </c>
      <c r="P1218" s="18">
        <v>0</v>
      </c>
      <c r="Q1218" s="67">
        <f>Q1217</f>
        <v>0.00055573311775356405</v>
      </c>
      <c r="R1218" s="18">
        <v>0</v>
      </c>
      <c r="S1218" s="18">
        <v>0</v>
      </c>
      <c r="U1218" s="476">
        <f>MAX(0.0000001,SUM(I1218:T1218))</f>
        <v>0.90913808047887246</v>
      </c>
    </row>
    <row r="1219" spans="1:21" ht="18" customHeight="1">
      <c r="A1219" s="386"/>
      <c r="B1219" s="17">
        <f t="shared" si="405"/>
        <v>8</v>
      </c>
      <c r="D1219" s="67" t="s">
        <v>749</v>
      </c>
      <c r="G1219" s="17">
        <f t="shared" si="406"/>
        <v>8</v>
      </c>
      <c r="H1219" s="67" t="str">
        <f>VLOOKUP(G1219,FactorTable,2)</f>
        <v>CUS W RTL</v>
      </c>
      <c r="J1219" s="67">
        <f t="shared" si="407" ref="J1219:Q1219">J1217</f>
        <v>0.55750481473464375</v>
      </c>
      <c r="K1219" s="67">
        <f t="shared" si="407"/>
        <v>0.085952885111240593</v>
      </c>
      <c r="L1219" s="67">
        <f t="shared" si="407"/>
        <v>0.26512464751523457</v>
      </c>
      <c r="M1219" s="67">
        <f t="shared" si="407"/>
        <v>0.003722752602926988</v>
      </c>
      <c r="N1219" s="67">
        <f t="shared" si="407"/>
        <v>0.077683818478312835</v>
      </c>
      <c r="O1219" s="67">
        <f>O1217</f>
        <v>0.0026546895902129727</v>
      </c>
      <c r="P1219" s="67">
        <f t="shared" si="407"/>
        <v>0.0057790550310020863</v>
      </c>
      <c r="Q1219" s="67">
        <f t="shared" si="407"/>
        <v>0.00055573311775356405</v>
      </c>
      <c r="R1219" s="27"/>
      <c r="S1219" s="27"/>
      <c r="U1219" s="476">
        <f>MAX(0.0000001,SUM(I1219:T1219))</f>
        <v>0.99897839618132733</v>
      </c>
    </row>
    <row r="1220" spans="1:21" ht="18" customHeight="1">
      <c r="A1220" s="386"/>
      <c r="B1220" s="17">
        <f t="shared" si="405"/>
        <v>9</v>
      </c>
      <c r="D1220" s="67" t="s">
        <v>750</v>
      </c>
      <c r="G1220" s="17">
        <f t="shared" si="406"/>
        <v>9</v>
      </c>
      <c r="H1220" s="67" t="str">
        <f>VLOOKUP(G1220,FactorTable,2)</f>
        <v>CUS U ALL</v>
      </c>
      <c r="J1220" s="477">
        <f>'WP II-I-2.2'!E14</f>
        <v>3258283</v>
      </c>
      <c r="K1220" s="477">
        <f>'WP II-I-2.2'!F14</f>
        <v>304430</v>
      </c>
      <c r="L1220" s="477">
        <f>'WP II-I-2.2'!G14</f>
        <v>203588</v>
      </c>
      <c r="M1220" s="477">
        <f>'WP II-I-2.2'!H14</f>
        <v>3101</v>
      </c>
      <c r="N1220" s="477">
        <f>'WP II-I-2.2'!I14</f>
        <v>7158</v>
      </c>
      <c r="O1220" s="477">
        <f>'WP II-I-2.2'!J14</f>
        <v>130</v>
      </c>
      <c r="P1220" s="477">
        <f>'WP II-I-2.2'!K14</f>
        <v>283</v>
      </c>
      <c r="Q1220" s="477">
        <f>'WP II-I-2.2'!L14</f>
        <v>55208</v>
      </c>
      <c r="R1220" s="477">
        <f>'WP II-I-2.2'!M14</f>
        <v>15</v>
      </c>
      <c r="S1220" s="477">
        <f>'WP II-I-2.2'!N14</f>
        <v>48</v>
      </c>
      <c r="U1220" s="50">
        <f>MAX(0.0000001,SUM(I1220:T1220))</f>
        <v>3832244</v>
      </c>
    </row>
    <row r="1221" spans="1:21" ht="18" customHeight="1">
      <c r="A1221" s="386"/>
      <c r="B1221" s="17">
        <f t="shared" si="405"/>
        <v>10</v>
      </c>
      <c r="D1221" s="67" t="s">
        <v>751</v>
      </c>
      <c r="G1221" s="17">
        <f t="shared" si="406"/>
        <v>10</v>
      </c>
      <c r="H1221" s="67" t="str">
        <f>VLOOKUP(G1221,FactorTable,2)</f>
        <v>CUS U RTL</v>
      </c>
      <c r="J1221" s="50">
        <f t="shared" si="408" ref="J1221:Q1221">J1220</f>
        <v>3258283</v>
      </c>
      <c r="K1221" s="50">
        <f t="shared" si="408"/>
        <v>304430</v>
      </c>
      <c r="L1221" s="50">
        <f t="shared" si="408"/>
        <v>203588</v>
      </c>
      <c r="M1221" s="50">
        <f t="shared" si="408"/>
        <v>3101</v>
      </c>
      <c r="N1221" s="50">
        <f t="shared" si="408"/>
        <v>7158</v>
      </c>
      <c r="O1221" s="50">
        <f>O1220</f>
        <v>130</v>
      </c>
      <c r="P1221" s="50">
        <f t="shared" si="408"/>
        <v>283</v>
      </c>
      <c r="Q1221" s="50">
        <f t="shared" si="408"/>
        <v>55208</v>
      </c>
      <c r="R1221" s="18">
        <v>0</v>
      </c>
      <c r="S1221" s="18">
        <v>0</v>
      </c>
      <c r="U1221" s="50">
        <f>MAX(0.0000001,SUM(I1221:T1221))</f>
        <v>3832181</v>
      </c>
    </row>
    <row r="1222" spans="1:21" ht="18" customHeight="1">
      <c r="A1222" s="386"/>
      <c r="B1222" s="17">
        <f t="shared" si="405"/>
        <v>11</v>
      </c>
      <c r="D1222" s="67"/>
      <c r="G1222" s="17">
        <f t="shared" si="406"/>
        <v>11</v>
      </c>
      <c r="H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U1222" s="233"/>
    </row>
    <row r="1223" spans="1:21" ht="18" customHeight="1">
      <c r="A1223" s="386"/>
      <c r="B1223" s="17">
        <f t="shared" si="405"/>
        <v>12</v>
      </c>
      <c r="D1223" s="67"/>
      <c r="G1223" s="17">
        <f t="shared" si="406"/>
        <v>12</v>
      </c>
      <c r="H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U1223" s="233"/>
    </row>
    <row r="1224" spans="1:21" ht="18" customHeight="1">
      <c r="A1224" s="386"/>
      <c r="B1224" s="17">
        <f t="shared" si="405"/>
        <v>13</v>
      </c>
      <c r="D1224" s="67"/>
      <c r="G1224" s="17">
        <f t="shared" si="406"/>
        <v>13</v>
      </c>
      <c r="H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U1224" s="233"/>
    </row>
    <row r="1225" spans="1:21" ht="18" customHeight="1">
      <c r="A1225" s="386"/>
      <c r="B1225" s="17">
        <f t="shared" si="405"/>
        <v>14</v>
      </c>
      <c r="D1225" s="47" t="s">
        <v>752</v>
      </c>
      <c r="G1225" s="17">
        <f t="shared" si="406"/>
        <v>14</v>
      </c>
      <c r="H1225" s="67" t="str">
        <f>VLOOKUP(G1225,FactorTable,2)</f>
        <v>REVENUE</v>
      </c>
      <c r="J1225" s="477">
        <f>'WP II-I-2.2'!E77</f>
        <v>1921088302</v>
      </c>
      <c r="K1225" s="477">
        <f>'WP II-I-2.2'!F77</f>
        <v>95557181</v>
      </c>
      <c r="L1225" s="477">
        <f>'WP II-I-2.2'!G77</f>
        <v>1496280417.6886501</v>
      </c>
      <c r="M1225" s="477">
        <f>'WP II-I-2.2'!H77</f>
        <v>1232285</v>
      </c>
      <c r="N1225" s="477">
        <f>'WP II-I-2.2'!I77</f>
        <v>272480697.46980089</v>
      </c>
      <c r="O1225" s="477">
        <f>'WP II-I-2.2'!J77</f>
        <v>31568642.908480335</v>
      </c>
      <c r="P1225" s="477">
        <f>'WP II-I-2.2'!K77</f>
        <v>114615137.75514101</v>
      </c>
      <c r="Q1225" s="477">
        <f>'WP II-I-2.2'!L77</f>
        <v>60374542.129999995</v>
      </c>
      <c r="R1225" s="477">
        <f>'WP II-I-2.2'!M77</f>
        <v>608356</v>
      </c>
      <c r="S1225" s="477">
        <f>'WP II-I-2.2'!N77</f>
        <v>2160192</v>
      </c>
      <c r="U1225" s="50">
        <f>MAX(0.0000001,SUM(I1225:T1225))</f>
        <v>3995965753.9520721</v>
      </c>
    </row>
    <row r="1226" spans="1:21" ht="18" customHeight="1">
      <c r="A1226" s="386"/>
      <c r="B1226" s="17">
        <f t="shared" si="405"/>
        <v>15</v>
      </c>
      <c r="D1226" s="67" t="s">
        <v>753</v>
      </c>
      <c r="G1226" s="17">
        <f t="shared" si="406"/>
        <v>15</v>
      </c>
      <c r="H1226" s="67" t="str">
        <f>VLOOKUP(G1226,FactorTable,2)</f>
        <v>REVENUE RTL</v>
      </c>
      <c r="J1226" s="50">
        <f t="shared" si="409" ref="J1226:Q1226">J1225</f>
        <v>1921088302</v>
      </c>
      <c r="K1226" s="50">
        <f t="shared" si="409"/>
        <v>95557181</v>
      </c>
      <c r="L1226" s="50">
        <f t="shared" si="409"/>
        <v>1496280417.6886501</v>
      </c>
      <c r="M1226" s="50">
        <f t="shared" si="409"/>
        <v>1232285</v>
      </c>
      <c r="N1226" s="50">
        <f t="shared" si="409"/>
        <v>272480697.46980089</v>
      </c>
      <c r="O1226" s="50">
        <f>O1225</f>
        <v>31568642.908480335</v>
      </c>
      <c r="P1226" s="50">
        <f t="shared" si="409"/>
        <v>114615137.75514101</v>
      </c>
      <c r="Q1226" s="50">
        <f t="shared" si="409"/>
        <v>60374542.129999995</v>
      </c>
      <c r="R1226" s="27"/>
      <c r="S1226" s="27"/>
      <c r="U1226" s="50">
        <f>MAX(0.0000001,SUM(I1226:T1226))</f>
        <v>3993197205.9520721</v>
      </c>
    </row>
    <row r="1227" spans="1:21" ht="18" customHeight="1">
      <c r="A1227" s="386"/>
      <c r="B1227" s="17">
        <f t="shared" si="405"/>
        <v>16</v>
      </c>
      <c r="D1227" s="67"/>
      <c r="G1227" s="17">
        <f t="shared" si="406"/>
        <v>16</v>
      </c>
      <c r="H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U1227" s="233"/>
    </row>
    <row r="1228" spans="1:21" ht="18" customHeight="1">
      <c r="A1228" s="386"/>
      <c r="B1228" s="17">
        <f t="shared" si="405"/>
        <v>17</v>
      </c>
      <c r="D1228" s="664" t="s">
        <v>1044</v>
      </c>
      <c r="G1228" s="17">
        <f t="shared" si="406"/>
        <v>17</v>
      </c>
      <c r="H1228" s="664" t="s">
        <v>1043</v>
      </c>
      <c r="J1228" s="392">
        <v>1763132764.6525154</v>
      </c>
      <c r="K1228" s="392">
        <v>85777399.683401302</v>
      </c>
      <c r="L1228" s="392">
        <v>1315632476.0922151</v>
      </c>
      <c r="M1228" s="392">
        <v>1119414.9323867427</v>
      </c>
      <c r="N1228" s="392">
        <v>195186930.40355563</v>
      </c>
      <c r="O1228" s="392">
        <v>26040677.805835228</v>
      </c>
      <c r="P1228" s="392">
        <v>97405783.661392704</v>
      </c>
      <c r="Q1228" s="392">
        <v>58143116.429203786</v>
      </c>
      <c r="R1228" s="392">
        <v>1058649.2683363492</v>
      </c>
      <c r="S1228" s="392">
        <v>4712912.5541264359</v>
      </c>
      <c r="U1228" s="50">
        <f>MAX(0.0000001,SUM(I1228:T1228))</f>
        <v>3548210125.4829688</v>
      </c>
    </row>
    <row r="1229" spans="1:21" ht="18" customHeight="1">
      <c r="A1229" s="386"/>
      <c r="B1229" s="17">
        <f t="shared" si="405"/>
        <v>18</v>
      </c>
      <c r="D1229" s="47"/>
      <c r="G1229" s="17">
        <f t="shared" si="406"/>
        <v>18</v>
      </c>
      <c r="H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U1229" s="233"/>
    </row>
    <row r="1230" spans="1:21" ht="18" customHeight="1">
      <c r="A1230" s="386"/>
      <c r="B1230" s="17">
        <f t="shared" si="405"/>
        <v>19</v>
      </c>
      <c r="D1230" s="664" t="s">
        <v>1035</v>
      </c>
      <c r="G1230" s="17">
        <f t="shared" si="406"/>
        <v>19</v>
      </c>
      <c r="H1230" s="67" t="str">
        <f>VLOOKUP(G1230,FactorTable,2)</f>
        <v>ENERGY ICL</v>
      </c>
      <c r="J1230" s="478">
        <f>'WP II-I-2.2'!E20</f>
        <v>39273336.848999999</v>
      </c>
      <c r="K1230" s="478">
        <f>'WP II-I-2.2'!F20</f>
        <v>1402919.575</v>
      </c>
      <c r="L1230" s="478">
        <f>'WP II-I-2.2'!G20</f>
        <v>41118783.953000002</v>
      </c>
      <c r="M1230" s="478">
        <f>'WP II-I-2.2'!H20</f>
        <v>709.72199999999998</v>
      </c>
      <c r="N1230" s="478">
        <f>'WP II-I-2.2'!I20</f>
        <v>6611595.1490000002</v>
      </c>
      <c r="O1230" s="478">
        <f>'WP II-I-2.2'!J20</f>
        <v>1040290.0600000001</v>
      </c>
      <c r="P1230" s="478">
        <f>'WP II-I-2.2'!K20</f>
        <v>7792495.8710000003</v>
      </c>
      <c r="Q1230" s="478">
        <f>'WP II-I-2.2'!L20</f>
        <v>357989.07199999999</v>
      </c>
      <c r="R1230" s="478">
        <f>'WP II-I-2.2'!M20</f>
        <v>79376.522324525358</v>
      </c>
      <c r="S1230" s="478">
        <f>'WP II-I-2.2'!N20</f>
        <v>118215.49419116367</v>
      </c>
      <c r="U1230" s="50">
        <f>MAX(0.0000001,SUM(I1230:T1230))</f>
        <v>97795712.267515719</v>
      </c>
    </row>
    <row r="1231" spans="1:21" ht="18" customHeight="1">
      <c r="A1231" s="386"/>
      <c r="B1231" s="17">
        <f t="shared" si="405"/>
        <v>20</v>
      </c>
      <c r="D1231" s="67"/>
      <c r="G1231" s="17">
        <f t="shared" si="406"/>
        <v>20</v>
      </c>
      <c r="H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U1231" s="233"/>
    </row>
    <row r="1232" spans="1:21" ht="18" customHeight="1">
      <c r="A1232" s="386"/>
      <c r="B1232" s="17">
        <f t="shared" si="405"/>
        <v>21</v>
      </c>
      <c r="D1232" s="67"/>
      <c r="G1232" s="17">
        <f t="shared" si="406"/>
        <v>21</v>
      </c>
      <c r="H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U1232" s="233"/>
    </row>
    <row r="1233" spans="1:21" ht="18" customHeight="1">
      <c r="A1233" s="386"/>
      <c r="B1233" s="17">
        <f t="shared" si="405"/>
        <v>22</v>
      </c>
      <c r="D1233" s="47"/>
      <c r="G1233" s="17">
        <f t="shared" si="406"/>
        <v>22</v>
      </c>
      <c r="H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U1233" s="233"/>
    </row>
    <row r="1234" spans="1:21" ht="18" customHeight="1">
      <c r="A1234" s="386"/>
      <c r="B1234" s="17">
        <f t="shared" si="405"/>
        <v>23</v>
      </c>
      <c r="D1234" s="67" t="s">
        <v>755</v>
      </c>
      <c r="G1234" s="17">
        <f t="shared" si="406"/>
        <v>23</v>
      </c>
      <c r="H1234" s="67" t="str">
        <f>VLOOKUP(G1234,FactorTable,2)</f>
        <v>4CP RTL</v>
      </c>
      <c r="J1234" s="478">
        <f>'WP II-I-2.2'!E40</f>
        <v>11677303.199334735</v>
      </c>
      <c r="K1234" s="478">
        <f>'WP II-I-2.2'!F40</f>
        <v>326399.97894299857</v>
      </c>
      <c r="L1234" s="478">
        <f>'WP II-I-2.2'!G40</f>
        <v>8488977.9318657275</v>
      </c>
      <c r="M1234" s="478">
        <f>'WP II-I-2.2'!H40</f>
        <v>3375.967252129818</v>
      </c>
      <c r="N1234" s="478">
        <f>'WP II-I-2.2'!I40</f>
        <v>2134206.4937228127</v>
      </c>
      <c r="O1234" s="478">
        <f>'WP II-I-2.2'!J40</f>
        <v>698990.473477375</v>
      </c>
      <c r="P1234" s="478">
        <f>'WP II-I-2.2'!K40</f>
        <v>2122210.8674999997</v>
      </c>
      <c r="Q1234" s="478">
        <f>'WP II-I-2.2'!L40</f>
        <v>0</v>
      </c>
      <c r="R1234" s="27">
        <v>0</v>
      </c>
      <c r="S1234" s="27">
        <v>0</v>
      </c>
      <c r="U1234" s="50">
        <f>MAX(0.0000001,SUM(I1234:T1234))</f>
        <v>25451464.912095778</v>
      </c>
    </row>
    <row r="1235" spans="1:21" ht="18" customHeight="1">
      <c r="A1235" s="386"/>
      <c r="B1235" s="17">
        <f t="shared" si="405"/>
        <v>24</v>
      </c>
      <c r="D1235" s="67"/>
      <c r="G1235" s="17">
        <f t="shared" si="406"/>
        <v>24</v>
      </c>
      <c r="H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U1235" s="233"/>
    </row>
    <row r="1236" spans="1:21" ht="18" customHeight="1">
      <c r="A1236" s="386"/>
      <c r="B1236" s="17">
        <f t="shared" si="405"/>
        <v>25</v>
      </c>
      <c r="D1236" s="67"/>
      <c r="G1236" s="17">
        <f t="shared" si="406"/>
        <v>25</v>
      </c>
      <c r="H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U1236" s="233"/>
    </row>
    <row r="1237" spans="1:21" ht="18" customHeight="1">
      <c r="A1237" s="386"/>
      <c r="B1237" s="17">
        <f t="shared" si="405"/>
        <v>26</v>
      </c>
      <c r="D1237" s="67" t="s">
        <v>756</v>
      </c>
      <c r="G1237" s="17">
        <f t="shared" si="406"/>
        <v>26</v>
      </c>
      <c r="H1237" s="67" t="str">
        <f t="shared" si="410" ref="H1237:H1244">VLOOKUP(G1237,FactorTable,2)</f>
        <v>NCP ALL</v>
      </c>
      <c r="J1237" s="477">
        <f>'WP II-I-2.2'!E37</f>
        <v>15210692.881406292</v>
      </c>
      <c r="K1237" s="477">
        <f>'WP II-I-2.2'!F37</f>
        <v>371448.40089449205</v>
      </c>
      <c r="L1237" s="477">
        <f>'WP II-I-2.2'!G37</f>
        <v>9793744.3547214009</v>
      </c>
      <c r="M1237" s="477">
        <f>'WP II-I-2.2'!H37</f>
        <v>5536.8073701752573</v>
      </c>
      <c r="N1237" s="477">
        <f>'WP II-I-2.2'!I37</f>
        <v>2343455.6321282429</v>
      </c>
      <c r="O1237" s="477">
        <f>'WP II-I-2.2'!J37</f>
        <v>847474.94215962989</v>
      </c>
      <c r="P1237" s="477">
        <f>'WP II-I-2.2'!K37</f>
        <v>2790485.8700000001</v>
      </c>
      <c r="Q1237" s="477">
        <f>'WP II-I-2.2'!L37</f>
        <v>98783.961086827592</v>
      </c>
      <c r="R1237" s="477">
        <f>'WP II-I-2.2'!M37</f>
        <v>101575.17606204849</v>
      </c>
      <c r="S1237" s="477">
        <f>'WP II-I-2.2'!N37</f>
        <v>127209.27191001845</v>
      </c>
      <c r="U1237" s="50">
        <f t="shared" si="411" ref="U1237:U1244">MAX(0.0000001,SUM(I1237:T1237))</f>
        <v>31690407.29773913</v>
      </c>
    </row>
    <row r="1238" spans="1:21" ht="18" customHeight="1">
      <c r="A1238" s="386"/>
      <c r="B1238" s="17">
        <f t="shared" si="405"/>
        <v>27</v>
      </c>
      <c r="D1238" s="67"/>
      <c r="G1238" s="17">
        <f>G1237+1</f>
        <v>27</v>
      </c>
      <c r="H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U1238" s="233"/>
    </row>
    <row r="1239" spans="1:21" ht="18" customHeight="1">
      <c r="A1239" s="386"/>
      <c r="B1239" s="17">
        <f t="shared" si="405"/>
        <v>28</v>
      </c>
      <c r="D1239" s="67" t="s">
        <v>757</v>
      </c>
      <c r="G1239" s="17">
        <f t="shared" si="406"/>
        <v>28</v>
      </c>
      <c r="H1239" s="67" t="str">
        <f t="shared" si="410"/>
        <v>NCP XHV</v>
      </c>
      <c r="J1239" s="480">
        <f t="shared" si="412" ref="J1239:O1239">J1237</f>
        <v>15210692.881406292</v>
      </c>
      <c r="K1239" s="480">
        <f t="shared" si="412"/>
        <v>371448.40089449205</v>
      </c>
      <c r="L1239" s="480">
        <f t="shared" si="412"/>
        <v>9793744.3547214009</v>
      </c>
      <c r="M1239" s="480">
        <f t="shared" si="412"/>
        <v>5536.8073701752573</v>
      </c>
      <c r="N1239" s="480">
        <f t="shared" si="412"/>
        <v>2343455.6321282429</v>
      </c>
      <c r="O1239" s="480">
        <f t="shared" si="412"/>
        <v>847474.94215962989</v>
      </c>
      <c r="P1239" s="18">
        <v>0</v>
      </c>
      <c r="Q1239" s="480">
        <f>Q1237</f>
        <v>98783.961086827592</v>
      </c>
      <c r="R1239" s="479">
        <f>R1237</f>
        <v>101575.17606204849</v>
      </c>
      <c r="S1239" s="479">
        <f>S1237</f>
        <v>127209.27191001845</v>
      </c>
      <c r="U1239" s="50">
        <f t="shared" si="411"/>
        <v>28899921.427739128</v>
      </c>
    </row>
    <row r="1240" spans="1:21" ht="18" customHeight="1">
      <c r="A1240" s="386"/>
      <c r="B1240" s="17">
        <f t="shared" si="405"/>
        <v>29</v>
      </c>
      <c r="D1240" s="67"/>
      <c r="G1240" s="17">
        <f>G1239+1</f>
        <v>29</v>
      </c>
      <c r="H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U1240" s="233"/>
    </row>
    <row r="1241" spans="1:21" ht="18" customHeight="1">
      <c r="A1241" s="386"/>
      <c r="B1241" s="17">
        <f t="shared" si="405"/>
        <v>30</v>
      </c>
      <c r="D1241" s="67" t="s">
        <v>759</v>
      </c>
      <c r="G1241" s="17">
        <f t="shared" si="406"/>
        <v>30</v>
      </c>
      <c r="H1241" s="67" t="str">
        <f t="shared" si="410"/>
        <v>NCP XSS</v>
      </c>
      <c r="J1241" s="480">
        <f>J1237</f>
        <v>15210692.881406292</v>
      </c>
      <c r="K1241" s="480">
        <f>K1237</f>
        <v>371448.40089449205</v>
      </c>
      <c r="L1241" s="480">
        <f>L1237</f>
        <v>9793744.3547214009</v>
      </c>
      <c r="M1241" s="480">
        <f>M1237</f>
        <v>5536.8073701752573</v>
      </c>
      <c r="N1241" s="480">
        <f>N1237</f>
        <v>2343455.6321282429</v>
      </c>
      <c r="O1241" s="18">
        <v>0</v>
      </c>
      <c r="P1241" s="18">
        <v>0</v>
      </c>
      <c r="Q1241" s="480">
        <f>Q1237</f>
        <v>98783.961086827592</v>
      </c>
      <c r="R1241" s="18">
        <v>0</v>
      </c>
      <c r="S1241" s="479">
        <f>S1237</f>
        <v>127209.27191001845</v>
      </c>
      <c r="U1241" s="50">
        <f t="shared" si="411"/>
        <v>27950871.309517451</v>
      </c>
    </row>
    <row r="1242" spans="1:21" ht="18" customHeight="1">
      <c r="A1242" s="386"/>
      <c r="B1242" s="17">
        <f t="shared" si="405"/>
        <v>31</v>
      </c>
      <c r="D1242" s="67"/>
      <c r="G1242" s="17">
        <f>G1241+1</f>
        <v>31</v>
      </c>
      <c r="H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U1242" s="233"/>
    </row>
    <row r="1243" spans="1:21" ht="18" customHeight="1">
      <c r="A1243" s="386"/>
      <c r="B1243" s="17">
        <f t="shared" si="405"/>
        <v>32</v>
      </c>
      <c r="D1243" s="67" t="s">
        <v>760</v>
      </c>
      <c r="G1243" s="17">
        <f t="shared" si="406"/>
        <v>32</v>
      </c>
      <c r="H1243" s="67" t="str">
        <f t="shared" si="410"/>
        <v>NCP SEC</v>
      </c>
      <c r="J1243" s="480">
        <f>J1237</f>
        <v>15210692.881406292</v>
      </c>
      <c r="K1243" s="480">
        <f>K1237</f>
        <v>371448.40089449205</v>
      </c>
      <c r="L1243" s="480">
        <f>L1237</f>
        <v>9793744.3547214009</v>
      </c>
      <c r="M1243" s="18">
        <v>0</v>
      </c>
      <c r="N1243" s="18">
        <v>0</v>
      </c>
      <c r="O1243" s="18">
        <v>0</v>
      </c>
      <c r="P1243" s="18">
        <v>0</v>
      </c>
      <c r="Q1243" s="480">
        <f>Q1237</f>
        <v>98783.961086827592</v>
      </c>
      <c r="R1243" s="18">
        <v>0</v>
      </c>
      <c r="S1243" s="18">
        <v>0</v>
      </c>
      <c r="U1243" s="50">
        <f t="shared" si="411"/>
        <v>25474669.598109014</v>
      </c>
    </row>
    <row r="1244" spans="1:21" ht="18" customHeight="1">
      <c r="A1244" s="386"/>
      <c r="B1244" s="17">
        <f t="shared" si="405"/>
        <v>33</v>
      </c>
      <c r="D1244" s="67" t="s">
        <v>761</v>
      </c>
      <c r="G1244" s="17">
        <f t="shared" si="406"/>
        <v>33</v>
      </c>
      <c r="H1244" s="67" t="str">
        <f t="shared" si="410"/>
        <v>NCP LGT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480">
        <f>Q1237</f>
        <v>98783.961086827592</v>
      </c>
      <c r="R1244" s="18">
        <v>0</v>
      </c>
      <c r="S1244" s="18">
        <v>0</v>
      </c>
      <c r="U1244" s="50">
        <f t="shared" si="411"/>
        <v>98783.961086827592</v>
      </c>
    </row>
    <row r="1245" spans="1:21" ht="18" customHeight="1">
      <c r="A1245" s="386"/>
      <c r="B1245" s="17">
        <f t="shared" si="405"/>
        <v>34</v>
      </c>
      <c r="D1245" s="47"/>
      <c r="E1245" s="386"/>
      <c r="F1245" s="386"/>
      <c r="G1245" s="17">
        <f t="shared" si="406"/>
        <v>34</v>
      </c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U1245" s="233"/>
    </row>
    <row r="1246" spans="1:21" ht="18" customHeight="1">
      <c r="A1246" s="386"/>
      <c r="B1246" s="17">
        <f t="shared" si="405"/>
        <v>35</v>
      </c>
      <c r="G1246" s="17">
        <f t="shared" si="406"/>
        <v>35</v>
      </c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U1246" s="233"/>
    </row>
    <row r="1247" spans="1:21" ht="18" customHeight="1">
      <c r="A1247" s="386"/>
      <c r="B1247" s="17">
        <f t="shared" si="405"/>
        <v>36</v>
      </c>
      <c r="D1247" s="47" t="s">
        <v>940</v>
      </c>
      <c r="G1247" s="17">
        <f t="shared" si="406"/>
        <v>36</v>
      </c>
      <c r="H1247" s="67" t="str">
        <f>VLOOKUP(G1247,FactorTable,2)</f>
        <v>OPEB MED</v>
      </c>
      <c r="J1247" s="477">
        <f>J1299</f>
        <v>24620194.79940578</v>
      </c>
      <c r="K1247" s="477">
        <f t="shared" si="413" ref="K1247:Q1247">K1299</f>
        <v>3794546.5572728124</v>
      </c>
      <c r="L1247" s="477">
        <f t="shared" si="413"/>
        <v>11700024.282504497</v>
      </c>
      <c r="M1247" s="477">
        <f t="shared" si="413"/>
        <v>164285.35386063246</v>
      </c>
      <c r="N1247" s="477">
        <f t="shared" si="413"/>
        <v>3427875.9592681285</v>
      </c>
      <c r="O1247" s="477">
        <f>O1299</f>
        <v>117153.17426081216</v>
      </c>
      <c r="P1247" s="477">
        <f t="shared" si="413"/>
        <v>255002.0626549272</v>
      </c>
      <c r="Q1247" s="477">
        <f t="shared" si="413"/>
        <v>28578.934229933355</v>
      </c>
      <c r="R1247" s="477">
        <f>R1299*(1-'WP II-I-2.2'!$G$42)</f>
        <v>13517.217699434706</v>
      </c>
      <c r="S1247" s="477">
        <f>S1299*(1-'WP II-I-2.2'!$G$42)</f>
        <v>31563.50884304168</v>
      </c>
      <c r="U1247" s="50">
        <f>MAX(0.0000001,SUM(I1247:T1247))</f>
        <v>44152741.850000001</v>
      </c>
    </row>
    <row r="1248" spans="1:21" ht="18" customHeight="1">
      <c r="A1248" s="386"/>
      <c r="B1248" s="17">
        <f t="shared" si="405"/>
        <v>37</v>
      </c>
      <c r="D1248" t="s">
        <v>949</v>
      </c>
      <c r="G1248" s="17">
        <f t="shared" si="406"/>
        <v>37</v>
      </c>
      <c r="H1248" s="67" t="str">
        <f>VLOOKUP(G1248,FactorTable,2)</f>
        <v>OPEB TOTAL</v>
      </c>
      <c r="J1248" s="477">
        <f>J1299</f>
        <v>24620194.79940578</v>
      </c>
      <c r="K1248" s="477">
        <f t="shared" si="414" ref="K1248:Q1248">K1299</f>
        <v>3794546.5572728124</v>
      </c>
      <c r="L1248" s="477">
        <f t="shared" si="414"/>
        <v>11700024.282504497</v>
      </c>
      <c r="M1248" s="477">
        <f t="shared" si="414"/>
        <v>164285.35386063246</v>
      </c>
      <c r="N1248" s="477">
        <f t="shared" si="414"/>
        <v>3427875.9592681285</v>
      </c>
      <c r="O1248" s="477">
        <f>O1299</f>
        <v>117153.17426081216</v>
      </c>
      <c r="P1248" s="477">
        <f t="shared" si="414"/>
        <v>255002.0626549272</v>
      </c>
      <c r="Q1248" s="477">
        <f t="shared" si="414"/>
        <v>28578.934229933355</v>
      </c>
      <c r="R1248" s="477">
        <f>R1299*(1-'WP II-I-2.2'!$K$42)</f>
        <v>13517.217699434706</v>
      </c>
      <c r="S1248" s="477">
        <f>S1299*(1-'WP II-I-2.2'!$K$42)</f>
        <v>31563.50884304168</v>
      </c>
      <c r="U1248" s="50">
        <f>MAX(0.0000001,SUM(I1248:T1248))</f>
        <v>44152741.850000001</v>
      </c>
    </row>
    <row r="1249" spans="1:21" ht="18" customHeight="1">
      <c r="A1249" s="386"/>
      <c r="B1249" s="17">
        <f t="shared" si="405"/>
        <v>38</v>
      </c>
      <c r="D1249" s="67"/>
      <c r="G1249" s="17">
        <f t="shared" si="406"/>
        <v>38</v>
      </c>
      <c r="H1249" s="67"/>
      <c r="J1249" s="481"/>
      <c r="K1249" s="481"/>
      <c r="L1249" s="481"/>
      <c r="M1249" s="481"/>
      <c r="N1249" s="481"/>
      <c r="O1249" s="481"/>
      <c r="P1249" s="481"/>
      <c r="Q1249" s="481"/>
      <c r="R1249" s="481"/>
      <c r="S1249" s="481"/>
      <c r="U1249" s="50"/>
    </row>
    <row r="1250" spans="1:21" ht="18" customHeight="1">
      <c r="A1250" s="386"/>
      <c r="B1250" s="17">
        <f t="shared" si="405"/>
        <v>39</v>
      </c>
      <c r="D1250" s="67" t="s">
        <v>762</v>
      </c>
      <c r="G1250" s="17">
        <f t="shared" si="406"/>
        <v>39</v>
      </c>
      <c r="H1250" s="67" t="str">
        <f t="shared" si="415" ref="H1250:H1265">VLOOKUP(G1250,FactorTable,2)</f>
        <v>NOT USED</v>
      </c>
      <c r="J1250" s="480"/>
      <c r="K1250" s="480"/>
      <c r="L1250" s="480"/>
      <c r="M1250" s="480"/>
      <c r="N1250" s="480"/>
      <c r="O1250" s="480"/>
      <c r="P1250" s="480"/>
      <c r="Q1250" s="480"/>
      <c r="R1250" s="480"/>
      <c r="S1250" s="480"/>
      <c r="U1250" s="50"/>
    </row>
    <row r="1251" spans="1:21" ht="18" customHeight="1">
      <c r="A1251" s="386"/>
      <c r="B1251" s="17">
        <f t="shared" si="405"/>
        <v>40</v>
      </c>
      <c r="D1251" s="67" t="s">
        <v>957</v>
      </c>
      <c r="G1251" s="17">
        <f t="shared" si="406"/>
        <v>40</v>
      </c>
      <c r="H1251" s="67" t="str">
        <f>VLOOKUP(G1251,FactorTable,2)</f>
        <v>PLT 360</v>
      </c>
      <c r="J1251" s="480">
        <f t="shared" si="416" ref="J1251:S1251">J133</f>
        <v>0</v>
      </c>
      <c r="K1251" s="480">
        <f t="shared" si="416"/>
        <v>0</v>
      </c>
      <c r="L1251" s="480">
        <f t="shared" si="416"/>
        <v>0</v>
      </c>
      <c r="M1251" s="480">
        <f t="shared" si="416"/>
        <v>0</v>
      </c>
      <c r="N1251" s="480">
        <f t="shared" si="416"/>
        <v>0</v>
      </c>
      <c r="O1251" s="480">
        <f t="shared" si="416"/>
        <v>0</v>
      </c>
      <c r="P1251" s="480">
        <f t="shared" si="416"/>
        <v>0</v>
      </c>
      <c r="Q1251" s="480">
        <f t="shared" si="416"/>
        <v>0</v>
      </c>
      <c r="R1251" s="480">
        <f t="shared" si="416"/>
        <v>0</v>
      </c>
      <c r="S1251" s="480">
        <f t="shared" si="416"/>
        <v>0</v>
      </c>
      <c r="U1251" s="50">
        <f>MAX(0.0000001,SUM(I1251:T1251))</f>
        <v>9.9999999999999995E-08</v>
      </c>
    </row>
    <row r="1252" spans="1:21" ht="18" customHeight="1">
      <c r="A1252" s="386"/>
      <c r="B1252" s="17">
        <f t="shared" si="405"/>
        <v>41</v>
      </c>
      <c r="D1252" s="67" t="s">
        <v>763</v>
      </c>
      <c r="G1252" s="17">
        <f t="shared" si="406"/>
        <v>41</v>
      </c>
      <c r="H1252" s="67" t="str">
        <f t="shared" si="415"/>
        <v>PLT 353</v>
      </c>
      <c r="J1252" s="480">
        <f t="shared" si="417" ref="J1252:S1252">J111</f>
        <v>0</v>
      </c>
      <c r="K1252" s="480">
        <f t="shared" si="417"/>
        <v>0</v>
      </c>
      <c r="L1252" s="480">
        <f t="shared" si="417"/>
        <v>0</v>
      </c>
      <c r="M1252" s="480">
        <f t="shared" si="417"/>
        <v>0</v>
      </c>
      <c r="N1252" s="480">
        <f t="shared" si="417"/>
        <v>0</v>
      </c>
      <c r="O1252" s="480">
        <f t="shared" si="417"/>
        <v>0</v>
      </c>
      <c r="P1252" s="480">
        <f t="shared" si="417"/>
        <v>0</v>
      </c>
      <c r="Q1252" s="480">
        <f t="shared" si="417"/>
        <v>0</v>
      </c>
      <c r="R1252" s="480">
        <f t="shared" si="417"/>
        <v>0</v>
      </c>
      <c r="S1252" s="480">
        <f t="shared" si="417"/>
        <v>0</v>
      </c>
      <c r="U1252" s="50">
        <f t="shared" si="418" ref="U1252:U1265">MAX(0.0000001,SUM(I1252:T1252))</f>
        <v>9.9999999999999995E-08</v>
      </c>
    </row>
    <row r="1253" spans="1:21" ht="18" customHeight="1">
      <c r="A1253" s="386"/>
      <c r="B1253" s="17">
        <f t="shared" si="405"/>
        <v>42</v>
      </c>
      <c r="D1253" s="67" t="s">
        <v>764</v>
      </c>
      <c r="G1253" s="17">
        <f t="shared" si="406"/>
        <v>42</v>
      </c>
      <c r="H1253" s="67" t="str">
        <f t="shared" si="415"/>
        <v>PLT 352-358</v>
      </c>
      <c r="J1253" s="480">
        <f t="shared" si="419" ref="J1253:S1253">SUM(J110:J116)</f>
        <v>0</v>
      </c>
      <c r="K1253" s="480">
        <f t="shared" si="419"/>
        <v>0</v>
      </c>
      <c r="L1253" s="480">
        <f t="shared" si="419"/>
        <v>0</v>
      </c>
      <c r="M1253" s="480">
        <f t="shared" si="419"/>
        <v>0</v>
      </c>
      <c r="N1253" s="480">
        <f t="shared" si="419"/>
        <v>0</v>
      </c>
      <c r="O1253" s="480">
        <f t="shared" si="419"/>
        <v>0</v>
      </c>
      <c r="P1253" s="480">
        <f t="shared" si="419"/>
        <v>0</v>
      </c>
      <c r="Q1253" s="480">
        <f t="shared" si="419"/>
        <v>0</v>
      </c>
      <c r="R1253" s="480">
        <f t="shared" si="419"/>
        <v>0</v>
      </c>
      <c r="S1253" s="480">
        <f t="shared" si="419"/>
        <v>0</v>
      </c>
      <c r="U1253" s="50">
        <f t="shared" si="418"/>
        <v>9.9999999999999995E-08</v>
      </c>
    </row>
    <row r="1254" spans="1:21" ht="18" customHeight="1">
      <c r="A1254" s="386"/>
      <c r="B1254" s="17">
        <f t="shared" si="405"/>
        <v>43</v>
      </c>
      <c r="D1254" s="67" t="s">
        <v>765</v>
      </c>
      <c r="G1254" s="17">
        <f t="shared" si="406"/>
        <v>43</v>
      </c>
      <c r="H1254" s="67" t="str">
        <f t="shared" si="415"/>
        <v>PLT 361</v>
      </c>
      <c r="J1254" s="480">
        <f t="shared" si="420" ref="J1254:S1254">J134</f>
        <v>0</v>
      </c>
      <c r="K1254" s="480">
        <f t="shared" si="420"/>
        <v>0</v>
      </c>
      <c r="L1254" s="480">
        <f t="shared" si="420"/>
        <v>0</v>
      </c>
      <c r="M1254" s="480">
        <f t="shared" si="420"/>
        <v>0</v>
      </c>
      <c r="N1254" s="480">
        <f t="shared" si="420"/>
        <v>0</v>
      </c>
      <c r="O1254" s="480">
        <f t="shared" si="420"/>
        <v>0</v>
      </c>
      <c r="P1254" s="480">
        <f t="shared" si="420"/>
        <v>0</v>
      </c>
      <c r="Q1254" s="480">
        <f t="shared" si="420"/>
        <v>0</v>
      </c>
      <c r="R1254" s="480">
        <f t="shared" si="420"/>
        <v>0</v>
      </c>
      <c r="S1254" s="480">
        <f t="shared" si="420"/>
        <v>0</v>
      </c>
      <c r="U1254" s="50">
        <f t="shared" si="418"/>
        <v>9.9999999999999995E-08</v>
      </c>
    </row>
    <row r="1255" spans="1:21" ht="18" customHeight="1">
      <c r="A1255" s="386"/>
      <c r="B1255" s="17">
        <f t="shared" si="405"/>
        <v>44</v>
      </c>
      <c r="D1255" s="67" t="s">
        <v>766</v>
      </c>
      <c r="G1255" s="17">
        <f t="shared" si="406"/>
        <v>44</v>
      </c>
      <c r="H1255" s="67" t="str">
        <f t="shared" si="415"/>
        <v>PLT 362</v>
      </c>
      <c r="J1255" s="480">
        <f t="shared" si="421" ref="J1255:S1255">J135</f>
        <v>0</v>
      </c>
      <c r="K1255" s="480">
        <f t="shared" si="421"/>
        <v>0</v>
      </c>
      <c r="L1255" s="480">
        <f t="shared" si="421"/>
        <v>0</v>
      </c>
      <c r="M1255" s="480">
        <f t="shared" si="421"/>
        <v>0</v>
      </c>
      <c r="N1255" s="480">
        <f t="shared" si="421"/>
        <v>0</v>
      </c>
      <c r="O1255" s="480">
        <f t="shared" si="421"/>
        <v>0</v>
      </c>
      <c r="P1255" s="480">
        <f t="shared" si="421"/>
        <v>0</v>
      </c>
      <c r="Q1255" s="480">
        <f t="shared" si="421"/>
        <v>0</v>
      </c>
      <c r="R1255" s="480">
        <f t="shared" si="421"/>
        <v>0</v>
      </c>
      <c r="S1255" s="480">
        <f t="shared" si="421"/>
        <v>0</v>
      </c>
      <c r="U1255" s="50">
        <f t="shared" si="418"/>
        <v>9.9999999999999995E-08</v>
      </c>
    </row>
    <row r="1256" spans="1:21" ht="18" customHeight="1">
      <c r="A1256" s="386"/>
      <c r="B1256" s="17">
        <f t="shared" si="405"/>
        <v>45</v>
      </c>
      <c r="D1256" s="67" t="s">
        <v>767</v>
      </c>
      <c r="G1256" s="17">
        <f t="shared" si="406"/>
        <v>45</v>
      </c>
      <c r="H1256" s="67" t="str">
        <f t="shared" si="415"/>
        <v>PLT 364</v>
      </c>
      <c r="J1256" s="480">
        <f t="shared" si="422" ref="J1256:S1256">J156</f>
        <v>0</v>
      </c>
      <c r="K1256" s="480">
        <f t="shared" si="422"/>
        <v>0</v>
      </c>
      <c r="L1256" s="480">
        <f t="shared" si="422"/>
        <v>0</v>
      </c>
      <c r="M1256" s="480">
        <f t="shared" si="422"/>
        <v>0</v>
      </c>
      <c r="N1256" s="480">
        <f t="shared" si="422"/>
        <v>0</v>
      </c>
      <c r="O1256" s="480">
        <f t="shared" si="422"/>
        <v>0</v>
      </c>
      <c r="P1256" s="480">
        <f t="shared" si="422"/>
        <v>0</v>
      </c>
      <c r="Q1256" s="480">
        <f t="shared" si="422"/>
        <v>0</v>
      </c>
      <c r="R1256" s="480">
        <f t="shared" si="422"/>
        <v>0</v>
      </c>
      <c r="S1256" s="480">
        <f t="shared" si="422"/>
        <v>0</v>
      </c>
      <c r="U1256" s="50">
        <f t="shared" si="418"/>
        <v>9.9999999999999995E-08</v>
      </c>
    </row>
    <row r="1257" spans="1:21" ht="18" customHeight="1">
      <c r="A1257" s="386"/>
      <c r="B1257" s="17">
        <f t="shared" si="405"/>
        <v>46</v>
      </c>
      <c r="D1257" s="67" t="s">
        <v>768</v>
      </c>
      <c r="G1257" s="17">
        <f t="shared" si="406"/>
        <v>46</v>
      </c>
      <c r="H1257" s="67" t="str">
        <f t="shared" si="415"/>
        <v>PLT 365</v>
      </c>
      <c r="J1257" s="480">
        <f t="shared" si="423" ref="J1257:S1257">J157</f>
        <v>0</v>
      </c>
      <c r="K1257" s="480">
        <f t="shared" si="423"/>
        <v>0</v>
      </c>
      <c r="L1257" s="480">
        <f t="shared" si="423"/>
        <v>0</v>
      </c>
      <c r="M1257" s="480">
        <f t="shared" si="423"/>
        <v>0</v>
      </c>
      <c r="N1257" s="480">
        <f t="shared" si="423"/>
        <v>0</v>
      </c>
      <c r="O1257" s="480">
        <f t="shared" si="423"/>
        <v>0</v>
      </c>
      <c r="P1257" s="480">
        <f t="shared" si="423"/>
        <v>0</v>
      </c>
      <c r="Q1257" s="480">
        <f t="shared" si="423"/>
        <v>0</v>
      </c>
      <c r="R1257" s="480">
        <f t="shared" si="423"/>
        <v>0</v>
      </c>
      <c r="S1257" s="480">
        <f t="shared" si="423"/>
        <v>0</v>
      </c>
      <c r="U1257" s="50">
        <f t="shared" si="418"/>
        <v>9.9999999999999995E-08</v>
      </c>
    </row>
    <row r="1258" spans="1:21" ht="18" customHeight="1">
      <c r="A1258" s="386"/>
      <c r="B1258" s="17">
        <f t="shared" si="405"/>
        <v>47</v>
      </c>
      <c r="D1258" s="67" t="s">
        <v>769</v>
      </c>
      <c r="G1258" s="17">
        <f t="shared" si="406"/>
        <v>47</v>
      </c>
      <c r="H1258" s="67" t="str">
        <f t="shared" si="415"/>
        <v>PLT 366</v>
      </c>
      <c r="J1258" s="480">
        <f t="shared" si="424" ref="J1258:S1258">J158</f>
        <v>0</v>
      </c>
      <c r="K1258" s="480">
        <f t="shared" si="424"/>
        <v>0</v>
      </c>
      <c r="L1258" s="480">
        <f t="shared" si="424"/>
        <v>0</v>
      </c>
      <c r="M1258" s="480">
        <f t="shared" si="424"/>
        <v>0</v>
      </c>
      <c r="N1258" s="480">
        <f t="shared" si="424"/>
        <v>0</v>
      </c>
      <c r="O1258" s="480">
        <f t="shared" si="424"/>
        <v>0</v>
      </c>
      <c r="P1258" s="480">
        <f t="shared" si="424"/>
        <v>0</v>
      </c>
      <c r="Q1258" s="480">
        <f t="shared" si="424"/>
        <v>0</v>
      </c>
      <c r="R1258" s="480">
        <f t="shared" si="424"/>
        <v>0</v>
      </c>
      <c r="S1258" s="480">
        <f t="shared" si="424"/>
        <v>0</v>
      </c>
      <c r="U1258" s="50">
        <f t="shared" si="418"/>
        <v>9.9999999999999995E-08</v>
      </c>
    </row>
    <row r="1259" spans="1:21" ht="18" customHeight="1">
      <c r="A1259" s="386"/>
      <c r="B1259" s="17">
        <f t="shared" si="405"/>
        <v>48</v>
      </c>
      <c r="D1259" s="67" t="s">
        <v>770</v>
      </c>
      <c r="G1259" s="17">
        <f t="shared" si="406"/>
        <v>48</v>
      </c>
      <c r="H1259" s="67" t="str">
        <f t="shared" si="415"/>
        <v>PLT 367</v>
      </c>
      <c r="J1259" s="480">
        <f t="shared" si="425" ref="J1259:S1259">J159</f>
        <v>0</v>
      </c>
      <c r="K1259" s="480">
        <f t="shared" si="425"/>
        <v>0</v>
      </c>
      <c r="L1259" s="480">
        <f t="shared" si="425"/>
        <v>0</v>
      </c>
      <c r="M1259" s="480">
        <f t="shared" si="425"/>
        <v>0</v>
      </c>
      <c r="N1259" s="480">
        <f t="shared" si="425"/>
        <v>0</v>
      </c>
      <c r="O1259" s="480">
        <f t="shared" si="425"/>
        <v>0</v>
      </c>
      <c r="P1259" s="480">
        <f t="shared" si="425"/>
        <v>0</v>
      </c>
      <c r="Q1259" s="480">
        <f t="shared" si="425"/>
        <v>0</v>
      </c>
      <c r="R1259" s="480">
        <f t="shared" si="425"/>
        <v>0</v>
      </c>
      <c r="S1259" s="480">
        <f t="shared" si="425"/>
        <v>0</v>
      </c>
      <c r="U1259" s="50">
        <f t="shared" si="418"/>
        <v>9.9999999999999995E-08</v>
      </c>
    </row>
    <row r="1260" spans="1:21" ht="18" customHeight="1">
      <c r="A1260" s="386"/>
      <c r="B1260" s="17">
        <f t="shared" si="405"/>
        <v>49</v>
      </c>
      <c r="D1260" s="67" t="s">
        <v>771</v>
      </c>
      <c r="G1260" s="17">
        <f t="shared" si="406"/>
        <v>49</v>
      </c>
      <c r="H1260" s="67" t="str">
        <f t="shared" si="415"/>
        <v>PLT 368</v>
      </c>
      <c r="J1260" s="480">
        <f t="shared" si="426" ref="J1260:S1260">J160</f>
        <v>0</v>
      </c>
      <c r="K1260" s="480">
        <f t="shared" si="426"/>
        <v>0</v>
      </c>
      <c r="L1260" s="480">
        <f t="shared" si="426"/>
        <v>0</v>
      </c>
      <c r="M1260" s="480">
        <f t="shared" si="426"/>
        <v>0</v>
      </c>
      <c r="N1260" s="480">
        <f t="shared" si="426"/>
        <v>0</v>
      </c>
      <c r="O1260" s="480">
        <f t="shared" si="426"/>
        <v>0</v>
      </c>
      <c r="P1260" s="480">
        <f t="shared" si="426"/>
        <v>0</v>
      </c>
      <c r="Q1260" s="480">
        <f t="shared" si="426"/>
        <v>0</v>
      </c>
      <c r="R1260" s="480">
        <f t="shared" si="426"/>
        <v>0</v>
      </c>
      <c r="S1260" s="480">
        <f t="shared" si="426"/>
        <v>0</v>
      </c>
      <c r="U1260" s="50">
        <f t="shared" si="418"/>
        <v>9.9999999999999995E-08</v>
      </c>
    </row>
    <row r="1261" spans="1:21" ht="18" customHeight="1">
      <c r="A1261" s="386"/>
      <c r="B1261" s="17">
        <f t="shared" si="405"/>
        <v>50</v>
      </c>
      <c r="D1261" s="67" t="s">
        <v>772</v>
      </c>
      <c r="G1261" s="17">
        <f t="shared" si="406"/>
        <v>50</v>
      </c>
      <c r="H1261" s="67" t="str">
        <f t="shared" si="415"/>
        <v>PLT 369</v>
      </c>
      <c r="J1261" s="480">
        <f t="shared" si="427" ref="J1261:S1261">J148</f>
        <v>0</v>
      </c>
      <c r="K1261" s="480">
        <f t="shared" si="427"/>
        <v>0</v>
      </c>
      <c r="L1261" s="480">
        <f t="shared" si="427"/>
        <v>0</v>
      </c>
      <c r="M1261" s="480">
        <f t="shared" si="427"/>
        <v>0</v>
      </c>
      <c r="N1261" s="480">
        <f t="shared" si="427"/>
        <v>0</v>
      </c>
      <c r="O1261" s="480">
        <f t="shared" si="427"/>
        <v>0</v>
      </c>
      <c r="P1261" s="480">
        <f t="shared" si="427"/>
        <v>0</v>
      </c>
      <c r="Q1261" s="480">
        <f t="shared" si="427"/>
        <v>0</v>
      </c>
      <c r="R1261" s="480">
        <f t="shared" si="427"/>
        <v>0</v>
      </c>
      <c r="S1261" s="480">
        <f t="shared" si="427"/>
        <v>0</v>
      </c>
      <c r="U1261" s="50">
        <f t="shared" si="418"/>
        <v>9.9999999999999995E-08</v>
      </c>
    </row>
    <row r="1262" spans="1:21" ht="18" customHeight="1">
      <c r="A1262" s="386"/>
      <c r="B1262" s="17">
        <f t="shared" si="405"/>
        <v>51</v>
      </c>
      <c r="D1262" s="67" t="s">
        <v>773</v>
      </c>
      <c r="G1262" s="17">
        <f t="shared" si="406"/>
        <v>51</v>
      </c>
      <c r="H1262" s="67" t="str">
        <f t="shared" si="415"/>
        <v>PLT 370</v>
      </c>
      <c r="J1262" s="480">
        <f t="shared" si="428" ref="J1262:S1262">J149</f>
        <v>320089986.17930245</v>
      </c>
      <c r="K1262" s="480">
        <f t="shared" si="428"/>
        <v>49349632.649223678</v>
      </c>
      <c r="L1262" s="480">
        <f t="shared" si="428"/>
        <v>152220649.0706929</v>
      </c>
      <c r="M1262" s="480">
        <f t="shared" si="428"/>
        <v>2137409.0370628219</v>
      </c>
      <c r="N1262" s="480">
        <f t="shared" si="428"/>
        <v>44601968.854590081</v>
      </c>
      <c r="O1262" s="480">
        <f t="shared" si="428"/>
        <v>1524183.3465529084</v>
      </c>
      <c r="P1262" s="480">
        <f t="shared" si="428"/>
        <v>3318029.9005728695</v>
      </c>
      <c r="Q1262" s="480">
        <f t="shared" si="428"/>
        <v>319072.7708168528</v>
      </c>
      <c r="R1262" s="480">
        <f t="shared" si="428"/>
        <v>175867.30921764328</v>
      </c>
      <c r="S1262" s="480">
        <f t="shared" si="428"/>
        <v>410683.9519678686</v>
      </c>
      <c r="U1262" s="50">
        <f t="shared" si="418"/>
        <v>574147483.07000017</v>
      </c>
    </row>
    <row r="1263" spans="1:21" ht="18" customHeight="1">
      <c r="A1263" s="386"/>
      <c r="B1263" s="17">
        <f t="shared" si="405"/>
        <v>52</v>
      </c>
      <c r="D1263" s="67" t="s">
        <v>774</v>
      </c>
      <c r="G1263" s="17">
        <f t="shared" si="406"/>
        <v>52</v>
      </c>
      <c r="H1263" s="67" t="str">
        <f t="shared" si="415"/>
        <v>PLT OH</v>
      </c>
      <c r="J1263" s="480">
        <f t="shared" si="429" ref="J1263:S1263">SUM(J156:J157)</f>
        <v>0</v>
      </c>
      <c r="K1263" s="480">
        <f t="shared" si="429"/>
        <v>0</v>
      </c>
      <c r="L1263" s="480">
        <f t="shared" si="429"/>
        <v>0</v>
      </c>
      <c r="M1263" s="480">
        <f t="shared" si="429"/>
        <v>0</v>
      </c>
      <c r="N1263" s="480">
        <f t="shared" si="429"/>
        <v>0</v>
      </c>
      <c r="O1263" s="480">
        <f t="shared" si="429"/>
        <v>0</v>
      </c>
      <c r="P1263" s="480">
        <f t="shared" si="429"/>
        <v>0</v>
      </c>
      <c r="Q1263" s="480">
        <f t="shared" si="429"/>
        <v>0</v>
      </c>
      <c r="R1263" s="480">
        <f t="shared" si="429"/>
        <v>0</v>
      </c>
      <c r="S1263" s="480">
        <f t="shared" si="429"/>
        <v>0</v>
      </c>
      <c r="U1263" s="50">
        <f t="shared" si="418"/>
        <v>9.9999999999999995E-08</v>
      </c>
    </row>
    <row r="1264" spans="1:21" ht="18" customHeight="1">
      <c r="A1264" s="386"/>
      <c r="B1264" s="17">
        <f t="shared" si="405"/>
        <v>53</v>
      </c>
      <c r="D1264" s="67" t="s">
        <v>775</v>
      </c>
      <c r="G1264" s="17">
        <f t="shared" si="406"/>
        <v>53</v>
      </c>
      <c r="H1264" s="67" t="str">
        <f t="shared" si="415"/>
        <v>PLT UG</v>
      </c>
      <c r="J1264" s="480">
        <f t="shared" si="430" ref="J1264:S1264">SUM(J158:J159)</f>
        <v>0</v>
      </c>
      <c r="K1264" s="480">
        <f t="shared" si="430"/>
        <v>0</v>
      </c>
      <c r="L1264" s="480">
        <f t="shared" si="430"/>
        <v>0</v>
      </c>
      <c r="M1264" s="480">
        <f t="shared" si="430"/>
        <v>0</v>
      </c>
      <c r="N1264" s="480">
        <f t="shared" si="430"/>
        <v>0</v>
      </c>
      <c r="O1264" s="480">
        <f t="shared" si="430"/>
        <v>0</v>
      </c>
      <c r="P1264" s="480">
        <f t="shared" si="430"/>
        <v>0</v>
      </c>
      <c r="Q1264" s="480">
        <f t="shared" si="430"/>
        <v>0</v>
      </c>
      <c r="R1264" s="480">
        <f t="shared" si="430"/>
        <v>0</v>
      </c>
      <c r="S1264" s="480">
        <f t="shared" si="430"/>
        <v>0</v>
      </c>
      <c r="U1264" s="50">
        <f t="shared" si="418"/>
        <v>9.9999999999999995E-08</v>
      </c>
    </row>
    <row r="1265" spans="1:21" ht="18" customHeight="1">
      <c r="A1265" s="386"/>
      <c r="B1265" s="17">
        <f t="shared" si="405"/>
        <v>54</v>
      </c>
      <c r="D1265" s="67" t="s">
        <v>776</v>
      </c>
      <c r="G1265" s="17">
        <f t="shared" si="406"/>
        <v>54</v>
      </c>
      <c r="H1265" s="67" t="str">
        <f t="shared" si="415"/>
        <v>PLT 362-373</v>
      </c>
      <c r="J1265" s="480">
        <f t="shared" si="431" ref="J1265:S1265">SUM(J135:J152)</f>
        <v>320089986.17930245</v>
      </c>
      <c r="K1265" s="480">
        <f t="shared" si="431"/>
        <v>49349632.649223678</v>
      </c>
      <c r="L1265" s="480">
        <f t="shared" si="431"/>
        <v>152220649.0706929</v>
      </c>
      <c r="M1265" s="480">
        <f t="shared" si="431"/>
        <v>2137409.0370628219</v>
      </c>
      <c r="N1265" s="480">
        <f t="shared" si="431"/>
        <v>44601968.854590081</v>
      </c>
      <c r="O1265" s="480">
        <f t="shared" si="431"/>
        <v>1524183.3465529084</v>
      </c>
      <c r="P1265" s="480">
        <f t="shared" si="431"/>
        <v>3318029.9005728695</v>
      </c>
      <c r="Q1265" s="480">
        <f t="shared" si="431"/>
        <v>319072.7708168528</v>
      </c>
      <c r="R1265" s="480">
        <f t="shared" si="431"/>
        <v>175867.30921764328</v>
      </c>
      <c r="S1265" s="480">
        <f t="shared" si="431"/>
        <v>410683.9519678686</v>
      </c>
      <c r="U1265" s="50">
        <f t="shared" si="418"/>
        <v>574147483.07000017</v>
      </c>
    </row>
    <row r="1266" spans="1:21" ht="18" customHeight="1">
      <c r="A1266" s="386"/>
      <c r="B1266" s="17">
        <f t="shared" si="405"/>
        <v>55</v>
      </c>
      <c r="D1266" s="67"/>
      <c r="G1266" s="17">
        <f>G1265+1</f>
        <v>55</v>
      </c>
      <c r="H1266" s="67"/>
      <c r="J1266" s="480"/>
      <c r="K1266" s="480"/>
      <c r="L1266" s="480"/>
      <c r="M1266" s="480"/>
      <c r="N1266" s="480"/>
      <c r="O1266" s="480"/>
      <c r="P1266" s="480"/>
      <c r="Q1266" s="480"/>
      <c r="R1266" s="480"/>
      <c r="S1266" s="480"/>
      <c r="U1266" s="233"/>
    </row>
    <row r="1267" spans="1:21" ht="18" customHeight="1">
      <c r="A1267" s="386"/>
      <c r="B1267" s="17">
        <f t="shared" si="405"/>
        <v>56</v>
      </c>
      <c r="D1267" s="67" t="s">
        <v>432</v>
      </c>
      <c r="G1267" s="17">
        <f>G1266+1</f>
        <v>56</v>
      </c>
      <c r="H1267" s="67" t="str">
        <f t="shared" si="432" ref="H1267:H1279">VLOOKUP(G1267,FactorTable,2)</f>
        <v>PLTDIST</v>
      </c>
      <c r="J1267" s="480">
        <f t="shared" si="433" ref="J1267:S1267">J154</f>
        <v>320089986.17930245</v>
      </c>
      <c r="K1267" s="480">
        <f t="shared" si="433"/>
        <v>49349632.649223678</v>
      </c>
      <c r="L1267" s="480">
        <f t="shared" si="433"/>
        <v>152220649.0706929</v>
      </c>
      <c r="M1267" s="480">
        <f t="shared" si="433"/>
        <v>2137409.0370628219</v>
      </c>
      <c r="N1267" s="480">
        <f t="shared" si="433"/>
        <v>44601968.854590081</v>
      </c>
      <c r="O1267" s="480">
        <f t="shared" si="433"/>
        <v>1524183.3465529084</v>
      </c>
      <c r="P1267" s="480">
        <f t="shared" si="433"/>
        <v>3318029.9005728695</v>
      </c>
      <c r="Q1267" s="480">
        <f t="shared" si="433"/>
        <v>319072.7708168528</v>
      </c>
      <c r="R1267" s="480">
        <f t="shared" si="433"/>
        <v>175867.30921764328</v>
      </c>
      <c r="S1267" s="480">
        <f t="shared" si="433"/>
        <v>410683.9519678686</v>
      </c>
      <c r="U1267" s="50">
        <f>MAX(0.0000001,SUM(I1267:T1267))</f>
        <v>574147483.07000017</v>
      </c>
    </row>
    <row r="1268" spans="1:21" ht="18" customHeight="1">
      <c r="A1268" s="386"/>
      <c r="B1268" s="17">
        <f t="shared" si="405"/>
        <v>57</v>
      </c>
      <c r="C1268" s="386"/>
      <c r="D1268" s="67" t="s">
        <v>945</v>
      </c>
      <c r="G1268" s="17">
        <f t="shared" si="406"/>
        <v>57</v>
      </c>
      <c r="H1268" s="67" t="str">
        <f>VLOOKUP(G1268,FactorTable,2)</f>
        <v>PLTDIST_N xWHL</v>
      </c>
      <c r="J1268" s="480">
        <f t="shared" si="434" ref="J1268:Q1268">J313</f>
        <v>132634646.78426248</v>
      </c>
      <c r="K1268" s="480">
        <f t="shared" si="434"/>
        <v>20448846.818020612</v>
      </c>
      <c r="L1268" s="480">
        <f t="shared" si="434"/>
        <v>63075175.402247638</v>
      </c>
      <c r="M1268" s="480">
        <f t="shared" si="434"/>
        <v>885671.23279362754</v>
      </c>
      <c r="N1268" s="480">
        <f t="shared" si="434"/>
        <v>18481572.808708359</v>
      </c>
      <c r="O1268" s="480">
        <f t="shared" si="434"/>
        <v>631570.8973515277</v>
      </c>
      <c r="P1268" s="480">
        <f t="shared" si="434"/>
        <v>1374881.2611575562</v>
      </c>
      <c r="Q1268" s="480">
        <f t="shared" si="434"/>
        <v>132213.14656205164</v>
      </c>
      <c r="R1268" s="604">
        <v>0</v>
      </c>
      <c r="S1268" s="604">
        <v>0</v>
      </c>
      <c r="U1268" s="50">
        <f>MAX(0.0000001,SUM(I1268:T1268))</f>
        <v>237664578.35110384</v>
      </c>
    </row>
    <row r="1269" spans="1:21" ht="18" customHeight="1">
      <c r="A1269" s="386"/>
      <c r="B1269" s="17">
        <f t="shared" si="405"/>
        <v>58</v>
      </c>
      <c r="C1269" s="386"/>
      <c r="D1269" s="67" t="s">
        <v>777</v>
      </c>
      <c r="G1269" s="17">
        <f t="shared" si="406"/>
        <v>58</v>
      </c>
      <c r="H1269" s="67" t="str">
        <f t="shared" si="432"/>
        <v>PLTDIST_N</v>
      </c>
      <c r="J1269" s="480">
        <f t="shared" si="435" ref="J1269:S1269">J313</f>
        <v>132634646.78426248</v>
      </c>
      <c r="K1269" s="480">
        <f t="shared" si="435"/>
        <v>20448846.818020612</v>
      </c>
      <c r="L1269" s="480">
        <f t="shared" si="435"/>
        <v>63075175.402247638</v>
      </c>
      <c r="M1269" s="480">
        <f t="shared" si="435"/>
        <v>885671.23279362754</v>
      </c>
      <c r="N1269" s="480">
        <f t="shared" si="435"/>
        <v>18481572.808708359</v>
      </c>
      <c r="O1269" s="480">
        <f t="shared" si="435"/>
        <v>631570.8973515277</v>
      </c>
      <c r="P1269" s="480">
        <f t="shared" si="435"/>
        <v>1374881.2611575562</v>
      </c>
      <c r="Q1269" s="480">
        <f t="shared" si="435"/>
        <v>132213.14656205164</v>
      </c>
      <c r="R1269" s="480">
        <f t="shared" si="435"/>
        <v>72873.565079022432</v>
      </c>
      <c r="S1269" s="480">
        <f t="shared" si="435"/>
        <v>170173.77381718744</v>
      </c>
      <c r="U1269" s="50">
        <f t="shared" si="436" ref="U1269:U1280">MAX(0.0000001,SUM(I1269:T1269))</f>
        <v>237907625.69000006</v>
      </c>
    </row>
    <row r="1270" spans="1:21" ht="18" customHeight="1">
      <c r="A1270" s="386"/>
      <c r="B1270" s="17">
        <f t="shared" si="405"/>
        <v>59</v>
      </c>
      <c r="C1270" s="386"/>
      <c r="D1270" s="67" t="s">
        <v>941</v>
      </c>
      <c r="G1270" s="17">
        <f t="shared" si="406"/>
        <v>59</v>
      </c>
      <c r="H1270" s="67" t="str">
        <f>VLOOKUP(G1270,FactorTable,2)</f>
        <v>PLANT_N</v>
      </c>
      <c r="J1270" s="480">
        <f t="shared" si="437" ref="J1270:S1270">J352</f>
        <v>186674193.86539483</v>
      </c>
      <c r="K1270" s="480">
        <f t="shared" si="437"/>
        <v>28780353.307231583</v>
      </c>
      <c r="L1270" s="480">
        <f t="shared" si="437"/>
        <v>88773995.382102817</v>
      </c>
      <c r="M1270" s="480">
        <f t="shared" si="437"/>
        <v>1246521.6850951647</v>
      </c>
      <c r="N1270" s="480">
        <f t="shared" si="437"/>
        <v>26011549.689892873</v>
      </c>
      <c r="O1270" s="480">
        <f t="shared" si="437"/>
        <v>888892.84203175036</v>
      </c>
      <c r="P1270" s="480">
        <f t="shared" si="437"/>
        <v>1935051.3407306559</v>
      </c>
      <c r="Q1270" s="480">
        <f t="shared" si="437"/>
        <v>186080.96113093986</v>
      </c>
      <c r="R1270" s="480">
        <f t="shared" si="437"/>
        <v>102564.55869597121</v>
      </c>
      <c r="S1270" s="480">
        <f t="shared" si="437"/>
        <v>239507.94769353399</v>
      </c>
      <c r="T1270" s="386"/>
      <c r="U1270" s="50">
        <f t="shared" si="436"/>
        <v>334838711.58000016</v>
      </c>
    </row>
    <row r="1271" spans="1:21" ht="18" customHeight="1">
      <c r="A1271" s="386"/>
      <c r="B1271" s="17">
        <f t="shared" si="405"/>
        <v>60</v>
      </c>
      <c r="C1271" s="386"/>
      <c r="D1271" s="67" t="s">
        <v>778</v>
      </c>
      <c r="G1271" s="17">
        <f t="shared" si="406"/>
        <v>60</v>
      </c>
      <c r="H1271" s="67" t="str">
        <f t="shared" si="432"/>
        <v>PLTOPER</v>
      </c>
      <c r="J1271" s="480">
        <f t="shared" si="438" ref="J1271:S1271">J163</f>
        <v>320089986.17930245</v>
      </c>
      <c r="K1271" s="480">
        <f t="shared" si="438"/>
        <v>49349632.649223678</v>
      </c>
      <c r="L1271" s="480">
        <f t="shared" si="438"/>
        <v>152220649.0706929</v>
      </c>
      <c r="M1271" s="480">
        <f t="shared" si="438"/>
        <v>2137409.0370628219</v>
      </c>
      <c r="N1271" s="480">
        <f t="shared" si="438"/>
        <v>44601968.854590081</v>
      </c>
      <c r="O1271" s="480">
        <f t="shared" si="438"/>
        <v>1524183.3465529084</v>
      </c>
      <c r="P1271" s="480">
        <f t="shared" si="438"/>
        <v>3318029.9005728695</v>
      </c>
      <c r="Q1271" s="480">
        <f t="shared" si="438"/>
        <v>319072.7708168528</v>
      </c>
      <c r="R1271" s="480">
        <f t="shared" si="438"/>
        <v>175867.30921764328</v>
      </c>
      <c r="S1271" s="480">
        <f t="shared" si="438"/>
        <v>410683.9519678686</v>
      </c>
      <c r="U1271" s="50">
        <f t="shared" si="436"/>
        <v>574147483.07000017</v>
      </c>
    </row>
    <row r="1272" spans="1:21" ht="18" customHeight="1">
      <c r="A1272" s="386"/>
      <c r="B1272" s="17">
        <f t="shared" si="405"/>
        <v>61</v>
      </c>
      <c r="C1272" s="386"/>
      <c r="D1272" s="67" t="s">
        <v>779</v>
      </c>
      <c r="G1272" s="17">
        <f t="shared" si="406"/>
        <v>61</v>
      </c>
      <c r="H1272" s="67" t="str">
        <f t="shared" si="432"/>
        <v>PLTOPER_N</v>
      </c>
      <c r="J1272" s="480">
        <f t="shared" si="439" ref="J1272:S1272">J314</f>
        <v>132634646.78426248</v>
      </c>
      <c r="K1272" s="480">
        <f t="shared" si="439"/>
        <v>20448846.818020612</v>
      </c>
      <c r="L1272" s="480">
        <f t="shared" si="439"/>
        <v>63075175.402247638</v>
      </c>
      <c r="M1272" s="480">
        <f t="shared" si="439"/>
        <v>885671.23279362754</v>
      </c>
      <c r="N1272" s="480">
        <f t="shared" si="439"/>
        <v>18481572.808708359</v>
      </c>
      <c r="O1272" s="480">
        <f t="shared" si="439"/>
        <v>631570.8973515277</v>
      </c>
      <c r="P1272" s="480">
        <f t="shared" si="439"/>
        <v>1374881.2611575562</v>
      </c>
      <c r="Q1272" s="480">
        <f t="shared" si="439"/>
        <v>132213.14656205164</v>
      </c>
      <c r="R1272" s="480">
        <f t="shared" si="439"/>
        <v>72873.565079022432</v>
      </c>
      <c r="S1272" s="480">
        <f t="shared" si="439"/>
        <v>170173.77381718744</v>
      </c>
      <c r="U1272" s="50">
        <f t="shared" si="436"/>
        <v>237907625.69000006</v>
      </c>
    </row>
    <row r="1273" spans="1:21" ht="18" customHeight="1">
      <c r="A1273" s="386"/>
      <c r="B1273" s="17">
        <f t="shared" si="405"/>
        <v>62</v>
      </c>
      <c r="C1273" s="386"/>
      <c r="D1273" s="47" t="s">
        <v>780</v>
      </c>
      <c r="G1273" s="17">
        <f t="shared" si="406"/>
        <v>62</v>
      </c>
      <c r="H1273" s="67" t="str">
        <f t="shared" si="432"/>
        <v>PLTGEN</v>
      </c>
      <c r="J1273" s="480">
        <f t="shared" si="440" ref="J1273:S1273">J194</f>
        <v>58385595.778468207</v>
      </c>
      <c r="K1273" s="480">
        <f t="shared" si="440"/>
        <v>9001555.2753327005</v>
      </c>
      <c r="L1273" s="480">
        <f t="shared" si="440"/>
        <v>27765608.639812604</v>
      </c>
      <c r="M1273" s="480">
        <f t="shared" si="440"/>
        <v>389871.30319437745</v>
      </c>
      <c r="N1273" s="480">
        <f t="shared" si="440"/>
        <v>8135563.8629981941</v>
      </c>
      <c r="O1273" s="480">
        <f t="shared" si="440"/>
        <v>278016.67220624001</v>
      </c>
      <c r="P1273" s="480">
        <f t="shared" si="440"/>
        <v>605220.90949512238</v>
      </c>
      <c r="Q1273" s="480">
        <f t="shared" si="440"/>
        <v>58200.051939123063</v>
      </c>
      <c r="R1273" s="480">
        <f t="shared" si="440"/>
        <v>32078.8467930277</v>
      </c>
      <c r="S1273" s="480">
        <f t="shared" si="440"/>
        <v>74910.269760417417</v>
      </c>
      <c r="U1273" s="50">
        <f t="shared" si="436"/>
        <v>104726621.61</v>
      </c>
    </row>
    <row r="1274" spans="1:21" ht="18" customHeight="1">
      <c r="A1274" s="386"/>
      <c r="B1274" s="17">
        <f t="shared" si="405"/>
        <v>63</v>
      </c>
      <c r="C1274" s="386"/>
      <c r="D1274" s="47" t="s">
        <v>781</v>
      </c>
      <c r="G1274" s="17">
        <f t="shared" si="406"/>
        <v>63</v>
      </c>
      <c r="H1274" s="67" t="str">
        <f t="shared" si="432"/>
        <v>PLTGEN_N</v>
      </c>
      <c r="J1274" s="480">
        <f t="shared" si="441" ref="J1274:S1274">J350</f>
        <v>37236190.160407767</v>
      </c>
      <c r="K1274" s="480">
        <f t="shared" si="441"/>
        <v>5740861.5858523306</v>
      </c>
      <c r="L1274" s="480">
        <f t="shared" si="441"/>
        <v>17707886.156619556</v>
      </c>
      <c r="M1274" s="480">
        <f t="shared" si="441"/>
        <v>248645.60839482973</v>
      </c>
      <c r="N1274" s="480">
        <f t="shared" si="441"/>
        <v>5188564.0460735243</v>
      </c>
      <c r="O1274" s="480">
        <f t="shared" si="441"/>
        <v>177308.82996064378</v>
      </c>
      <c r="P1274" s="480">
        <f t="shared" si="441"/>
        <v>385987.68368355522</v>
      </c>
      <c r="Q1274" s="480">
        <f t="shared" si="441"/>
        <v>37117.857109372999</v>
      </c>
      <c r="R1274" s="480">
        <f t="shared" si="441"/>
        <v>20458.711149305058</v>
      </c>
      <c r="S1274" s="480">
        <f t="shared" si="441"/>
        <v>47775.020749125048</v>
      </c>
      <c r="U1274" s="50">
        <f t="shared" si="436"/>
        <v>66790795.660000011</v>
      </c>
    </row>
    <row r="1275" spans="1:21" ht="18" customHeight="1">
      <c r="A1275" s="386"/>
      <c r="B1275" s="17">
        <f t="shared" si="405"/>
        <v>64</v>
      </c>
      <c r="C1275" s="386"/>
      <c r="D1275" s="67" t="s">
        <v>782</v>
      </c>
      <c r="G1275" s="17">
        <f t="shared" si="406"/>
        <v>64</v>
      </c>
      <c r="H1275" s="67" t="str">
        <f t="shared" si="432"/>
        <v>PLANT</v>
      </c>
      <c r="J1275" s="480">
        <f t="shared" si="442" ref="J1275:S1275">J216</f>
        <v>507253939.12108976</v>
      </c>
      <c r="K1275" s="480">
        <f t="shared" si="442"/>
        <v>78205494.193357915</v>
      </c>
      <c r="L1275" s="480">
        <f t="shared" si="442"/>
        <v>241227552.22159722</v>
      </c>
      <c r="M1275" s="480">
        <f t="shared" si="442"/>
        <v>3387201.1008672989</v>
      </c>
      <c r="N1275" s="480">
        <f t="shared" si="442"/>
        <v>70681762.538405567</v>
      </c>
      <c r="O1275" s="480">
        <f t="shared" si="442"/>
        <v>2415408.2909942679</v>
      </c>
      <c r="P1275" s="480">
        <f t="shared" si="442"/>
        <v>5258158.048856752</v>
      </c>
      <c r="Q1275" s="480">
        <f t="shared" si="442"/>
        <v>505641.93461668125</v>
      </c>
      <c r="R1275" s="480">
        <f t="shared" si="442"/>
        <v>278700.95665318484</v>
      </c>
      <c r="S1275" s="480">
        <f t="shared" si="442"/>
        <v>650820.27356152306</v>
      </c>
      <c r="U1275" s="50">
        <f t="shared" si="436"/>
        <v>909864678.68000007</v>
      </c>
    </row>
    <row r="1276" spans="1:21" ht="18" customHeight="1">
      <c r="A1276" s="386"/>
      <c r="B1276" s="17">
        <f t="shared" si="443" ref="B1276:B1305">B1275+1</f>
        <v>65</v>
      </c>
      <c r="C1276" s="386"/>
      <c r="D1276" s="67" t="s">
        <v>783</v>
      </c>
      <c r="G1276" s="17">
        <f t="shared" si="444" ref="G1276:G1305">G1275+1</f>
        <v>65</v>
      </c>
      <c r="H1276" s="67" t="str">
        <f t="shared" si="432"/>
        <v>PLT_N XINT</v>
      </c>
      <c r="J1276" s="480">
        <f t="shared" si="445" ref="J1276:S1276">J354</f>
        <v>169870836.94467026</v>
      </c>
      <c r="K1276" s="480">
        <f t="shared" si="445"/>
        <v>26189708.403872944</v>
      </c>
      <c r="L1276" s="480">
        <f t="shared" si="445"/>
        <v>80783061.558867186</v>
      </c>
      <c r="M1276" s="480">
        <f t="shared" si="445"/>
        <v>1134316.8411884573</v>
      </c>
      <c r="N1276" s="480">
        <f t="shared" si="445"/>
        <v>23670136.854781881</v>
      </c>
      <c r="O1276" s="480">
        <f t="shared" si="445"/>
        <v>808879.72731217148</v>
      </c>
      <c r="P1276" s="480">
        <f t="shared" si="445"/>
        <v>1760868.9448411115</v>
      </c>
      <c r="Q1276" s="480">
        <f t="shared" si="445"/>
        <v>169331.00367142464</v>
      </c>
      <c r="R1276" s="480">
        <f t="shared" si="445"/>
        <v>93332.276228327493</v>
      </c>
      <c r="S1276" s="480">
        <f t="shared" si="445"/>
        <v>217948.79456631249</v>
      </c>
      <c r="U1276" s="50">
        <f t="shared" si="436"/>
        <v>304698421.34999996</v>
      </c>
    </row>
    <row r="1277" spans="1:21" ht="18" customHeight="1">
      <c r="A1277" s="386"/>
      <c r="B1277" s="17">
        <f t="shared" si="443"/>
        <v>66</v>
      </c>
      <c r="C1277" s="386"/>
      <c r="D1277" s="67" t="s">
        <v>784</v>
      </c>
      <c r="G1277" s="17">
        <f t="shared" si="444"/>
        <v>66</v>
      </c>
      <c r="H1277" s="67" t="str">
        <f t="shared" si="432"/>
        <v>PLT INT_N</v>
      </c>
      <c r="J1277" s="480">
        <f t="shared" si="446" ref="J1277:S1277">J311</f>
        <v>16803356.920724571</v>
      </c>
      <c r="K1277" s="480">
        <f t="shared" si="446"/>
        <v>2590644.903358642</v>
      </c>
      <c r="L1277" s="480">
        <f t="shared" si="446"/>
        <v>7990933.8232356235</v>
      </c>
      <c r="M1277" s="480">
        <f t="shared" si="446"/>
        <v>112204.84390670748</v>
      </c>
      <c r="N1277" s="480">
        <f t="shared" si="446"/>
        <v>2341412.8351109885</v>
      </c>
      <c r="O1277" s="480">
        <f t="shared" si="446"/>
        <v>80013.11471957888</v>
      </c>
      <c r="P1277" s="480">
        <f t="shared" si="446"/>
        <v>174182.39588954463</v>
      </c>
      <c r="Q1277" s="480">
        <f t="shared" si="446"/>
        <v>16749.957459515208</v>
      </c>
      <c r="R1277" s="480">
        <f t="shared" si="446"/>
        <v>9232.2824676437158</v>
      </c>
      <c r="S1277" s="480">
        <f t="shared" si="446"/>
        <v>21559.153127221507</v>
      </c>
      <c r="U1277" s="50">
        <f t="shared" si="436"/>
        <v>30140290.230000038</v>
      </c>
    </row>
    <row r="1278" spans="1:21" ht="18" customHeight="1">
      <c r="A1278" s="386"/>
      <c r="B1278" s="17">
        <f t="shared" si="443"/>
        <v>67</v>
      </c>
      <c r="C1278" s="386"/>
      <c r="D1278" s="67" t="s">
        <v>785</v>
      </c>
      <c r="G1278" s="17">
        <f t="shared" si="444"/>
        <v>67</v>
      </c>
      <c r="H1278" s="67" t="str">
        <f t="shared" si="432"/>
        <v>PLTTRAN_N</v>
      </c>
      <c r="J1278" s="480">
        <f t="shared" si="447" ref="J1278:S1278">J312</f>
        <v>0</v>
      </c>
      <c r="K1278" s="480">
        <f t="shared" si="447"/>
        <v>0</v>
      </c>
      <c r="L1278" s="480">
        <f t="shared" si="447"/>
        <v>0</v>
      </c>
      <c r="M1278" s="480">
        <f t="shared" si="447"/>
        <v>0</v>
      </c>
      <c r="N1278" s="480">
        <f t="shared" si="447"/>
        <v>0</v>
      </c>
      <c r="O1278" s="480">
        <f t="shared" si="447"/>
        <v>0</v>
      </c>
      <c r="P1278" s="480">
        <f t="shared" si="447"/>
        <v>0</v>
      </c>
      <c r="Q1278" s="480">
        <f t="shared" si="447"/>
        <v>0</v>
      </c>
      <c r="R1278" s="480">
        <f t="shared" si="447"/>
        <v>0</v>
      </c>
      <c r="S1278" s="480">
        <f t="shared" si="447"/>
        <v>0</v>
      </c>
      <c r="U1278" s="50">
        <f t="shared" si="436"/>
        <v>9.9999999999999995E-08</v>
      </c>
    </row>
    <row r="1279" spans="1:21" ht="18" customHeight="1">
      <c r="A1279" s="386"/>
      <c r="B1279" s="17">
        <f t="shared" si="443"/>
        <v>68</v>
      </c>
      <c r="C1279" s="386"/>
      <c r="D1279" s="67" t="s">
        <v>786</v>
      </c>
      <c r="G1279" s="17">
        <f t="shared" si="444"/>
        <v>68</v>
      </c>
      <c r="H1279" s="67" t="str">
        <f t="shared" si="432"/>
        <v>RATEBASE</v>
      </c>
      <c r="J1279" s="480">
        <f t="shared" si="448" ref="J1279:Q1279">J595</f>
        <v>234393975.62579891</v>
      </c>
      <c r="K1279" s="480">
        <f t="shared" si="448"/>
        <v>36010729.056317694</v>
      </c>
      <c r="L1279" s="480">
        <f t="shared" si="448"/>
        <v>112217437.53674349</v>
      </c>
      <c r="M1279" s="480">
        <f t="shared" si="448"/>
        <v>1557701.8332951001</v>
      </c>
      <c r="N1279" s="480">
        <f t="shared" si="448"/>
        <v>32695634.915483546</v>
      </c>
      <c r="O1279" s="480">
        <f>O595</f>
        <v>1130483.0849754205</v>
      </c>
      <c r="P1279" s="480">
        <f t="shared" si="448"/>
        <v>2640252.8436277537</v>
      </c>
      <c r="Q1279" s="480">
        <f t="shared" si="448"/>
        <v>245752.85476245178</v>
      </c>
      <c r="R1279" s="480">
        <f>R595</f>
        <v>128410.57448580445</v>
      </c>
      <c r="S1279" s="480">
        <f>S595</f>
        <v>299761.82527912949</v>
      </c>
      <c r="U1279" s="50">
        <f t="shared" si="436"/>
        <v>421320140.15076929</v>
      </c>
    </row>
    <row r="1280" spans="1:21" ht="18" customHeight="1">
      <c r="A1280" s="386"/>
      <c r="B1280" s="17">
        <f t="shared" si="443"/>
        <v>69</v>
      </c>
      <c r="C1280" s="386"/>
      <c r="D1280" s="67" t="s">
        <v>943</v>
      </c>
      <c r="G1280" s="17">
        <f t="shared" si="444"/>
        <v>69</v>
      </c>
      <c r="H1280" s="67" t="str">
        <f>VLOOKUP(G1280,FactorTable,2)</f>
        <v>PLANT_xWHL</v>
      </c>
      <c r="J1280" s="480">
        <f>J1275</f>
        <v>507253939.12108976</v>
      </c>
      <c r="K1280" s="480">
        <f t="shared" si="449" ref="K1280:Q1280">K1275</f>
        <v>78205494.193357915</v>
      </c>
      <c r="L1280" s="480">
        <f t="shared" si="449"/>
        <v>241227552.22159722</v>
      </c>
      <c r="M1280" s="480">
        <f t="shared" si="449"/>
        <v>3387201.1008672989</v>
      </c>
      <c r="N1280" s="480">
        <f t="shared" si="449"/>
        <v>70681762.538405567</v>
      </c>
      <c r="O1280" s="480">
        <f>O1275</f>
        <v>2415408.2909942679</v>
      </c>
      <c r="P1280" s="480">
        <f t="shared" si="449"/>
        <v>5258158.048856752</v>
      </c>
      <c r="Q1280" s="480">
        <f t="shared" si="449"/>
        <v>505641.93461668125</v>
      </c>
      <c r="R1280" s="18">
        <v>0</v>
      </c>
      <c r="S1280" s="18">
        <v>0</v>
      </c>
      <c r="U1280" s="50">
        <f t="shared" si="436"/>
        <v>908935157.44978535</v>
      </c>
    </row>
    <row r="1281" spans="1:21" ht="18" customHeight="1">
      <c r="A1281" s="386"/>
      <c r="B1281" s="17">
        <f t="shared" si="443"/>
        <v>70</v>
      </c>
      <c r="C1281" s="386"/>
      <c r="D1281" s="67"/>
      <c r="G1281" s="17">
        <f t="shared" si="444"/>
        <v>70</v>
      </c>
      <c r="H1281" s="67"/>
      <c r="J1281" s="480"/>
      <c r="K1281" s="480"/>
      <c r="L1281" s="480"/>
      <c r="M1281" s="480"/>
      <c r="N1281" s="480"/>
      <c r="O1281" s="480"/>
      <c r="P1281" s="480"/>
      <c r="Q1281" s="480"/>
      <c r="R1281" s="480"/>
      <c r="S1281" s="480"/>
      <c r="U1281" s="233"/>
    </row>
    <row r="1282" spans="1:21" ht="18" customHeight="1">
      <c r="A1282" s="386"/>
      <c r="B1282" s="17">
        <f t="shared" si="443"/>
        <v>71</v>
      </c>
      <c r="C1282" s="386"/>
      <c r="D1282" s="67" t="s">
        <v>787</v>
      </c>
      <c r="G1282" s="17">
        <f t="shared" si="444"/>
        <v>71</v>
      </c>
      <c r="H1282" s="67" t="str">
        <f t="shared" si="450" ref="H1282:H1288">VLOOKUP(G1282,FactorTable,2)</f>
        <v>DIST OPS</v>
      </c>
      <c r="J1282" s="480">
        <f t="shared" si="451" ref="J1282:Q1282">J669</f>
        <v>15896931.4710247</v>
      </c>
      <c r="K1282" s="480">
        <f t="shared" si="451"/>
        <v>2450897.4420258813</v>
      </c>
      <c r="L1282" s="480">
        <f t="shared" si="451"/>
        <v>7559877.9444359122</v>
      </c>
      <c r="M1282" s="480">
        <f t="shared" si="451"/>
        <v>106152.1648749837</v>
      </c>
      <c r="N1282" s="480">
        <f t="shared" si="451"/>
        <v>2215109.7284156275</v>
      </c>
      <c r="O1282" s="480">
        <f>O669</f>
        <v>75696.957904381372</v>
      </c>
      <c r="P1282" s="480">
        <f t="shared" si="451"/>
        <v>164786.45451492252</v>
      </c>
      <c r="Q1282" s="480">
        <f t="shared" si="451"/>
        <v>15846.412543203331</v>
      </c>
      <c r="R1282" s="480">
        <f>R669</f>
        <v>8733.8520077877329</v>
      </c>
      <c r="S1282" s="480">
        <f>S669</f>
        <v>20395.222252601176</v>
      </c>
      <c r="U1282" s="50">
        <f t="shared" si="452" ref="U1282:U1288">MAX(0.0000001,SUM(I1282:T1282))</f>
        <v>28514427.649999995</v>
      </c>
    </row>
    <row r="1283" spans="1:21" ht="18" customHeight="1">
      <c r="A1283" s="386"/>
      <c r="B1283" s="17">
        <f t="shared" si="443"/>
        <v>72</v>
      </c>
      <c r="D1283" s="67" t="s">
        <v>788</v>
      </c>
      <c r="G1283" s="17">
        <f t="shared" si="444"/>
        <v>72</v>
      </c>
      <c r="H1283" s="67" t="str">
        <f t="shared" si="450"/>
        <v>DIST MAINT</v>
      </c>
      <c r="J1283" s="480">
        <f t="shared" si="453" ref="J1283:Q1283">J684</f>
        <v>9395513.3563023154</v>
      </c>
      <c r="K1283" s="480">
        <f t="shared" si="453"/>
        <v>1448546.198582626</v>
      </c>
      <c r="L1283" s="480">
        <f t="shared" si="453"/>
        <v>4468090.8594483901</v>
      </c>
      <c r="M1283" s="480">
        <f t="shared" si="453"/>
        <v>62738.779789117783</v>
      </c>
      <c r="N1283" s="480">
        <f t="shared" si="453"/>
        <v>1309189.3285781837</v>
      </c>
      <c r="O1283" s="480">
        <f>O684</f>
        <v>44738.934700598882</v>
      </c>
      <c r="P1283" s="480">
        <f t="shared" si="453"/>
        <v>97393.219386688332</v>
      </c>
      <c r="Q1283" s="480">
        <f t="shared" si="453"/>
        <v>25398.905313449395</v>
      </c>
      <c r="R1283" s="480">
        <f>R684</f>
        <v>5162.1847731460248</v>
      </c>
      <c r="S1283" s="480">
        <f>S684</f>
        <v>12054.693125487818</v>
      </c>
      <c r="U1283" s="50">
        <f t="shared" si="452"/>
        <v>16868826.460000005</v>
      </c>
    </row>
    <row r="1284" spans="1:21" ht="18" customHeight="1">
      <c r="A1284" s="386"/>
      <c r="B1284" s="17">
        <f t="shared" si="443"/>
        <v>73</v>
      </c>
      <c r="D1284" s="47" t="s">
        <v>789</v>
      </c>
      <c r="G1284" s="17">
        <f t="shared" si="444"/>
        <v>73</v>
      </c>
      <c r="H1284" s="67" t="str">
        <f t="shared" si="450"/>
        <v>CUS ACCT</v>
      </c>
      <c r="J1284" s="480">
        <f t="shared" si="454" ref="J1284:Q1284">J708</f>
        <v>4838805.1593394764</v>
      </c>
      <c r="K1284" s="480">
        <f t="shared" si="454"/>
        <v>746019.14269448072</v>
      </c>
      <c r="L1284" s="480">
        <f t="shared" si="454"/>
        <v>2301121.852867574</v>
      </c>
      <c r="M1284" s="480">
        <f t="shared" si="454"/>
        <v>32311.244720929564</v>
      </c>
      <c r="N1284" s="480">
        <f t="shared" si="454"/>
        <v>674248.63734848204</v>
      </c>
      <c r="O1284" s="480">
        <f>O708</f>
        <v>23041.102688380248</v>
      </c>
      <c r="P1284" s="480">
        <f t="shared" si="454"/>
        <v>50158.708160089307</v>
      </c>
      <c r="Q1284" s="480">
        <f t="shared" si="454"/>
        <v>4823.4278993297758</v>
      </c>
      <c r="R1284" s="480">
        <f>R708</f>
        <v>2658.5887717361825</v>
      </c>
      <c r="S1284" s="480">
        <f>S708</f>
        <v>6208.3155095232569</v>
      </c>
      <c r="U1284" s="50">
        <f t="shared" si="452"/>
        <v>8679396.1799999978</v>
      </c>
    </row>
    <row r="1285" spans="1:21" ht="18" customHeight="1">
      <c r="A1285" s="386"/>
      <c r="B1285" s="17">
        <f t="shared" si="443"/>
        <v>74</v>
      </c>
      <c r="D1285" s="67" t="s">
        <v>947</v>
      </c>
      <c r="G1285" s="17">
        <f t="shared" si="444"/>
        <v>74</v>
      </c>
      <c r="H1285" s="67" t="str">
        <f t="shared" si="450"/>
        <v>CUS SVC INFO</v>
      </c>
      <c r="J1285" s="480">
        <f t="shared" si="455" ref="J1285:Q1285">J718</f>
        <v>90730.525558949259</v>
      </c>
      <c r="K1285" s="480">
        <f t="shared" si="455"/>
        <v>8477.1930172765606</v>
      </c>
      <c r="L1285" s="480">
        <f t="shared" si="455"/>
        <v>5669.13501297934</v>
      </c>
      <c r="M1285" s="480">
        <f t="shared" si="455"/>
        <v>86.350804935698235</v>
      </c>
      <c r="N1285" s="480">
        <f t="shared" si="455"/>
        <v>199.32249652683908</v>
      </c>
      <c r="O1285" s="480">
        <f>O718</f>
        <v>3.6199950472882203</v>
      </c>
      <c r="P1285" s="480">
        <f t="shared" si="455"/>
        <v>7.8804507567889717</v>
      </c>
      <c r="Q1285" s="480">
        <f t="shared" si="455"/>
        <v>1537.3283582360621</v>
      </c>
      <c r="R1285" s="480">
        <f>R718</f>
        <v>0.41769173622556388</v>
      </c>
      <c r="S1285" s="480">
        <f>S718</f>
        <v>1.3366135559218044</v>
      </c>
      <c r="U1285" s="50">
        <f t="shared" si="452"/>
        <v>106713.10999999999</v>
      </c>
    </row>
    <row r="1286" spans="1:21" ht="18" customHeight="1">
      <c r="A1286" s="386"/>
      <c r="B1286" s="17">
        <f t="shared" si="443"/>
        <v>75</v>
      </c>
      <c r="C1286" s="67"/>
      <c r="D1286" s="47" t="s">
        <v>790</v>
      </c>
      <c r="F1286" s="67"/>
      <c r="G1286" s="17">
        <f t="shared" si="444"/>
        <v>75</v>
      </c>
      <c r="H1286" s="67" t="str">
        <f t="shared" si="450"/>
        <v>SALES EXP</v>
      </c>
      <c r="J1286" s="480">
        <f t="shared" si="456" ref="J1286:Q1286">J728</f>
        <v>0</v>
      </c>
      <c r="K1286" s="480">
        <f t="shared" si="456"/>
        <v>0</v>
      </c>
      <c r="L1286" s="480">
        <f t="shared" si="456"/>
        <v>0</v>
      </c>
      <c r="M1286" s="480">
        <f t="shared" si="456"/>
        <v>0</v>
      </c>
      <c r="N1286" s="480">
        <f t="shared" si="456"/>
        <v>0</v>
      </c>
      <c r="O1286" s="480">
        <f>O728</f>
        <v>0</v>
      </c>
      <c r="P1286" s="480">
        <f t="shared" si="456"/>
        <v>0</v>
      </c>
      <c r="Q1286" s="480">
        <f t="shared" si="456"/>
        <v>0</v>
      </c>
      <c r="R1286" s="480">
        <f>R728</f>
        <v>0</v>
      </c>
      <c r="S1286" s="480">
        <f>S728</f>
        <v>0</v>
      </c>
      <c r="U1286" s="50">
        <f t="shared" si="452"/>
        <v>9.9999999999999995E-08</v>
      </c>
    </row>
    <row r="1287" spans="1:21" ht="18" customHeight="1">
      <c r="A1287" s="386"/>
      <c r="B1287" s="17">
        <f t="shared" si="443"/>
        <v>76</v>
      </c>
      <c r="D1287" s="67" t="s">
        <v>791</v>
      </c>
      <c r="G1287" s="17">
        <f t="shared" si="444"/>
        <v>76</v>
      </c>
      <c r="H1287" s="67" t="str">
        <f t="shared" si="450"/>
        <v>O&amp;M</v>
      </c>
      <c r="J1287" s="480">
        <f t="shared" si="457" ref="J1287:Q1287">J730</f>
        <v>32934095.423975181</v>
      </c>
      <c r="K1287" s="480">
        <f t="shared" si="457"/>
        <v>5071926.5590579836</v>
      </c>
      <c r="L1287" s="480">
        <f t="shared" si="457"/>
        <v>15624718.539570564</v>
      </c>
      <c r="M1287" s="480">
        <f t="shared" si="457"/>
        <v>219391.37563595356</v>
      </c>
      <c r="N1287" s="480">
        <f t="shared" si="457"/>
        <v>4576675.6620117184</v>
      </c>
      <c r="O1287" s="480">
        <f>O730</f>
        <v>156454.55386694946</v>
      </c>
      <c r="P1287" s="480">
        <f t="shared" si="457"/>
        <v>340447.73315284989</v>
      </c>
      <c r="Q1287" s="480">
        <f t="shared" si="457"/>
        <v>51048.621909704212</v>
      </c>
      <c r="R1287" s="480">
        <f>R730</f>
        <v>18052.268433006688</v>
      </c>
      <c r="S1287" s="480">
        <f>S730</f>
        <v>42147.422386096296</v>
      </c>
      <c r="U1287" s="50">
        <f t="shared" si="452"/>
        <v>59034958.160000011</v>
      </c>
    </row>
    <row r="1288" spans="1:21" ht="18" customHeight="1">
      <c r="A1288" s="386"/>
      <c r="B1288" s="17">
        <f t="shared" si="443"/>
        <v>77</v>
      </c>
      <c r="D1288" s="67" t="s">
        <v>792</v>
      </c>
      <c r="G1288" s="17">
        <f t="shared" si="444"/>
        <v>77</v>
      </c>
      <c r="H1288" s="67" t="str">
        <f t="shared" si="450"/>
        <v>O&amp;M x565</v>
      </c>
      <c r="J1288" s="480">
        <f t="shared" si="458" ref="J1288:Q1288">J731</f>
        <v>32934095.423975181</v>
      </c>
      <c r="K1288" s="480">
        <f t="shared" si="458"/>
        <v>5071926.5590579836</v>
      </c>
      <c r="L1288" s="480">
        <f t="shared" si="458"/>
        <v>15624718.539570564</v>
      </c>
      <c r="M1288" s="480">
        <f t="shared" si="458"/>
        <v>219391.37563595356</v>
      </c>
      <c r="N1288" s="480">
        <f t="shared" si="458"/>
        <v>4576675.6620117184</v>
      </c>
      <c r="O1288" s="480">
        <f>O731</f>
        <v>156454.55386694946</v>
      </c>
      <c r="P1288" s="480">
        <f t="shared" si="458"/>
        <v>340447.73315284989</v>
      </c>
      <c r="Q1288" s="480">
        <f t="shared" si="458"/>
        <v>51048.621909704212</v>
      </c>
      <c r="R1288" s="480">
        <f>R731</f>
        <v>18052.268433006688</v>
      </c>
      <c r="S1288" s="480">
        <f>S731</f>
        <v>42147.422386096296</v>
      </c>
      <c r="U1288" s="50">
        <f t="shared" si="452"/>
        <v>59034958.160000011</v>
      </c>
    </row>
    <row r="1289" spans="1:21" ht="18" customHeight="1">
      <c r="A1289" s="386"/>
      <c r="B1289" s="17">
        <f t="shared" si="443"/>
        <v>78</v>
      </c>
      <c r="G1289" s="17">
        <f t="shared" si="444"/>
        <v>78</v>
      </c>
      <c r="U1289" s="233"/>
    </row>
    <row r="1290" spans="1:21" ht="18" customHeight="1">
      <c r="A1290" s="386"/>
      <c r="B1290" s="17">
        <f t="shared" si="443"/>
        <v>79</v>
      </c>
      <c r="D1290" s="67"/>
      <c r="G1290" s="17">
        <f t="shared" si="444"/>
        <v>79</v>
      </c>
      <c r="H1290" s="67"/>
      <c r="J1290" s="480"/>
      <c r="K1290" s="480"/>
      <c r="L1290" s="480"/>
      <c r="M1290" s="480"/>
      <c r="N1290" s="480"/>
      <c r="O1290" s="480"/>
      <c r="P1290" s="480"/>
      <c r="Q1290" s="480"/>
      <c r="R1290" s="480"/>
      <c r="S1290" s="480"/>
      <c r="U1290" s="233"/>
    </row>
    <row r="1291" spans="1:21" ht="18" customHeight="1">
      <c r="A1291" s="386"/>
      <c r="B1291" s="17">
        <f t="shared" si="443"/>
        <v>80</v>
      </c>
      <c r="D1291" s="67" t="s">
        <v>793</v>
      </c>
      <c r="G1291" s="17">
        <f t="shared" si="444"/>
        <v>80</v>
      </c>
      <c r="H1291" s="67" t="str">
        <f t="shared" si="459" ref="H1291:H1299">VLOOKUP(G1291,FactorTable,2)</f>
        <v>PAY TR OPS</v>
      </c>
      <c r="J1291" s="480">
        <f t="shared" si="460" ref="J1291:Q1291">J791</f>
        <v>0</v>
      </c>
      <c r="K1291" s="480">
        <f t="shared" si="460"/>
        <v>0</v>
      </c>
      <c r="L1291" s="480">
        <f t="shared" si="460"/>
        <v>0</v>
      </c>
      <c r="M1291" s="480">
        <f t="shared" si="460"/>
        <v>0</v>
      </c>
      <c r="N1291" s="480">
        <f t="shared" si="460"/>
        <v>0</v>
      </c>
      <c r="O1291" s="480">
        <f>O791</f>
        <v>0</v>
      </c>
      <c r="P1291" s="480">
        <f t="shared" si="460"/>
        <v>0</v>
      </c>
      <c r="Q1291" s="480">
        <f t="shared" si="460"/>
        <v>0</v>
      </c>
      <c r="R1291" s="480">
        <f>R791</f>
        <v>0</v>
      </c>
      <c r="S1291" s="480">
        <f>S791</f>
        <v>0</v>
      </c>
      <c r="U1291" s="50">
        <f t="shared" si="461" ref="U1291:U1299">MAX(0.0000001,SUM(I1291:T1291))</f>
        <v>9.9999999999999995E-08</v>
      </c>
    </row>
    <row r="1292" spans="1:21" ht="18" customHeight="1">
      <c r="A1292" s="386"/>
      <c r="B1292" s="17">
        <f t="shared" si="443"/>
        <v>81</v>
      </c>
      <c r="D1292" s="67" t="s">
        <v>794</v>
      </c>
      <c r="G1292" s="17">
        <f t="shared" si="444"/>
        <v>81</v>
      </c>
      <c r="H1292" s="67" t="str">
        <f t="shared" si="459"/>
        <v>PAY TR MNT</v>
      </c>
      <c r="J1292" s="480">
        <f t="shared" si="462" ref="J1292:Q1292">J802</f>
        <v>0</v>
      </c>
      <c r="K1292" s="480">
        <f t="shared" si="462"/>
        <v>0</v>
      </c>
      <c r="L1292" s="480">
        <f t="shared" si="462"/>
        <v>0</v>
      </c>
      <c r="M1292" s="480">
        <f t="shared" si="462"/>
        <v>0</v>
      </c>
      <c r="N1292" s="480">
        <f t="shared" si="462"/>
        <v>0</v>
      </c>
      <c r="O1292" s="480">
        <f>O802</f>
        <v>0</v>
      </c>
      <c r="P1292" s="480">
        <f t="shared" si="462"/>
        <v>0</v>
      </c>
      <c r="Q1292" s="480">
        <f t="shared" si="462"/>
        <v>0</v>
      </c>
      <c r="R1292" s="480">
        <f>R802</f>
        <v>0</v>
      </c>
      <c r="S1292" s="480">
        <f>S802</f>
        <v>0</v>
      </c>
      <c r="U1292" s="50">
        <f t="shared" si="461"/>
        <v>9.9999999999999995E-08</v>
      </c>
    </row>
    <row r="1293" spans="1:21" ht="18" customHeight="1">
      <c r="A1293" s="386" t="s">
        <v>0</v>
      </c>
      <c r="B1293" s="17">
        <f t="shared" si="443"/>
        <v>82</v>
      </c>
      <c r="D1293" s="67" t="s">
        <v>795</v>
      </c>
      <c r="G1293" s="17">
        <f t="shared" si="444"/>
        <v>82</v>
      </c>
      <c r="H1293" s="67" t="str">
        <f t="shared" si="459"/>
        <v>PAY DISTR OPS</v>
      </c>
      <c r="J1293" s="480">
        <f t="shared" si="463" ref="J1293:Q1293">J830</f>
        <v>5056656.6774227265</v>
      </c>
      <c r="K1293" s="480">
        <f t="shared" si="463"/>
        <v>779606.2364921039</v>
      </c>
      <c r="L1293" s="480">
        <f t="shared" si="463"/>
        <v>2404722.4055730635</v>
      </c>
      <c r="M1293" s="480">
        <f t="shared" si="463"/>
        <v>33765.953782737459</v>
      </c>
      <c r="N1293" s="480">
        <f t="shared" si="463"/>
        <v>704604.4967755602</v>
      </c>
      <c r="O1293" s="480">
        <f>O830</f>
        <v>24078.453652861092</v>
      </c>
      <c r="P1293" s="480">
        <f t="shared" si="463"/>
        <v>52416.941413536071</v>
      </c>
      <c r="Q1293" s="480">
        <f t="shared" si="463"/>
        <v>5040.5871061240268</v>
      </c>
      <c r="R1293" s="480">
        <f>R830</f>
        <v>2777.8902954661298</v>
      </c>
      <c r="S1293" s="480">
        <f>S830</f>
        <v>6486.9074858215336</v>
      </c>
      <c r="U1293" s="50">
        <f t="shared" si="461"/>
        <v>9070156.5500000007</v>
      </c>
    </row>
    <row r="1294" spans="1:21" ht="18" customHeight="1">
      <c r="A1294" s="386"/>
      <c r="B1294" s="17">
        <f t="shared" si="443"/>
        <v>83</v>
      </c>
      <c r="D1294" s="67" t="s">
        <v>796</v>
      </c>
      <c r="G1294" s="17">
        <f t="shared" si="444"/>
        <v>83</v>
      </c>
      <c r="H1294" s="67" t="str">
        <f t="shared" si="459"/>
        <v>PAY DISTR MNT</v>
      </c>
      <c r="J1294" s="480">
        <f t="shared" si="464" ref="J1294:Q1294">J845</f>
        <v>7110165.6578830872</v>
      </c>
      <c r="K1294" s="480">
        <f t="shared" si="464"/>
        <v>1096204.4376330599</v>
      </c>
      <c r="L1294" s="480">
        <f t="shared" si="464"/>
        <v>3381280.5091529535</v>
      </c>
      <c r="M1294" s="480">
        <f t="shared" si="464"/>
        <v>47478.312313275725</v>
      </c>
      <c r="N1294" s="480">
        <f t="shared" si="464"/>
        <v>990744.48097927857</v>
      </c>
      <c r="O1294" s="480">
        <f>O845</f>
        <v>33856.717032401044</v>
      </c>
      <c r="P1294" s="480">
        <f t="shared" si="464"/>
        <v>73703.468616688435</v>
      </c>
      <c r="Q1294" s="480">
        <f t="shared" si="464"/>
        <v>7091.5807732092617</v>
      </c>
      <c r="R1294" s="480">
        <f>R845</f>
        <v>3906.5442729693518</v>
      </c>
      <c r="S1294" s="480">
        <f>S845</f>
        <v>9122.5313430766128</v>
      </c>
      <c r="U1294" s="50">
        <f t="shared" si="461"/>
        <v>12753554.24</v>
      </c>
    </row>
    <row r="1295" spans="1:21" ht="18" customHeight="1">
      <c r="A1295" s="386"/>
      <c r="B1295" s="17">
        <f t="shared" si="443"/>
        <v>84</v>
      </c>
      <c r="D1295" s="67" t="s">
        <v>797</v>
      </c>
      <c r="G1295" s="17">
        <f t="shared" si="444"/>
        <v>84</v>
      </c>
      <c r="H1295" s="67" t="str">
        <f t="shared" si="459"/>
        <v>PAY CUS ACCT</v>
      </c>
      <c r="J1295" s="480">
        <f t="shared" si="465" ref="J1295:Q1295">J867</f>
        <v>4461766.0022960873</v>
      </c>
      <c r="K1295" s="480">
        <f t="shared" si="465"/>
        <v>687889.41449973045</v>
      </c>
      <c r="L1295" s="480">
        <f t="shared" si="465"/>
        <v>2121818.6953546675</v>
      </c>
      <c r="M1295" s="480">
        <f t="shared" si="465"/>
        <v>29793.556144631337</v>
      </c>
      <c r="N1295" s="480">
        <f t="shared" si="465"/>
        <v>621711.25890643965</v>
      </c>
      <c r="O1295" s="480">
        <f>O867</f>
        <v>21245.742542868018</v>
      </c>
      <c r="P1295" s="480">
        <f t="shared" si="465"/>
        <v>46250.347227935759</v>
      </c>
      <c r="Q1295" s="480">
        <f t="shared" si="465"/>
        <v>4447.5869366671841</v>
      </c>
      <c r="R1295" s="480">
        <f>R867</f>
        <v>2451.4318318693868</v>
      </c>
      <c r="S1295" s="480">
        <f>S867</f>
        <v>5724.5642591030864</v>
      </c>
      <c r="U1295" s="50">
        <f t="shared" si="461"/>
        <v>8003098.6000000015</v>
      </c>
    </row>
    <row r="1296" spans="1:21" ht="18" customHeight="1">
      <c r="A1296" s="386"/>
      <c r="B1296" s="17">
        <f t="shared" si="443"/>
        <v>85</v>
      </c>
      <c r="D1296" s="67" t="s">
        <v>798</v>
      </c>
      <c r="G1296" s="17">
        <f t="shared" si="444"/>
        <v>85</v>
      </c>
      <c r="H1296" s="67" t="str">
        <f t="shared" si="459"/>
        <v>PAY CUS SV INF</v>
      </c>
      <c r="J1296" s="480">
        <f t="shared" si="466" ref="J1296:Q1296">J880</f>
        <v>0</v>
      </c>
      <c r="K1296" s="480">
        <f t="shared" si="466"/>
        <v>0</v>
      </c>
      <c r="L1296" s="480">
        <f t="shared" si="466"/>
        <v>0</v>
      </c>
      <c r="M1296" s="480">
        <f t="shared" si="466"/>
        <v>0</v>
      </c>
      <c r="N1296" s="480">
        <f t="shared" si="466"/>
        <v>0</v>
      </c>
      <c r="O1296" s="480">
        <f>O880</f>
        <v>0</v>
      </c>
      <c r="P1296" s="480">
        <f t="shared" si="466"/>
        <v>0</v>
      </c>
      <c r="Q1296" s="480">
        <f t="shared" si="466"/>
        <v>0</v>
      </c>
      <c r="R1296" s="480">
        <f>R880</f>
        <v>0</v>
      </c>
      <c r="S1296" s="480">
        <f>S880</f>
        <v>0</v>
      </c>
      <c r="U1296" s="50">
        <f t="shared" si="461"/>
        <v>9.9999999999999995E-08</v>
      </c>
    </row>
    <row r="1297" spans="1:21" ht="18" customHeight="1">
      <c r="A1297" s="386"/>
      <c r="B1297" s="17">
        <f t="shared" si="443"/>
        <v>86</v>
      </c>
      <c r="D1297" s="67" t="s">
        <v>799</v>
      </c>
      <c r="G1297" s="17">
        <f t="shared" si="444"/>
        <v>86</v>
      </c>
      <c r="H1297" s="67" t="str">
        <f t="shared" si="459"/>
        <v>PAY SALES</v>
      </c>
      <c r="J1297" s="480">
        <f t="shared" si="467" ref="J1297:Q1297">J892</f>
        <v>0</v>
      </c>
      <c r="K1297" s="480">
        <f t="shared" si="467"/>
        <v>0</v>
      </c>
      <c r="L1297" s="480">
        <f t="shared" si="467"/>
        <v>0</v>
      </c>
      <c r="M1297" s="480">
        <f t="shared" si="467"/>
        <v>0</v>
      </c>
      <c r="N1297" s="480">
        <f t="shared" si="467"/>
        <v>0</v>
      </c>
      <c r="O1297" s="480">
        <f>O892</f>
        <v>0</v>
      </c>
      <c r="P1297" s="480">
        <f t="shared" si="467"/>
        <v>0</v>
      </c>
      <c r="Q1297" s="480">
        <f t="shared" si="467"/>
        <v>0</v>
      </c>
      <c r="R1297" s="480">
        <f>R892</f>
        <v>0</v>
      </c>
      <c r="S1297" s="480">
        <f>S892</f>
        <v>0</v>
      </c>
      <c r="U1297" s="50">
        <f t="shared" si="461"/>
        <v>9.9999999999999995E-08</v>
      </c>
    </row>
    <row r="1298" spans="1:21" ht="18" customHeight="1">
      <c r="A1298" s="386"/>
      <c r="B1298" s="17">
        <f t="shared" si="443"/>
        <v>87</v>
      </c>
      <c r="D1298" s="47" t="s">
        <v>800</v>
      </c>
      <c r="G1298" s="17">
        <f t="shared" si="444"/>
        <v>87</v>
      </c>
      <c r="H1298" s="67" t="str">
        <f t="shared" si="459"/>
        <v>PAYROLL XAG</v>
      </c>
      <c r="J1298" s="480">
        <f t="shared" si="468" ref="J1298:Q1298">J902</f>
        <v>17330230.021823045</v>
      </c>
      <c r="K1298" s="480">
        <f t="shared" si="468"/>
        <v>2671875.1670801761</v>
      </c>
      <c r="L1298" s="480">
        <f t="shared" si="468"/>
        <v>8241491.381703495</v>
      </c>
      <c r="M1298" s="480">
        <f t="shared" si="468"/>
        <v>115723.05246148053</v>
      </c>
      <c r="N1298" s="480">
        <f t="shared" si="468"/>
        <v>2414828.3703047452</v>
      </c>
      <c r="O1298" s="480">
        <f>O902</f>
        <v>82521.944239759949</v>
      </c>
      <c r="P1298" s="480">
        <f t="shared" si="468"/>
        <v>179643.92476809281</v>
      </c>
      <c r="Q1298" s="480">
        <f t="shared" si="468"/>
        <v>17279.388261304448</v>
      </c>
      <c r="R1298" s="480">
        <f>R902</f>
        <v>9521.34640541933</v>
      </c>
      <c r="S1298" s="480">
        <f>S902</f>
        <v>22234.172952481764</v>
      </c>
      <c r="U1298" s="50">
        <f t="shared" si="461"/>
        <v>31085348.77</v>
      </c>
    </row>
    <row r="1299" spans="1:21" ht="18" customHeight="1">
      <c r="A1299" s="386"/>
      <c r="B1299" s="17">
        <f t="shared" si="443"/>
        <v>88</v>
      </c>
      <c r="D1299" s="67" t="s">
        <v>713</v>
      </c>
      <c r="G1299" s="17">
        <f t="shared" si="444"/>
        <v>88</v>
      </c>
      <c r="H1299" s="67" t="str">
        <f t="shared" si="459"/>
        <v>PAYROLL</v>
      </c>
      <c r="J1299" s="480">
        <f t="shared" si="469" ref="J1299:Q1299">J934</f>
        <v>24620194.79940578</v>
      </c>
      <c r="K1299" s="480">
        <f t="shared" si="469"/>
        <v>3794546.5572728124</v>
      </c>
      <c r="L1299" s="480">
        <f t="shared" si="469"/>
        <v>11700024.282504497</v>
      </c>
      <c r="M1299" s="480">
        <f t="shared" si="469"/>
        <v>164285.35386063246</v>
      </c>
      <c r="N1299" s="480">
        <f t="shared" si="469"/>
        <v>3427875.9592681285</v>
      </c>
      <c r="O1299" s="480">
        <f>O934</f>
        <v>117153.17426081216</v>
      </c>
      <c r="P1299" s="480">
        <f t="shared" si="469"/>
        <v>255002.0626549272</v>
      </c>
      <c r="Q1299" s="480">
        <f t="shared" si="469"/>
        <v>28578.934229933355</v>
      </c>
      <c r="R1299" s="480">
        <f>R934</f>
        <v>13517.217699434706</v>
      </c>
      <c r="S1299" s="480">
        <f>S934</f>
        <v>31563.50884304168</v>
      </c>
      <c r="U1299" s="50">
        <f t="shared" si="461"/>
        <v>44152741.850000001</v>
      </c>
    </row>
    <row r="1300" spans="1:21" ht="18" customHeight="1">
      <c r="A1300" s="386"/>
      <c r="B1300" s="17">
        <f t="shared" si="443"/>
        <v>89</v>
      </c>
      <c r="D1300" s="67"/>
      <c r="G1300" s="17">
        <f t="shared" si="444"/>
        <v>89</v>
      </c>
      <c r="H1300" s="67"/>
      <c r="J1300" s="480"/>
      <c r="K1300" s="480"/>
      <c r="L1300" s="480"/>
      <c r="M1300" s="480"/>
      <c r="N1300" s="480"/>
      <c r="O1300" s="480"/>
      <c r="P1300" s="480"/>
      <c r="Q1300" s="480"/>
      <c r="R1300" s="480"/>
      <c r="S1300" s="480"/>
      <c r="U1300" s="233"/>
    </row>
    <row r="1301" spans="1:21" ht="18" customHeight="1">
      <c r="A1301" s="386"/>
      <c r="B1301" s="17">
        <f t="shared" si="443"/>
        <v>90</v>
      </c>
      <c r="G1301" s="17">
        <f t="shared" si="444"/>
        <v>90</v>
      </c>
      <c r="J1301" s="480"/>
      <c r="K1301" s="480"/>
      <c r="L1301" s="480"/>
      <c r="M1301" s="480"/>
      <c r="N1301" s="480"/>
      <c r="O1301" s="480"/>
      <c r="P1301" s="480"/>
      <c r="Q1301" s="480"/>
      <c r="R1301" s="480"/>
      <c r="S1301" s="480"/>
      <c r="U1301" s="50">
        <f>SUM(I1301:T1301)</f>
        <v>0</v>
      </c>
    </row>
    <row r="1302" spans="1:21" ht="18" customHeight="1">
      <c r="A1302" s="386"/>
      <c r="B1302" s="17">
        <f t="shared" si="443"/>
        <v>91</v>
      </c>
      <c r="D1302" s="67" t="s">
        <v>801</v>
      </c>
      <c r="G1302" s="17">
        <f t="shared" si="444"/>
        <v>91</v>
      </c>
      <c r="H1302" s="67" t="str">
        <f>VLOOKUP(G1302,FactorTable,2)</f>
        <v>TAX INC</v>
      </c>
      <c r="J1302" s="480">
        <f t="shared" si="470" ref="J1302:Q1302">J1110</f>
        <v>9182852.3563604187</v>
      </c>
      <c r="K1302" s="480">
        <f t="shared" si="470"/>
        <v>1410635.3083096063</v>
      </c>
      <c r="L1302" s="480">
        <f t="shared" si="470"/>
        <v>4397476.5828516884</v>
      </c>
      <c r="M1302" s="480">
        <f t="shared" si="470"/>
        <v>61017.395936211411</v>
      </c>
      <c r="N1302" s="480">
        <f t="shared" si="470"/>
        <v>1281000.4309624394</v>
      </c>
      <c r="O1302" s="480">
        <f>O1110</f>
        <v>44309.649194811413</v>
      </c>
      <c r="P1302" s="480">
        <f t="shared" si="470"/>
        <v>103727.90498310632</v>
      </c>
      <c r="Q1302" s="480">
        <f t="shared" si="470"/>
        <v>9591.4057566156753</v>
      </c>
      <c r="R1302" s="480">
        <f>R1110</f>
        <v>5030.3607468240607</v>
      </c>
      <c r="S1302" s="480">
        <f>S1110</f>
        <v>11742.765527510397</v>
      </c>
      <c r="U1302" s="50">
        <f>MAX(0.0000001,SUM(I1302:T1302))</f>
        <v>16507384.160629232</v>
      </c>
    </row>
    <row r="1303" spans="1:21" ht="18" customHeight="1">
      <c r="A1303" s="386"/>
      <c r="B1303" s="17">
        <f t="shared" si="443"/>
        <v>92</v>
      </c>
      <c r="D1303" s="67" t="s">
        <v>802</v>
      </c>
      <c r="G1303" s="17">
        <f t="shared" si="444"/>
        <v>92</v>
      </c>
      <c r="H1303" s="67" t="str">
        <f>VLOOKUP(G1303,FactorTable,2)</f>
        <v>RCOS x565</v>
      </c>
      <c r="J1303" s="480">
        <f t="shared" si="471" ref="J1303:Q1303">J1192</f>
        <v>114528178.4034346</v>
      </c>
      <c r="K1303" s="480">
        <f t="shared" si="471"/>
        <v>17637262.753936674</v>
      </c>
      <c r="L1303" s="480">
        <f t="shared" si="471"/>
        <v>54462979.478648111</v>
      </c>
      <c r="M1303" s="480">
        <f t="shared" si="471"/>
        <v>763264.23609783151</v>
      </c>
      <c r="N1303" s="480">
        <f t="shared" si="471"/>
        <v>15940635.399140373</v>
      </c>
      <c r="O1303" s="480">
        <f>O1192</f>
        <v>545941.44876341347</v>
      </c>
      <c r="P1303" s="480">
        <f t="shared" si="471"/>
        <v>1202301.5833400958</v>
      </c>
      <c r="Q1303" s="480">
        <f t="shared" si="471"/>
        <v>145620.16745204528</v>
      </c>
      <c r="R1303" s="18">
        <v>0</v>
      </c>
      <c r="S1303" s="18">
        <v>0</v>
      </c>
      <c r="T1303" s="386" t="s">
        <v>0</v>
      </c>
      <c r="U1303" s="50">
        <f>MAX(0.0000001,SUM(I1303:T1303))</f>
        <v>205226183.47081319</v>
      </c>
    </row>
    <row r="1304" spans="1:21" ht="18" customHeight="1">
      <c r="A1304" s="386"/>
      <c r="B1304" s="17">
        <f t="shared" si="443"/>
        <v>93</v>
      </c>
      <c r="G1304" s="17">
        <f t="shared" si="444"/>
        <v>93</v>
      </c>
      <c r="U1304" s="233"/>
    </row>
    <row r="1305" spans="1:21" ht="18" customHeight="1">
      <c r="A1305" s="386"/>
      <c r="B1305" s="17">
        <f t="shared" si="443"/>
        <v>94</v>
      </c>
      <c r="G1305" s="17">
        <f t="shared" si="444"/>
        <v>94</v>
      </c>
      <c r="U1305" s="233"/>
    </row>
    <row r="1306" spans="1:21" ht="18" customHeight="1" thickBot="1">
      <c r="A1306" s="386"/>
      <c r="H1306" s="134"/>
      <c r="U1306" s="134"/>
    </row>
    <row r="1307" spans="1:21" ht="18" customHeight="1">
      <c r="A1307" s="47"/>
      <c r="B1307" s="920" t="str">
        <f>+$B$4</f>
        <v>2022 RATE CASE</v>
      </c>
      <c r="C1307" s="935"/>
      <c r="D1307" s="620"/>
      <c r="F1307" s="12"/>
      <c r="U1307" s="134"/>
    </row>
    <row r="1308" spans="1:22" ht="18" customHeight="1">
      <c r="A1308" s="47"/>
      <c r="B1308" s="917" t="str">
        <f>+$B$5</f>
        <v>ONCOR ELECTRIC DELIVERY COMPANY LLC</v>
      </c>
      <c r="C1308" s="8"/>
      <c r="D1308" s="621"/>
      <c r="F1308" s="12"/>
      <c r="U1308" s="134"/>
      <c r="V1308" s="67"/>
    </row>
    <row r="1309" spans="1:22" ht="18" customHeight="1">
      <c r="A1309" s="47"/>
      <c r="B1309" s="917" t="str">
        <f>B1202</f>
        <v>II-I-2-METT:  CLASS ALLOCATION FACTORS</v>
      </c>
      <c r="C1309" s="85"/>
      <c r="D1309" s="621"/>
      <c r="F1309" s="12"/>
      <c r="U1309" s="12"/>
      <c r="V1309" s="67"/>
    </row>
    <row r="1310" spans="1:22" ht="18" customHeight="1">
      <c r="A1310" s="47"/>
      <c r="B1310" s="406" t="str">
        <f>+$B$7</f>
        <v>TEST YEAR ENDING 12/31/2021</v>
      </c>
      <c r="C1310" s="85"/>
      <c r="D1310" s="621"/>
      <c r="F1310" s="12"/>
      <c r="U1310" s="12"/>
      <c r="V1310" s="67"/>
    </row>
    <row r="1311" spans="1:22" ht="18" customHeight="1">
      <c r="A1311" s="47"/>
      <c r="B1311" s="406" t="str">
        <f>+$B$8</f>
        <v>SPONSOR:  MATTHEW A. TROXLE</v>
      </c>
      <c r="C1311" s="85"/>
      <c r="D1311" s="621"/>
      <c r="F1311" s="12"/>
      <c r="U1311" s="12"/>
      <c r="V1311" s="67"/>
    </row>
    <row r="1312" spans="1:22" ht="18" customHeight="1" thickBot="1">
      <c r="A1312" s="47"/>
      <c r="B1312" s="410"/>
      <c r="C1312" s="85"/>
      <c r="D1312" s="621"/>
      <c r="F1312" s="12"/>
      <c r="U1312" s="12"/>
      <c r="V1312" s="67"/>
    </row>
    <row r="1313" spans="1:22" ht="18" customHeight="1" thickBot="1">
      <c r="A1313" s="47"/>
      <c r="B1313" s="396"/>
      <c r="C1313" s="470"/>
      <c r="D1313" s="471"/>
      <c r="E1313" s="471"/>
      <c r="F1313" s="237"/>
      <c r="G1313" s="238"/>
      <c r="H1313" s="438" t="str">
        <f>F$11</f>
        <v>MET</v>
      </c>
      <c r="I1313" s="14"/>
      <c r="J1313" s="238"/>
      <c r="K1313" s="238"/>
      <c r="L1313" s="14"/>
      <c r="M1313" s="14"/>
      <c r="N1313" s="238"/>
      <c r="O1313" s="238"/>
      <c r="P1313" s="238"/>
      <c r="Q1313" s="14"/>
      <c r="R1313" s="393" t="str">
        <f>R$10</f>
        <v xml:space="preserve"> </v>
      </c>
      <c r="S1313" s="394"/>
      <c r="T1313" s="238"/>
      <c r="U1313" s="13"/>
      <c r="V1313" s="67"/>
    </row>
    <row r="1314" spans="1:22" ht="18" customHeight="1">
      <c r="A1314" s="47"/>
      <c r="B1314" s="235" t="s">
        <v>2</v>
      </c>
      <c r="C1314" s="235"/>
      <c r="D1314" s="472" t="s">
        <v>803</v>
      </c>
      <c r="E1314" s="395"/>
      <c r="F1314" s="242"/>
      <c r="G1314" s="242" t="s">
        <v>741</v>
      </c>
      <c r="H1314" s="242" t="s">
        <v>376</v>
      </c>
      <c r="I1314" s="15"/>
      <c r="J1314" s="242" t="s">
        <v>730</v>
      </c>
      <c r="K1314" s="242" t="s">
        <v>409</v>
      </c>
      <c r="L1314" s="15" t="s">
        <v>409</v>
      </c>
      <c r="M1314" s="15" t="s">
        <v>410</v>
      </c>
      <c r="N1314" s="242" t="s">
        <v>410</v>
      </c>
      <c r="O1314" s="242" t="s">
        <v>410</v>
      </c>
      <c r="P1314" s="242" t="s">
        <v>411</v>
      </c>
      <c r="Q1314" s="15" t="s">
        <v>412</v>
      </c>
      <c r="R1314" s="396" t="str">
        <f>R$11</f>
        <v>Wholesale</v>
      </c>
      <c r="S1314" s="13" t="str">
        <f>S$11</f>
        <v>Wholesale</v>
      </c>
      <c r="T1314" s="242"/>
      <c r="U1314" s="15" t="s">
        <v>10</v>
      </c>
      <c r="V1314" s="67"/>
    </row>
    <row r="1315" spans="1:22" ht="18" customHeight="1">
      <c r="A1315" s="47"/>
      <c r="B1315" s="235"/>
      <c r="C1315" s="235"/>
      <c r="D1315" s="395"/>
      <c r="E1315" s="395"/>
      <c r="F1315" s="242"/>
      <c r="G1315" s="242" t="s">
        <v>742</v>
      </c>
      <c r="H1315" s="242" t="s">
        <v>743</v>
      </c>
      <c r="I1315" s="15"/>
      <c r="J1315" s="242"/>
      <c r="K1315" s="242" t="s">
        <v>731</v>
      </c>
      <c r="L1315" s="15" t="s">
        <v>732</v>
      </c>
      <c r="M1315" s="15" t="s">
        <v>731</v>
      </c>
      <c r="N1315" s="242" t="s">
        <v>732</v>
      </c>
      <c r="O1315" s="242" t="s">
        <v>414</v>
      </c>
      <c r="P1315" s="242"/>
      <c r="Q1315" s="15"/>
      <c r="R1315" s="235" t="str">
        <f>R$12</f>
        <v>XFMR</v>
      </c>
      <c r="S1315" s="15" t="str">
        <f>S$12</f>
        <v>DLS</v>
      </c>
      <c r="T1315" s="242"/>
      <c r="U1315" s="15"/>
      <c r="V1315" s="67"/>
    </row>
    <row r="1316" spans="1:22" ht="18" customHeight="1" thickBot="1">
      <c r="A1316" s="47"/>
      <c r="B1316" s="243"/>
      <c r="C1316" s="243"/>
      <c r="D1316" s="473" t="s">
        <v>13</v>
      </c>
      <c r="E1316" s="473"/>
      <c r="F1316" s="245"/>
      <c r="G1316" s="245" t="s">
        <v>14</v>
      </c>
      <c r="H1316" s="16" t="s">
        <v>15</v>
      </c>
      <c r="I1316" s="16"/>
      <c r="J1316" s="243" t="str">
        <f t="shared" si="472" ref="J1316:Q1316">J$13</f>
        <v>(d)</v>
      </c>
      <c r="K1316" s="243" t="str">
        <f t="shared" si="472"/>
        <v>(e)</v>
      </c>
      <c r="L1316" s="16" t="str">
        <f t="shared" si="472"/>
        <v>(f)</v>
      </c>
      <c r="M1316" s="16" t="str">
        <f t="shared" si="472"/>
        <v>(g)</v>
      </c>
      <c r="N1316" s="243" t="str">
        <f t="shared" si="472"/>
        <v>(h)</v>
      </c>
      <c r="O1316" s="243" t="str">
        <f>O$13</f>
        <v>(i)</v>
      </c>
      <c r="P1316" s="243" t="str">
        <f t="shared" si="472"/>
        <v>(j)</v>
      </c>
      <c r="Q1316" s="243" t="str">
        <f t="shared" si="472"/>
        <v>(k)</v>
      </c>
      <c r="R1316" s="243" t="str">
        <f>R$13</f>
        <v>(l)</v>
      </c>
      <c r="S1316" s="16" t="str">
        <f>S$13</f>
        <v>(m)</v>
      </c>
      <c r="T1316" s="16"/>
      <c r="U1316" s="16" t="s">
        <v>734</v>
      </c>
      <c r="V1316" s="67"/>
    </row>
    <row r="1317" spans="1:21" ht="18" customHeight="1">
      <c r="A1317" s="386"/>
      <c r="B1317" s="1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U1317" s="233"/>
    </row>
    <row r="1318" spans="1:21" ht="18" customHeight="1">
      <c r="A1318" s="386"/>
      <c r="B1318" s="17"/>
      <c r="G1318" s="17">
        <f>0</f>
        <v>0</v>
      </c>
      <c r="H1318" s="67">
        <v>-1</v>
      </c>
      <c r="I1318" s="67">
        <f t="shared" si="473" ref="I1318:Q1318">H1318+1</f>
        <v>0</v>
      </c>
      <c r="J1318" s="67">
        <f>I1318+1</f>
        <v>1</v>
      </c>
      <c r="K1318" s="67">
        <f t="shared" si="473"/>
        <v>2</v>
      </c>
      <c r="L1318" s="67">
        <f t="shared" si="473"/>
        <v>3</v>
      </c>
      <c r="M1318" s="67">
        <f t="shared" si="473"/>
        <v>4</v>
      </c>
      <c r="N1318" s="67">
        <f t="shared" si="473"/>
        <v>5</v>
      </c>
      <c r="O1318" s="67">
        <f t="shared" si="473"/>
        <v>6</v>
      </c>
      <c r="P1318" s="67">
        <f t="shared" si="473"/>
        <v>7</v>
      </c>
      <c r="Q1318" s="67">
        <f t="shared" si="473"/>
        <v>8</v>
      </c>
      <c r="R1318" s="67">
        <f>Q1318+1</f>
        <v>9</v>
      </c>
      <c r="S1318" s="67">
        <f>R1318+1</f>
        <v>10</v>
      </c>
      <c r="T1318">
        <f>S1318+1</f>
        <v>11</v>
      </c>
      <c r="U1318" s="233"/>
    </row>
    <row r="1319" spans="1:21" ht="18" customHeight="1">
      <c r="A1319" s="386"/>
      <c r="B1319" s="17">
        <f t="shared" si="474" ref="B1319:B1382">B1318+1</f>
        <v>1</v>
      </c>
      <c r="D1319" s="67" t="s">
        <v>745</v>
      </c>
      <c r="G1319" s="17">
        <f t="shared" si="475" ref="G1319:G1382">G1318+1</f>
        <v>1</v>
      </c>
      <c r="H1319" s="67" t="s">
        <v>804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59"/>
      <c r="U1319" s="18"/>
    </row>
    <row r="1320" spans="1:21" ht="18" customHeight="1">
      <c r="A1320" s="386"/>
      <c r="B1320" s="17">
        <f t="shared" si="474"/>
        <v>2</v>
      </c>
      <c r="D1320" s="67" t="s">
        <v>746</v>
      </c>
      <c r="G1320" s="17">
        <f t="shared" si="475"/>
        <v>2</v>
      </c>
      <c r="H1320" s="67" t="s">
        <v>805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59"/>
      <c r="U1320" s="18"/>
    </row>
    <row r="1321" spans="1:21" ht="18" customHeight="1">
      <c r="A1321" s="386"/>
      <c r="B1321" s="17">
        <f t="shared" si="474"/>
        <v>3</v>
      </c>
      <c r="G1321" s="17">
        <f t="shared" si="475"/>
        <v>3</v>
      </c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U1321" s="233"/>
    </row>
    <row r="1322" spans="1:21" ht="18" customHeight="1">
      <c r="A1322" s="386"/>
      <c r="B1322" s="17">
        <f t="shared" si="474"/>
        <v>4</v>
      </c>
      <c r="G1322" s="17">
        <f t="shared" si="475"/>
        <v>4</v>
      </c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U1322" s="233"/>
    </row>
    <row r="1323" spans="1:21" ht="18" customHeight="1">
      <c r="A1323" s="386"/>
      <c r="B1323" s="17">
        <f t="shared" si="474"/>
        <v>5</v>
      </c>
      <c r="G1323" s="17">
        <f t="shared" si="475"/>
        <v>5</v>
      </c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U1323" s="233"/>
    </row>
    <row r="1324" spans="1:21" ht="18" customHeight="1">
      <c r="A1324" s="386"/>
      <c r="B1324" s="17">
        <f t="shared" si="474"/>
        <v>6</v>
      </c>
      <c r="D1324" s="67" t="s">
        <v>747</v>
      </c>
      <c r="G1324" s="17">
        <f t="shared" si="475"/>
        <v>6</v>
      </c>
      <c r="H1324" s="67" t="s">
        <v>806</v>
      </c>
      <c r="J1324" s="476">
        <f t="shared" si="476" ref="J1324:Q1324">J1217/$U1217</f>
        <v>0.55750481473464386</v>
      </c>
      <c r="K1324" s="476">
        <f t="shared" si="476"/>
        <v>0.085952885111240607</v>
      </c>
      <c r="L1324" s="476">
        <f t="shared" si="476"/>
        <v>0.26512464751523462</v>
      </c>
      <c r="M1324" s="476">
        <f t="shared" si="476"/>
        <v>0.0037227526029269885</v>
      </c>
      <c r="N1324" s="476">
        <f t="shared" si="476"/>
        <v>0.077683818478312849</v>
      </c>
      <c r="O1324" s="476">
        <f t="shared" si="476"/>
        <v>0.0026546895902129731</v>
      </c>
      <c r="P1324" s="476">
        <f t="shared" si="476"/>
        <v>0.0057790550310020871</v>
      </c>
      <c r="Q1324" s="476">
        <f t="shared" si="476"/>
        <v>0.00055573311775356416</v>
      </c>
      <c r="R1324" s="476">
        <f>R1217/$U1217</f>
        <v>0.00030631033733226614</v>
      </c>
      <c r="S1324" s="476">
        <f>S1217/$U1217</f>
        <v>0.00071529348134022569</v>
      </c>
      <c r="T1324" s="129"/>
      <c r="U1324" s="476">
        <f>ROUND(SUM(I1324:T1324),6)</f>
        <v>1</v>
      </c>
    </row>
    <row r="1325" spans="1:21" ht="18" customHeight="1">
      <c r="A1325" s="386"/>
      <c r="B1325" s="17">
        <f t="shared" si="474"/>
        <v>7</v>
      </c>
      <c r="D1325" s="67" t="s">
        <v>748</v>
      </c>
      <c r="G1325" s="17">
        <f t="shared" si="475"/>
        <v>7</v>
      </c>
      <c r="H1325" s="67" t="s">
        <v>807</v>
      </c>
      <c r="J1325" s="476">
        <f t="shared" si="477" ref="J1325:L1328">J1218/$U1218</f>
        <v>0.61322347694531498</v>
      </c>
      <c r="K1325" s="476">
        <f t="shared" si="477"/>
        <v>0.094543267911477671</v>
      </c>
      <c r="L1325" s="476">
        <f t="shared" si="477"/>
        <v>0.29162198043182269</v>
      </c>
      <c r="M1325" s="18">
        <v>0</v>
      </c>
      <c r="N1325" s="18">
        <v>0</v>
      </c>
      <c r="O1325" s="18">
        <v>0</v>
      </c>
      <c r="P1325" s="18">
        <v>0</v>
      </c>
      <c r="Q1325" s="476">
        <f>Q1218/$U1218</f>
        <v>0.00061127471138470123</v>
      </c>
      <c r="R1325" s="18">
        <v>0</v>
      </c>
      <c r="S1325" s="18">
        <v>0</v>
      </c>
      <c r="T1325" s="129"/>
      <c r="U1325" s="476">
        <f>ROUND(SUM(I1325:T1325),6)</f>
        <v>1</v>
      </c>
    </row>
    <row r="1326" spans="1:21" ht="18" customHeight="1">
      <c r="A1326" s="386"/>
      <c r="B1326" s="17">
        <f t="shared" si="474"/>
        <v>8</v>
      </c>
      <c r="D1326" s="67" t="s">
        <v>749</v>
      </c>
      <c r="G1326" s="17">
        <f t="shared" si="475"/>
        <v>8</v>
      </c>
      <c r="H1326" s="67" t="s">
        <v>808</v>
      </c>
      <c r="J1326" s="476">
        <f t="shared" si="477"/>
        <v>0.55807494623081866</v>
      </c>
      <c r="K1326" s="476">
        <f t="shared" si="477"/>
        <v>0.086040784705457285</v>
      </c>
      <c r="L1326" s="476">
        <f t="shared" si="477"/>
        <v>0.26539577685432852</v>
      </c>
      <c r="M1326" s="476">
        <f t="shared" si="478" ref="M1326:P1328">M1219/$U1219</f>
        <v>0.0037265596705168998</v>
      </c>
      <c r="N1326" s="476">
        <f t="shared" si="478"/>
        <v>0.077763261723441945</v>
      </c>
      <c r="O1326" s="476">
        <f t="shared" si="478"/>
        <v>0.0026574044047005725</v>
      </c>
      <c r="P1326" s="476">
        <f t="shared" si="478"/>
        <v>0.0057849649733097072</v>
      </c>
      <c r="Q1326" s="476">
        <f>Q1219/$U1219</f>
        <v>0.00055630143742637196</v>
      </c>
      <c r="R1326" s="18"/>
      <c r="S1326" s="18"/>
      <c r="T1326" s="129"/>
      <c r="U1326" s="476">
        <f>ROUND(SUM(I1326:T1326),6)</f>
        <v>1</v>
      </c>
    </row>
    <row r="1327" spans="1:21" ht="18" customHeight="1">
      <c r="A1327" s="386"/>
      <c r="B1327" s="17">
        <f t="shared" si="474"/>
        <v>9</v>
      </c>
      <c r="D1327" s="67" t="s">
        <v>750</v>
      </c>
      <c r="G1327" s="17">
        <f t="shared" si="475"/>
        <v>9</v>
      </c>
      <c r="H1327" s="67" t="s">
        <v>809</v>
      </c>
      <c r="J1327" s="476">
        <f t="shared" si="477"/>
        <v>0.85022848232001924</v>
      </c>
      <c r="K1327" s="476">
        <f t="shared" si="477"/>
        <v>0.079439096257962694</v>
      </c>
      <c r="L1327" s="476">
        <f t="shared" si="477"/>
        <v>0.053125009785389449</v>
      </c>
      <c r="M1327" s="476">
        <f t="shared" si="478"/>
        <v>0.00080918647142509713</v>
      </c>
      <c r="N1327" s="476">
        <f t="shared" si="478"/>
        <v>0.0018678351378461288</v>
      </c>
      <c r="O1327" s="476">
        <f t="shared" si="478"/>
        <v>3.3922683419949252E-05</v>
      </c>
      <c r="P1327" s="476">
        <f t="shared" si="478"/>
        <v>7.3847072368043374E-05</v>
      </c>
      <c r="Q1327" s="476">
        <f>Q1220/$U1220</f>
        <v>0.014406180817296603</v>
      </c>
      <c r="R1327" s="476">
        <f>R1220/$U1220</f>
        <v>3.9141557792249139E-06</v>
      </c>
      <c r="S1327" s="476">
        <f>S1220/$U1220</f>
        <v>1.2525298493519723E-05</v>
      </c>
      <c r="T1327" s="129"/>
      <c r="U1327" s="476">
        <f>ROUND(SUM(I1327:T1327),6)</f>
        <v>1</v>
      </c>
    </row>
    <row r="1328" spans="1:21" ht="18" customHeight="1">
      <c r="A1328" s="386"/>
      <c r="B1328" s="17">
        <f t="shared" si="474"/>
        <v>10</v>
      </c>
      <c r="D1328" s="67" t="s">
        <v>751</v>
      </c>
      <c r="G1328" s="17">
        <f t="shared" si="475"/>
        <v>10</v>
      </c>
      <c r="H1328" s="67" t="s">
        <v>810</v>
      </c>
      <c r="J1328" s="476">
        <f t="shared" si="477"/>
        <v>0.8502424598420586</v>
      </c>
      <c r="K1328" s="476">
        <f t="shared" si="477"/>
        <v>0.07944040221482232</v>
      </c>
      <c r="L1328" s="476">
        <f t="shared" si="477"/>
        <v>0.053125883145916125</v>
      </c>
      <c r="M1328" s="476">
        <f t="shared" si="478"/>
        <v>0.00080919977422778304</v>
      </c>
      <c r="N1328" s="476">
        <f t="shared" si="478"/>
        <v>0.0018678658445412677</v>
      </c>
      <c r="O1328" s="476">
        <f t="shared" si="478"/>
        <v>3.3923241099520089E-05</v>
      </c>
      <c r="P1328" s="476">
        <f t="shared" si="478"/>
        <v>7.3848286393570658E-05</v>
      </c>
      <c r="Q1328" s="476">
        <f>Q1221/$U1221</f>
        <v>0.014406417650940809</v>
      </c>
      <c r="R1328" s="18">
        <v>0</v>
      </c>
      <c r="S1328" s="18">
        <v>0</v>
      </c>
      <c r="T1328" s="129"/>
      <c r="U1328" s="476">
        <f>ROUND(SUM(I1328:T1328),6)</f>
        <v>1</v>
      </c>
    </row>
    <row r="1329" spans="1:21" ht="18" customHeight="1">
      <c r="A1329" s="386"/>
      <c r="B1329" s="17">
        <f t="shared" si="474"/>
        <v>11</v>
      </c>
      <c r="D1329" s="67"/>
      <c r="G1329" s="17">
        <f t="shared" si="475"/>
        <v>11</v>
      </c>
      <c r="H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129"/>
      <c r="U1329" s="476"/>
    </row>
    <row r="1330" spans="1:21" ht="18" customHeight="1">
      <c r="A1330" s="386"/>
      <c r="B1330" s="17">
        <f t="shared" si="474"/>
        <v>12</v>
      </c>
      <c r="D1330" s="67"/>
      <c r="G1330" s="17">
        <f t="shared" si="475"/>
        <v>12</v>
      </c>
      <c r="H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129"/>
      <c r="U1330" s="476"/>
    </row>
    <row r="1331" spans="1:21" ht="18" customHeight="1">
      <c r="A1331" s="386"/>
      <c r="B1331" s="17">
        <f t="shared" si="474"/>
        <v>13</v>
      </c>
      <c r="D1331" s="67"/>
      <c r="G1331" s="17">
        <f t="shared" si="475"/>
        <v>13</v>
      </c>
      <c r="H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129"/>
      <c r="U1331" s="476"/>
    </row>
    <row r="1332" spans="1:21" ht="18" customHeight="1">
      <c r="A1332" s="386"/>
      <c r="B1332" s="17">
        <f t="shared" si="474"/>
        <v>14</v>
      </c>
      <c r="D1332" s="47" t="s">
        <v>752</v>
      </c>
      <c r="G1332" s="17">
        <f t="shared" si="475"/>
        <v>14</v>
      </c>
      <c r="H1332" s="67" t="s">
        <v>811</v>
      </c>
      <c r="J1332" s="476">
        <f t="shared" si="479" ref="J1332:Q1332">J1225/$U1225</f>
        <v>0.48075694845482941</v>
      </c>
      <c r="K1332" s="476">
        <f t="shared" si="479"/>
        <v>0.023913413398373714</v>
      </c>
      <c r="L1332" s="476">
        <f t="shared" si="479"/>
        <v>0.37444775801914859</v>
      </c>
      <c r="M1332" s="476">
        <f t="shared" si="479"/>
        <v>0.00030838227249101196</v>
      </c>
      <c r="N1332" s="476">
        <f t="shared" si="479"/>
        <v>0.068188947115053036</v>
      </c>
      <c r="O1332" s="476">
        <f t="shared" si="479"/>
        <v>0.0079001284926574905</v>
      </c>
      <c r="P1332" s="476">
        <f t="shared" si="479"/>
        <v>0.02868271271889276</v>
      </c>
      <c r="Q1332" s="476">
        <f t="shared" si="479"/>
        <v>0.015108873761064803</v>
      </c>
      <c r="R1332" s="476">
        <f>R1225/$U1225</f>
        <v>0.00015224254597235386</v>
      </c>
      <c r="S1332" s="476">
        <f>S1225/$U1225</f>
        <v>0.00054059322151686021</v>
      </c>
      <c r="T1332" s="129"/>
      <c r="U1332" s="476">
        <f>ROUND(SUM(I1332:T1332),6)</f>
        <v>1</v>
      </c>
    </row>
    <row r="1333" spans="1:21" ht="18" customHeight="1">
      <c r="A1333" s="386"/>
      <c r="B1333" s="17">
        <f t="shared" si="474"/>
        <v>15</v>
      </c>
      <c r="D1333" s="67" t="s">
        <v>753</v>
      </c>
      <c r="G1333" s="17">
        <f t="shared" si="475"/>
        <v>15</v>
      </c>
      <c r="H1333" s="67" t="s">
        <v>812</v>
      </c>
      <c r="J1333" s="476">
        <f t="shared" si="480" ref="J1333:Q1333">J1226/$U1226</f>
        <v>0.48109026499781077</v>
      </c>
      <c r="K1333" s="476">
        <f t="shared" si="480"/>
        <v>0.0239299929534076</v>
      </c>
      <c r="L1333" s="476">
        <f t="shared" si="480"/>
        <v>0.37470736868651638</v>
      </c>
      <c r="M1333" s="476">
        <f t="shared" si="480"/>
        <v>0.00030859607889217541</v>
      </c>
      <c r="N1333" s="476">
        <f t="shared" si="480"/>
        <v>0.068236223611409422</v>
      </c>
      <c r="O1333" s="476">
        <f t="shared" si="480"/>
        <v>0.0079056057791049242</v>
      </c>
      <c r="P1333" s="476">
        <f t="shared" si="480"/>
        <v>0.02870259890603476</v>
      </c>
      <c r="Q1333" s="476">
        <f t="shared" si="480"/>
        <v>0.015119348986824027</v>
      </c>
      <c r="R1333" s="18"/>
      <c r="S1333" s="18"/>
      <c r="T1333" s="129"/>
      <c r="U1333" s="476">
        <f>ROUND(SUM(I1333:T1333),6)</f>
        <v>1</v>
      </c>
    </row>
    <row r="1334" spans="1:21" ht="18" customHeight="1">
      <c r="A1334" s="386"/>
      <c r="B1334" s="17">
        <f t="shared" si="474"/>
        <v>16</v>
      </c>
      <c r="D1334" s="67"/>
      <c r="G1334" s="17">
        <f t="shared" si="475"/>
        <v>16</v>
      </c>
      <c r="H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129"/>
      <c r="U1334" s="476"/>
    </row>
    <row r="1335" spans="1:21" ht="18" customHeight="1">
      <c r="A1335" s="386"/>
      <c r="B1335" s="17">
        <f t="shared" si="474"/>
        <v>17</v>
      </c>
      <c r="D1335" s="664" t="s">
        <v>1044</v>
      </c>
      <c r="G1335" s="17">
        <f t="shared" si="475"/>
        <v>17</v>
      </c>
      <c r="H1335" s="664" t="s">
        <v>1043</v>
      </c>
      <c r="J1335" s="476">
        <v>0.49691124615358206</v>
      </c>
      <c r="K1335" s="476">
        <v>0.024174681321812327</v>
      </c>
      <c r="L1335" s="476">
        <v>0.37078906200497913</v>
      </c>
      <c r="M1335" s="476">
        <v>0.00031546971053398888</v>
      </c>
      <c r="N1335" s="476">
        <v>0.055008246673470013</v>
      </c>
      <c r="O1335" s="476">
        <v>0.0073386300103727205</v>
      </c>
      <c r="P1335" s="476">
        <v>0.027449423458469385</v>
      </c>
      <c r="Q1335" s="476">
        <v>0.016386509086414255</v>
      </c>
      <c r="R1335" s="476">
        <v>0.00029838392078932439</v>
      </c>
      <c r="S1335" s="476">
        <v>0.0013283476595765593</v>
      </c>
      <c r="T1335" s="129"/>
      <c r="U1335" s="476">
        <f>ROUND(SUM(I1335:T1335),6)</f>
        <v>1</v>
      </c>
    </row>
    <row r="1336" spans="1:21" ht="18" customHeight="1">
      <c r="A1336" s="386"/>
      <c r="B1336" s="17">
        <f t="shared" si="474"/>
        <v>18</v>
      </c>
      <c r="D1336" s="47"/>
      <c r="G1336" s="17">
        <f t="shared" si="475"/>
        <v>18</v>
      </c>
      <c r="H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129"/>
      <c r="U1336" s="476"/>
    </row>
    <row r="1337" spans="1:21" ht="18" customHeight="1">
      <c r="A1337" s="386"/>
      <c r="B1337" s="17">
        <f t="shared" si="474"/>
        <v>19</v>
      </c>
      <c r="D1337" s="664" t="s">
        <v>1035</v>
      </c>
      <c r="G1337" s="17">
        <f t="shared" si="475"/>
        <v>19</v>
      </c>
      <c r="H1337" s="67" t="s">
        <v>813</v>
      </c>
      <c r="J1337" s="476">
        <f t="shared" si="481" ref="J1337:S1337">J1230/$U1230</f>
        <v>0.4015854676897242</v>
      </c>
      <c r="K1337" s="476">
        <f t="shared" si="481"/>
        <v>0.014345409859712227</v>
      </c>
      <c r="L1337" s="476">
        <f t="shared" si="481"/>
        <v>0.42045589729457095</v>
      </c>
      <c r="M1337" s="476">
        <f t="shared" si="481"/>
        <v>7.2571893342173099E-06</v>
      </c>
      <c r="N1337" s="476">
        <f t="shared" si="481"/>
        <v>0.06760618636238655</v>
      </c>
      <c r="O1337" s="476">
        <f t="shared" si="481"/>
        <v>0.010637379041264447</v>
      </c>
      <c r="P1337" s="476">
        <f t="shared" si="481"/>
        <v>0.07968136526971635</v>
      </c>
      <c r="Q1337" s="476">
        <f t="shared" si="481"/>
        <v>0.0036605804457023349</v>
      </c>
      <c r="R1337" s="476">
        <f t="shared" si="481"/>
        <v>0.00081165646718124509</v>
      </c>
      <c r="S1337" s="476">
        <f t="shared" si="481"/>
        <v>0.0012088003804071755</v>
      </c>
      <c r="T1337" s="129"/>
      <c r="U1337" s="476">
        <f>ROUND(SUM(I1337:T1337),6)</f>
        <v>1</v>
      </c>
    </row>
    <row r="1338" spans="1:21" ht="18" customHeight="1">
      <c r="A1338" s="386"/>
      <c r="B1338" s="17">
        <f t="shared" si="474"/>
        <v>20</v>
      </c>
      <c r="D1338" s="67"/>
      <c r="G1338" s="17">
        <f t="shared" si="475"/>
        <v>20</v>
      </c>
      <c r="H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129"/>
      <c r="U1338" s="476"/>
    </row>
    <row r="1339" spans="1:21" ht="18" customHeight="1">
      <c r="A1339" s="386"/>
      <c r="B1339" s="17">
        <f t="shared" si="474"/>
        <v>21</v>
      </c>
      <c r="D1339" s="67"/>
      <c r="G1339" s="17">
        <f t="shared" si="475"/>
        <v>21</v>
      </c>
      <c r="H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129"/>
      <c r="U1339" s="476"/>
    </row>
    <row r="1340" spans="1:21" ht="18" customHeight="1">
      <c r="A1340" s="386"/>
      <c r="B1340" s="17">
        <f t="shared" si="474"/>
        <v>22</v>
      </c>
      <c r="D1340" s="47"/>
      <c r="G1340" s="17">
        <f t="shared" si="475"/>
        <v>22</v>
      </c>
      <c r="H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129"/>
      <c r="U1340" s="476"/>
    </row>
    <row r="1341" spans="1:21" ht="18" customHeight="1">
      <c r="A1341" s="386"/>
      <c r="B1341" s="17">
        <f t="shared" si="474"/>
        <v>23</v>
      </c>
      <c r="D1341" s="67" t="s">
        <v>755</v>
      </c>
      <c r="G1341" s="17">
        <f t="shared" si="475"/>
        <v>23</v>
      </c>
      <c r="H1341" s="67" t="s">
        <v>814</v>
      </c>
      <c r="J1341" s="476">
        <f t="shared" si="482" ref="J1341:Q1341">J1234/$U1234</f>
        <v>0.45880672250755639</v>
      </c>
      <c r="K1341" s="476">
        <f t="shared" si="482"/>
        <v>0.012824408342322071</v>
      </c>
      <c r="L1341" s="476">
        <f t="shared" si="482"/>
        <v>0.33353592656394998</v>
      </c>
      <c r="M1341" s="476">
        <f t="shared" si="482"/>
        <v>0.00013264333757564555</v>
      </c>
      <c r="N1341" s="476">
        <f t="shared" si="482"/>
        <v>0.08385397465701605</v>
      </c>
      <c r="O1341" s="476">
        <f t="shared" si="482"/>
        <v>0.027463663718043225</v>
      </c>
      <c r="P1341" s="476">
        <f t="shared" si="482"/>
        <v>0.083382660873536657</v>
      </c>
      <c r="Q1341" s="476">
        <f t="shared" si="482"/>
        <v>0</v>
      </c>
      <c r="R1341" s="18">
        <v>0</v>
      </c>
      <c r="S1341" s="18">
        <v>0</v>
      </c>
      <c r="T1341" s="129"/>
      <c r="U1341" s="476">
        <f>ROUND(SUM(I1341:T1341),6)</f>
        <v>1</v>
      </c>
    </row>
    <row r="1342" spans="1:21" ht="18" customHeight="1">
      <c r="A1342" s="386"/>
      <c r="B1342" s="17">
        <f t="shared" si="474"/>
        <v>24</v>
      </c>
      <c r="D1342" s="67"/>
      <c r="G1342" s="17">
        <f t="shared" si="475"/>
        <v>24</v>
      </c>
      <c r="H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129"/>
      <c r="U1342" s="476"/>
    </row>
    <row r="1343" spans="1:21" ht="18" customHeight="1">
      <c r="A1343" s="386"/>
      <c r="B1343" s="17">
        <f t="shared" si="474"/>
        <v>25</v>
      </c>
      <c r="D1343" s="67"/>
      <c r="G1343" s="17">
        <f t="shared" si="475"/>
        <v>25</v>
      </c>
      <c r="H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129"/>
      <c r="U1343" s="476"/>
    </row>
    <row r="1344" spans="1:21" ht="18" customHeight="1">
      <c r="A1344" s="386"/>
      <c r="B1344" s="17">
        <f t="shared" si="474"/>
        <v>26</v>
      </c>
      <c r="D1344" s="67" t="s">
        <v>756</v>
      </c>
      <c r="G1344" s="17">
        <f t="shared" si="475"/>
        <v>26</v>
      </c>
      <c r="H1344" s="67" t="s">
        <v>815</v>
      </c>
      <c r="J1344" s="476">
        <f t="shared" si="483" ref="J1344:Q1344">J1237/$U1237</f>
        <v>0.47997782857437304</v>
      </c>
      <c r="K1344" s="476">
        <f t="shared" si="483"/>
        <v>0.011721162098190895</v>
      </c>
      <c r="L1344" s="476">
        <f t="shared" si="483"/>
        <v>0.30904444561746325</v>
      </c>
      <c r="M1344" s="476">
        <f t="shared" si="483"/>
        <v>0.00017471556355068578</v>
      </c>
      <c r="N1344" s="476">
        <f t="shared" si="483"/>
        <v>0.073948422628680788</v>
      </c>
      <c r="O1344" s="476">
        <f t="shared" si="483"/>
        <v>0.026742317768193871</v>
      </c>
      <c r="P1344" s="476">
        <f t="shared" si="483"/>
        <v>0.088054591529313678</v>
      </c>
      <c r="Q1344" s="476">
        <f t="shared" si="483"/>
        <v>0.0031171565628276125</v>
      </c>
      <c r="R1344" s="476">
        <f>R1237/$U1237</f>
        <v>0.0032052341614837846</v>
      </c>
      <c r="S1344" s="476">
        <f>S1237/$U1237</f>
        <v>0.004014125495922353</v>
      </c>
      <c r="T1344" s="129"/>
      <c r="U1344" s="476">
        <f t="shared" si="484" ref="U1344:U1351">ROUND(SUM(I1344:T1344),6)</f>
        <v>1</v>
      </c>
    </row>
    <row r="1345" spans="1:21" ht="18" customHeight="1">
      <c r="A1345" s="386"/>
      <c r="B1345" s="17">
        <f t="shared" si="474"/>
        <v>27</v>
      </c>
      <c r="D1345" s="67"/>
      <c r="G1345" s="17">
        <f>G1344+1</f>
        <v>27</v>
      </c>
      <c r="H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129"/>
      <c r="U1345" s="476"/>
    </row>
    <row r="1346" spans="1:21" ht="18" customHeight="1">
      <c r="A1346" s="386"/>
      <c r="B1346" s="17">
        <f t="shared" si="474"/>
        <v>28</v>
      </c>
      <c r="D1346" s="67" t="s">
        <v>757</v>
      </c>
      <c r="G1346" s="17">
        <f t="shared" si="475"/>
        <v>28</v>
      </c>
      <c r="H1346" s="67" t="s">
        <v>816</v>
      </c>
      <c r="J1346" s="476">
        <f t="shared" si="485" ref="J1346:O1346">J1239/$U1239</f>
        <v>0.52632298393747712</v>
      </c>
      <c r="K1346" s="476">
        <f t="shared" si="485"/>
        <v>0.012852920788150075</v>
      </c>
      <c r="L1346" s="476">
        <f t="shared" si="485"/>
        <v>0.33888480905422225</v>
      </c>
      <c r="M1346" s="476">
        <f t="shared" si="485"/>
        <v>0.00019158555098564527</v>
      </c>
      <c r="N1346" s="476">
        <f t="shared" si="485"/>
        <v>0.081088650638299467</v>
      </c>
      <c r="O1346" s="476">
        <f t="shared" si="485"/>
        <v>0.029324472188571232</v>
      </c>
      <c r="P1346" s="18">
        <v>0</v>
      </c>
      <c r="Q1346" s="476">
        <f t="shared" si="486" ref="Q1346:Q1351">Q1239/$U1239</f>
        <v>0.0034181394345249461</v>
      </c>
      <c r="R1346" s="476">
        <f>R1239/$U1239</f>
        <v>0.003514721530161434</v>
      </c>
      <c r="S1346" s="476">
        <f>S1239/$U1239</f>
        <v>0.0044017168776077937</v>
      </c>
      <c r="T1346" s="129"/>
      <c r="U1346" s="476">
        <f t="shared" si="484"/>
        <v>1</v>
      </c>
    </row>
    <row r="1347" spans="1:21" ht="18" customHeight="1">
      <c r="A1347" s="386"/>
      <c r="B1347" s="17">
        <f t="shared" si="474"/>
        <v>29</v>
      </c>
      <c r="D1347" s="67"/>
      <c r="G1347" s="17">
        <f>G1346+1</f>
        <v>29</v>
      </c>
      <c r="H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129"/>
      <c r="U1347" s="476"/>
    </row>
    <row r="1348" spans="1:21" ht="18" customHeight="1">
      <c r="A1348" s="386"/>
      <c r="B1348" s="17">
        <f t="shared" si="474"/>
        <v>30</v>
      </c>
      <c r="D1348" s="67" t="s">
        <v>759</v>
      </c>
      <c r="G1348" s="17">
        <f t="shared" si="475"/>
        <v>30</v>
      </c>
      <c r="H1348" s="67" t="s">
        <v>817</v>
      </c>
      <c r="J1348" s="476">
        <f>J1241/$U1241</f>
        <v>0.54419387191793744</v>
      </c>
      <c r="K1348" s="476">
        <f>K1241/$U1241</f>
        <v>0.01328933172712979</v>
      </c>
      <c r="L1348" s="476">
        <f>L1241/$U1241</f>
        <v>0.35039137944106125</v>
      </c>
      <c r="M1348" s="476">
        <f>M1241/$U1241</f>
        <v>0.00019809068951242101</v>
      </c>
      <c r="N1348" s="476">
        <f>N1241/$U1241</f>
        <v>0.083841952766970859</v>
      </c>
      <c r="O1348" s="18">
        <v>0</v>
      </c>
      <c r="P1348" s="18">
        <v>0</v>
      </c>
      <c r="Q1348" s="476">
        <f t="shared" si="486"/>
        <v>0.0035341997032196639</v>
      </c>
      <c r="R1348" s="18">
        <v>0</v>
      </c>
      <c r="S1348" s="476">
        <f>S1241/$U1241</f>
        <v>0.0045511737541685466</v>
      </c>
      <c r="T1348" s="129"/>
      <c r="U1348" s="476">
        <f t="shared" si="484"/>
        <v>1</v>
      </c>
    </row>
    <row r="1349" spans="1:21" ht="18" customHeight="1">
      <c r="A1349" s="386"/>
      <c r="B1349" s="17">
        <f t="shared" si="474"/>
        <v>31</v>
      </c>
      <c r="D1349" s="67"/>
      <c r="G1349" s="17">
        <f>G1348+1</f>
        <v>31</v>
      </c>
      <c r="H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129"/>
      <c r="U1349" s="476"/>
    </row>
    <row r="1350" spans="1:21" ht="18" customHeight="1">
      <c r="A1350" s="386"/>
      <c r="B1350" s="17">
        <f t="shared" si="474"/>
        <v>32</v>
      </c>
      <c r="D1350" s="67" t="s">
        <v>760</v>
      </c>
      <c r="G1350" s="17">
        <f t="shared" si="475"/>
        <v>32</v>
      </c>
      <c r="H1350" s="67" t="s">
        <v>818</v>
      </c>
      <c r="J1350" s="476">
        <f>J1243/$U1243</f>
        <v>0.59709087973943276</v>
      </c>
      <c r="K1350" s="476">
        <f>K1243/$U1243</f>
        <v>0.014581088067264459</v>
      </c>
      <c r="L1350" s="476">
        <f>L1243/$U1243</f>
        <v>0.38445029942403613</v>
      </c>
      <c r="M1350" s="18">
        <v>0</v>
      </c>
      <c r="N1350" s="18">
        <v>0</v>
      </c>
      <c r="O1350" s="18">
        <v>0</v>
      </c>
      <c r="P1350" s="18">
        <v>0</v>
      </c>
      <c r="Q1350" s="476">
        <f t="shared" si="486"/>
        <v>0.0038777327692666257</v>
      </c>
      <c r="R1350" s="18">
        <v>0</v>
      </c>
      <c r="S1350" s="18">
        <v>0</v>
      </c>
      <c r="T1350" s="129"/>
      <c r="U1350" s="476">
        <f t="shared" si="484"/>
        <v>1</v>
      </c>
    </row>
    <row r="1351" spans="1:21" ht="18" customHeight="1">
      <c r="A1351" s="386"/>
      <c r="B1351" s="17">
        <f t="shared" si="474"/>
        <v>33</v>
      </c>
      <c r="D1351" s="67" t="s">
        <v>761</v>
      </c>
      <c r="G1351" s="17">
        <f t="shared" si="475"/>
        <v>33</v>
      </c>
      <c r="H1351" s="67" t="s">
        <v>819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476">
        <f t="shared" si="486"/>
        <v>1</v>
      </c>
      <c r="R1351" s="18">
        <v>0</v>
      </c>
      <c r="S1351" s="18">
        <v>0</v>
      </c>
      <c r="T1351" s="129"/>
      <c r="U1351" s="476">
        <f t="shared" si="484"/>
        <v>1</v>
      </c>
    </row>
    <row r="1352" spans="1:21" ht="18" customHeight="1">
      <c r="A1352" s="386"/>
      <c r="B1352" s="17">
        <f t="shared" si="474"/>
        <v>34</v>
      </c>
      <c r="G1352" s="17">
        <f t="shared" si="475"/>
        <v>34</v>
      </c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129"/>
      <c r="U1352" s="476"/>
    </row>
    <row r="1353" spans="1:21" ht="18" customHeight="1">
      <c r="A1353" s="386"/>
      <c r="B1353" s="17">
        <f t="shared" si="474"/>
        <v>35</v>
      </c>
      <c r="G1353" s="17">
        <f t="shared" si="475"/>
        <v>35</v>
      </c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129"/>
      <c r="U1353" s="476"/>
    </row>
    <row r="1354" spans="1:21" ht="18" customHeight="1">
      <c r="A1354" s="386"/>
      <c r="B1354" s="17">
        <f t="shared" si="474"/>
        <v>36</v>
      </c>
      <c r="D1354" s="47" t="s">
        <v>940</v>
      </c>
      <c r="G1354" s="17">
        <f t="shared" si="475"/>
        <v>36</v>
      </c>
      <c r="H1354" s="67" t="s">
        <v>820</v>
      </c>
      <c r="J1354" s="476">
        <f t="shared" si="487" ref="J1354:Q1354">J1247/$U1247</f>
        <v>0.55761417678312952</v>
      </c>
      <c r="K1354" s="476">
        <f t="shared" si="487"/>
        <v>0.085941357167897206</v>
      </c>
      <c r="L1354" s="476">
        <f t="shared" si="487"/>
        <v>0.264989755840146</v>
      </c>
      <c r="M1354" s="476">
        <f t="shared" si="487"/>
        <v>0.0037208414919906599</v>
      </c>
      <c r="N1354" s="476">
        <f t="shared" si="487"/>
        <v>0.07763676310100158</v>
      </c>
      <c r="O1354" s="476">
        <f t="shared" si="487"/>
        <v>0.0026533612489755753</v>
      </c>
      <c r="P1354" s="476">
        <f t="shared" si="487"/>
        <v>0.0057754524854027201</v>
      </c>
      <c r="Q1354" s="476">
        <f t="shared" si="487"/>
        <v>0.00064727428088213633</v>
      </c>
      <c r="R1354" s="476">
        <f>R1247/$U1247</f>
        <v>0.00030614673365827918</v>
      </c>
      <c r="S1354" s="476">
        <f>S1247/$U1247</f>
        <v>0.00071487086691631309</v>
      </c>
      <c r="T1354" s="129"/>
      <c r="U1354" s="476">
        <f>ROUND(SUM(I1354:T1354),6)</f>
        <v>1</v>
      </c>
    </row>
    <row r="1355" spans="1:21" ht="18" customHeight="1">
      <c r="A1355" s="386"/>
      <c r="B1355" s="17">
        <f t="shared" si="474"/>
        <v>37</v>
      </c>
      <c r="D1355" t="s">
        <v>940</v>
      </c>
      <c r="G1355" s="17">
        <f t="shared" si="475"/>
        <v>37</v>
      </c>
      <c r="H1355" s="67" t="s">
        <v>950</v>
      </c>
      <c r="J1355" s="476">
        <f t="shared" si="488" ref="J1355:Q1355">J1248/$U1248</f>
        <v>0.55761417678312952</v>
      </c>
      <c r="K1355" s="476">
        <f t="shared" si="488"/>
        <v>0.085941357167897206</v>
      </c>
      <c r="L1355" s="476">
        <f t="shared" si="488"/>
        <v>0.264989755840146</v>
      </c>
      <c r="M1355" s="476">
        <f t="shared" si="488"/>
        <v>0.0037208414919906599</v>
      </c>
      <c r="N1355" s="476">
        <f t="shared" si="488"/>
        <v>0.07763676310100158</v>
      </c>
      <c r="O1355" s="476">
        <f t="shared" si="488"/>
        <v>0.0026533612489755753</v>
      </c>
      <c r="P1355" s="476">
        <f t="shared" si="488"/>
        <v>0.0057754524854027201</v>
      </c>
      <c r="Q1355" s="476">
        <f t="shared" si="488"/>
        <v>0.00064727428088213633</v>
      </c>
      <c r="R1355" s="476">
        <f>R1248/$U1248</f>
        <v>0.00030614673365827918</v>
      </c>
      <c r="S1355" s="476">
        <f>S1248/$U1248</f>
        <v>0.00071487086691631309</v>
      </c>
      <c r="T1355" s="129"/>
      <c r="U1355" s="476">
        <f>ROUND(SUM(I1355:T1355),6)</f>
        <v>1</v>
      </c>
    </row>
    <row r="1356" spans="1:21" ht="18" customHeight="1">
      <c r="A1356" s="386"/>
      <c r="B1356" s="17">
        <f t="shared" si="474"/>
        <v>38</v>
      </c>
      <c r="D1356" s="67"/>
      <c r="G1356" s="17">
        <f t="shared" si="475"/>
        <v>38</v>
      </c>
      <c r="H1356" s="67"/>
      <c r="J1356" s="476"/>
      <c r="K1356" s="476"/>
      <c r="L1356" s="476"/>
      <c r="M1356" s="476"/>
      <c r="N1356" s="476"/>
      <c r="O1356" s="476"/>
      <c r="P1356" s="476"/>
      <c r="Q1356" s="476"/>
      <c r="R1356" s="476"/>
      <c r="S1356" s="476"/>
      <c r="T1356" s="129"/>
      <c r="U1356" s="476"/>
    </row>
    <row r="1357" spans="1:21" ht="18" customHeight="1">
      <c r="A1357" s="386"/>
      <c r="B1357" s="17">
        <f t="shared" si="474"/>
        <v>39</v>
      </c>
      <c r="D1357" s="67" t="s">
        <v>762</v>
      </c>
      <c r="G1357" s="17">
        <f t="shared" si="475"/>
        <v>39</v>
      </c>
      <c r="H1357" s="67" t="s">
        <v>821</v>
      </c>
      <c r="J1357" s="476"/>
      <c r="K1357" s="476"/>
      <c r="L1357" s="476"/>
      <c r="M1357" s="476"/>
      <c r="N1357" s="476"/>
      <c r="O1357" s="476"/>
      <c r="P1357" s="476"/>
      <c r="Q1357" s="476"/>
      <c r="R1357" s="476"/>
      <c r="S1357" s="476"/>
      <c r="T1357" s="129"/>
      <c r="U1357" s="476"/>
    </row>
    <row r="1358" spans="1:21" ht="18" customHeight="1">
      <c r="A1358" s="386"/>
      <c r="B1358" s="17">
        <f t="shared" si="474"/>
        <v>40</v>
      </c>
      <c r="D1358" s="67" t="s">
        <v>957</v>
      </c>
      <c r="G1358" s="17">
        <f t="shared" si="475"/>
        <v>40</v>
      </c>
      <c r="H1358" s="67" t="s">
        <v>958</v>
      </c>
      <c r="J1358" s="476">
        <f t="shared" si="489" ref="J1358:Q1358">J1251/$U1251</f>
        <v>0</v>
      </c>
      <c r="K1358" s="476">
        <f t="shared" si="489"/>
        <v>0</v>
      </c>
      <c r="L1358" s="476">
        <f t="shared" si="489"/>
        <v>0</v>
      </c>
      <c r="M1358" s="476">
        <f t="shared" si="489"/>
        <v>0</v>
      </c>
      <c r="N1358" s="476">
        <f t="shared" si="489"/>
        <v>0</v>
      </c>
      <c r="O1358" s="476">
        <f t="shared" si="489"/>
        <v>0</v>
      </c>
      <c r="P1358" s="476">
        <f t="shared" si="489"/>
        <v>0</v>
      </c>
      <c r="Q1358" s="476">
        <f t="shared" si="489"/>
        <v>0</v>
      </c>
      <c r="R1358" s="476">
        <f t="shared" si="490" ref="R1358:S1372">R1251/$U1251</f>
        <v>0</v>
      </c>
      <c r="S1358" s="476">
        <f t="shared" si="490"/>
        <v>0</v>
      </c>
      <c r="T1358" s="129"/>
      <c r="U1358" s="476">
        <f>ROUND(SUM(I1358:T1358),6)</f>
        <v>0</v>
      </c>
    </row>
    <row r="1359" spans="1:21" ht="18" customHeight="1">
      <c r="A1359" s="386"/>
      <c r="B1359" s="17">
        <f t="shared" si="474"/>
        <v>41</v>
      </c>
      <c r="D1359" s="67" t="s">
        <v>763</v>
      </c>
      <c r="G1359" s="17">
        <f t="shared" si="475"/>
        <v>41</v>
      </c>
      <c r="H1359" s="67" t="s">
        <v>822</v>
      </c>
      <c r="J1359" s="476">
        <f t="shared" si="491" ref="J1359:Q1359">J1252/$U1252</f>
        <v>0</v>
      </c>
      <c r="K1359" s="476">
        <f t="shared" si="491"/>
        <v>0</v>
      </c>
      <c r="L1359" s="476">
        <f t="shared" si="491"/>
        <v>0</v>
      </c>
      <c r="M1359" s="476">
        <f t="shared" si="491"/>
        <v>0</v>
      </c>
      <c r="N1359" s="476">
        <f t="shared" si="491"/>
        <v>0</v>
      </c>
      <c r="O1359" s="476">
        <f t="shared" si="491"/>
        <v>0</v>
      </c>
      <c r="P1359" s="476">
        <f t="shared" si="491"/>
        <v>0</v>
      </c>
      <c r="Q1359" s="476">
        <f t="shared" si="491"/>
        <v>0</v>
      </c>
      <c r="R1359" s="476">
        <f t="shared" si="490"/>
        <v>0</v>
      </c>
      <c r="S1359" s="476">
        <f t="shared" si="490"/>
        <v>0</v>
      </c>
      <c r="T1359" s="129"/>
      <c r="U1359" s="476">
        <f t="shared" si="492" ref="U1359:U1372">ROUND(SUM(I1359:T1359),6)</f>
        <v>0</v>
      </c>
    </row>
    <row r="1360" spans="1:21" ht="18" customHeight="1">
      <c r="A1360" s="386"/>
      <c r="B1360" s="17">
        <f t="shared" si="474"/>
        <v>42</v>
      </c>
      <c r="D1360" s="67" t="s">
        <v>764</v>
      </c>
      <c r="G1360" s="17">
        <f t="shared" si="475"/>
        <v>42</v>
      </c>
      <c r="H1360" s="67" t="s">
        <v>823</v>
      </c>
      <c r="J1360" s="476">
        <f t="shared" si="493" ref="J1360:Q1360">J1253/$U1253</f>
        <v>0</v>
      </c>
      <c r="K1360" s="476">
        <f t="shared" si="493"/>
        <v>0</v>
      </c>
      <c r="L1360" s="476">
        <f t="shared" si="493"/>
        <v>0</v>
      </c>
      <c r="M1360" s="476">
        <f t="shared" si="493"/>
        <v>0</v>
      </c>
      <c r="N1360" s="476">
        <f t="shared" si="493"/>
        <v>0</v>
      </c>
      <c r="O1360" s="476">
        <f t="shared" si="493"/>
        <v>0</v>
      </c>
      <c r="P1360" s="476">
        <f t="shared" si="493"/>
        <v>0</v>
      </c>
      <c r="Q1360" s="476">
        <f t="shared" si="493"/>
        <v>0</v>
      </c>
      <c r="R1360" s="476">
        <f t="shared" si="490"/>
        <v>0</v>
      </c>
      <c r="S1360" s="476">
        <f t="shared" si="490"/>
        <v>0</v>
      </c>
      <c r="T1360" s="129"/>
      <c r="U1360" s="476">
        <f t="shared" si="492"/>
        <v>0</v>
      </c>
    </row>
    <row r="1361" spans="1:21" ht="18" customHeight="1">
      <c r="A1361" s="386"/>
      <c r="B1361" s="17">
        <f t="shared" si="474"/>
        <v>43</v>
      </c>
      <c r="D1361" s="67" t="s">
        <v>765</v>
      </c>
      <c r="G1361" s="17">
        <f t="shared" si="475"/>
        <v>43</v>
      </c>
      <c r="H1361" s="67" t="s">
        <v>824</v>
      </c>
      <c r="J1361" s="476">
        <f t="shared" si="494" ref="J1361:Q1361">J1254/$U1254</f>
        <v>0</v>
      </c>
      <c r="K1361" s="476">
        <f t="shared" si="494"/>
        <v>0</v>
      </c>
      <c r="L1361" s="476">
        <f t="shared" si="494"/>
        <v>0</v>
      </c>
      <c r="M1361" s="476">
        <f t="shared" si="494"/>
        <v>0</v>
      </c>
      <c r="N1361" s="476">
        <f t="shared" si="494"/>
        <v>0</v>
      </c>
      <c r="O1361" s="476">
        <f t="shared" si="494"/>
        <v>0</v>
      </c>
      <c r="P1361" s="476">
        <f t="shared" si="494"/>
        <v>0</v>
      </c>
      <c r="Q1361" s="476">
        <f t="shared" si="494"/>
        <v>0</v>
      </c>
      <c r="R1361" s="476">
        <f t="shared" si="490"/>
        <v>0</v>
      </c>
      <c r="S1361" s="476">
        <f t="shared" si="490"/>
        <v>0</v>
      </c>
      <c r="T1361" s="129"/>
      <c r="U1361" s="476">
        <f t="shared" si="492"/>
        <v>0</v>
      </c>
    </row>
    <row r="1362" spans="1:21" ht="18" customHeight="1">
      <c r="A1362" s="386"/>
      <c r="B1362" s="17">
        <f t="shared" si="474"/>
        <v>44</v>
      </c>
      <c r="D1362" s="67" t="s">
        <v>766</v>
      </c>
      <c r="G1362" s="17">
        <f t="shared" si="475"/>
        <v>44</v>
      </c>
      <c r="H1362" s="67" t="s">
        <v>825</v>
      </c>
      <c r="J1362" s="476">
        <v>0.50691756479384642</v>
      </c>
      <c r="K1362" s="476">
        <v>0.013391015252287416</v>
      </c>
      <c r="L1362" s="476">
        <v>0.38691411859738101</v>
      </c>
      <c r="M1362" s="476">
        <v>0.00015866003058742647</v>
      </c>
      <c r="N1362" s="476">
        <v>0.064743407159093491</v>
      </c>
      <c r="O1362" s="476">
        <v>0.016186725717618918</v>
      </c>
      <c r="P1362" s="476">
        <v>0</v>
      </c>
      <c r="Q1362" s="476">
        <v>0.0044527045807768884</v>
      </c>
      <c r="R1362" s="476">
        <v>0.0031634402506537864</v>
      </c>
      <c r="S1362" s="476">
        <v>0.0040723636177547656</v>
      </c>
      <c r="T1362" s="129"/>
      <c r="U1362" s="476">
        <f t="shared" si="492"/>
        <v>1</v>
      </c>
    </row>
    <row r="1363" spans="1:21" ht="18" customHeight="1">
      <c r="A1363" s="386"/>
      <c r="B1363" s="17">
        <f t="shared" si="474"/>
        <v>45</v>
      </c>
      <c r="D1363" s="67" t="s">
        <v>767</v>
      </c>
      <c r="G1363" s="17">
        <f t="shared" si="475"/>
        <v>45</v>
      </c>
      <c r="H1363" s="67" t="s">
        <v>826</v>
      </c>
      <c r="J1363" s="476">
        <f t="shared" si="495" ref="J1363:Q1363">J1256/$U1256</f>
        <v>0</v>
      </c>
      <c r="K1363" s="476">
        <f t="shared" si="495"/>
        <v>0</v>
      </c>
      <c r="L1363" s="476">
        <f t="shared" si="495"/>
        <v>0</v>
      </c>
      <c r="M1363" s="476">
        <f t="shared" si="495"/>
        <v>0</v>
      </c>
      <c r="N1363" s="476">
        <f t="shared" si="495"/>
        <v>0</v>
      </c>
      <c r="O1363" s="476">
        <f t="shared" si="495"/>
        <v>0</v>
      </c>
      <c r="P1363" s="476">
        <f t="shared" si="495"/>
        <v>0</v>
      </c>
      <c r="Q1363" s="476">
        <f t="shared" si="495"/>
        <v>0</v>
      </c>
      <c r="R1363" s="476">
        <f t="shared" si="490"/>
        <v>0</v>
      </c>
      <c r="S1363" s="476">
        <f t="shared" si="490"/>
        <v>0</v>
      </c>
      <c r="T1363" s="129"/>
      <c r="U1363" s="476">
        <f t="shared" si="492"/>
        <v>0</v>
      </c>
    </row>
    <row r="1364" spans="1:21" ht="18" customHeight="1">
      <c r="A1364" s="386"/>
      <c r="B1364" s="17">
        <f t="shared" si="474"/>
        <v>46</v>
      </c>
      <c r="D1364" s="67" t="s">
        <v>768</v>
      </c>
      <c r="G1364" s="17">
        <f t="shared" si="475"/>
        <v>46</v>
      </c>
      <c r="H1364" s="67" t="s">
        <v>827</v>
      </c>
      <c r="J1364" s="476">
        <f t="shared" si="496" ref="J1364:Q1364">J1257/$U1257</f>
        <v>0</v>
      </c>
      <c r="K1364" s="476">
        <f t="shared" si="496"/>
        <v>0</v>
      </c>
      <c r="L1364" s="476">
        <f t="shared" si="496"/>
        <v>0</v>
      </c>
      <c r="M1364" s="476">
        <f t="shared" si="496"/>
        <v>0</v>
      </c>
      <c r="N1364" s="476">
        <f t="shared" si="496"/>
        <v>0</v>
      </c>
      <c r="O1364" s="476">
        <f t="shared" si="496"/>
        <v>0</v>
      </c>
      <c r="P1364" s="476">
        <f t="shared" si="496"/>
        <v>0</v>
      </c>
      <c r="Q1364" s="476">
        <f t="shared" si="496"/>
        <v>0</v>
      </c>
      <c r="R1364" s="476">
        <f t="shared" si="490"/>
        <v>0</v>
      </c>
      <c r="S1364" s="476">
        <f t="shared" si="490"/>
        <v>0</v>
      </c>
      <c r="T1364" s="129"/>
      <c r="U1364" s="476">
        <f t="shared" si="492"/>
        <v>0</v>
      </c>
    </row>
    <row r="1365" spans="1:21" ht="18" customHeight="1">
      <c r="A1365" s="386"/>
      <c r="B1365" s="17">
        <f t="shared" si="474"/>
        <v>47</v>
      </c>
      <c r="D1365" s="67" t="s">
        <v>769</v>
      </c>
      <c r="G1365" s="17">
        <f t="shared" si="475"/>
        <v>47</v>
      </c>
      <c r="H1365" s="67" t="s">
        <v>828</v>
      </c>
      <c r="J1365" s="476">
        <f t="shared" si="497" ref="J1365:Q1365">J1258/$U1258</f>
        <v>0</v>
      </c>
      <c r="K1365" s="476">
        <f t="shared" si="497"/>
        <v>0</v>
      </c>
      <c r="L1365" s="476">
        <f t="shared" si="497"/>
        <v>0</v>
      </c>
      <c r="M1365" s="476">
        <f t="shared" si="497"/>
        <v>0</v>
      </c>
      <c r="N1365" s="476">
        <f t="shared" si="497"/>
        <v>0</v>
      </c>
      <c r="O1365" s="476">
        <f t="shared" si="497"/>
        <v>0</v>
      </c>
      <c r="P1365" s="476">
        <f t="shared" si="497"/>
        <v>0</v>
      </c>
      <c r="Q1365" s="476">
        <f t="shared" si="497"/>
        <v>0</v>
      </c>
      <c r="R1365" s="476">
        <f t="shared" si="490"/>
        <v>0</v>
      </c>
      <c r="S1365" s="476">
        <f t="shared" si="490"/>
        <v>0</v>
      </c>
      <c r="T1365" s="129"/>
      <c r="U1365" s="476">
        <f t="shared" si="492"/>
        <v>0</v>
      </c>
    </row>
    <row r="1366" spans="1:21" ht="18" customHeight="1">
      <c r="A1366" s="386"/>
      <c r="B1366" s="17">
        <f t="shared" si="474"/>
        <v>48</v>
      </c>
      <c r="D1366" s="67" t="s">
        <v>770</v>
      </c>
      <c r="G1366" s="17">
        <f t="shared" si="475"/>
        <v>48</v>
      </c>
      <c r="H1366" s="67" t="s">
        <v>829</v>
      </c>
      <c r="J1366" s="476">
        <f t="shared" si="498" ref="J1366:Q1366">J1259/$U1259</f>
        <v>0</v>
      </c>
      <c r="K1366" s="476">
        <f t="shared" si="498"/>
        <v>0</v>
      </c>
      <c r="L1366" s="476">
        <f t="shared" si="498"/>
        <v>0</v>
      </c>
      <c r="M1366" s="476">
        <f t="shared" si="498"/>
        <v>0</v>
      </c>
      <c r="N1366" s="476">
        <f t="shared" si="498"/>
        <v>0</v>
      </c>
      <c r="O1366" s="476">
        <f t="shared" si="498"/>
        <v>0</v>
      </c>
      <c r="P1366" s="476">
        <f t="shared" si="498"/>
        <v>0</v>
      </c>
      <c r="Q1366" s="476">
        <f t="shared" si="498"/>
        <v>0</v>
      </c>
      <c r="R1366" s="476">
        <f t="shared" si="490"/>
        <v>0</v>
      </c>
      <c r="S1366" s="476">
        <f t="shared" si="490"/>
        <v>0</v>
      </c>
      <c r="T1366" s="129"/>
      <c r="U1366" s="476">
        <f t="shared" si="492"/>
        <v>0</v>
      </c>
    </row>
    <row r="1367" spans="1:21" ht="18" customHeight="1">
      <c r="A1367" s="386"/>
      <c r="B1367" s="17">
        <f t="shared" si="474"/>
        <v>49</v>
      </c>
      <c r="D1367" s="67" t="s">
        <v>771</v>
      </c>
      <c r="G1367" s="17">
        <f t="shared" si="475"/>
        <v>49</v>
      </c>
      <c r="H1367" s="67" t="s">
        <v>830</v>
      </c>
      <c r="J1367" s="476">
        <f t="shared" si="499" ref="J1367:Q1367">J1260/$U1260</f>
        <v>0</v>
      </c>
      <c r="K1367" s="476">
        <f t="shared" si="499"/>
        <v>0</v>
      </c>
      <c r="L1367" s="476">
        <f t="shared" si="499"/>
        <v>0</v>
      </c>
      <c r="M1367" s="476">
        <f t="shared" si="499"/>
        <v>0</v>
      </c>
      <c r="N1367" s="476">
        <f t="shared" si="499"/>
        <v>0</v>
      </c>
      <c r="O1367" s="476">
        <f t="shared" si="499"/>
        <v>0</v>
      </c>
      <c r="P1367" s="476">
        <f t="shared" si="499"/>
        <v>0</v>
      </c>
      <c r="Q1367" s="476">
        <f t="shared" si="499"/>
        <v>0</v>
      </c>
      <c r="R1367" s="476">
        <f t="shared" si="490"/>
        <v>0</v>
      </c>
      <c r="S1367" s="476">
        <f t="shared" si="490"/>
        <v>0</v>
      </c>
      <c r="T1367" s="129"/>
      <c r="U1367" s="476">
        <f t="shared" si="492"/>
        <v>0</v>
      </c>
    </row>
    <row r="1368" spans="1:21" ht="18" customHeight="1">
      <c r="A1368" s="386"/>
      <c r="B1368" s="17">
        <f t="shared" si="474"/>
        <v>50</v>
      </c>
      <c r="D1368" s="67" t="s">
        <v>772</v>
      </c>
      <c r="G1368" s="17">
        <f t="shared" si="475"/>
        <v>50</v>
      </c>
      <c r="H1368" s="67" t="s">
        <v>831</v>
      </c>
      <c r="J1368" s="476">
        <f t="shared" si="500" ref="J1368:Q1368">J1261/$U1261</f>
        <v>0</v>
      </c>
      <c r="K1368" s="476">
        <f t="shared" si="500"/>
        <v>0</v>
      </c>
      <c r="L1368" s="476">
        <f t="shared" si="500"/>
        <v>0</v>
      </c>
      <c r="M1368" s="476">
        <f t="shared" si="500"/>
        <v>0</v>
      </c>
      <c r="N1368" s="476">
        <f t="shared" si="500"/>
        <v>0</v>
      </c>
      <c r="O1368" s="476">
        <f t="shared" si="500"/>
        <v>0</v>
      </c>
      <c r="P1368" s="476">
        <f t="shared" si="500"/>
        <v>0</v>
      </c>
      <c r="Q1368" s="476">
        <f t="shared" si="500"/>
        <v>0</v>
      </c>
      <c r="R1368" s="476">
        <f t="shared" si="490"/>
        <v>0</v>
      </c>
      <c r="S1368" s="476">
        <f t="shared" si="490"/>
        <v>0</v>
      </c>
      <c r="T1368" s="129"/>
      <c r="U1368" s="476">
        <f t="shared" si="492"/>
        <v>0</v>
      </c>
    </row>
    <row r="1369" spans="1:21" ht="18" customHeight="1">
      <c r="A1369" s="386"/>
      <c r="B1369" s="17">
        <f t="shared" si="474"/>
        <v>51</v>
      </c>
      <c r="D1369" s="67" t="s">
        <v>773</v>
      </c>
      <c r="G1369" s="17">
        <f t="shared" si="475"/>
        <v>51</v>
      </c>
      <c r="H1369" s="47" t="s">
        <v>832</v>
      </c>
      <c r="J1369" s="476">
        <f t="shared" si="501" ref="J1369:Q1369">J1262/$U1262</f>
        <v>0.55750481473464375</v>
      </c>
      <c r="K1369" s="476">
        <f t="shared" si="501"/>
        <v>0.085952885111240593</v>
      </c>
      <c r="L1369" s="476">
        <f t="shared" si="501"/>
        <v>0.26512464751523457</v>
      </c>
      <c r="M1369" s="476">
        <f t="shared" si="501"/>
        <v>0.003722752602926988</v>
      </c>
      <c r="N1369" s="476">
        <f t="shared" si="501"/>
        <v>0.077683818478312822</v>
      </c>
      <c r="O1369" s="476">
        <f t="shared" si="501"/>
        <v>0.0026546895902129727</v>
      </c>
      <c r="P1369" s="476">
        <f t="shared" si="501"/>
        <v>0.0057790550310020863</v>
      </c>
      <c r="Q1369" s="476">
        <f t="shared" si="501"/>
        <v>0.00055573311775356405</v>
      </c>
      <c r="R1369" s="476">
        <f t="shared" si="490"/>
        <v>0.00030631033733226608</v>
      </c>
      <c r="S1369" s="476">
        <f t="shared" si="490"/>
        <v>0.00071529348134022547</v>
      </c>
      <c r="T1369" s="129"/>
      <c r="U1369" s="476">
        <f t="shared" si="492"/>
        <v>1</v>
      </c>
    </row>
    <row r="1370" spans="1:21" ht="18" customHeight="1">
      <c r="A1370" s="386"/>
      <c r="B1370" s="17">
        <f t="shared" si="474"/>
        <v>52</v>
      </c>
      <c r="D1370" s="67" t="s">
        <v>774</v>
      </c>
      <c r="G1370" s="17">
        <f t="shared" si="475"/>
        <v>52</v>
      </c>
      <c r="H1370" s="67" t="s">
        <v>833</v>
      </c>
      <c r="J1370" s="476">
        <f t="shared" si="502" ref="J1370:Q1370">J1263/$U1263</f>
        <v>0</v>
      </c>
      <c r="K1370" s="476">
        <f t="shared" si="502"/>
        <v>0</v>
      </c>
      <c r="L1370" s="476">
        <f t="shared" si="502"/>
        <v>0</v>
      </c>
      <c r="M1370" s="476">
        <f t="shared" si="502"/>
        <v>0</v>
      </c>
      <c r="N1370" s="476">
        <f t="shared" si="502"/>
        <v>0</v>
      </c>
      <c r="O1370" s="476">
        <f t="shared" si="502"/>
        <v>0</v>
      </c>
      <c r="P1370" s="476">
        <f t="shared" si="502"/>
        <v>0</v>
      </c>
      <c r="Q1370" s="476">
        <f t="shared" si="502"/>
        <v>0</v>
      </c>
      <c r="R1370" s="476">
        <f t="shared" si="490"/>
        <v>0</v>
      </c>
      <c r="S1370" s="476">
        <f t="shared" si="490"/>
        <v>0</v>
      </c>
      <c r="T1370" s="129"/>
      <c r="U1370" s="476">
        <f t="shared" si="492"/>
        <v>0</v>
      </c>
    </row>
    <row r="1371" spans="1:21" ht="18" customHeight="1">
      <c r="A1371" s="386"/>
      <c r="B1371" s="17">
        <f t="shared" si="474"/>
        <v>53</v>
      </c>
      <c r="D1371" s="67" t="s">
        <v>775</v>
      </c>
      <c r="G1371" s="17">
        <f t="shared" si="475"/>
        <v>53</v>
      </c>
      <c r="H1371" s="67" t="s">
        <v>834</v>
      </c>
      <c r="J1371" s="476">
        <f t="shared" si="503" ref="J1371:Q1371">J1264/$U1264</f>
        <v>0</v>
      </c>
      <c r="K1371" s="476">
        <f t="shared" si="503"/>
        <v>0</v>
      </c>
      <c r="L1371" s="476">
        <f t="shared" si="503"/>
        <v>0</v>
      </c>
      <c r="M1371" s="476">
        <f t="shared" si="503"/>
        <v>0</v>
      </c>
      <c r="N1371" s="476">
        <f t="shared" si="503"/>
        <v>0</v>
      </c>
      <c r="O1371" s="476">
        <f t="shared" si="503"/>
        <v>0</v>
      </c>
      <c r="P1371" s="476">
        <f t="shared" si="503"/>
        <v>0</v>
      </c>
      <c r="Q1371" s="476">
        <f t="shared" si="503"/>
        <v>0</v>
      </c>
      <c r="R1371" s="476">
        <f t="shared" si="490"/>
        <v>0</v>
      </c>
      <c r="S1371" s="476">
        <f t="shared" si="490"/>
        <v>0</v>
      </c>
      <c r="T1371" s="129"/>
      <c r="U1371" s="476">
        <f t="shared" si="492"/>
        <v>0</v>
      </c>
    </row>
    <row r="1372" spans="1:21" ht="18" customHeight="1">
      <c r="A1372" s="386"/>
      <c r="B1372" s="17">
        <f t="shared" si="474"/>
        <v>54</v>
      </c>
      <c r="D1372" s="67" t="s">
        <v>776</v>
      </c>
      <c r="G1372" s="17">
        <f t="shared" si="475"/>
        <v>54</v>
      </c>
      <c r="H1372" s="67" t="s">
        <v>835</v>
      </c>
      <c r="J1372" s="476">
        <f t="shared" si="504" ref="J1372:Q1372">J1265/$U1265</f>
        <v>0.55750481473464375</v>
      </c>
      <c r="K1372" s="476">
        <f t="shared" si="504"/>
        <v>0.085952885111240593</v>
      </c>
      <c r="L1372" s="476">
        <f t="shared" si="504"/>
        <v>0.26512464751523457</v>
      </c>
      <c r="M1372" s="476">
        <f t="shared" si="504"/>
        <v>0.003722752602926988</v>
      </c>
      <c r="N1372" s="476">
        <f t="shared" si="504"/>
        <v>0.077683818478312822</v>
      </c>
      <c r="O1372" s="476">
        <f t="shared" si="504"/>
        <v>0.0026546895902129727</v>
      </c>
      <c r="P1372" s="476">
        <f t="shared" si="504"/>
        <v>0.0057790550310020863</v>
      </c>
      <c r="Q1372" s="476">
        <f t="shared" si="504"/>
        <v>0.00055573311775356405</v>
      </c>
      <c r="R1372" s="476">
        <f t="shared" si="490"/>
        <v>0.00030631033733226608</v>
      </c>
      <c r="S1372" s="476">
        <f t="shared" si="490"/>
        <v>0.00071529348134022547</v>
      </c>
      <c r="T1372" s="129"/>
      <c r="U1372" s="476">
        <f t="shared" si="492"/>
        <v>1</v>
      </c>
    </row>
    <row r="1373" spans="1:21" ht="18" customHeight="1">
      <c r="A1373" s="386"/>
      <c r="B1373" s="17">
        <f t="shared" si="474"/>
        <v>55</v>
      </c>
      <c r="D1373" s="67"/>
      <c r="G1373" s="17">
        <f>G1372+1</f>
        <v>55</v>
      </c>
      <c r="H1373" s="67"/>
      <c r="J1373" s="480"/>
      <c r="K1373" s="480"/>
      <c r="L1373" s="480"/>
      <c r="M1373" s="480"/>
      <c r="N1373" s="480"/>
      <c r="O1373" s="480"/>
      <c r="P1373" s="480"/>
      <c r="Q1373" s="480"/>
      <c r="R1373" s="480"/>
      <c r="S1373" s="480"/>
      <c r="T1373" s="129"/>
      <c r="U1373" s="476"/>
    </row>
    <row r="1374" spans="1:21" ht="18" customHeight="1">
      <c r="A1374" s="386"/>
      <c r="B1374" s="17">
        <f t="shared" si="474"/>
        <v>56</v>
      </c>
      <c r="D1374" s="67" t="s">
        <v>432</v>
      </c>
      <c r="G1374" s="17">
        <f t="shared" si="475"/>
        <v>56</v>
      </c>
      <c r="H1374" s="67" t="s">
        <v>433</v>
      </c>
      <c r="J1374" s="476">
        <f t="shared" si="505" ref="J1374:Q1374">J1267/$U1267</f>
        <v>0.55750481473464375</v>
      </c>
      <c r="K1374" s="476">
        <f t="shared" si="505"/>
        <v>0.085952885111240593</v>
      </c>
      <c r="L1374" s="476">
        <f t="shared" si="505"/>
        <v>0.26512464751523457</v>
      </c>
      <c r="M1374" s="476">
        <f t="shared" si="505"/>
        <v>0.003722752602926988</v>
      </c>
      <c r="N1374" s="476">
        <f t="shared" si="505"/>
        <v>0.077683818478312822</v>
      </c>
      <c r="O1374" s="476">
        <f t="shared" si="505"/>
        <v>0.0026546895902129727</v>
      </c>
      <c r="P1374" s="476">
        <f t="shared" si="505"/>
        <v>0.0057790550310020863</v>
      </c>
      <c r="Q1374" s="476">
        <f t="shared" si="505"/>
        <v>0.00055573311775356405</v>
      </c>
      <c r="R1374" s="476">
        <f t="shared" si="506" ref="R1374:S1387">R1267/$U1267</f>
        <v>0.00030631033733226608</v>
      </c>
      <c r="S1374" s="476">
        <f t="shared" si="506"/>
        <v>0.00071529348134022547</v>
      </c>
      <c r="T1374" s="129"/>
      <c r="U1374" s="476">
        <f>ROUND(SUM(I1374:T1374),6)</f>
        <v>1</v>
      </c>
    </row>
    <row r="1375" spans="1:21" ht="18" customHeight="1">
      <c r="A1375" s="386"/>
      <c r="B1375" s="17">
        <f t="shared" si="474"/>
        <v>57</v>
      </c>
      <c r="D1375" s="67" t="s">
        <v>945</v>
      </c>
      <c r="G1375" s="17">
        <f t="shared" si="475"/>
        <v>57</v>
      </c>
      <c r="H1375" t="s">
        <v>946</v>
      </c>
      <c r="J1375" s="476">
        <f t="shared" si="507" ref="J1375:Q1375">J1268/$U1268</f>
        <v>0.55807494623081877</v>
      </c>
      <c r="K1375" s="476">
        <f t="shared" si="507"/>
        <v>0.086040784705457299</v>
      </c>
      <c r="L1375" s="476">
        <f t="shared" si="507"/>
        <v>0.26539577685432852</v>
      </c>
      <c r="M1375" s="476">
        <f t="shared" si="507"/>
        <v>0.0037265596705169002</v>
      </c>
      <c r="N1375" s="476">
        <f t="shared" si="507"/>
        <v>0.077763261723441932</v>
      </c>
      <c r="O1375" s="476">
        <f t="shared" si="507"/>
        <v>0.0026574044047005725</v>
      </c>
      <c r="P1375" s="476">
        <f t="shared" si="507"/>
        <v>0.0057849649733097072</v>
      </c>
      <c r="Q1375" s="476">
        <f t="shared" si="507"/>
        <v>0.00055630143742637186</v>
      </c>
      <c r="R1375" s="476">
        <f t="shared" si="506"/>
        <v>0</v>
      </c>
      <c r="S1375" s="476">
        <f t="shared" si="506"/>
        <v>0</v>
      </c>
      <c r="T1375" s="129"/>
      <c r="U1375" s="476">
        <f>ROUND(SUM(I1375:T1375),6)</f>
        <v>1</v>
      </c>
    </row>
    <row r="1376" spans="1:21" ht="18" customHeight="1">
      <c r="A1376" s="386"/>
      <c r="B1376" s="17">
        <f t="shared" si="474"/>
        <v>58</v>
      </c>
      <c r="D1376" s="67" t="s">
        <v>777</v>
      </c>
      <c r="G1376" s="17">
        <f t="shared" si="475"/>
        <v>58</v>
      </c>
      <c r="H1376" s="67" t="s">
        <v>836</v>
      </c>
      <c r="J1376" s="476">
        <f t="shared" si="508" ref="J1376:Q1376">J1269/$U1269</f>
        <v>0.55750481473464386</v>
      </c>
      <c r="K1376" s="476">
        <f t="shared" si="508"/>
        <v>0.085952885111240621</v>
      </c>
      <c r="L1376" s="476">
        <f t="shared" si="508"/>
        <v>0.26512464751523462</v>
      </c>
      <c r="M1376" s="476">
        <f t="shared" si="508"/>
        <v>0.0037227526029269893</v>
      </c>
      <c r="N1376" s="476">
        <f t="shared" si="508"/>
        <v>0.077683818478312835</v>
      </c>
      <c r="O1376" s="476">
        <f t="shared" si="508"/>
        <v>0.0026546895902129736</v>
      </c>
      <c r="P1376" s="476">
        <f t="shared" si="508"/>
        <v>0.0057790550310020871</v>
      </c>
      <c r="Q1376" s="476">
        <f t="shared" si="508"/>
        <v>0.00055573311775356405</v>
      </c>
      <c r="R1376" s="476">
        <f t="shared" si="506"/>
        <v>0.00030631033733226619</v>
      </c>
      <c r="S1376" s="476">
        <f t="shared" si="506"/>
        <v>0.00071529348134022558</v>
      </c>
      <c r="T1376" s="129"/>
      <c r="U1376" s="476">
        <f t="shared" si="509" ref="U1376:U1386">ROUND(SUM(I1376:T1376),6)</f>
        <v>1</v>
      </c>
    </row>
    <row r="1377" spans="1:21" ht="18" customHeight="1">
      <c r="A1377" s="386"/>
      <c r="B1377" s="17">
        <f t="shared" si="474"/>
        <v>59</v>
      </c>
      <c r="D1377" s="67" t="s">
        <v>941</v>
      </c>
      <c r="G1377" s="17">
        <f t="shared" si="475"/>
        <v>59</v>
      </c>
      <c r="H1377" s="67" t="s">
        <v>942</v>
      </c>
      <c r="J1377" s="476">
        <f t="shared" si="510" ref="J1377:Q1377">J1270/$U1270</f>
        <v>0.55750481473464386</v>
      </c>
      <c r="K1377" s="476">
        <f t="shared" si="510"/>
        <v>0.085952885111240607</v>
      </c>
      <c r="L1377" s="476">
        <f t="shared" si="510"/>
        <v>0.26512464751523451</v>
      </c>
      <c r="M1377" s="476">
        <f t="shared" si="510"/>
        <v>0.0037227526029269885</v>
      </c>
      <c r="N1377" s="476">
        <f t="shared" si="510"/>
        <v>0.077683818478312822</v>
      </c>
      <c r="O1377" s="476">
        <f t="shared" si="510"/>
        <v>0.0026546895902129727</v>
      </c>
      <c r="P1377" s="476">
        <f t="shared" si="510"/>
        <v>0.0057790550310020845</v>
      </c>
      <c r="Q1377" s="476">
        <f t="shared" si="510"/>
        <v>0.00055573311775356394</v>
      </c>
      <c r="R1377" s="476">
        <f t="shared" si="506"/>
        <v>0.00030631033733226614</v>
      </c>
      <c r="S1377" s="476">
        <f t="shared" si="506"/>
        <v>0.00071529348134022547</v>
      </c>
      <c r="T1377" s="159"/>
      <c r="U1377" s="476">
        <f t="shared" si="509"/>
        <v>1</v>
      </c>
    </row>
    <row r="1378" spans="1:21" ht="18" customHeight="1">
      <c r="A1378" s="386"/>
      <c r="B1378" s="17">
        <f t="shared" si="474"/>
        <v>60</v>
      </c>
      <c r="D1378" s="67" t="s">
        <v>778</v>
      </c>
      <c r="G1378" s="17">
        <f t="shared" si="475"/>
        <v>60</v>
      </c>
      <c r="H1378" s="67" t="s">
        <v>837</v>
      </c>
      <c r="J1378" s="476">
        <f t="shared" si="511" ref="J1378:Q1378">J1271/$U1271</f>
        <v>0.55750481473464375</v>
      </c>
      <c r="K1378" s="476">
        <f t="shared" si="511"/>
        <v>0.085952885111240593</v>
      </c>
      <c r="L1378" s="476">
        <f t="shared" si="511"/>
        <v>0.26512464751523457</v>
      </c>
      <c r="M1378" s="476">
        <f t="shared" si="511"/>
        <v>0.003722752602926988</v>
      </c>
      <c r="N1378" s="476">
        <f t="shared" si="511"/>
        <v>0.077683818478312822</v>
      </c>
      <c r="O1378" s="476">
        <f t="shared" si="511"/>
        <v>0.0026546895902129727</v>
      </c>
      <c r="P1378" s="476">
        <f t="shared" si="511"/>
        <v>0.0057790550310020863</v>
      </c>
      <c r="Q1378" s="476">
        <f t="shared" si="511"/>
        <v>0.00055573311775356405</v>
      </c>
      <c r="R1378" s="476">
        <f t="shared" si="506"/>
        <v>0.00030631033733226608</v>
      </c>
      <c r="S1378" s="476">
        <f t="shared" si="506"/>
        <v>0.00071529348134022547</v>
      </c>
      <c r="T1378" s="129"/>
      <c r="U1378" s="476">
        <f t="shared" si="509"/>
        <v>1</v>
      </c>
    </row>
    <row r="1379" spans="1:21" ht="18" customHeight="1">
      <c r="A1379" s="386"/>
      <c r="B1379" s="17">
        <f t="shared" si="474"/>
        <v>61</v>
      </c>
      <c r="D1379" s="67" t="s">
        <v>779</v>
      </c>
      <c r="G1379" s="17">
        <f t="shared" si="475"/>
        <v>61</v>
      </c>
      <c r="H1379" s="67" t="s">
        <v>838</v>
      </c>
      <c r="J1379" s="476">
        <f t="shared" si="512" ref="J1379:Q1379">J1272/$U1272</f>
        <v>0.55750481473464386</v>
      </c>
      <c r="K1379" s="476">
        <f t="shared" si="512"/>
        <v>0.085952885111240621</v>
      </c>
      <c r="L1379" s="476">
        <f t="shared" si="512"/>
        <v>0.26512464751523462</v>
      </c>
      <c r="M1379" s="476">
        <f t="shared" si="512"/>
        <v>0.0037227526029269893</v>
      </c>
      <c r="N1379" s="476">
        <f t="shared" si="512"/>
        <v>0.077683818478312835</v>
      </c>
      <c r="O1379" s="476">
        <f t="shared" si="512"/>
        <v>0.0026546895902129736</v>
      </c>
      <c r="P1379" s="476">
        <f t="shared" si="512"/>
        <v>0.0057790550310020871</v>
      </c>
      <c r="Q1379" s="476">
        <f t="shared" si="512"/>
        <v>0.00055573311775356405</v>
      </c>
      <c r="R1379" s="476">
        <f t="shared" si="506"/>
        <v>0.00030631033733226619</v>
      </c>
      <c r="S1379" s="476">
        <f t="shared" si="506"/>
        <v>0.00071529348134022558</v>
      </c>
      <c r="T1379" s="129"/>
      <c r="U1379" s="476">
        <f t="shared" si="509"/>
        <v>1</v>
      </c>
    </row>
    <row r="1380" spans="1:21" ht="18" customHeight="1">
      <c r="A1380" s="386"/>
      <c r="B1380" s="17">
        <f t="shared" si="474"/>
        <v>62</v>
      </c>
      <c r="D1380" s="47" t="s">
        <v>780</v>
      </c>
      <c r="G1380" s="17">
        <f t="shared" si="475"/>
        <v>62</v>
      </c>
      <c r="H1380" s="67" t="s">
        <v>839</v>
      </c>
      <c r="J1380" s="476">
        <f t="shared" si="513" ref="J1380:Q1380">J1273/$U1273</f>
        <v>0.55750481473464397</v>
      </c>
      <c r="K1380" s="476">
        <f t="shared" si="513"/>
        <v>0.085952885111240634</v>
      </c>
      <c r="L1380" s="476">
        <f t="shared" si="513"/>
        <v>0.26512464751523462</v>
      </c>
      <c r="M1380" s="476">
        <f t="shared" si="513"/>
        <v>0.0037227526029269898</v>
      </c>
      <c r="N1380" s="476">
        <f t="shared" si="513"/>
        <v>0.077683818478312835</v>
      </c>
      <c r="O1380" s="476">
        <f t="shared" si="513"/>
        <v>0.0026546895902129731</v>
      </c>
      <c r="P1380" s="476">
        <f t="shared" si="513"/>
        <v>0.0057790550310020871</v>
      </c>
      <c r="Q1380" s="476">
        <f t="shared" si="513"/>
        <v>0.00055573311775356394</v>
      </c>
      <c r="R1380" s="476">
        <f t="shared" si="506"/>
        <v>0.00030631033733226619</v>
      </c>
      <c r="S1380" s="476">
        <f t="shared" si="506"/>
        <v>0.0007152934813402258</v>
      </c>
      <c r="T1380" s="129"/>
      <c r="U1380" s="476">
        <f t="shared" si="509"/>
        <v>1</v>
      </c>
    </row>
    <row r="1381" spans="1:21" ht="18" customHeight="1">
      <c r="A1381" s="386"/>
      <c r="B1381" s="17">
        <f t="shared" si="474"/>
        <v>63</v>
      </c>
      <c r="D1381" s="47" t="s">
        <v>781</v>
      </c>
      <c r="G1381" s="17">
        <f t="shared" si="475"/>
        <v>63</v>
      </c>
      <c r="H1381" s="67" t="s">
        <v>840</v>
      </c>
      <c r="J1381" s="476">
        <f t="shared" si="514" ref="J1381:Q1381">J1274/$U1274</f>
        <v>0.55750481473464397</v>
      </c>
      <c r="K1381" s="476">
        <f t="shared" si="514"/>
        <v>0.085952885111240634</v>
      </c>
      <c r="L1381" s="476">
        <f t="shared" si="514"/>
        <v>0.26512464751523451</v>
      </c>
      <c r="M1381" s="476">
        <f t="shared" si="514"/>
        <v>0.0037227526029269898</v>
      </c>
      <c r="N1381" s="476">
        <f t="shared" si="514"/>
        <v>0.077683818478312822</v>
      </c>
      <c r="O1381" s="476">
        <f t="shared" si="514"/>
        <v>0.0026546895902129718</v>
      </c>
      <c r="P1381" s="476">
        <f t="shared" si="514"/>
        <v>0.0057790550310020837</v>
      </c>
      <c r="Q1381" s="476">
        <f t="shared" si="514"/>
        <v>0.00055573311775356372</v>
      </c>
      <c r="R1381" s="476">
        <f t="shared" si="506"/>
        <v>0.00030631033733226608</v>
      </c>
      <c r="S1381" s="476">
        <f t="shared" si="506"/>
        <v>0.00071529348134022569</v>
      </c>
      <c r="T1381" s="129"/>
      <c r="U1381" s="476">
        <f t="shared" si="509"/>
        <v>1</v>
      </c>
    </row>
    <row r="1382" spans="1:21" ht="18" customHeight="1">
      <c r="A1382" s="386"/>
      <c r="B1382" s="17">
        <f t="shared" si="474"/>
        <v>64</v>
      </c>
      <c r="D1382" s="67" t="s">
        <v>782</v>
      </c>
      <c r="G1382" s="17">
        <f t="shared" si="475"/>
        <v>64</v>
      </c>
      <c r="H1382" s="67" t="s">
        <v>841</v>
      </c>
      <c r="J1382" s="476">
        <f t="shared" si="515" ref="J1382:Q1382">J1275/$U1275</f>
        <v>0.55750481473464397</v>
      </c>
      <c r="K1382" s="476">
        <f t="shared" si="515"/>
        <v>0.085952885111240621</v>
      </c>
      <c r="L1382" s="476">
        <f t="shared" si="515"/>
        <v>0.26512464751523462</v>
      </c>
      <c r="M1382" s="476">
        <f t="shared" si="515"/>
        <v>0.0037227526029269893</v>
      </c>
      <c r="N1382" s="476">
        <f t="shared" si="515"/>
        <v>0.077683818478312849</v>
      </c>
      <c r="O1382" s="476">
        <f t="shared" si="515"/>
        <v>0.0026546895902129731</v>
      </c>
      <c r="P1382" s="476">
        <f t="shared" si="515"/>
        <v>0.0057790550310020871</v>
      </c>
      <c r="Q1382" s="476">
        <f t="shared" si="515"/>
        <v>0.00055573311775356416</v>
      </c>
      <c r="R1382" s="476">
        <f t="shared" si="506"/>
        <v>0.00030631033733226625</v>
      </c>
      <c r="S1382" s="476">
        <f t="shared" si="506"/>
        <v>0.00071529348134022569</v>
      </c>
      <c r="T1382" s="129"/>
      <c r="U1382" s="476">
        <f t="shared" si="509"/>
        <v>1</v>
      </c>
    </row>
    <row r="1383" spans="1:21" ht="18" customHeight="1">
      <c r="A1383" s="386"/>
      <c r="B1383" s="17">
        <f t="shared" si="516" ref="B1383:B1412">B1382+1</f>
        <v>65</v>
      </c>
      <c r="D1383" s="67" t="s">
        <v>783</v>
      </c>
      <c r="G1383" s="17">
        <f t="shared" si="517" ref="G1383:G1412">G1382+1</f>
        <v>65</v>
      </c>
      <c r="H1383" s="67" t="s">
        <v>842</v>
      </c>
      <c r="J1383" s="476">
        <f t="shared" si="518" ref="J1383:Q1383">J1276/$U1276</f>
        <v>0.55750481473464408</v>
      </c>
      <c r="K1383" s="476">
        <f t="shared" si="518"/>
        <v>0.085952885111240662</v>
      </c>
      <c r="L1383" s="476">
        <f t="shared" si="518"/>
        <v>0.26512464751523462</v>
      </c>
      <c r="M1383" s="476">
        <f t="shared" si="518"/>
        <v>0.0037227526029269906</v>
      </c>
      <c r="N1383" s="476">
        <f t="shared" si="518"/>
        <v>0.077683818478312849</v>
      </c>
      <c r="O1383" s="476">
        <f t="shared" si="518"/>
        <v>0.002654689590212974</v>
      </c>
      <c r="P1383" s="476">
        <f t="shared" si="518"/>
        <v>0.0057790550310020889</v>
      </c>
      <c r="Q1383" s="476">
        <f t="shared" si="518"/>
        <v>0.00055573311775356416</v>
      </c>
      <c r="R1383" s="476">
        <f t="shared" si="506"/>
        <v>0.0003063103373322663</v>
      </c>
      <c r="S1383" s="476">
        <f t="shared" si="506"/>
        <v>0.00071529348134022591</v>
      </c>
      <c r="T1383" s="129"/>
      <c r="U1383" s="476">
        <f t="shared" si="509"/>
        <v>1</v>
      </c>
    </row>
    <row r="1384" spans="1:21" ht="18" customHeight="1">
      <c r="A1384" s="386"/>
      <c r="B1384" s="17">
        <f t="shared" si="516"/>
        <v>66</v>
      </c>
      <c r="D1384" s="67" t="s">
        <v>784</v>
      </c>
      <c r="G1384" s="17">
        <f t="shared" si="517"/>
        <v>66</v>
      </c>
      <c r="H1384" s="67" t="s">
        <v>843</v>
      </c>
      <c r="J1384" s="476">
        <f t="shared" si="519" ref="J1384:Q1384">J1277/$U1277</f>
        <v>0.55750481473464397</v>
      </c>
      <c r="K1384" s="476">
        <f t="shared" si="519"/>
        <v>0.085952885111240648</v>
      </c>
      <c r="L1384" s="476">
        <f t="shared" si="519"/>
        <v>0.2651246475152344</v>
      </c>
      <c r="M1384" s="476">
        <f t="shared" si="519"/>
        <v>0.0037227526029269872</v>
      </c>
      <c r="N1384" s="476">
        <f t="shared" si="519"/>
        <v>0.077683818478312822</v>
      </c>
      <c r="O1384" s="476">
        <f t="shared" si="519"/>
        <v>0.0026546895902129731</v>
      </c>
      <c r="P1384" s="476">
        <f t="shared" si="519"/>
        <v>0.0057790550310020819</v>
      </c>
      <c r="Q1384" s="476">
        <f t="shared" si="519"/>
        <v>0.00055573311775356405</v>
      </c>
      <c r="R1384" s="476">
        <f t="shared" si="506"/>
        <v>0.00030631033733226608</v>
      </c>
      <c r="S1384" s="476">
        <f t="shared" si="506"/>
        <v>0.00071529348134022526</v>
      </c>
      <c r="T1384" s="129"/>
      <c r="U1384" s="476">
        <f t="shared" si="509"/>
        <v>1</v>
      </c>
    </row>
    <row r="1385" spans="1:21" ht="18" customHeight="1">
      <c r="A1385" s="386"/>
      <c r="B1385" s="17">
        <f t="shared" si="516"/>
        <v>67</v>
      </c>
      <c r="D1385" s="67" t="s">
        <v>785</v>
      </c>
      <c r="G1385" s="17">
        <f t="shared" si="517"/>
        <v>67</v>
      </c>
      <c r="H1385" s="67" t="s">
        <v>844</v>
      </c>
      <c r="J1385" s="476">
        <f t="shared" si="520" ref="J1385:Q1385">J1278/$U1278</f>
        <v>0</v>
      </c>
      <c r="K1385" s="476">
        <f t="shared" si="520"/>
        <v>0</v>
      </c>
      <c r="L1385" s="476">
        <f t="shared" si="520"/>
        <v>0</v>
      </c>
      <c r="M1385" s="476">
        <f t="shared" si="520"/>
        <v>0</v>
      </c>
      <c r="N1385" s="476">
        <f t="shared" si="520"/>
        <v>0</v>
      </c>
      <c r="O1385" s="476">
        <f t="shared" si="520"/>
        <v>0</v>
      </c>
      <c r="P1385" s="476">
        <f t="shared" si="520"/>
        <v>0</v>
      </c>
      <c r="Q1385" s="476">
        <f t="shared" si="520"/>
        <v>0</v>
      </c>
      <c r="R1385" s="476">
        <f t="shared" si="506"/>
        <v>0</v>
      </c>
      <c r="S1385" s="476">
        <f t="shared" si="506"/>
        <v>0</v>
      </c>
      <c r="T1385" s="129"/>
      <c r="U1385" s="476">
        <f t="shared" si="509"/>
        <v>0</v>
      </c>
    </row>
    <row r="1386" spans="1:21" ht="18" customHeight="1">
      <c r="A1386" s="386"/>
      <c r="B1386" s="17">
        <f t="shared" si="516"/>
        <v>68</v>
      </c>
      <c r="D1386" s="67" t="s">
        <v>786</v>
      </c>
      <c r="G1386" s="17">
        <f t="shared" si="517"/>
        <v>68</v>
      </c>
      <c r="H1386" s="67" t="s">
        <v>845</v>
      </c>
      <c r="J1386" s="476">
        <f t="shared" si="521" ref="J1386:Q1386">J1279/$U1279</f>
        <v>0.5563322359617584</v>
      </c>
      <c r="K1386" s="476">
        <f t="shared" si="521"/>
        <v>0.085471178860405922</v>
      </c>
      <c r="L1386" s="476">
        <f t="shared" si="521"/>
        <v>0.26634719502510967</v>
      </c>
      <c r="M1386" s="476">
        <f t="shared" si="521"/>
        <v>0.0036971929059400697</v>
      </c>
      <c r="N1386" s="476">
        <f t="shared" si="521"/>
        <v>0.077602829296941331</v>
      </c>
      <c r="O1386" s="476">
        <f t="shared" si="521"/>
        <v>0.0026831926063892353</v>
      </c>
      <c r="P1386" s="476">
        <f t="shared" si="521"/>
        <v>0.0062666191145833664</v>
      </c>
      <c r="Q1386" s="476">
        <f t="shared" si="521"/>
        <v>0.00058329244520451639</v>
      </c>
      <c r="R1386" s="476">
        <f t="shared" si="506"/>
        <v>0.00030478147671709392</v>
      </c>
      <c r="S1386" s="476">
        <f t="shared" si="506"/>
        <v>0.00071148230695038648</v>
      </c>
      <c r="T1386" s="129"/>
      <c r="U1386" s="476">
        <f t="shared" si="509"/>
        <v>1</v>
      </c>
    </row>
    <row r="1387" spans="1:21" ht="18" customHeight="1">
      <c r="A1387" s="386"/>
      <c r="B1387" s="17">
        <f t="shared" si="516"/>
        <v>69</v>
      </c>
      <c r="D1387" s="67" t="s">
        <v>943</v>
      </c>
      <c r="G1387" s="17">
        <f t="shared" si="517"/>
        <v>69</v>
      </c>
      <c r="H1387" s="67" t="s">
        <v>944</v>
      </c>
      <c r="J1387" s="476">
        <f t="shared" si="522" ref="J1387:Q1387">J1280/$U1280</f>
        <v>0.55807494623081877</v>
      </c>
      <c r="K1387" s="476">
        <f t="shared" si="522"/>
        <v>0.086040784705457299</v>
      </c>
      <c r="L1387" s="476">
        <f t="shared" si="522"/>
        <v>0.26539577685432858</v>
      </c>
      <c r="M1387" s="476">
        <f t="shared" si="522"/>
        <v>0.0037265596705169002</v>
      </c>
      <c r="N1387" s="476">
        <f t="shared" si="522"/>
        <v>0.077763261723441945</v>
      </c>
      <c r="O1387" s="476">
        <f t="shared" si="522"/>
        <v>0.0026574044047005725</v>
      </c>
      <c r="P1387" s="476">
        <f t="shared" si="522"/>
        <v>0.0057849649733097072</v>
      </c>
      <c r="Q1387" s="476">
        <f t="shared" si="522"/>
        <v>0.00055630143742637186</v>
      </c>
      <c r="R1387" s="476">
        <f t="shared" si="506"/>
        <v>0</v>
      </c>
      <c r="S1387" s="476">
        <f t="shared" si="506"/>
        <v>0</v>
      </c>
      <c r="T1387" s="129"/>
      <c r="U1387" s="476">
        <f>ROUND(SUM(I1387:T1387),6)</f>
        <v>1</v>
      </c>
    </row>
    <row r="1388" spans="1:21" ht="18" customHeight="1">
      <c r="A1388" s="386"/>
      <c r="B1388" s="17">
        <f t="shared" si="516"/>
        <v>70</v>
      </c>
      <c r="D1388" s="67"/>
      <c r="G1388" s="17">
        <f t="shared" si="517"/>
        <v>70</v>
      </c>
      <c r="H1388" s="67"/>
      <c r="J1388" s="476"/>
      <c r="K1388" s="476"/>
      <c r="L1388" s="476"/>
      <c r="M1388" s="476"/>
      <c r="N1388" s="476"/>
      <c r="O1388" s="476"/>
      <c r="P1388" s="476"/>
      <c r="Q1388" s="476"/>
      <c r="R1388" s="476"/>
      <c r="S1388" s="476"/>
      <c r="T1388" s="129"/>
      <c r="U1388" s="476"/>
    </row>
    <row r="1389" spans="1:21" ht="18" customHeight="1">
      <c r="A1389" s="386"/>
      <c r="B1389" s="17">
        <f t="shared" si="516"/>
        <v>71</v>
      </c>
      <c r="D1389" s="67" t="s">
        <v>787</v>
      </c>
      <c r="G1389" s="17">
        <f t="shared" si="517"/>
        <v>71</v>
      </c>
      <c r="H1389" s="67" t="s">
        <v>846</v>
      </c>
      <c r="J1389" s="476">
        <f t="shared" si="523" ref="J1389:Q1389">J1282/$U1282</f>
        <v>0.55750484162443648</v>
      </c>
      <c r="K1389" s="476">
        <f t="shared" si="523"/>
        <v>0.085952889256954157</v>
      </c>
      <c r="L1389" s="476">
        <f t="shared" si="523"/>
        <v>0.26512466030283144</v>
      </c>
      <c r="M1389" s="476">
        <f t="shared" si="523"/>
        <v>0.0037227527824842638</v>
      </c>
      <c r="N1389" s="476">
        <f t="shared" si="523"/>
        <v>0.077683822225189492</v>
      </c>
      <c r="O1389" s="476">
        <f t="shared" si="523"/>
        <v>0.0026546897182550106</v>
      </c>
      <c r="P1389" s="476">
        <f t="shared" si="523"/>
        <v>0.0057790553097397538</v>
      </c>
      <c r="Q1389" s="476">
        <f t="shared" si="523"/>
        <v>0.00055573314455790361</v>
      </c>
      <c r="R1389" s="476">
        <f t="shared" si="524" ref="R1389:S1395">R1282/$U1282</f>
        <v>0.00030629589045206505</v>
      </c>
      <c r="S1389" s="476">
        <f t="shared" si="524"/>
        <v>0.00071525974509964181</v>
      </c>
      <c r="T1389" s="129"/>
      <c r="U1389" s="476">
        <f t="shared" si="525" ref="U1389:U1395">ROUND(SUM(I1389:T1389),6)</f>
        <v>1</v>
      </c>
    </row>
    <row r="1390" spans="1:21" ht="18" customHeight="1">
      <c r="A1390" s="386"/>
      <c r="B1390" s="17">
        <f t="shared" si="516"/>
        <v>72</v>
      </c>
      <c r="D1390" s="67" t="s">
        <v>788</v>
      </c>
      <c r="G1390" s="17">
        <f t="shared" si="517"/>
        <v>72</v>
      </c>
      <c r="H1390" s="67" t="s">
        <v>847</v>
      </c>
      <c r="J1390" s="476">
        <f t="shared" si="526" ref="J1390:Q1390">J1283/$U1283</f>
        <v>0.55697492523153935</v>
      </c>
      <c r="K1390" s="476">
        <f t="shared" si="526"/>
        <v>0.085871189796010591</v>
      </c>
      <c r="L1390" s="476">
        <f t="shared" si="526"/>
        <v>0.26487265548930122</v>
      </c>
      <c r="M1390" s="476">
        <f t="shared" si="526"/>
        <v>0.0037192142522709764</v>
      </c>
      <c r="N1390" s="476">
        <f t="shared" si="526"/>
        <v>0.077609982631725014</v>
      </c>
      <c r="O1390" s="476">
        <f t="shared" si="526"/>
        <v>0.0026521663973890254</v>
      </c>
      <c r="P1390" s="476">
        <f t="shared" si="526"/>
        <v>0.0057735622343161094</v>
      </c>
      <c r="Q1390" s="476">
        <f t="shared" si="526"/>
        <v>0.00150567114871187</v>
      </c>
      <c r="R1390" s="476">
        <f t="shared" si="524"/>
        <v>0.00030601919969873372</v>
      </c>
      <c r="S1390" s="476">
        <f t="shared" si="524"/>
        <v>0.00071461361903700645</v>
      </c>
      <c r="T1390" s="129"/>
      <c r="U1390" s="476">
        <f t="shared" si="525"/>
        <v>1</v>
      </c>
    </row>
    <row r="1391" spans="1:21" ht="18" customHeight="1">
      <c r="A1391" s="386"/>
      <c r="B1391" s="17">
        <f t="shared" si="516"/>
        <v>73</v>
      </c>
      <c r="D1391" s="47" t="s">
        <v>789</v>
      </c>
      <c r="G1391" s="17">
        <f t="shared" si="517"/>
        <v>73</v>
      </c>
      <c r="H1391" s="67" t="s">
        <v>848</v>
      </c>
      <c r="J1391" s="476">
        <f t="shared" si="527" ref="J1391:Q1391">J1284/$U1284</f>
        <v>0.55750481473464408</v>
      </c>
      <c r="K1391" s="476">
        <f t="shared" si="527"/>
        <v>0.085952885111240648</v>
      </c>
      <c r="L1391" s="476">
        <f t="shared" si="527"/>
        <v>0.26512464751523468</v>
      </c>
      <c r="M1391" s="476">
        <f t="shared" si="527"/>
        <v>0.0037227526029269898</v>
      </c>
      <c r="N1391" s="476">
        <f t="shared" si="527"/>
        <v>0.077683818478312877</v>
      </c>
      <c r="O1391" s="476">
        <f t="shared" si="527"/>
        <v>0.002654689590212974</v>
      </c>
      <c r="P1391" s="476">
        <f t="shared" si="527"/>
        <v>0.0057790550310020897</v>
      </c>
      <c r="Q1391" s="476">
        <f t="shared" si="527"/>
        <v>0.00055573311775356437</v>
      </c>
      <c r="R1391" s="476">
        <f t="shared" si="524"/>
        <v>0.00030631033733226625</v>
      </c>
      <c r="S1391" s="476">
        <f t="shared" si="524"/>
        <v>0.00071529348134022591</v>
      </c>
      <c r="T1391" s="129"/>
      <c r="U1391" s="476">
        <f t="shared" si="525"/>
        <v>1</v>
      </c>
    </row>
    <row r="1392" spans="1:21" ht="18" customHeight="1">
      <c r="A1392" s="386"/>
      <c r="B1392" s="17">
        <f t="shared" si="516"/>
        <v>74</v>
      </c>
      <c r="D1392" s="67" t="s">
        <v>947</v>
      </c>
      <c r="G1392" s="17">
        <f t="shared" si="517"/>
        <v>74</v>
      </c>
      <c r="H1392" s="67" t="s">
        <v>849</v>
      </c>
      <c r="J1392" s="476">
        <f t="shared" si="528" ref="J1392:Q1392">J1285/$U1285</f>
        <v>0.85022848232001924</v>
      </c>
      <c r="K1392" s="476">
        <f t="shared" si="528"/>
        <v>0.079439096257962694</v>
      </c>
      <c r="L1392" s="476">
        <f t="shared" si="528"/>
        <v>0.053125009785389449</v>
      </c>
      <c r="M1392" s="476">
        <f t="shared" si="528"/>
        <v>0.00080918647142509713</v>
      </c>
      <c r="N1392" s="476">
        <f t="shared" si="528"/>
        <v>0.0018678351378461288</v>
      </c>
      <c r="O1392" s="476">
        <f t="shared" si="528"/>
        <v>3.3922683419949252E-05</v>
      </c>
      <c r="P1392" s="476">
        <f t="shared" si="528"/>
        <v>7.3847072368043374E-05</v>
      </c>
      <c r="Q1392" s="476">
        <f t="shared" si="528"/>
        <v>0.014406180817296603</v>
      </c>
      <c r="R1392" s="476">
        <f t="shared" si="524"/>
        <v>3.9141557792249139E-06</v>
      </c>
      <c r="S1392" s="476">
        <f t="shared" si="524"/>
        <v>1.2525298493519725E-05</v>
      </c>
      <c r="T1392" s="129"/>
      <c r="U1392" s="476">
        <f t="shared" si="525"/>
        <v>1</v>
      </c>
    </row>
    <row r="1393" spans="1:21" ht="18" customHeight="1">
      <c r="A1393" s="386"/>
      <c r="B1393" s="17">
        <f t="shared" si="516"/>
        <v>75</v>
      </c>
      <c r="C1393" s="67"/>
      <c r="D1393" s="47" t="s">
        <v>790</v>
      </c>
      <c r="F1393" s="67"/>
      <c r="G1393" s="17">
        <f t="shared" si="517"/>
        <v>75</v>
      </c>
      <c r="H1393" s="67" t="s">
        <v>850</v>
      </c>
      <c r="J1393" s="476">
        <f t="shared" si="529" ref="J1393:Q1393">J1286/$U1286</f>
        <v>0</v>
      </c>
      <c r="K1393" s="476">
        <f t="shared" si="529"/>
        <v>0</v>
      </c>
      <c r="L1393" s="476">
        <f t="shared" si="529"/>
        <v>0</v>
      </c>
      <c r="M1393" s="476">
        <f t="shared" si="529"/>
        <v>0</v>
      </c>
      <c r="N1393" s="476">
        <f t="shared" si="529"/>
        <v>0</v>
      </c>
      <c r="O1393" s="476">
        <f t="shared" si="529"/>
        <v>0</v>
      </c>
      <c r="P1393" s="476">
        <f t="shared" si="529"/>
        <v>0</v>
      </c>
      <c r="Q1393" s="476">
        <f t="shared" si="529"/>
        <v>0</v>
      </c>
      <c r="R1393" s="476">
        <f t="shared" si="524"/>
        <v>0</v>
      </c>
      <c r="S1393" s="476">
        <f t="shared" si="524"/>
        <v>0</v>
      </c>
      <c r="T1393" s="129"/>
      <c r="U1393" s="476">
        <f t="shared" si="525"/>
        <v>0</v>
      </c>
    </row>
    <row r="1394" spans="1:21" ht="18" customHeight="1">
      <c r="A1394" s="386"/>
      <c r="B1394" s="17">
        <f t="shared" si="516"/>
        <v>76</v>
      </c>
      <c r="D1394" s="67" t="s">
        <v>791</v>
      </c>
      <c r="G1394" s="17">
        <f t="shared" si="517"/>
        <v>76</v>
      </c>
      <c r="H1394" s="67" t="s">
        <v>851</v>
      </c>
      <c r="J1394" s="476">
        <f t="shared" si="530" ref="J1394:Q1394">J1287/$U1287</f>
        <v>0.5578744603276462</v>
      </c>
      <c r="K1394" s="476">
        <f t="shared" si="530"/>
        <v>0.08591395195558113</v>
      </c>
      <c r="L1394" s="476">
        <f t="shared" si="530"/>
        <v>0.26466891866381159</v>
      </c>
      <c r="M1394" s="476">
        <f t="shared" si="530"/>
        <v>0.0037162959452151415</v>
      </c>
      <c r="N1394" s="476">
        <f t="shared" si="530"/>
        <v>0.077524839597713321</v>
      </c>
      <c r="O1394" s="476">
        <f t="shared" si="530"/>
        <v>0.0026502018252120571</v>
      </c>
      <c r="P1394" s="476">
        <f t="shared" si="530"/>
        <v>0.005766883618857634</v>
      </c>
      <c r="Q1394" s="476">
        <f t="shared" si="530"/>
        <v>0.00086471852442664967</v>
      </c>
      <c r="R1394" s="476">
        <f t="shared" si="524"/>
        <v>0.00030578946772656922</v>
      </c>
      <c r="S1394" s="476">
        <f t="shared" si="524"/>
        <v>0.00071394007380958717</v>
      </c>
      <c r="T1394" s="129"/>
      <c r="U1394" s="476">
        <f t="shared" si="525"/>
        <v>1</v>
      </c>
    </row>
    <row r="1395" spans="1:21" ht="18" customHeight="1">
      <c r="A1395" s="386"/>
      <c r="B1395" s="17">
        <f t="shared" si="516"/>
        <v>77</v>
      </c>
      <c r="D1395" s="67" t="s">
        <v>792</v>
      </c>
      <c r="G1395" s="17">
        <f t="shared" si="517"/>
        <v>77</v>
      </c>
      <c r="H1395" s="67" t="s">
        <v>852</v>
      </c>
      <c r="J1395" s="476">
        <f t="shared" si="531" ref="J1395:Q1395">J1288/$U1288</f>
        <v>0.5578744603276462</v>
      </c>
      <c r="K1395" s="476">
        <f t="shared" si="531"/>
        <v>0.08591395195558113</v>
      </c>
      <c r="L1395" s="476">
        <f t="shared" si="531"/>
        <v>0.26466891866381159</v>
      </c>
      <c r="M1395" s="476">
        <f t="shared" si="531"/>
        <v>0.0037162959452151415</v>
      </c>
      <c r="N1395" s="476">
        <f t="shared" si="531"/>
        <v>0.077524839597713321</v>
      </c>
      <c r="O1395" s="476">
        <f t="shared" si="531"/>
        <v>0.0026502018252120571</v>
      </c>
      <c r="P1395" s="476">
        <f t="shared" si="531"/>
        <v>0.005766883618857634</v>
      </c>
      <c r="Q1395" s="476">
        <f t="shared" si="531"/>
        <v>0.00086471852442664967</v>
      </c>
      <c r="R1395" s="476">
        <f t="shared" si="524"/>
        <v>0.00030578946772656922</v>
      </c>
      <c r="S1395" s="476">
        <f t="shared" si="524"/>
        <v>0.00071394007380958717</v>
      </c>
      <c r="T1395" s="129"/>
      <c r="U1395" s="476">
        <f t="shared" si="525"/>
        <v>1</v>
      </c>
    </row>
    <row r="1396" spans="1:21" ht="18" customHeight="1">
      <c r="A1396" s="386"/>
      <c r="B1396" s="17">
        <f t="shared" si="516"/>
        <v>78</v>
      </c>
      <c r="G1396" s="17">
        <f t="shared" si="517"/>
        <v>78</v>
      </c>
      <c r="J1396" s="129"/>
      <c r="K1396" s="129"/>
      <c r="L1396" s="129"/>
      <c r="M1396" s="129"/>
      <c r="N1396" s="129"/>
      <c r="O1396" s="129"/>
      <c r="P1396" s="129"/>
      <c r="Q1396" s="129"/>
      <c r="R1396" s="129"/>
      <c r="S1396" s="129"/>
      <c r="T1396" s="129"/>
      <c r="U1396" s="476"/>
    </row>
    <row r="1397" spans="1:21" ht="18" customHeight="1">
      <c r="A1397" s="386"/>
      <c r="B1397" s="17">
        <f t="shared" si="516"/>
        <v>79</v>
      </c>
      <c r="D1397" s="67"/>
      <c r="G1397" s="17">
        <f t="shared" si="517"/>
        <v>79</v>
      </c>
      <c r="H1397" s="67"/>
      <c r="J1397" s="480"/>
      <c r="K1397" s="480"/>
      <c r="L1397" s="480"/>
      <c r="M1397" s="480"/>
      <c r="N1397" s="480"/>
      <c r="O1397" s="480"/>
      <c r="P1397" s="480"/>
      <c r="Q1397" s="480"/>
      <c r="R1397" s="480"/>
      <c r="S1397" s="480"/>
      <c r="T1397" s="129"/>
      <c r="U1397" s="476"/>
    </row>
    <row r="1398" spans="1:21" ht="18" customHeight="1">
      <c r="A1398" s="386"/>
      <c r="B1398" s="17">
        <f t="shared" si="516"/>
        <v>80</v>
      </c>
      <c r="D1398" s="67" t="s">
        <v>793</v>
      </c>
      <c r="G1398" s="17">
        <f t="shared" si="517"/>
        <v>80</v>
      </c>
      <c r="H1398" s="67" t="s">
        <v>853</v>
      </c>
      <c r="J1398" s="476">
        <f t="shared" si="532" ref="J1398:Q1398">J1291/$U1291</f>
        <v>0</v>
      </c>
      <c r="K1398" s="476">
        <f t="shared" si="532"/>
        <v>0</v>
      </c>
      <c r="L1398" s="476">
        <f t="shared" si="532"/>
        <v>0</v>
      </c>
      <c r="M1398" s="476">
        <f t="shared" si="532"/>
        <v>0</v>
      </c>
      <c r="N1398" s="476">
        <f t="shared" si="532"/>
        <v>0</v>
      </c>
      <c r="O1398" s="476">
        <f t="shared" si="532"/>
        <v>0</v>
      </c>
      <c r="P1398" s="476">
        <f t="shared" si="532"/>
        <v>0</v>
      </c>
      <c r="Q1398" s="476">
        <f t="shared" si="532"/>
        <v>0</v>
      </c>
      <c r="R1398" s="476">
        <f t="shared" si="533" ref="R1398:S1406">R1291/$U1291</f>
        <v>0</v>
      </c>
      <c r="S1398" s="476">
        <f t="shared" si="533"/>
        <v>0</v>
      </c>
      <c r="T1398" s="129"/>
      <c r="U1398" s="476">
        <f t="shared" si="534" ref="U1398:U1406">ROUND(SUM(I1398:T1398),6)</f>
        <v>0</v>
      </c>
    </row>
    <row r="1399" spans="1:21" ht="18" customHeight="1">
      <c r="A1399" s="386"/>
      <c r="B1399" s="17">
        <f t="shared" si="516"/>
        <v>81</v>
      </c>
      <c r="D1399" s="67" t="s">
        <v>794</v>
      </c>
      <c r="G1399" s="17">
        <f t="shared" si="517"/>
        <v>81</v>
      </c>
      <c r="H1399" s="67" t="s">
        <v>854</v>
      </c>
      <c r="J1399" s="476">
        <f t="shared" si="535" ref="J1399:Q1399">J1292/$U1292</f>
        <v>0</v>
      </c>
      <c r="K1399" s="476">
        <f t="shared" si="535"/>
        <v>0</v>
      </c>
      <c r="L1399" s="476">
        <f t="shared" si="535"/>
        <v>0</v>
      </c>
      <c r="M1399" s="476">
        <f t="shared" si="535"/>
        <v>0</v>
      </c>
      <c r="N1399" s="476">
        <f t="shared" si="535"/>
        <v>0</v>
      </c>
      <c r="O1399" s="476">
        <f t="shared" si="535"/>
        <v>0</v>
      </c>
      <c r="P1399" s="476">
        <f t="shared" si="535"/>
        <v>0</v>
      </c>
      <c r="Q1399" s="476">
        <f t="shared" si="535"/>
        <v>0</v>
      </c>
      <c r="R1399" s="476">
        <f t="shared" si="533"/>
        <v>0</v>
      </c>
      <c r="S1399" s="476">
        <f t="shared" si="533"/>
        <v>0</v>
      </c>
      <c r="T1399" s="129"/>
      <c r="U1399" s="476">
        <f t="shared" si="534"/>
        <v>0</v>
      </c>
    </row>
    <row r="1400" spans="1:21" ht="18" customHeight="1">
      <c r="A1400" s="386" t="s">
        <v>0</v>
      </c>
      <c r="B1400" s="17">
        <f t="shared" si="516"/>
        <v>82</v>
      </c>
      <c r="D1400" s="67" t="s">
        <v>795</v>
      </c>
      <c r="G1400" s="17">
        <f t="shared" si="517"/>
        <v>82</v>
      </c>
      <c r="H1400" s="67" t="s">
        <v>855</v>
      </c>
      <c r="J1400" s="476">
        <f t="shared" si="536" ref="J1400:Q1400">J1293/$U1293</f>
        <v>0.55750489526255487</v>
      </c>
      <c r="K1400" s="476">
        <f t="shared" si="536"/>
        <v>0.085952897526570676</v>
      </c>
      <c r="L1400" s="476">
        <f t="shared" si="536"/>
        <v>0.26512468581074966</v>
      </c>
      <c r="M1400" s="476">
        <f t="shared" si="536"/>
        <v>0.0037227531406541659</v>
      </c>
      <c r="N1400" s="476">
        <f t="shared" si="536"/>
        <v>0.077683829699230517</v>
      </c>
      <c r="O1400" s="476">
        <f t="shared" si="536"/>
        <v>0.002654689973665459</v>
      </c>
      <c r="P1400" s="476">
        <f t="shared" si="536"/>
        <v>0.0057790558657486533</v>
      </c>
      <c r="Q1400" s="476">
        <f t="shared" si="536"/>
        <v>0.00055573319802556512</v>
      </c>
      <c r="R1400" s="476">
        <f t="shared" si="533"/>
        <v>0.0003062670726963505</v>
      </c>
      <c r="S1400" s="476">
        <f t="shared" si="533"/>
        <v>0.00071519245010402091</v>
      </c>
      <c r="T1400" s="129"/>
      <c r="U1400" s="476">
        <f t="shared" si="534"/>
        <v>1</v>
      </c>
    </row>
    <row r="1401" spans="1:21" ht="18" customHeight="1">
      <c r="A1401" s="386"/>
      <c r="B1401" s="17">
        <f t="shared" si="516"/>
        <v>83</v>
      </c>
      <c r="D1401" s="67" t="s">
        <v>856</v>
      </c>
      <c r="G1401" s="17">
        <f t="shared" si="517"/>
        <v>83</v>
      </c>
      <c r="H1401" s="67" t="s">
        <v>857</v>
      </c>
      <c r="J1401" s="476">
        <f t="shared" si="537" ref="J1401:Q1401">J1294/$U1294</f>
        <v>0.55750463941909634</v>
      </c>
      <c r="K1401" s="476">
        <f t="shared" si="537"/>
        <v>0.085952858082098058</v>
      </c>
      <c r="L1401" s="476">
        <f t="shared" si="537"/>
        <v>0.26512456414290936</v>
      </c>
      <c r="M1401" s="476">
        <f t="shared" si="537"/>
        <v>0.0037227514322529533</v>
      </c>
      <c r="N1401" s="476">
        <f t="shared" si="537"/>
        <v>0.077683794049499294</v>
      </c>
      <c r="O1401" s="476">
        <f t="shared" si="537"/>
        <v>0.0026546887554069823</v>
      </c>
      <c r="P1401" s="476">
        <f t="shared" si="537"/>
        <v>0.0057790532136936627</v>
      </c>
      <c r="Q1401" s="476">
        <f t="shared" si="537"/>
        <v>0.0005560474076291114</v>
      </c>
      <c r="R1401" s="476">
        <f t="shared" si="533"/>
        <v>0.000306310241008498</v>
      </c>
      <c r="S1401" s="476">
        <f t="shared" si="533"/>
        <v>0.0007152932564057227</v>
      </c>
      <c r="T1401" s="129"/>
      <c r="U1401" s="476">
        <f t="shared" si="534"/>
        <v>1</v>
      </c>
    </row>
    <row r="1402" spans="1:21" ht="18" customHeight="1">
      <c r="A1402" s="386"/>
      <c r="B1402" s="17">
        <f t="shared" si="516"/>
        <v>84</v>
      </c>
      <c r="D1402" s="67" t="s">
        <v>797</v>
      </c>
      <c r="G1402" s="17">
        <f t="shared" si="517"/>
        <v>84</v>
      </c>
      <c r="H1402" s="67" t="s">
        <v>858</v>
      </c>
      <c r="J1402" s="476">
        <f t="shared" si="538" ref="J1402:Q1402">J1295/$U1295</f>
        <v>0.55750481473464375</v>
      </c>
      <c r="K1402" s="476">
        <f t="shared" si="538"/>
        <v>0.085952885111240579</v>
      </c>
      <c r="L1402" s="476">
        <f t="shared" si="538"/>
        <v>0.26512464751523457</v>
      </c>
      <c r="M1402" s="476">
        <f t="shared" si="538"/>
        <v>0.0037227526029269876</v>
      </c>
      <c r="N1402" s="476">
        <f t="shared" si="538"/>
        <v>0.077683818478312835</v>
      </c>
      <c r="O1402" s="476">
        <f t="shared" si="538"/>
        <v>0.0026546895902129727</v>
      </c>
      <c r="P1402" s="476">
        <f t="shared" si="538"/>
        <v>0.0057790550310020863</v>
      </c>
      <c r="Q1402" s="476">
        <f t="shared" si="538"/>
        <v>0.00055573311775356405</v>
      </c>
      <c r="R1402" s="476">
        <f t="shared" si="533"/>
        <v>0.00030631033733226608</v>
      </c>
      <c r="S1402" s="476">
        <f t="shared" si="533"/>
        <v>0.00071529348134022558</v>
      </c>
      <c r="T1402" s="129"/>
      <c r="U1402" s="476">
        <f t="shared" si="534"/>
        <v>1</v>
      </c>
    </row>
    <row r="1403" spans="1:21" ht="18" customHeight="1">
      <c r="A1403" s="386"/>
      <c r="B1403" s="17">
        <f t="shared" si="516"/>
        <v>85</v>
      </c>
      <c r="D1403" s="67" t="s">
        <v>798</v>
      </c>
      <c r="G1403" s="17">
        <f t="shared" si="517"/>
        <v>85</v>
      </c>
      <c r="H1403" s="67" t="s">
        <v>859</v>
      </c>
      <c r="J1403" s="476">
        <f t="shared" si="539" ref="J1403:Q1403">J1296/$U1296</f>
        <v>0</v>
      </c>
      <c r="K1403" s="476">
        <f t="shared" si="539"/>
        <v>0</v>
      </c>
      <c r="L1403" s="476">
        <f t="shared" si="539"/>
        <v>0</v>
      </c>
      <c r="M1403" s="476">
        <f t="shared" si="539"/>
        <v>0</v>
      </c>
      <c r="N1403" s="476">
        <f t="shared" si="539"/>
        <v>0</v>
      </c>
      <c r="O1403" s="476">
        <f t="shared" si="539"/>
        <v>0</v>
      </c>
      <c r="P1403" s="476">
        <f t="shared" si="539"/>
        <v>0</v>
      </c>
      <c r="Q1403" s="476">
        <f t="shared" si="539"/>
        <v>0</v>
      </c>
      <c r="R1403" s="476">
        <f t="shared" si="533"/>
        <v>0</v>
      </c>
      <c r="S1403" s="476">
        <f t="shared" si="533"/>
        <v>0</v>
      </c>
      <c r="T1403" s="129"/>
      <c r="U1403" s="476">
        <f t="shared" si="534"/>
        <v>0</v>
      </c>
    </row>
    <row r="1404" spans="1:21" ht="18" customHeight="1">
      <c r="A1404" s="386"/>
      <c r="B1404" s="17">
        <f t="shared" si="516"/>
        <v>86</v>
      </c>
      <c r="D1404" s="67" t="s">
        <v>799</v>
      </c>
      <c r="G1404" s="17">
        <f t="shared" si="517"/>
        <v>86</v>
      </c>
      <c r="H1404" s="67" t="s">
        <v>860</v>
      </c>
      <c r="J1404" s="476">
        <f t="shared" si="540" ref="J1404:Q1404">J1297/$U1297</f>
        <v>0</v>
      </c>
      <c r="K1404" s="476">
        <f t="shared" si="540"/>
        <v>0</v>
      </c>
      <c r="L1404" s="476">
        <f t="shared" si="540"/>
        <v>0</v>
      </c>
      <c r="M1404" s="476">
        <f t="shared" si="540"/>
        <v>0</v>
      </c>
      <c r="N1404" s="476">
        <f t="shared" si="540"/>
        <v>0</v>
      </c>
      <c r="O1404" s="476">
        <f t="shared" si="540"/>
        <v>0</v>
      </c>
      <c r="P1404" s="476">
        <f t="shared" si="540"/>
        <v>0</v>
      </c>
      <c r="Q1404" s="476">
        <f t="shared" si="540"/>
        <v>0</v>
      </c>
      <c r="R1404" s="476">
        <f t="shared" si="533"/>
        <v>0</v>
      </c>
      <c r="S1404" s="476">
        <f t="shared" si="533"/>
        <v>0</v>
      </c>
      <c r="T1404" s="129"/>
      <c r="U1404" s="476">
        <f t="shared" si="534"/>
        <v>0</v>
      </c>
    </row>
    <row r="1405" spans="1:21" ht="18" customHeight="1">
      <c r="A1405" s="386"/>
      <c r="B1405" s="17">
        <f t="shared" si="516"/>
        <v>87</v>
      </c>
      <c r="D1405" s="47" t="s">
        <v>800</v>
      </c>
      <c r="G1405" s="17">
        <f t="shared" si="517"/>
        <v>87</v>
      </c>
      <c r="H1405" s="67" t="s">
        <v>861</v>
      </c>
      <c r="J1405" s="476">
        <f t="shared" si="541" ref="J1405:Q1405">J1298/$U1298</f>
        <v>0.55750476374092317</v>
      </c>
      <c r="K1405" s="476">
        <f t="shared" si="541"/>
        <v>0.085952877249322115</v>
      </c>
      <c r="L1405" s="476">
        <f t="shared" si="541"/>
        <v>0.26512462326487501</v>
      </c>
      <c r="M1405" s="476">
        <f t="shared" si="541"/>
        <v>0.0037227522624151189</v>
      </c>
      <c r="N1405" s="476">
        <f t="shared" si="541"/>
        <v>0.077683811372747394</v>
      </c>
      <c r="O1405" s="476">
        <f t="shared" si="541"/>
        <v>0.0026546893473944431</v>
      </c>
      <c r="P1405" s="476">
        <f t="shared" si="541"/>
        <v>0.0057790545024048257</v>
      </c>
      <c r="Q1405" s="476">
        <f t="shared" si="541"/>
        <v>0.00055586920993405502</v>
      </c>
      <c r="R1405" s="476">
        <f t="shared" si="533"/>
        <v>0.00030629691421085926</v>
      </c>
      <c r="S1405" s="476">
        <f t="shared" si="533"/>
        <v>0.00071526213577309539</v>
      </c>
      <c r="T1405" s="129"/>
      <c r="U1405" s="476">
        <f t="shared" si="534"/>
        <v>1</v>
      </c>
    </row>
    <row r="1406" spans="1:21" ht="18" customHeight="1">
      <c r="A1406" s="386"/>
      <c r="B1406" s="17">
        <f t="shared" si="516"/>
        <v>88</v>
      </c>
      <c r="D1406" s="67" t="s">
        <v>713</v>
      </c>
      <c r="G1406" s="17">
        <f t="shared" si="517"/>
        <v>88</v>
      </c>
      <c r="H1406" s="67" t="s">
        <v>862</v>
      </c>
      <c r="J1406" s="476">
        <f t="shared" si="542" ref="J1406:Q1406">J1299/$U1299</f>
        <v>0.55761417678312952</v>
      </c>
      <c r="K1406" s="476">
        <f t="shared" si="542"/>
        <v>0.085941357167897206</v>
      </c>
      <c r="L1406" s="476">
        <f t="shared" si="542"/>
        <v>0.264989755840146</v>
      </c>
      <c r="M1406" s="476">
        <f t="shared" si="542"/>
        <v>0.0037208414919906599</v>
      </c>
      <c r="N1406" s="476">
        <f t="shared" si="542"/>
        <v>0.07763676310100158</v>
      </c>
      <c r="O1406" s="476">
        <f t="shared" si="542"/>
        <v>0.0026533612489755753</v>
      </c>
      <c r="P1406" s="476">
        <f t="shared" si="542"/>
        <v>0.0057754524854027201</v>
      </c>
      <c r="Q1406" s="476">
        <f t="shared" si="542"/>
        <v>0.00064727428088213633</v>
      </c>
      <c r="R1406" s="476">
        <f t="shared" si="533"/>
        <v>0.00030614673365827918</v>
      </c>
      <c r="S1406" s="476">
        <f t="shared" si="533"/>
        <v>0.00071487086691631309</v>
      </c>
      <c r="T1406" s="129"/>
      <c r="U1406" s="476">
        <f t="shared" si="534"/>
        <v>1</v>
      </c>
    </row>
    <row r="1407" spans="1:21" ht="18" customHeight="1">
      <c r="A1407" s="386"/>
      <c r="B1407" s="17">
        <f t="shared" si="516"/>
        <v>89</v>
      </c>
      <c r="D1407" s="67"/>
      <c r="G1407" s="17">
        <f t="shared" si="517"/>
        <v>89</v>
      </c>
      <c r="H1407" s="67"/>
      <c r="J1407" s="480"/>
      <c r="K1407" s="480"/>
      <c r="L1407" s="480"/>
      <c r="M1407" s="480"/>
      <c r="N1407" s="480"/>
      <c r="O1407" s="480"/>
      <c r="P1407" s="480"/>
      <c r="Q1407" s="480"/>
      <c r="R1407" s="480"/>
      <c r="S1407" s="480"/>
      <c r="T1407" s="129"/>
      <c r="U1407" s="476"/>
    </row>
    <row r="1408" spans="1:21" ht="18" customHeight="1">
      <c r="A1408" s="386"/>
      <c r="B1408" s="17">
        <f t="shared" si="516"/>
        <v>90</v>
      </c>
      <c r="G1408" s="17">
        <f t="shared" si="517"/>
        <v>90</v>
      </c>
      <c r="J1408" s="480"/>
      <c r="K1408" s="480"/>
      <c r="L1408" s="480"/>
      <c r="M1408" s="480"/>
      <c r="N1408" s="480"/>
      <c r="O1408" s="480"/>
      <c r="P1408" s="480"/>
      <c r="Q1408" s="480"/>
      <c r="R1408" s="480"/>
      <c r="S1408" s="480"/>
      <c r="T1408" s="129"/>
      <c r="U1408" s="476"/>
    </row>
    <row r="1409" spans="1:21" ht="18" customHeight="1">
      <c r="A1409" s="386"/>
      <c r="B1409" s="17">
        <f t="shared" si="516"/>
        <v>91</v>
      </c>
      <c r="D1409" s="67" t="s">
        <v>801</v>
      </c>
      <c r="G1409" s="17">
        <f t="shared" si="517"/>
        <v>91</v>
      </c>
      <c r="H1409" s="67" t="s">
        <v>863</v>
      </c>
      <c r="J1409" s="476">
        <f t="shared" si="543" ref="J1409:Q1409">J1302/$U1302</f>
        <v>0.55628755392158902</v>
      </c>
      <c r="K1409" s="476">
        <f t="shared" si="543"/>
        <v>0.085454805836168019</v>
      </c>
      <c r="L1409" s="476">
        <f t="shared" si="543"/>
        <v>0.26639451411931425</v>
      </c>
      <c r="M1409" s="476">
        <f t="shared" si="543"/>
        <v>0.0036963697786679206</v>
      </c>
      <c r="N1409" s="476">
        <f t="shared" si="543"/>
        <v>0.077601661080722681</v>
      </c>
      <c r="O1409" s="476">
        <f t="shared" si="543"/>
        <v>0.0026842320239018661</v>
      </c>
      <c r="P1409" s="476">
        <f t="shared" si="543"/>
        <v>0.0062837275714768609</v>
      </c>
      <c r="Q1409" s="476">
        <f t="shared" si="543"/>
        <v>0.00058103728993546774</v>
      </c>
      <c r="R1409" s="476">
        <f>R1302/$U1302</f>
        <v>0.00030473397225598417</v>
      </c>
      <c r="S1409" s="476">
        <f>S1302/$U1302</f>
        <v>0.00071136440596792803</v>
      </c>
      <c r="T1409" s="129"/>
      <c r="U1409" s="476">
        <f>ROUND(SUM(I1409:T1409),6)</f>
        <v>1</v>
      </c>
    </row>
    <row r="1410" spans="1:21" ht="18" customHeight="1">
      <c r="A1410" s="386"/>
      <c r="B1410" s="17">
        <f t="shared" si="516"/>
        <v>92</v>
      </c>
      <c r="D1410" s="67" t="s">
        <v>802</v>
      </c>
      <c r="G1410" s="17">
        <f t="shared" si="517"/>
        <v>92</v>
      </c>
      <c r="H1410" s="67" t="s">
        <v>864</v>
      </c>
      <c r="J1410" s="476">
        <f t="shared" si="544" ref="J1410:Q1410">J1303/$U1303</f>
        <v>0.55805831627582037</v>
      </c>
      <c r="K1410" s="476">
        <f t="shared" si="544"/>
        <v>0.085940606874098047</v>
      </c>
      <c r="L1410" s="476">
        <f t="shared" si="544"/>
        <v>0.26538026755437721</v>
      </c>
      <c r="M1410" s="476">
        <f t="shared" si="544"/>
        <v>0.0037191367260717063</v>
      </c>
      <c r="N1410" s="476">
        <f t="shared" si="544"/>
        <v>0.077673497258245391</v>
      </c>
      <c r="O1410" s="476">
        <f t="shared" si="544"/>
        <v>0.0026601939359314551</v>
      </c>
      <c r="P1410" s="476">
        <f t="shared" si="544"/>
        <v>0.0058584219762147678</v>
      </c>
      <c r="Q1410" s="476">
        <f t="shared" si="544"/>
        <v>0.00070955939924086271</v>
      </c>
      <c r="R1410" s="18">
        <v>0</v>
      </c>
      <c r="S1410" s="18">
        <v>0</v>
      </c>
      <c r="T1410" s="159" t="s">
        <v>0</v>
      </c>
      <c r="U1410" s="476">
        <f>ROUND(SUM(I1410:T1410),6)</f>
        <v>1</v>
      </c>
    </row>
    <row r="1411" spans="1:21" ht="18" customHeight="1">
      <c r="A1411" s="386"/>
      <c r="B1411" s="17">
        <f t="shared" si="516"/>
        <v>93</v>
      </c>
      <c r="G1411" s="17">
        <f t="shared" si="517"/>
        <v>93</v>
      </c>
      <c r="J1411" s="129"/>
      <c r="K1411" s="129"/>
      <c r="L1411" s="129"/>
      <c r="M1411" s="129"/>
      <c r="N1411" s="129"/>
      <c r="O1411" s="129"/>
      <c r="P1411" s="129"/>
      <c r="Q1411" s="129"/>
      <c r="R1411" s="129"/>
      <c r="S1411" s="129"/>
      <c r="T1411" s="129"/>
      <c r="U1411" s="233"/>
    </row>
    <row r="1412" spans="1:21" ht="18" customHeight="1">
      <c r="A1412" s="386"/>
      <c r="B1412" s="17">
        <f t="shared" si="516"/>
        <v>94</v>
      </c>
      <c r="G1412" s="17">
        <f t="shared" si="517"/>
        <v>94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233"/>
    </row>
    <row r="1413" spans="1:1" ht="18" customHeight="1">
      <c r="A1413" s="386"/>
    </row>
  </sheetData>
  <pageMargins left="0.5" right="0.5" top="1.5" bottom="0.75" header="1.5" footer="0.5"/>
  <pageSetup orientation="landscape" pageOrder="overThenDown" scale="40" r:id="rId1"/>
  <headerFooter alignWithMargins="0">
    <oddHeader xml:space="preserve">&amp;RSchedules II-I-1-MET and II-I-2-MET
Page &amp;P of &amp;N
</oddHeader>
  </headerFooter>
  <rowBreaks count="36" manualBreakCount="36">
    <brk id="40" min="1" max="20" man="1"/>
    <brk id="90" min="1" max="20" man="1"/>
    <brk id="118" min="1" max="20" man="1"/>
    <brk id="164" min="1" max="20" man="1"/>
    <brk id="195" min="1" max="20" man="1"/>
    <brk id="219" min="1" max="20" man="1"/>
    <brk id="238" min="1" max="20" man="1"/>
    <brk id="267" min="1" max="20" man="1"/>
    <brk id="316" min="1" max="20" man="1"/>
    <brk id="355" min="1" max="20" man="1"/>
    <brk id="375" min="1" max="20" man="1"/>
    <brk id="400" min="1" max="20" man="1"/>
    <brk id="422" min="1" max="20" man="1"/>
    <brk id="442" min="1" max="20" man="1"/>
    <brk id="465" min="1" max="20" man="1"/>
    <brk id="488" min="1" max="20" man="1"/>
    <brk id="552" min="1" max="20" man="1"/>
    <brk id="600" min="1" max="20" man="1"/>
    <brk id="641" min="1" max="20" man="1"/>
    <brk id="687" min="1" max="20" man="1"/>
    <brk id="731" min="1" max="20" man="1"/>
    <brk id="765" min="1" max="20" man="1"/>
    <brk id="805" min="1" max="20" man="1"/>
    <brk id="852" min="1" max="20" man="1"/>
    <brk id="902" min="1" max="20" man="1"/>
    <brk id="935" min="1" max="20" man="1"/>
    <brk id="956" min="1" max="20" man="1"/>
    <brk id="1005" min="1" max="20" man="1"/>
    <brk id="1041" min="1" max="20" man="1"/>
    <brk id="1073" min="1" max="20" man="1"/>
    <brk id="1131" min="1" max="20" man="1"/>
    <brk id="1158" min="1" max="20" man="1"/>
    <brk id="1198" min="1" max="20" man="1"/>
    <brk id="1249" min="1" max="20" man="1"/>
    <brk id="1305" min="1" max="20" man="1"/>
    <brk id="1356" min="1" max="20" man="1"/>
  </rowBreaks>
  <colBreaks count="1" manualBreakCount="1">
    <brk id="12" min="1" max="138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4"/>
  <dimension ref="A1:X1413"/>
  <sheetViews>
    <sheetView tabSelected="1" view="pageBreakPreview" zoomScale="75" zoomScaleNormal="75" zoomScaleSheetLayoutView="75" workbookViewId="0" topLeftCell="A553">
      <selection pane="topLeft" activeCell="H554" sqref="H554"/>
    </sheetView>
  </sheetViews>
  <sheetFormatPr defaultRowHeight="14.25"/>
  <cols>
    <col min="1" max="1" width="1.625" customWidth="1"/>
    <col min="2" max="2" width="6" customWidth="1"/>
    <col min="3" max="3" width="7.375" customWidth="1"/>
    <col min="4" max="4" width="34.125" customWidth="1"/>
    <col min="5" max="5" width="8.5" customWidth="1"/>
    <col min="6" max="6" width="13.625" customWidth="1"/>
    <col min="7" max="7" width="4.625" customWidth="1"/>
    <col min="8" max="8" width="13.625" customWidth="1"/>
    <col min="9" max="9" width="1.125" customWidth="1"/>
    <col min="10" max="10" width="14.125" customWidth="1"/>
    <col min="11" max="11" width="13" bestFit="1" customWidth="1"/>
    <col min="12" max="12" width="14.5" customWidth="1"/>
    <col min="13" max="13" width="10.75" customWidth="1"/>
    <col min="14" max="14" width="13" bestFit="1" customWidth="1"/>
    <col min="15" max="15" width="11.625" bestFit="1" customWidth="1"/>
    <col min="16" max="16" width="12.25" bestFit="1" customWidth="1"/>
    <col min="17" max="17" width="13" bestFit="1" customWidth="1"/>
    <col min="18" max="19" width="10.75" bestFit="1" customWidth="1"/>
    <col min="20" max="20" width="1.125" customWidth="1"/>
    <col min="21" max="21" width="14.125" customWidth="1"/>
    <col min="22" max="22" width="16.125" customWidth="1"/>
    <col min="23" max="23" width="16" customWidth="1"/>
    <col min="24" max="24" width="14.375" customWidth="1"/>
  </cols>
  <sheetData>
    <row r="1" spans="1:21" ht="14.25">
      <c r="A1" s="159" t="s">
        <v>0</v>
      </c>
      <c r="J1" s="129" t="s">
        <v>0</v>
      </c>
      <c r="U1" s="233"/>
    </row>
    <row r="2" spans="1:21" ht="15">
      <c r="A2" s="386"/>
      <c r="B2" s="1245"/>
      <c r="H2" s="134"/>
      <c r="U2" s="134"/>
    </row>
    <row r="3" spans="1:22" ht="15.75" thickBot="1">
      <c r="A3" s="47"/>
      <c r="B3" s="124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29"/>
    </row>
    <row r="4" spans="1:23" ht="15.75">
      <c r="A4" s="47"/>
      <c r="B4" s="920" t="str">
        <f>'WP II-I-1.1'!B3</f>
        <v>2022 RATE CASE</v>
      </c>
      <c r="C4" s="964"/>
      <c r="D4" s="965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167"/>
      <c r="V4" s="167"/>
      <c r="W4" s="167"/>
    </row>
    <row r="5" spans="1:23" ht="15.75">
      <c r="A5" s="47"/>
      <c r="B5" s="917" t="str">
        <f>'WP II-I-1.1'!B4</f>
        <v>ONCOR ELECTRIC DELIVERY COMPANY LLC</v>
      </c>
      <c r="C5" s="840"/>
      <c r="D5" s="9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34"/>
      <c r="V5" s="67"/>
      <c r="W5" s="167"/>
    </row>
    <row r="6" spans="1:23" ht="15.75">
      <c r="A6" s="47"/>
      <c r="B6" s="406" t="str">
        <f>"II-I-1-TBILLTDCS:  CLASS REVENUE REQUIREMENT"</f>
        <v>II-I-1-TBILLTDCS:  CLASS REVENUE REQUIREMENT</v>
      </c>
      <c r="C6" s="840"/>
      <c r="D6" s="921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167"/>
    </row>
    <row r="7" spans="1:23" ht="15.75">
      <c r="A7" s="47"/>
      <c r="B7" s="406" t="str">
        <f>'WP II-I-1.1'!B6</f>
        <v>TEST YEAR ENDING 12/31/2021</v>
      </c>
      <c r="C7" s="840"/>
      <c r="D7" s="921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167"/>
    </row>
    <row r="8" spans="1:23" ht="15.75">
      <c r="A8" s="47"/>
      <c r="B8" s="406" t="str">
        <f>'WP II-I-2.2'!$B$7</f>
        <v>SPONSOR:  MATTHEW A. TROXLE</v>
      </c>
      <c r="C8" s="840"/>
      <c r="D8" s="921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167"/>
    </row>
    <row r="9" spans="1:23" ht="16.5" thickBot="1">
      <c r="A9" s="47"/>
      <c r="B9" s="410"/>
      <c r="C9" s="840"/>
      <c r="D9" s="921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167"/>
    </row>
    <row r="10" spans="1:23" ht="15.75" thickBot="1">
      <c r="A10" s="47"/>
      <c r="B10" s="235"/>
      <c r="C10" s="236"/>
      <c r="D10" s="237"/>
      <c r="E10" s="238"/>
      <c r="F10" s="238"/>
      <c r="G10" s="238"/>
      <c r="H10" s="238"/>
      <c r="I10" s="471"/>
      <c r="J10" s="14"/>
      <c r="K10" s="238"/>
      <c r="L10" s="14"/>
      <c r="M10" s="238"/>
      <c r="N10" s="238"/>
      <c r="O10" s="238"/>
      <c r="P10" s="238"/>
      <c r="Q10" s="14"/>
      <c r="R10" s="393" t="str">
        <f>" "</f>
        <v xml:space="preserve"> </v>
      </c>
      <c r="S10" s="394"/>
      <c r="T10" s="238"/>
      <c r="U10" s="13"/>
      <c r="V10" s="67"/>
      <c r="W10" s="167"/>
    </row>
    <row r="11" spans="1:23" ht="15.75">
      <c r="A11" s="47"/>
      <c r="B11" s="235" t="s">
        <v>2</v>
      </c>
      <c r="C11" s="240"/>
      <c r="D11" s="241" t="s">
        <v>729</v>
      </c>
      <c r="E11" s="242" t="s">
        <v>371</v>
      </c>
      <c r="F11" s="287" t="s">
        <v>965</v>
      </c>
      <c r="G11" s="242"/>
      <c r="H11" s="242"/>
      <c r="I11" s="395"/>
      <c r="J11" s="15" t="s">
        <v>730</v>
      </c>
      <c r="K11" s="242" t="s">
        <v>409</v>
      </c>
      <c r="L11" s="15" t="s">
        <v>409</v>
      </c>
      <c r="M11" s="242" t="s">
        <v>410</v>
      </c>
      <c r="N11" s="242" t="s">
        <v>410</v>
      </c>
      <c r="O11" s="242" t="s">
        <v>410</v>
      </c>
      <c r="P11" s="242" t="s">
        <v>411</v>
      </c>
      <c r="Q11" s="15" t="s">
        <v>412</v>
      </c>
      <c r="R11" s="396" t="s">
        <v>407</v>
      </c>
      <c r="S11" s="13" t="s">
        <v>407</v>
      </c>
      <c r="T11" s="242"/>
      <c r="U11" s="15" t="s">
        <v>10</v>
      </c>
      <c r="V11" s="67"/>
      <c r="W11" s="167"/>
    </row>
    <row r="12" spans="1:23" ht="15">
      <c r="A12" s="47"/>
      <c r="B12" s="235"/>
      <c r="C12" s="240"/>
      <c r="D12" s="242"/>
      <c r="E12" s="242"/>
      <c r="F12" s="242"/>
      <c r="G12" s="242"/>
      <c r="H12" s="242"/>
      <c r="I12" s="395"/>
      <c r="J12" s="15"/>
      <c r="K12" s="242" t="s">
        <v>731</v>
      </c>
      <c r="L12" s="15" t="s">
        <v>732</v>
      </c>
      <c r="M12" s="242" t="s">
        <v>731</v>
      </c>
      <c r="N12" s="242" t="s">
        <v>732</v>
      </c>
      <c r="O12" s="242" t="s">
        <v>414</v>
      </c>
      <c r="P12" s="242"/>
      <c r="Q12" s="15"/>
      <c r="R12" s="235" t="s">
        <v>458</v>
      </c>
      <c r="S12" s="15" t="s">
        <v>415</v>
      </c>
      <c r="T12" s="242"/>
      <c r="U12" s="15"/>
      <c r="V12" s="67"/>
      <c r="W12" s="167"/>
    </row>
    <row r="13" spans="1:23" ht="15.75" thickBot="1">
      <c r="A13" s="47"/>
      <c r="B13" s="243"/>
      <c r="C13" s="243"/>
      <c r="D13" s="245"/>
      <c r="E13" s="245"/>
      <c r="F13" s="16" t="s">
        <v>13</v>
      </c>
      <c r="G13" s="16" t="s">
        <v>14</v>
      </c>
      <c r="H13" s="16" t="s">
        <v>15</v>
      </c>
      <c r="I13" s="243"/>
      <c r="J13" s="16" t="s">
        <v>16</v>
      </c>
      <c r="K13" s="243" t="s">
        <v>17</v>
      </c>
      <c r="L13" s="16" t="s">
        <v>18</v>
      </c>
      <c r="M13" s="16" t="s">
        <v>19</v>
      </c>
      <c r="N13" s="16" t="s">
        <v>20</v>
      </c>
      <c r="O13" s="16" t="s">
        <v>21</v>
      </c>
      <c r="P13" s="16" t="s">
        <v>22</v>
      </c>
      <c r="Q13" s="16" t="s">
        <v>418</v>
      </c>
      <c r="R13" s="243" t="s">
        <v>419</v>
      </c>
      <c r="S13" s="16" t="s">
        <v>733</v>
      </c>
      <c r="T13" s="16"/>
      <c r="U13" s="16" t="s">
        <v>734</v>
      </c>
      <c r="V13" s="67"/>
      <c r="W13" s="167"/>
    </row>
    <row r="14" spans="1:23" ht="15">
      <c r="A14" s="47"/>
      <c r="B14" s="67"/>
      <c r="C14" s="12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12"/>
      <c r="V14" s="67"/>
      <c r="W14" s="167"/>
    </row>
    <row r="15" spans="1:23" ht="15.75">
      <c r="A15" s="47"/>
      <c r="B15" s="17">
        <f t="shared" si="0" ref="B15:B24">B14+1</f>
        <v>1</v>
      </c>
      <c r="C15" s="12"/>
      <c r="D15" s="247" t="s">
        <v>642</v>
      </c>
      <c r="E15" s="58" t="s">
        <v>253</v>
      </c>
      <c r="F15" s="121">
        <f>F638+F686</f>
        <v>343150.72999999998</v>
      </c>
      <c r="G15" s="246"/>
      <c r="H15" s="246"/>
      <c r="I15" s="246"/>
      <c r="J15" s="121">
        <f t="shared" si="1" ref="J15:Q15">J638+J686</f>
        <v>0</v>
      </c>
      <c r="K15" s="121">
        <f t="shared" si="1"/>
        <v>0</v>
      </c>
      <c r="L15" s="121">
        <f t="shared" si="1"/>
        <v>0</v>
      </c>
      <c r="M15" s="121">
        <f t="shared" si="1"/>
        <v>0</v>
      </c>
      <c r="N15" s="121">
        <f t="shared" si="1"/>
        <v>0</v>
      </c>
      <c r="O15" s="121">
        <f>O638+O686</f>
        <v>0</v>
      </c>
      <c r="P15" s="121">
        <f t="shared" si="1"/>
        <v>0</v>
      </c>
      <c r="Q15" s="121">
        <f t="shared" si="1"/>
        <v>343150.72999999998</v>
      </c>
      <c r="R15" s="121">
        <f>R638+R686</f>
        <v>0</v>
      </c>
      <c r="S15" s="121">
        <f>S638+S686</f>
        <v>0</v>
      </c>
      <c r="T15" s="246"/>
      <c r="U15" s="121">
        <f>SUM(I15:T15)</f>
        <v>343150.72999999998</v>
      </c>
      <c r="V15" s="67"/>
      <c r="W15" s="726">
        <f>F15-U15</f>
        <v>0</v>
      </c>
    </row>
    <row r="16" spans="1:23" ht="15.75">
      <c r="A16" s="47"/>
      <c r="B16" s="17">
        <f t="shared" si="0"/>
        <v>2</v>
      </c>
      <c r="C16" s="12"/>
      <c r="D16" s="247" t="s">
        <v>643</v>
      </c>
      <c r="E16" s="58" t="s">
        <v>253</v>
      </c>
      <c r="F16" s="121">
        <f>F706+F716+F726</f>
        <v>13109328.479999999</v>
      </c>
      <c r="G16" s="246"/>
      <c r="H16" s="246"/>
      <c r="I16" s="246"/>
      <c r="J16" s="121">
        <f t="shared" si="2" ref="J16:Q16">J706+J716+J726</f>
        <v>7247520.3294290435</v>
      </c>
      <c r="K16" s="121">
        <f t="shared" si="2"/>
        <v>1019822.5496684014</v>
      </c>
      <c r="L16" s="121">
        <f t="shared" si="2"/>
        <v>3611980.2182498211</v>
      </c>
      <c r="M16" s="121">
        <f t="shared" si="2"/>
        <v>42313.500490899758</v>
      </c>
      <c r="N16" s="121">
        <f t="shared" si="2"/>
        <v>984478.34718494362</v>
      </c>
      <c r="O16" s="121">
        <f>O706+O716+O726</f>
        <v>43110.051360345635</v>
      </c>
      <c r="P16" s="121">
        <f t="shared" si="2"/>
        <v>113383.0034954786</v>
      </c>
      <c r="Q16" s="121">
        <f t="shared" si="2"/>
        <v>35301.08903235144</v>
      </c>
      <c r="R16" s="121">
        <f>R706+R716+R726</f>
        <v>3423.6691613060079</v>
      </c>
      <c r="S16" s="121">
        <f>S706+S716+S726</f>
        <v>7995.7219274079871</v>
      </c>
      <c r="T16" s="246"/>
      <c r="U16" s="121">
        <f>SUM(I16:T16)</f>
        <v>13109328.480000002</v>
      </c>
      <c r="V16" s="67"/>
      <c r="W16" s="726">
        <f t="shared" si="3" ref="W16:W33">F16-U16</f>
        <v>0</v>
      </c>
    </row>
    <row r="17" spans="1:23" ht="17.25">
      <c r="A17" s="47"/>
      <c r="B17" s="17">
        <f t="shared" si="0"/>
        <v>3</v>
      </c>
      <c r="C17" s="12"/>
      <c r="D17" s="632" t="s">
        <v>644</v>
      </c>
      <c r="E17" s="1135" t="s">
        <v>253</v>
      </c>
      <c r="F17" s="266">
        <f>F760</f>
        <v>36701328.750000007</v>
      </c>
      <c r="G17" s="246"/>
      <c r="H17" s="246"/>
      <c r="I17" s="246"/>
      <c r="J17" s="265">
        <f t="shared" si="4" ref="J17:Q17">J760</f>
        <v>19829491.112647064</v>
      </c>
      <c r="K17" s="265">
        <f t="shared" si="4"/>
        <v>2788108.9609021735</v>
      </c>
      <c r="L17" s="265">
        <f t="shared" si="4"/>
        <v>9819896.6468709167</v>
      </c>
      <c r="M17" s="265">
        <f t="shared" si="4"/>
        <v>115387.34210281857</v>
      </c>
      <c r="N17" s="265">
        <f t="shared" si="4"/>
        <v>2677421.6240183362</v>
      </c>
      <c r="O17" s="265">
        <f>O760</f>
        <v>116847.22345031862</v>
      </c>
      <c r="P17" s="265">
        <f t="shared" si="4"/>
        <v>306688.91090360889</v>
      </c>
      <c r="Q17" s="265">
        <f t="shared" si="4"/>
        <v>1016370.8524325128</v>
      </c>
      <c r="R17" s="265">
        <f>R760</f>
        <v>9328.9807152764788</v>
      </c>
      <c r="S17" s="265">
        <f>S760</f>
        <v>21787.095956975838</v>
      </c>
      <c r="T17" s="246"/>
      <c r="U17" s="265">
        <f>SUM(I17:T17)</f>
        <v>36701328.749999993</v>
      </c>
      <c r="V17" s="67"/>
      <c r="W17" s="726">
        <f t="shared" si="3"/>
        <v>0</v>
      </c>
    </row>
    <row r="18" spans="1:23" ht="15.75">
      <c r="A18" s="290"/>
      <c r="B18" s="17">
        <f t="shared" si="0"/>
        <v>4</v>
      </c>
      <c r="C18" s="167"/>
      <c r="D18" s="247" t="s">
        <v>506</v>
      </c>
      <c r="E18" s="1135"/>
      <c r="F18" s="896">
        <f>SUM(F15:F17)</f>
        <v>50153807.960000008</v>
      </c>
      <c r="G18" s="58"/>
      <c r="H18" s="20"/>
      <c r="I18" s="58"/>
      <c r="J18" s="53">
        <f t="shared" si="5" ref="J18:Q18">SUM(J15:J17)</f>
        <v>27077011.442076109</v>
      </c>
      <c r="K18" s="53">
        <f t="shared" si="5"/>
        <v>3807931.510570575</v>
      </c>
      <c r="L18" s="53">
        <f t="shared" si="5"/>
        <v>13431876.865120739</v>
      </c>
      <c r="M18" s="53">
        <f t="shared" si="5"/>
        <v>157700.84259371832</v>
      </c>
      <c r="N18" s="53">
        <f t="shared" si="5"/>
        <v>3661899.9712032797</v>
      </c>
      <c r="O18" s="53">
        <f>SUM(O15:O17)</f>
        <v>159957.27481066424</v>
      </c>
      <c r="P18" s="53">
        <f t="shared" si="5"/>
        <v>420071.91439908749</v>
      </c>
      <c r="Q18" s="53">
        <f t="shared" si="5"/>
        <v>1394822.6714648642</v>
      </c>
      <c r="R18" s="53">
        <f>SUM(R15:R17)</f>
        <v>12752.649876582487</v>
      </c>
      <c r="S18" s="53">
        <f>SUM(S15:S17)</f>
        <v>29782.817884383825</v>
      </c>
      <c r="T18" s="50"/>
      <c r="U18" s="251">
        <f>SUM(I18:T18)</f>
        <v>50153807.960000008</v>
      </c>
      <c r="V18" t="b">
        <f>'WP II-I-1.1'!$I$462=U18</f>
        <v>1</v>
      </c>
      <c r="W18" s="726">
        <f t="shared" si="3"/>
        <v>0</v>
      </c>
    </row>
    <row r="19" spans="1:23" ht="15.75">
      <c r="A19" s="290"/>
      <c r="B19" s="17">
        <f t="shared" si="0"/>
        <v>5</v>
      </c>
      <c r="C19" s="167"/>
      <c r="D19" s="247"/>
      <c r="E19" s="1135"/>
      <c r="F19" s="19"/>
      <c r="G19" s="58"/>
      <c r="H19" s="20"/>
      <c r="I19" s="58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121"/>
      <c r="W19" s="726">
        <f t="shared" si="3"/>
        <v>0</v>
      </c>
    </row>
    <row r="20" spans="1:23" ht="15.75">
      <c r="A20" s="290"/>
      <c r="B20" s="17">
        <f t="shared" si="0"/>
        <v>6</v>
      </c>
      <c r="C20" s="167"/>
      <c r="D20" s="214" t="s">
        <v>640</v>
      </c>
      <c r="E20" s="1135" t="s">
        <v>297</v>
      </c>
      <c r="F20" s="19">
        <f>F1035</f>
        <v>32929277.090000004</v>
      </c>
      <c r="G20" s="58"/>
      <c r="H20" s="20"/>
      <c r="I20" s="58"/>
      <c r="J20" s="50">
        <f t="shared" si="6" ref="J20:Q20">J1035</f>
        <v>18347024.787430331</v>
      </c>
      <c r="K20" s="50">
        <f t="shared" si="6"/>
        <v>2828638.7346047936</v>
      </c>
      <c r="L20" s="50">
        <f t="shared" si="6"/>
        <v>8725034.0286944099</v>
      </c>
      <c r="M20" s="50">
        <f t="shared" si="6"/>
        <v>122512.72541185454</v>
      </c>
      <c r="N20" s="50">
        <f t="shared" si="6"/>
        <v>2556510.5547693442</v>
      </c>
      <c r="O20" s="50">
        <f>O1035</f>
        <v>87363.650370899821</v>
      </c>
      <c r="P20" s="50">
        <f t="shared" si="6"/>
        <v>190183.94657665107</v>
      </c>
      <c r="Q20" s="50">
        <f t="shared" si="6"/>
        <v>38388.520954166146</v>
      </c>
      <c r="R20" s="50">
        <f>R1035</f>
        <v>10080.421196642286</v>
      </c>
      <c r="S20" s="50">
        <f>S1035</f>
        <v>23539.719990907819</v>
      </c>
      <c r="T20" s="50"/>
      <c r="U20" s="121">
        <f>SUM(I20:T20)</f>
        <v>32929277.090000004</v>
      </c>
      <c r="W20" s="726">
        <f t="shared" si="3"/>
        <v>0</v>
      </c>
    </row>
    <row r="21" spans="1:23" ht="17.25">
      <c r="A21" s="290"/>
      <c r="B21" s="17">
        <f t="shared" si="0"/>
        <v>7</v>
      </c>
      <c r="C21" s="167"/>
      <c r="D21" s="633" t="s">
        <v>641</v>
      </c>
      <c r="E21" s="1135" t="s">
        <v>330</v>
      </c>
      <c r="F21" s="901">
        <f>F1037+F1038</f>
        <v>0</v>
      </c>
      <c r="G21" s="58"/>
      <c r="H21" s="20"/>
      <c r="I21" s="58"/>
      <c r="J21" s="630">
        <f t="shared" si="7" ref="J21:Q21">J1037+J1038</f>
        <v>0</v>
      </c>
      <c r="K21" s="630">
        <f t="shared" si="7"/>
        <v>0</v>
      </c>
      <c r="L21" s="630">
        <f t="shared" si="7"/>
        <v>0</v>
      </c>
      <c r="M21" s="630">
        <f t="shared" si="7"/>
        <v>0</v>
      </c>
      <c r="N21" s="630">
        <f t="shared" si="7"/>
        <v>0</v>
      </c>
      <c r="O21" s="630">
        <f>O1037+O1038</f>
        <v>0</v>
      </c>
      <c r="P21" s="630">
        <f t="shared" si="7"/>
        <v>0</v>
      </c>
      <c r="Q21" s="630">
        <f t="shared" si="7"/>
        <v>0</v>
      </c>
      <c r="R21" s="630">
        <f>R1037+R1038</f>
        <v>0</v>
      </c>
      <c r="S21" s="630">
        <f>S1037+S1038</f>
        <v>0</v>
      </c>
      <c r="T21" s="50"/>
      <c r="U21" s="265">
        <f>SUM(I21:T21)</f>
        <v>0</v>
      </c>
      <c r="W21" s="726">
        <f t="shared" si="3"/>
        <v>0</v>
      </c>
    </row>
    <row r="22" spans="1:23" ht="15.75">
      <c r="A22" s="290"/>
      <c r="B22" s="17">
        <f t="shared" si="0"/>
        <v>8</v>
      </c>
      <c r="C22" s="167"/>
      <c r="D22" s="12" t="s">
        <v>507</v>
      </c>
      <c r="E22" s="1135"/>
      <c r="F22" s="896">
        <f>SUM(F20:F21)</f>
        <v>32929277.090000004</v>
      </c>
      <c r="G22" s="58"/>
      <c r="H22" s="58"/>
      <c r="I22" s="58"/>
      <c r="J22" s="53">
        <f t="shared" si="8" ref="J22:Q22">SUM(J20:J21)</f>
        <v>18347024.787430331</v>
      </c>
      <c r="K22" s="53">
        <f t="shared" si="8"/>
        <v>2828638.7346047936</v>
      </c>
      <c r="L22" s="53">
        <f t="shared" si="8"/>
        <v>8725034.0286944099</v>
      </c>
      <c r="M22" s="53">
        <f t="shared" si="8"/>
        <v>122512.72541185454</v>
      </c>
      <c r="N22" s="53">
        <f t="shared" si="8"/>
        <v>2556510.5547693442</v>
      </c>
      <c r="O22" s="53">
        <f>SUM(O20:O21)</f>
        <v>87363.650370899821</v>
      </c>
      <c r="P22" s="53">
        <f t="shared" si="8"/>
        <v>190183.94657665107</v>
      </c>
      <c r="Q22" s="53">
        <f t="shared" si="8"/>
        <v>38388.520954166146</v>
      </c>
      <c r="R22" s="53">
        <f>SUM(R20:R21)</f>
        <v>10080.421196642286</v>
      </c>
      <c r="S22" s="53">
        <f>SUM(S20:S21)</f>
        <v>23539.719990907819</v>
      </c>
      <c r="T22" s="50"/>
      <c r="U22" s="251">
        <f>SUM(I22:T22)</f>
        <v>32929277.090000004</v>
      </c>
      <c r="V22" t="b">
        <f>'WP II-I-1.1'!$I$463=U22</f>
        <v>1</v>
      </c>
      <c r="W22" s="726">
        <f t="shared" si="3"/>
        <v>0</v>
      </c>
    </row>
    <row r="23" spans="1:23" ht="15.75">
      <c r="A23" s="290"/>
      <c r="B23" s="17">
        <f t="shared" si="0"/>
        <v>9</v>
      </c>
      <c r="C23" s="167"/>
      <c r="D23" s="12"/>
      <c r="E23" s="1135"/>
      <c r="F23" s="19"/>
      <c r="G23" s="58"/>
      <c r="H23" s="58"/>
      <c r="I23" s="58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121"/>
      <c r="W23" s="726">
        <f t="shared" si="3"/>
        <v>0</v>
      </c>
    </row>
    <row r="24" spans="1:23" ht="15.75">
      <c r="A24" s="290"/>
      <c r="B24" s="17">
        <f t="shared" si="0"/>
        <v>10</v>
      </c>
      <c r="C24" s="167"/>
      <c r="D24" s="12" t="s">
        <v>364</v>
      </c>
      <c r="E24" s="1135" t="s">
        <v>305</v>
      </c>
      <c r="F24" s="19">
        <f>+F1072</f>
        <v>4509539.7900000364</v>
      </c>
      <c r="G24" s="58"/>
      <c r="H24" s="58"/>
      <c r="I24" s="58"/>
      <c r="J24" s="50">
        <f t="shared" si="9" ref="J24:Q24">+J1072</f>
        <v>2510037.6316106897</v>
      </c>
      <c r="K24" s="50">
        <f t="shared" si="9"/>
        <v>386025.8160900019</v>
      </c>
      <c r="L24" s="50">
        <f t="shared" si="9"/>
        <v>1195666.6330589149</v>
      </c>
      <c r="M24" s="50">
        <f t="shared" si="9"/>
        <v>16701.902231847296</v>
      </c>
      <c r="N24" s="50">
        <f t="shared" si="9"/>
        <v>349565.7748744337</v>
      </c>
      <c r="O24" s="50">
        <f>+O1072</f>
        <v>12048.111889415091</v>
      </c>
      <c r="P24" s="50">
        <f t="shared" si="9"/>
        <v>26539.761851715499</v>
      </c>
      <c r="Q24" s="50">
        <f t="shared" si="9"/>
        <v>8370.8789125671192</v>
      </c>
      <c r="R24" s="50">
        <f>+R1072</f>
        <v>1374.7421615241947</v>
      </c>
      <c r="S24" s="50">
        <f>+S1072</f>
        <v>3208.5373189272045</v>
      </c>
      <c r="T24" s="50"/>
      <c r="U24" s="121">
        <f>SUM(I24:T24)</f>
        <v>4509539.7900000373</v>
      </c>
      <c r="V24" t="b">
        <f>'WP II-I-1.1'!$I$464=U24</f>
        <v>1</v>
      </c>
      <c r="W24" s="726">
        <f t="shared" si="3"/>
        <v>0</v>
      </c>
    </row>
    <row r="25" spans="1:23" ht="15.75">
      <c r="A25" s="290"/>
      <c r="B25" s="17">
        <f t="shared" si="10" ref="B25:B30">B24+1</f>
        <v>11</v>
      </c>
      <c r="C25" s="167"/>
      <c r="D25" s="247" t="s">
        <v>508</v>
      </c>
      <c r="E25" s="1135" t="s">
        <v>316</v>
      </c>
      <c r="F25" s="19">
        <f>+F1130</f>
        <v>2534176.4629119495</v>
      </c>
      <c r="G25" s="58"/>
      <c r="H25" s="58"/>
      <c r="I25" s="58"/>
      <c r="J25" s="50">
        <f t="shared" si="11" ref="J25:Q25">+J1130</f>
        <v>1409750.8605732978</v>
      </c>
      <c r="K25" s="50">
        <f t="shared" si="11"/>
        <v>216637.99994073264</v>
      </c>
      <c r="L25" s="50">
        <f t="shared" si="11"/>
        <v>673374.07434292219</v>
      </c>
      <c r="M25" s="50">
        <f t="shared" si="11"/>
        <v>9372.8658784618183</v>
      </c>
      <c r="N25" s="50">
        <f t="shared" si="11"/>
        <v>196536.41026902208</v>
      </c>
      <c r="O25" s="50">
        <f>+O1130</f>
        <v>6828.8633236866444</v>
      </c>
      <c r="P25" s="50">
        <f t="shared" si="11"/>
        <v>15562.589427079938</v>
      </c>
      <c r="Q25" s="50">
        <f t="shared" si="11"/>
        <v>3533.7598516419998</v>
      </c>
      <c r="R25" s="50">
        <f>+R1130</f>
        <v>775.70959774411881</v>
      </c>
      <c r="S25" s="50">
        <f>+S1130</f>
        <v>1803.3297073592812</v>
      </c>
      <c r="T25" s="50"/>
      <c r="U25" s="121">
        <f>SUM(I25:T25)</f>
        <v>2534176.4629119486</v>
      </c>
      <c r="V25" s="692">
        <f>'WP II-I-1.1'!$I$465-U25</f>
        <v>0</v>
      </c>
      <c r="W25" s="726">
        <f t="shared" si="3"/>
        <v>0</v>
      </c>
    </row>
    <row r="26" spans="1:23" ht="15.75">
      <c r="A26" s="290"/>
      <c r="B26" s="17">
        <f t="shared" si="10"/>
        <v>12</v>
      </c>
      <c r="C26" s="167"/>
      <c r="D26" s="151"/>
      <c r="E26" s="150"/>
      <c r="F26" s="19"/>
      <c r="G26" s="248"/>
      <c r="H26" s="248"/>
      <c r="I26" s="248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W26" s="726">
        <f t="shared" si="3"/>
        <v>0</v>
      </c>
    </row>
    <row r="27" spans="1:23" ht="15.75">
      <c r="A27" s="290"/>
      <c r="B27" s="17">
        <f t="shared" si="10"/>
        <v>13</v>
      </c>
      <c r="C27" s="167"/>
      <c r="D27" s="12" t="s">
        <v>509</v>
      </c>
      <c r="E27" s="1135" t="s">
        <v>510</v>
      </c>
      <c r="F27" s="19">
        <f>+F83</f>
        <v>14457604.669049723</v>
      </c>
      <c r="G27" s="58"/>
      <c r="H27" s="58"/>
      <c r="I27" s="58"/>
      <c r="J27" s="50">
        <f t="shared" si="12" ref="J27:Q27">+J83</f>
        <v>8036462.177727065</v>
      </c>
      <c r="K27" s="50">
        <f t="shared" si="12"/>
        <v>1232489.1159806789</v>
      </c>
      <c r="L27" s="50">
        <f t="shared" si="12"/>
        <v>3842610.4629393942</v>
      </c>
      <c r="M27" s="50">
        <f t="shared" si="12"/>
        <v>53275.90803143345</v>
      </c>
      <c r="N27" s="50">
        <f t="shared" si="12"/>
        <v>1119693.1521261467</v>
      </c>
      <c r="O27" s="50">
        <f>+O83</f>
        <v>39139.977512166355</v>
      </c>
      <c r="P27" s="50">
        <f t="shared" si="12"/>
        <v>89593.740388311722</v>
      </c>
      <c r="Q27" s="50">
        <f t="shared" si="12"/>
        <v>29686.703588816003</v>
      </c>
      <c r="R27" s="50">
        <f>+R83</f>
        <v>4407.0706957917582</v>
      </c>
      <c r="S27" s="50">
        <f>+S83</f>
        <v>10246.360059917395</v>
      </c>
      <c r="T27" s="50"/>
      <c r="U27" s="121">
        <f>SUM(I27:T27)</f>
        <v>14457604.669049719</v>
      </c>
      <c r="V27" t="b">
        <f>'WP II-I-1.1'!$I$461=U27</f>
        <v>1</v>
      </c>
      <c r="W27" s="726">
        <f t="shared" si="3"/>
        <v>0</v>
      </c>
    </row>
    <row r="28" spans="1:23" ht="15.75">
      <c r="A28" s="290"/>
      <c r="B28" s="17">
        <f t="shared" si="10"/>
        <v>14</v>
      </c>
      <c r="C28" s="167"/>
      <c r="D28" s="247"/>
      <c r="E28" s="150"/>
      <c r="F28" s="1"/>
      <c r="G28" s="248"/>
      <c r="H28" s="248"/>
      <c r="I28" s="24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1"/>
      <c r="W28" s="726">
        <f t="shared" si="3"/>
        <v>0</v>
      </c>
    </row>
    <row r="29" spans="1:23" ht="15.75">
      <c r="A29" s="290"/>
      <c r="B29" s="17">
        <f t="shared" si="10"/>
        <v>15</v>
      </c>
      <c r="C29" s="249"/>
      <c r="D29" s="250" t="s">
        <v>511</v>
      </c>
      <c r="E29" s="150"/>
      <c r="F29" s="896">
        <f>+F18+F22+F24+F25+F27</f>
        <v>104584405.97196172</v>
      </c>
      <c r="G29" s="248"/>
      <c r="H29" s="248"/>
      <c r="I29" s="248"/>
      <c r="J29" s="53">
        <f t="shared" si="13" ref="J29:Q29">+J18+J22+J24+J25+J27</f>
        <v>57380286.899417497</v>
      </c>
      <c r="K29" s="53">
        <f t="shared" si="13"/>
        <v>8471723.1771867815</v>
      </c>
      <c r="L29" s="53">
        <f t="shared" si="13"/>
        <v>27868562.06415638</v>
      </c>
      <c r="M29" s="53">
        <f t="shared" si="13"/>
        <v>359564.24414731545</v>
      </c>
      <c r="N29" s="53">
        <f t="shared" si="13"/>
        <v>7884205.8632422257</v>
      </c>
      <c r="O29" s="53">
        <f>+O18+O22+O24+O25+O27</f>
        <v>305337.87790683215</v>
      </c>
      <c r="P29" s="53">
        <f t="shared" si="13"/>
        <v>741951.95264284569</v>
      </c>
      <c r="Q29" s="53">
        <f t="shared" si="13"/>
        <v>1474802.5347720555</v>
      </c>
      <c r="R29" s="53">
        <f>+R18+R22+R24+R25+R27</f>
        <v>29390.593528284848</v>
      </c>
      <c r="S29" s="53">
        <f>+S18+S22+S24+S25+S27</f>
        <v>68580.76496149553</v>
      </c>
      <c r="T29" s="53"/>
      <c r="U29" s="251">
        <f>SUM(I29:T29)</f>
        <v>104584405.97196171</v>
      </c>
      <c r="V29" t="b">
        <f>'WP II-I-1.1'!$I$476=U29</f>
        <v>1</v>
      </c>
      <c r="W29" s="726">
        <f t="shared" si="3"/>
        <v>0</v>
      </c>
    </row>
    <row r="30" spans="1:23" ht="15.75">
      <c r="A30" s="290"/>
      <c r="B30" s="17">
        <f t="shared" si="10"/>
        <v>16</v>
      </c>
      <c r="C30" s="167"/>
      <c r="D30" s="12"/>
      <c r="E30" s="1135"/>
      <c r="F30" s="1"/>
      <c r="G30" s="58"/>
      <c r="H30" s="58"/>
      <c r="I30" s="5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726"/>
    </row>
    <row r="31" spans="1:23" ht="15.75">
      <c r="A31" s="290"/>
      <c r="B31" s="17">
        <f>B30+1</f>
        <v>17</v>
      </c>
      <c r="C31" s="167"/>
      <c r="D31" s="12" t="s">
        <v>512</v>
      </c>
      <c r="E31" s="1135" t="s">
        <v>335</v>
      </c>
      <c r="F31" s="19">
        <f>+F1186</f>
        <v>205014.6500000013</v>
      </c>
      <c r="G31" s="58"/>
      <c r="H31" s="58"/>
      <c r="I31" s="58"/>
      <c r="J31" s="50">
        <f t="shared" si="14" ref="J31:Q31">+J1186</f>
        <v>174312.1603196598</v>
      </c>
      <c r="K31" s="50">
        <f t="shared" si="14"/>
        <v>16286.446255931127</v>
      </c>
      <c r="L31" s="50">
        <f t="shared" si="14"/>
        <v>10891.584339100962</v>
      </c>
      <c r="M31" s="50">
        <f t="shared" si="14"/>
        <v>165.89780849338902</v>
      </c>
      <c r="N31" s="50">
        <f t="shared" si="14"/>
        <v>382.93986236558482</v>
      </c>
      <c r="O31" s="50">
        <f>+O1186</f>
        <v>6.9547614008837702</v>
      </c>
      <c r="P31" s="50">
        <f t="shared" si="14"/>
        <v>15.139980588077748</v>
      </c>
      <c r="Q31" s="50">
        <f t="shared" si="14"/>
        <v>2953.5266724614712</v>
      </c>
      <c r="R31" s="50">
        <f>+R1186</f>
        <v>0</v>
      </c>
      <c r="S31" s="50">
        <f>+S1186</f>
        <v>0</v>
      </c>
      <c r="T31" s="50"/>
      <c r="U31" s="121">
        <f>SUM(I31:T31)</f>
        <v>205014.65000000128</v>
      </c>
      <c r="V31" t="b">
        <f>'WP II-I-1.1'!$I$466=-U31</f>
        <v>1</v>
      </c>
      <c r="W31" s="726">
        <f t="shared" si="3"/>
        <v>0</v>
      </c>
    </row>
    <row r="32" spans="1:23" ht="15.75" thickBot="1">
      <c r="A32" s="290"/>
      <c r="B32" s="17">
        <f>B31+1</f>
        <v>18</v>
      </c>
      <c r="C32" s="167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W32" s="167"/>
    </row>
    <row r="33" spans="1:23" ht="16.5" thickBot="1">
      <c r="A33" s="290"/>
      <c r="B33" s="17">
        <f>B32+1</f>
        <v>19</v>
      </c>
      <c r="C33" s="167"/>
      <c r="D33" s="253" t="s">
        <v>358</v>
      </c>
      <c r="E33" s="254"/>
      <c r="F33" s="255">
        <f>+F29-F31</f>
        <v>104379391.32196172</v>
      </c>
      <c r="G33" s="254"/>
      <c r="H33" s="397"/>
      <c r="I33" s="616"/>
      <c r="J33" s="446">
        <f t="shared" si="15" ref="J33:Q33">+J29-J31</f>
        <v>57205974.739097841</v>
      </c>
      <c r="K33" s="903">
        <f t="shared" si="15"/>
        <v>8455436.7309308499</v>
      </c>
      <c r="L33" s="903">
        <f t="shared" si="15"/>
        <v>27857670.479817279</v>
      </c>
      <c r="M33" s="903">
        <f t="shared" si="15"/>
        <v>359398.34633882204</v>
      </c>
      <c r="N33" s="903">
        <f t="shared" si="15"/>
        <v>7883822.9233798599</v>
      </c>
      <c r="O33" s="903">
        <f>+O29-O31</f>
        <v>305330.92314543127</v>
      </c>
      <c r="P33" s="903">
        <f t="shared" si="15"/>
        <v>741936.81266225758</v>
      </c>
      <c r="Q33" s="903">
        <f t="shared" si="15"/>
        <v>1471849.0080995939</v>
      </c>
      <c r="R33" s="903">
        <f>+R29-R31</f>
        <v>29390.593528284848</v>
      </c>
      <c r="S33" s="380">
        <f>+S29-S31</f>
        <v>68580.76496149553</v>
      </c>
      <c r="T33" s="1011"/>
      <c r="U33" s="256">
        <f>SUM(I33:T33)</f>
        <v>104379391.32196172</v>
      </c>
      <c r="V33" t="b">
        <f>'WP II-I-1.1'!$I$467=U33</f>
        <v>1</v>
      </c>
      <c r="W33" s="726">
        <f t="shared" si="3"/>
        <v>0</v>
      </c>
    </row>
    <row r="34" spans="1:23" ht="15.75">
      <c r="A34" s="47"/>
      <c r="B34" s="17"/>
      <c r="C34" s="167"/>
      <c r="D34" s="12"/>
      <c r="E34" s="150"/>
      <c r="F34" s="24"/>
      <c r="G34" s="150"/>
      <c r="H34" s="150"/>
      <c r="I34" s="150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7"/>
      <c r="W34" s="167"/>
    </row>
    <row r="35" spans="1:23" ht="15">
      <c r="A35" s="47"/>
      <c r="B35" s="1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67"/>
      <c r="W35" s="726"/>
    </row>
    <row r="36" spans="1:23" ht="15">
      <c r="A36" s="47"/>
      <c r="B36" s="1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67"/>
      <c r="W36" s="167"/>
    </row>
    <row r="37" spans="1:23" ht="15">
      <c r="A37" s="47"/>
      <c r="B37" s="1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67"/>
      <c r="W37" s="167"/>
    </row>
    <row r="38" spans="1:23" ht="15">
      <c r="A38" s="47"/>
      <c r="B38" s="1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67"/>
      <c r="W38" s="167"/>
    </row>
    <row r="39" spans="1:23" ht="15">
      <c r="A39" s="47"/>
      <c r="B39" s="1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67"/>
      <c r="W39" s="167"/>
    </row>
    <row r="40" spans="1:23" ht="15.75">
      <c r="A40" s="47"/>
      <c r="B40" s="67"/>
      <c r="C40" s="67"/>
      <c r="D40" s="67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67"/>
      <c r="V40" s="67"/>
      <c r="W40" s="167"/>
    </row>
    <row r="41" spans="1:23" ht="16.5" thickBot="1">
      <c r="A41" s="47"/>
      <c r="B41" s="67"/>
      <c r="C41" s="67"/>
      <c r="D41" s="67"/>
      <c r="E41" s="150"/>
      <c r="F41" s="150"/>
      <c r="G41" s="150"/>
      <c r="H41" s="134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34"/>
      <c r="V41" s="134">
        <f>$H$2</f>
        <v>0</v>
      </c>
      <c r="W41" s="167"/>
    </row>
    <row r="42" spans="1:23" ht="15.75">
      <c r="A42" s="47"/>
      <c r="B42" s="920" t="str">
        <f>+$B$4</f>
        <v>2022 RATE CASE</v>
      </c>
      <c r="C42" s="964"/>
      <c r="D42" s="965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134"/>
      <c r="V42" s="167"/>
      <c r="W42" s="167"/>
    </row>
    <row r="43" spans="1:23" ht="15.75">
      <c r="A43" s="290"/>
      <c r="B43" s="917" t="str">
        <f>+$B$5</f>
        <v>ONCOR ELECTRIC DELIVERY COMPANY LLC</v>
      </c>
      <c r="C43" s="840"/>
      <c r="D43" s="9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134"/>
      <c r="V43" s="67"/>
      <c r="W43" s="167"/>
    </row>
    <row r="44" spans="1:23" ht="15.75">
      <c r="A44" s="47"/>
      <c r="B44" s="917" t="str">
        <f>+$B$6</f>
        <v>II-I-1-TBILLTDCS:  CLASS REVENUE REQUIREMENT</v>
      </c>
      <c r="C44" s="840"/>
      <c r="D44" s="921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167"/>
    </row>
    <row r="45" spans="1:23" ht="15.75">
      <c r="A45" s="47"/>
      <c r="B45" s="406" t="str">
        <f>+$B$7</f>
        <v>TEST YEAR ENDING 12/31/2021</v>
      </c>
      <c r="C45" s="840"/>
      <c r="D45" s="921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167"/>
    </row>
    <row r="46" spans="1:23" ht="15.75">
      <c r="A46" s="47"/>
      <c r="B46" s="406" t="str">
        <f>+$B$8</f>
        <v>SPONSOR:  MATTHEW A. TROXLE</v>
      </c>
      <c r="C46" s="840"/>
      <c r="D46" s="921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167"/>
    </row>
    <row r="47" spans="1:23" ht="16.5" thickBot="1">
      <c r="A47" s="47"/>
      <c r="B47" s="410"/>
      <c r="C47" s="840"/>
      <c r="D47" s="92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167"/>
    </row>
    <row r="48" spans="1:23" ht="15.75" thickBot="1">
      <c r="A48" s="47"/>
      <c r="B48" s="235"/>
      <c r="C48" s="236"/>
      <c r="D48" s="259"/>
      <c r="E48" s="238"/>
      <c r="F48" s="14"/>
      <c r="G48" s="238"/>
      <c r="H48" s="238"/>
      <c r="I48" s="238"/>
      <c r="J48" s="238"/>
      <c r="K48" s="238"/>
      <c r="L48" s="14"/>
      <c r="M48" s="238"/>
      <c r="N48" s="238"/>
      <c r="O48" s="238"/>
      <c r="P48" s="238"/>
      <c r="Q48" s="14"/>
      <c r="R48" s="393" t="str">
        <f>R$10</f>
        <v xml:space="preserve"> </v>
      </c>
      <c r="S48" s="394"/>
      <c r="T48" s="238"/>
      <c r="U48" s="13"/>
      <c r="V48" s="67"/>
      <c r="W48" s="167"/>
    </row>
    <row r="49" spans="1:23" ht="15.75">
      <c r="A49" s="47"/>
      <c r="B49" s="235" t="s">
        <v>2</v>
      </c>
      <c r="C49" s="240"/>
      <c r="D49" s="241" t="s">
        <v>738</v>
      </c>
      <c r="E49" s="242" t="s">
        <v>371</v>
      </c>
      <c r="F49" s="287" t="str">
        <f>F$11</f>
        <v>TBILLTDCS</v>
      </c>
      <c r="G49" s="242"/>
      <c r="H49" s="242"/>
      <c r="I49" s="242"/>
      <c r="J49" s="242" t="s">
        <v>730</v>
      </c>
      <c r="K49" s="242" t="s">
        <v>409</v>
      </c>
      <c r="L49" s="15" t="s">
        <v>409</v>
      </c>
      <c r="M49" s="242" t="s">
        <v>410</v>
      </c>
      <c r="N49" s="242" t="s">
        <v>410</v>
      </c>
      <c r="O49" s="242" t="s">
        <v>410</v>
      </c>
      <c r="P49" s="242" t="s">
        <v>411</v>
      </c>
      <c r="Q49" s="15" t="s">
        <v>412</v>
      </c>
      <c r="R49" s="396" t="str">
        <f>R$11</f>
        <v>Wholesale</v>
      </c>
      <c r="S49" s="13" t="str">
        <f>S$11</f>
        <v>Wholesale</v>
      </c>
      <c r="T49" s="242"/>
      <c r="U49" s="15" t="s">
        <v>10</v>
      </c>
      <c r="V49" s="67"/>
      <c r="W49" s="167"/>
    </row>
    <row r="50" spans="1:23" ht="15">
      <c r="A50" s="47"/>
      <c r="B50" s="235"/>
      <c r="C50" s="240"/>
      <c r="D50" s="242"/>
      <c r="E50" s="242"/>
      <c r="F50" s="15"/>
      <c r="G50" s="242"/>
      <c r="H50" s="242"/>
      <c r="I50" s="242"/>
      <c r="J50" s="242"/>
      <c r="K50" s="242" t="s">
        <v>731</v>
      </c>
      <c r="L50" s="15" t="s">
        <v>732</v>
      </c>
      <c r="M50" s="242" t="s">
        <v>731</v>
      </c>
      <c r="N50" s="242" t="s">
        <v>732</v>
      </c>
      <c r="O50" s="242" t="s">
        <v>414</v>
      </c>
      <c r="P50" s="242"/>
      <c r="Q50" s="15"/>
      <c r="R50" s="235" t="str">
        <f>R$12</f>
        <v>XFMR</v>
      </c>
      <c r="S50" s="15" t="str">
        <f>S$12</f>
        <v>DLS</v>
      </c>
      <c r="T50" s="242"/>
      <c r="U50" s="15"/>
      <c r="V50" s="67"/>
      <c r="W50" s="167"/>
    </row>
    <row r="51" spans="1:23" ht="15.75" thickBot="1">
      <c r="A51" s="47"/>
      <c r="B51" s="243"/>
      <c r="C51" s="243"/>
      <c r="D51" s="245"/>
      <c r="E51" s="245"/>
      <c r="F51" s="16" t="s">
        <v>13</v>
      </c>
      <c r="G51" s="16" t="s">
        <v>14</v>
      </c>
      <c r="H51" s="16" t="s">
        <v>15</v>
      </c>
      <c r="I51" s="16"/>
      <c r="J51" s="243" t="str">
        <f t="shared" si="16" ref="J51:Q51">J$13</f>
        <v>(d)</v>
      </c>
      <c r="K51" s="243" t="str">
        <f t="shared" si="16"/>
        <v>(e)</v>
      </c>
      <c r="L51" s="16" t="str">
        <f t="shared" si="16"/>
        <v>(f)</v>
      </c>
      <c r="M51" s="243" t="str">
        <f t="shared" si="16"/>
        <v>(g)</v>
      </c>
      <c r="N51" s="243" t="str">
        <f t="shared" si="16"/>
        <v>(h)</v>
      </c>
      <c r="O51" s="243" t="str">
        <f>O$13</f>
        <v>(i)</v>
      </c>
      <c r="P51" s="243" t="str">
        <f t="shared" si="16"/>
        <v>(j)</v>
      </c>
      <c r="Q51" s="243" t="str">
        <f t="shared" si="16"/>
        <v>(k)</v>
      </c>
      <c r="R51" s="243" t="str">
        <f>R$13</f>
        <v>(l)</v>
      </c>
      <c r="S51" s="16" t="str">
        <f>S$13</f>
        <v>(m)</v>
      </c>
      <c r="T51" s="16"/>
      <c r="U51" s="16" t="s">
        <v>734</v>
      </c>
      <c r="V51" s="67"/>
      <c r="W51" s="167"/>
    </row>
    <row r="52" spans="1:23" ht="15">
      <c r="A52" s="47"/>
      <c r="B52" s="6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1"/>
      <c r="V52" s="67"/>
      <c r="W52" s="167"/>
    </row>
    <row r="53" spans="1:23" ht="15.75">
      <c r="A53" s="47"/>
      <c r="B53" s="17">
        <f t="shared" si="17" ref="B53:B58">B52+1</f>
        <v>1</v>
      </c>
      <c r="C53" s="12"/>
      <c r="D53" s="260" t="s">
        <v>646</v>
      </c>
      <c r="E53" s="261" t="s">
        <v>24</v>
      </c>
      <c r="F53" s="121">
        <f>F106</f>
        <v>310409174.74000001</v>
      </c>
      <c r="G53" s="12"/>
      <c r="H53" s="12"/>
      <c r="I53" s="12"/>
      <c r="J53" s="121">
        <f t="shared" si="18" ref="J53:Q53">J106</f>
        <v>172948978.12773615</v>
      </c>
      <c r="K53" s="121">
        <f t="shared" si="18"/>
        <v>26664278.503487542</v>
      </c>
      <c r="L53" s="121">
        <f t="shared" si="18"/>
        <v>82246889.44805041</v>
      </c>
      <c r="M53" s="121">
        <f t="shared" si="18"/>
        <v>1154871.2073545856</v>
      </c>
      <c r="N53" s="121">
        <f t="shared" si="18"/>
        <v>24099051.107351582</v>
      </c>
      <c r="O53" s="121">
        <f>O106</f>
        <v>823537.01661249879</v>
      </c>
      <c r="P53" s="121">
        <f t="shared" si="18"/>
        <v>1792776.7361641312</v>
      </c>
      <c r="Q53" s="121">
        <f t="shared" si="18"/>
        <v>361870.95988483209</v>
      </c>
      <c r="R53" s="121">
        <f>R106</f>
        <v>95023.501916826775</v>
      </c>
      <c r="S53" s="121">
        <f>S106</f>
        <v>221898.13144143872</v>
      </c>
      <c r="T53" s="12"/>
      <c r="U53" s="121">
        <f>SUM(I53:T53)</f>
        <v>310409174.73999995</v>
      </c>
      <c r="V53" s="67"/>
      <c r="W53" s="726">
        <f t="shared" si="19" ref="W53:W83">F53-U53</f>
        <v>0</v>
      </c>
    </row>
    <row r="54" spans="1:23" ht="15.75">
      <c r="A54" s="47"/>
      <c r="B54" s="17">
        <f t="shared" si="17"/>
        <v>2</v>
      </c>
      <c r="C54" s="12"/>
      <c r="D54" s="260" t="s">
        <v>647</v>
      </c>
      <c r="E54" s="261" t="s">
        <v>24</v>
      </c>
      <c r="F54" s="121">
        <f>F118</f>
        <v>0</v>
      </c>
      <c r="G54" s="12"/>
      <c r="H54" s="12"/>
      <c r="I54" s="12"/>
      <c r="J54" s="121">
        <f t="shared" si="20" ref="J54:Q54">J118</f>
        <v>0</v>
      </c>
      <c r="K54" s="121">
        <f t="shared" si="20"/>
        <v>0</v>
      </c>
      <c r="L54" s="121">
        <f t="shared" si="20"/>
        <v>0</v>
      </c>
      <c r="M54" s="121">
        <f t="shared" si="20"/>
        <v>0</v>
      </c>
      <c r="N54" s="121">
        <f t="shared" si="20"/>
        <v>0</v>
      </c>
      <c r="O54" s="121">
        <f>O118</f>
        <v>0</v>
      </c>
      <c r="P54" s="121">
        <f t="shared" si="20"/>
        <v>0</v>
      </c>
      <c r="Q54" s="121">
        <f t="shared" si="20"/>
        <v>0</v>
      </c>
      <c r="R54" s="121">
        <f>R118</f>
        <v>0</v>
      </c>
      <c r="S54" s="121">
        <f>S118</f>
        <v>0</v>
      </c>
      <c r="T54" s="12"/>
      <c r="U54" s="121">
        <f>SUM(I54:T54)</f>
        <v>0</v>
      </c>
      <c r="V54" s="67"/>
      <c r="W54" s="726">
        <f t="shared" si="19"/>
        <v>0</v>
      </c>
    </row>
    <row r="55" spans="1:23" ht="17.25">
      <c r="A55" s="47"/>
      <c r="B55" s="17">
        <f t="shared" si="17"/>
        <v>3</v>
      </c>
      <c r="C55" s="12"/>
      <c r="D55" s="631" t="s">
        <v>645</v>
      </c>
      <c r="E55" s="261" t="s">
        <v>24</v>
      </c>
      <c r="F55" s="265">
        <f>F154</f>
        <v>0</v>
      </c>
      <c r="G55" s="12"/>
      <c r="H55" s="12"/>
      <c r="I55" s="12"/>
      <c r="J55" s="265">
        <f t="shared" si="21" ref="J55:Q55">J154</f>
        <v>0</v>
      </c>
      <c r="K55" s="265">
        <f t="shared" si="21"/>
        <v>0</v>
      </c>
      <c r="L55" s="265">
        <f t="shared" si="21"/>
        <v>0</v>
      </c>
      <c r="M55" s="265">
        <f t="shared" si="21"/>
        <v>0</v>
      </c>
      <c r="N55" s="265">
        <f t="shared" si="21"/>
        <v>0</v>
      </c>
      <c r="O55" s="265">
        <f>O154</f>
        <v>0</v>
      </c>
      <c r="P55" s="265">
        <f t="shared" si="21"/>
        <v>0</v>
      </c>
      <c r="Q55" s="265">
        <f t="shared" si="21"/>
        <v>0</v>
      </c>
      <c r="R55" s="265">
        <f>R154</f>
        <v>0</v>
      </c>
      <c r="S55" s="265">
        <f>S154</f>
        <v>0</v>
      </c>
      <c r="T55" s="12"/>
      <c r="U55" s="265">
        <f>SUM(I55:T55)</f>
        <v>0</v>
      </c>
      <c r="V55" s="67"/>
      <c r="W55" s="726">
        <f t="shared" si="19"/>
        <v>0</v>
      </c>
    </row>
    <row r="56" spans="1:23" ht="15.75">
      <c r="A56" s="290"/>
      <c r="B56" s="17">
        <f t="shared" si="17"/>
        <v>4</v>
      </c>
      <c r="C56" s="167"/>
      <c r="D56" s="260" t="s">
        <v>515</v>
      </c>
      <c r="E56" s="261"/>
      <c r="F56" s="269">
        <f>SUM(F53:F55)</f>
        <v>310409174.74000001</v>
      </c>
      <c r="G56" s="261"/>
      <c r="H56" s="261"/>
      <c r="I56" s="261"/>
      <c r="J56" s="269">
        <f t="shared" si="22" ref="J56:Q56">SUM(J53:J55)</f>
        <v>172948978.12773615</v>
      </c>
      <c r="K56" s="269">
        <f t="shared" si="22"/>
        <v>26664278.503487542</v>
      </c>
      <c r="L56" s="269">
        <f t="shared" si="22"/>
        <v>82246889.44805041</v>
      </c>
      <c r="M56" s="269">
        <f t="shared" si="22"/>
        <v>1154871.2073545856</v>
      </c>
      <c r="N56" s="269">
        <f t="shared" si="22"/>
        <v>24099051.107351582</v>
      </c>
      <c r="O56" s="269">
        <f>SUM(O53:O55)</f>
        <v>823537.01661249879</v>
      </c>
      <c r="P56" s="269">
        <f t="shared" si="22"/>
        <v>1792776.7361641312</v>
      </c>
      <c r="Q56" s="269">
        <f t="shared" si="22"/>
        <v>361870.95988483209</v>
      </c>
      <c r="R56" s="269">
        <f>SUM(R53:R55)</f>
        <v>95023.501916826775</v>
      </c>
      <c r="S56" s="269">
        <f>SUM(S53:S55)</f>
        <v>221898.13144143872</v>
      </c>
      <c r="T56" s="262"/>
      <c r="U56" s="251">
        <f>SUM(I56:T56)</f>
        <v>310409174.73999995</v>
      </c>
      <c r="V56" s="67"/>
      <c r="W56" s="726">
        <f t="shared" si="19"/>
        <v>0</v>
      </c>
    </row>
    <row r="57" spans="1:23" ht="15.75">
      <c r="A57" s="290"/>
      <c r="B57" s="17">
        <f t="shared" si="17"/>
        <v>5</v>
      </c>
      <c r="C57" s="167"/>
      <c r="D57" s="260"/>
      <c r="E57" s="261"/>
      <c r="F57" s="262"/>
      <c r="G57" s="261"/>
      <c r="H57" s="261"/>
      <c r="I57" s="261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121"/>
      <c r="V57" s="67"/>
      <c r="W57" s="726">
        <f t="shared" si="19"/>
        <v>0</v>
      </c>
    </row>
    <row r="58" spans="1:23" ht="15.75">
      <c r="A58" s="290"/>
      <c r="B58" s="17">
        <f t="shared" si="17"/>
        <v>6</v>
      </c>
      <c r="C58" s="167"/>
      <c r="D58" s="260" t="s">
        <v>516</v>
      </c>
      <c r="E58" s="261" t="s">
        <v>90</v>
      </c>
      <c r="F58" s="262">
        <f>+F194</f>
        <v>100100755.95999999</v>
      </c>
      <c r="G58" s="261"/>
      <c r="H58" s="261"/>
      <c r="I58" s="261"/>
      <c r="J58" s="262">
        <f t="shared" si="23" ref="J58:Q58">+J194</f>
        <v>55772589.413946174</v>
      </c>
      <c r="K58" s="262">
        <f t="shared" si="23"/>
        <v>8598696.9862045534</v>
      </c>
      <c r="L58" s="262">
        <f t="shared" si="23"/>
        <v>26522978.310819473</v>
      </c>
      <c r="M58" s="262">
        <f t="shared" si="23"/>
        <v>372422.88662846992</v>
      </c>
      <c r="N58" s="262">
        <f t="shared" si="23"/>
        <v>7771462.4117832482</v>
      </c>
      <c r="O58" s="262">
        <f>+O194</f>
        <v>265574.23115152278</v>
      </c>
      <c r="P58" s="262">
        <f t="shared" si="23"/>
        <v>578134.67242985335</v>
      </c>
      <c r="Q58" s="262">
        <f t="shared" si="23"/>
        <v>116696.15331049259</v>
      </c>
      <c r="R58" s="262">
        <f>+R194</f>
        <v>30643.180517483401</v>
      </c>
      <c r="S58" s="262">
        <f>+S194</f>
        <v>71557.713208717061</v>
      </c>
      <c r="T58" s="262"/>
      <c r="U58" s="121">
        <f>SUM(I58:T58)</f>
        <v>100100755.95999999</v>
      </c>
      <c r="V58" s="67"/>
      <c r="W58" s="726">
        <f t="shared" si="19"/>
        <v>0</v>
      </c>
    </row>
    <row r="59" spans="1:23" ht="17.25">
      <c r="A59" s="290"/>
      <c r="B59" s="17">
        <f t="shared" si="24" ref="B59:B83">B58+1</f>
        <v>7</v>
      </c>
      <c r="C59" s="167"/>
      <c r="D59" s="260" t="s">
        <v>517</v>
      </c>
      <c r="E59" s="261" t="s">
        <v>109</v>
      </c>
      <c r="F59" s="264">
        <f>+F212</f>
        <v>1554894.4199999999</v>
      </c>
      <c r="G59" s="261"/>
      <c r="H59" s="261"/>
      <c r="I59" s="261"/>
      <c r="J59" s="264">
        <f t="shared" si="25" ref="J59:Q59">+J212</f>
        <v>866331.99956401193</v>
      </c>
      <c r="K59" s="264">
        <f t="shared" si="25"/>
        <v>133566.08384119417</v>
      </c>
      <c r="L59" s="264">
        <f t="shared" si="25"/>
        <v>411989.20609304681</v>
      </c>
      <c r="M59" s="264">
        <f t="shared" si="25"/>
        <v>5784.9539970537144</v>
      </c>
      <c r="N59" s="264">
        <f t="shared" si="25"/>
        <v>120716.40641905012</v>
      </c>
      <c r="O59" s="264">
        <f>+O212</f>
        <v>4125.24247347645</v>
      </c>
      <c r="P59" s="264">
        <f t="shared" si="25"/>
        <v>8980.3355384141178</v>
      </c>
      <c r="Q59" s="264">
        <f t="shared" si="25"/>
        <v>1812.6755974795681</v>
      </c>
      <c r="R59" s="264">
        <f>+R212</f>
        <v>475.98951617035971</v>
      </c>
      <c r="S59" s="264">
        <f>+S212</f>
        <v>1111.5269601026344</v>
      </c>
      <c r="T59" s="264"/>
      <c r="U59" s="265">
        <f>SUM(I59:T59)</f>
        <v>1554894.4199999997</v>
      </c>
      <c r="V59" s="67"/>
      <c r="W59" s="726">
        <f t="shared" si="19"/>
        <v>0</v>
      </c>
    </row>
    <row r="60" spans="1:23" ht="15.75">
      <c r="A60" s="290"/>
      <c r="B60" s="17">
        <f t="shared" si="24"/>
        <v>8</v>
      </c>
      <c r="C60" s="249"/>
      <c r="D60" s="268" t="s">
        <v>518</v>
      </c>
      <c r="E60" s="261"/>
      <c r="F60" s="269">
        <f>+F56+F58+F59</f>
        <v>412064825.12</v>
      </c>
      <c r="G60" s="261"/>
      <c r="H60" s="261"/>
      <c r="I60" s="261"/>
      <c r="J60" s="269">
        <f t="shared" si="26" ref="J60:Q60">+J56+J58+J59</f>
        <v>229587899.54124636</v>
      </c>
      <c r="K60" s="269">
        <f t="shared" si="26"/>
        <v>35396541.573533289</v>
      </c>
      <c r="L60" s="269">
        <f t="shared" si="26"/>
        <v>109181856.96496293</v>
      </c>
      <c r="M60" s="269">
        <f t="shared" si="26"/>
        <v>1533079.0479801092</v>
      </c>
      <c r="N60" s="269">
        <f t="shared" si="26"/>
        <v>31991229.925553881</v>
      </c>
      <c r="O60" s="269">
        <f>+O56+O58+O59</f>
        <v>1093236.4902374982</v>
      </c>
      <c r="P60" s="269">
        <f t="shared" si="26"/>
        <v>2379891.7441323986</v>
      </c>
      <c r="Q60" s="269">
        <f t="shared" si="26"/>
        <v>480379.78879280423</v>
      </c>
      <c r="R60" s="269">
        <f>+R56+R58+R59</f>
        <v>126142.67195048054</v>
      </c>
      <c r="S60" s="269">
        <f>+S56+S58+S59</f>
        <v>294567.37161025836</v>
      </c>
      <c r="T60" s="269"/>
      <c r="U60" s="251">
        <f>SUM(I60:T60)</f>
        <v>412064825.11999995</v>
      </c>
      <c r="V60" s="133"/>
      <c r="W60" s="726">
        <f t="shared" si="19"/>
        <v>0</v>
      </c>
    </row>
    <row r="61" spans="1:23" ht="15.75">
      <c r="A61" s="290"/>
      <c r="B61" s="17">
        <f t="shared" si="24"/>
        <v>9</v>
      </c>
      <c r="C61" s="167"/>
      <c r="D61" s="260"/>
      <c r="E61" s="261"/>
      <c r="F61" s="262"/>
      <c r="G61" s="261"/>
      <c r="H61" s="261"/>
      <c r="I61" s="261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67"/>
      <c r="W61" s="726">
        <f t="shared" si="19"/>
        <v>0</v>
      </c>
    </row>
    <row r="62" spans="1:23" ht="15.75">
      <c r="A62" s="290"/>
      <c r="B62" s="17">
        <f t="shared" si="24"/>
        <v>10</v>
      </c>
      <c r="C62" s="167"/>
      <c r="D62" s="270" t="s">
        <v>519</v>
      </c>
      <c r="E62" s="261" t="s">
        <v>36</v>
      </c>
      <c r="F62" s="262">
        <f>+F349+F308</f>
        <v>126531352.90000001</v>
      </c>
      <c r="G62" s="261"/>
      <c r="H62" s="261"/>
      <c r="I62" s="261"/>
      <c r="J62" s="262">
        <f t="shared" si="27" ref="J62:Q62">+J349+J308</f>
        <v>70498780.210039362</v>
      </c>
      <c r="K62" s="262">
        <f t="shared" si="27"/>
        <v>10869096.366029229</v>
      </c>
      <c r="L62" s="262">
        <f t="shared" si="27"/>
        <v>33526103.738381244</v>
      </c>
      <c r="M62" s="262">
        <f t="shared" si="27"/>
        <v>470757.40082176717</v>
      </c>
      <c r="N62" s="262">
        <f t="shared" si="27"/>
        <v>9823438.8296464905</v>
      </c>
      <c r="O62" s="262">
        <f>+O349+O308</f>
        <v>335696.43346557103</v>
      </c>
      <c r="P62" s="262">
        <f t="shared" si="27"/>
        <v>730785.31285197358</v>
      </c>
      <c r="Q62" s="262">
        <f t="shared" si="27"/>
        <v>147508.59786216583</v>
      </c>
      <c r="R62" s="262">
        <f>+R349+R308</f>
        <v>38734.203861412047</v>
      </c>
      <c r="S62" s="262">
        <f>+S349+S308</f>
        <v>90451.807040770422</v>
      </c>
      <c r="T62" s="262"/>
      <c r="U62" s="121">
        <f>SUM(I62:T62)</f>
        <v>126531352.89999999</v>
      </c>
      <c r="V62" s="67"/>
      <c r="W62" s="726">
        <f t="shared" si="19"/>
        <v>0</v>
      </c>
    </row>
    <row r="63" spans="1:23" ht="16.5" thickBot="1">
      <c r="A63" s="290"/>
      <c r="B63" s="17">
        <f t="shared" si="24"/>
        <v>11</v>
      </c>
      <c r="C63" s="167"/>
      <c r="D63" s="260"/>
      <c r="E63" s="261"/>
      <c r="F63" s="271"/>
      <c r="G63" s="261"/>
      <c r="H63" s="261"/>
      <c r="I63" s="26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62"/>
      <c r="V63" s="67"/>
      <c r="W63" s="726">
        <f t="shared" si="19"/>
        <v>0</v>
      </c>
    </row>
    <row r="64" spans="1:23" ht="16.5" thickBot="1">
      <c r="A64" s="290"/>
      <c r="B64" s="17">
        <f t="shared" si="24"/>
        <v>12</v>
      </c>
      <c r="C64" s="249"/>
      <c r="D64" s="1018" t="s">
        <v>520</v>
      </c>
      <c r="E64" s="1013"/>
      <c r="F64" s="1019">
        <f>+F60-F62</f>
        <v>285533472.22000003</v>
      </c>
      <c r="G64" s="1013"/>
      <c r="H64" s="1013"/>
      <c r="I64" s="1016"/>
      <c r="J64" s="1019">
        <f t="shared" si="28" ref="J64:Q64">+J60-J62</f>
        <v>159089119.33120698</v>
      </c>
      <c r="K64" s="1019">
        <f t="shared" si="28"/>
        <v>24527445.20750406</v>
      </c>
      <c r="L64" s="1019">
        <f t="shared" si="28"/>
        <v>75655753.226581693</v>
      </c>
      <c r="M64" s="1019">
        <f t="shared" si="28"/>
        <v>1062321.647158342</v>
      </c>
      <c r="N64" s="1019">
        <f t="shared" si="28"/>
        <v>22167791.09590739</v>
      </c>
      <c r="O64" s="1019">
        <f>+O60-O62</f>
        <v>757540.05677192716</v>
      </c>
      <c r="P64" s="1019">
        <f t="shared" si="28"/>
        <v>1649106.4312804251</v>
      </c>
      <c r="Q64" s="1019">
        <f t="shared" si="28"/>
        <v>332871.1909306384</v>
      </c>
      <c r="R64" s="1019">
        <f>+R60-R62</f>
        <v>87408.468089068483</v>
      </c>
      <c r="S64" s="1019">
        <f>+S60-S62</f>
        <v>204115.56456948794</v>
      </c>
      <c r="T64" s="1020"/>
      <c r="U64" s="1015">
        <f>SUM(I64:T64)</f>
        <v>285533472.22000003</v>
      </c>
      <c r="V64" s="133"/>
      <c r="W64" s="726">
        <f t="shared" si="19"/>
        <v>0</v>
      </c>
    </row>
    <row r="65" spans="1:23" ht="15.75">
      <c r="A65" s="290"/>
      <c r="B65" s="17">
        <f t="shared" si="24"/>
        <v>13</v>
      </c>
      <c r="C65" s="167"/>
      <c r="D65" s="260"/>
      <c r="E65" s="261"/>
      <c r="F65" s="12"/>
      <c r="G65" s="261"/>
      <c r="H65" s="261"/>
      <c r="I65" s="26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7"/>
      <c r="W65" s="726">
        <f t="shared" si="19"/>
        <v>0</v>
      </c>
    </row>
    <row r="66" spans="1:23" ht="15.75">
      <c r="A66" s="290"/>
      <c r="B66" s="17">
        <f t="shared" si="24"/>
        <v>14</v>
      </c>
      <c r="C66" s="167"/>
      <c r="D66" s="274" t="s">
        <v>521</v>
      </c>
      <c r="E66" s="275"/>
      <c r="F66" s="12"/>
      <c r="G66" s="275"/>
      <c r="H66" s="275"/>
      <c r="I66" s="27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7"/>
      <c r="W66" s="726">
        <f t="shared" si="19"/>
        <v>0</v>
      </c>
    </row>
    <row r="67" spans="1:23" ht="15.75">
      <c r="A67" s="290"/>
      <c r="B67" s="17">
        <f t="shared" si="24"/>
        <v>15</v>
      </c>
      <c r="C67" s="167"/>
      <c r="D67" s="41"/>
      <c r="E67" s="261"/>
      <c r="F67" s="12"/>
      <c r="G67" s="261"/>
      <c r="H67" s="261"/>
      <c r="I67" s="26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7"/>
      <c r="W67" s="726">
        <f t="shared" si="19"/>
        <v>0</v>
      </c>
    </row>
    <row r="68" spans="1:23" ht="15.75">
      <c r="A68" s="290"/>
      <c r="B68" s="17">
        <f t="shared" si="24"/>
        <v>16</v>
      </c>
      <c r="C68" s="167"/>
      <c r="D68" s="41" t="s">
        <v>116</v>
      </c>
      <c r="E68" s="261" t="s">
        <v>117</v>
      </c>
      <c r="F68" s="262">
        <f>+F237</f>
        <v>0</v>
      </c>
      <c r="G68" s="261"/>
      <c r="H68" s="261"/>
      <c r="I68" s="261"/>
      <c r="J68" s="262">
        <f t="shared" si="29" ref="J68:Q68">+J237</f>
        <v>0</v>
      </c>
      <c r="K68" s="262">
        <f t="shared" si="29"/>
        <v>0</v>
      </c>
      <c r="L68" s="262">
        <f t="shared" si="29"/>
        <v>0</v>
      </c>
      <c r="M68" s="262">
        <f t="shared" si="29"/>
        <v>0</v>
      </c>
      <c r="N68" s="262">
        <f t="shared" si="29"/>
        <v>0</v>
      </c>
      <c r="O68" s="262">
        <f>+O237</f>
        <v>0</v>
      </c>
      <c r="P68" s="262">
        <f t="shared" si="29"/>
        <v>0</v>
      </c>
      <c r="Q68" s="262">
        <f t="shared" si="29"/>
        <v>0</v>
      </c>
      <c r="R68" s="262">
        <f>+R237</f>
        <v>0</v>
      </c>
      <c r="S68" s="262">
        <f>+S237</f>
        <v>0</v>
      </c>
      <c r="T68" s="262"/>
      <c r="U68" s="121">
        <f t="shared" si="30" ref="U68:U77">SUM(I68:T68)</f>
        <v>0</v>
      </c>
      <c r="V68" s="67"/>
      <c r="W68" s="726">
        <f t="shared" si="19"/>
        <v>0</v>
      </c>
    </row>
    <row r="69" spans="1:23" ht="15.75">
      <c r="A69" s="290"/>
      <c r="B69" s="17">
        <f t="shared" si="24"/>
        <v>17</v>
      </c>
      <c r="C69" s="167"/>
      <c r="D69" s="41" t="s">
        <v>118</v>
      </c>
      <c r="E69" s="261" t="s">
        <v>119</v>
      </c>
      <c r="F69" s="262">
        <f>+F374</f>
        <v>0</v>
      </c>
      <c r="G69" s="261"/>
      <c r="H69" s="261"/>
      <c r="I69" s="261"/>
      <c r="J69" s="262">
        <f t="shared" si="31" ref="J69:Q69">+J374</f>
        <v>0</v>
      </c>
      <c r="K69" s="262">
        <f t="shared" si="31"/>
        <v>0</v>
      </c>
      <c r="L69" s="262">
        <f t="shared" si="31"/>
        <v>0</v>
      </c>
      <c r="M69" s="262">
        <f t="shared" si="31"/>
        <v>0</v>
      </c>
      <c r="N69" s="262">
        <f t="shared" si="31"/>
        <v>0</v>
      </c>
      <c r="O69" s="262">
        <f>+O374</f>
        <v>0</v>
      </c>
      <c r="P69" s="262">
        <f t="shared" si="31"/>
        <v>0</v>
      </c>
      <c r="Q69" s="262">
        <f t="shared" si="31"/>
        <v>0</v>
      </c>
      <c r="R69" s="262">
        <f>+R374</f>
        <v>0</v>
      </c>
      <c r="S69" s="262">
        <f>+S374</f>
        <v>0</v>
      </c>
      <c r="T69" s="262"/>
      <c r="U69" s="121">
        <f t="shared" si="30"/>
        <v>0</v>
      </c>
      <c r="V69" s="67"/>
      <c r="W69" s="726">
        <f t="shared" si="19"/>
        <v>0</v>
      </c>
    </row>
    <row r="70" spans="1:23" ht="15.75">
      <c r="A70" s="290"/>
      <c r="B70" s="17">
        <f t="shared" si="24"/>
        <v>18</v>
      </c>
      <c r="C70" s="167"/>
      <c r="D70" s="42" t="s">
        <v>522</v>
      </c>
      <c r="E70" s="261" t="s">
        <v>523</v>
      </c>
      <c r="F70" s="121">
        <f>F395</f>
        <v>0</v>
      </c>
      <c r="G70" s="261"/>
      <c r="H70" s="415"/>
      <c r="I70" s="261"/>
      <c r="J70" s="121">
        <f t="shared" si="32" ref="J70:Q70">J395</f>
        <v>0</v>
      </c>
      <c r="K70" s="121">
        <f t="shared" si="32"/>
        <v>0</v>
      </c>
      <c r="L70" s="121">
        <f t="shared" si="32"/>
        <v>0</v>
      </c>
      <c r="M70" s="121">
        <f t="shared" si="32"/>
        <v>0</v>
      </c>
      <c r="N70" s="121">
        <f t="shared" si="32"/>
        <v>0</v>
      </c>
      <c r="O70" s="121">
        <f>O395</f>
        <v>0</v>
      </c>
      <c r="P70" s="121">
        <f t="shared" si="32"/>
        <v>0</v>
      </c>
      <c r="Q70" s="121">
        <f t="shared" si="32"/>
        <v>0</v>
      </c>
      <c r="R70" s="121">
        <f>R395</f>
        <v>0</v>
      </c>
      <c r="S70" s="121">
        <f>S395</f>
        <v>0</v>
      </c>
      <c r="T70" s="121"/>
      <c r="U70" s="121">
        <f t="shared" si="30"/>
        <v>0</v>
      </c>
      <c r="V70" s="67"/>
      <c r="W70" s="726">
        <f t="shared" si="19"/>
        <v>0</v>
      </c>
    </row>
    <row r="71" spans="1:23" ht="15.75">
      <c r="A71" s="290"/>
      <c r="B71" s="17">
        <f t="shared" si="24"/>
        <v>19</v>
      </c>
      <c r="C71" s="167"/>
      <c r="D71" s="41" t="s">
        <v>524</v>
      </c>
      <c r="E71" s="261" t="s">
        <v>121</v>
      </c>
      <c r="F71" s="262">
        <f>+F421</f>
        <v>0</v>
      </c>
      <c r="G71" s="261"/>
      <c r="H71" s="261"/>
      <c r="I71" s="261"/>
      <c r="J71" s="262">
        <f t="shared" si="33" ref="J71:Q71">+J421</f>
        <v>0</v>
      </c>
      <c r="K71" s="262">
        <f t="shared" si="33"/>
        <v>0</v>
      </c>
      <c r="L71" s="262">
        <f t="shared" si="33"/>
        <v>0</v>
      </c>
      <c r="M71" s="262">
        <f t="shared" si="33"/>
        <v>0</v>
      </c>
      <c r="N71" s="262">
        <f t="shared" si="33"/>
        <v>0</v>
      </c>
      <c r="O71" s="262">
        <f>+O421</f>
        <v>0</v>
      </c>
      <c r="P71" s="262">
        <f t="shared" si="33"/>
        <v>0</v>
      </c>
      <c r="Q71" s="262">
        <f t="shared" si="33"/>
        <v>0</v>
      </c>
      <c r="R71" s="262">
        <f>+R421</f>
        <v>0</v>
      </c>
      <c r="S71" s="262">
        <f>+S421</f>
        <v>0</v>
      </c>
      <c r="T71" s="262"/>
      <c r="U71" s="121">
        <f t="shared" si="30"/>
        <v>0</v>
      </c>
      <c r="V71" s="67"/>
      <c r="W71" s="726">
        <f t="shared" si="19"/>
        <v>0</v>
      </c>
    </row>
    <row r="72" spans="1:23" ht="15.75">
      <c r="A72" s="290"/>
      <c r="B72" s="17">
        <f t="shared" si="24"/>
        <v>20</v>
      </c>
      <c r="C72" s="167"/>
      <c r="D72" s="41" t="s">
        <v>123</v>
      </c>
      <c r="E72" s="261" t="s">
        <v>124</v>
      </c>
      <c r="F72" s="262">
        <f>+F441</f>
        <v>141339.77999998356</v>
      </c>
      <c r="G72" s="261"/>
      <c r="H72" s="415"/>
      <c r="I72" s="261"/>
      <c r="J72" s="262">
        <f t="shared" si="34" ref="J72:Q72">+J441</f>
        <v>76146.776584158681</v>
      </c>
      <c r="K72" s="262">
        <f t="shared" si="34"/>
        <v>10714.864714453935</v>
      </c>
      <c r="L72" s="262">
        <f t="shared" si="34"/>
        <v>37949.621139888186</v>
      </c>
      <c r="M72" s="262">
        <f t="shared" si="34"/>
        <v>444.57090451901672</v>
      </c>
      <c r="N72" s="262">
        <f t="shared" si="34"/>
        <v>10343.517416658202</v>
      </c>
      <c r="O72" s="262">
        <f>+O441</f>
        <v>452.93994362985853</v>
      </c>
      <c r="P72" s="262">
        <f t="shared" si="34"/>
        <v>1191.2695436745678</v>
      </c>
      <c r="Q72" s="262">
        <f t="shared" si="34"/>
        <v>3976.2408109029993</v>
      </c>
      <c r="R72" s="262">
        <f>+R441</f>
        <v>35.971112721884623</v>
      </c>
      <c r="S72" s="262">
        <f>+S441</f>
        <v>84.007829376224649</v>
      </c>
      <c r="T72" s="262"/>
      <c r="U72" s="121">
        <f t="shared" si="30"/>
        <v>141339.77999998358</v>
      </c>
      <c r="V72" s="67"/>
      <c r="W72" s="726">
        <f t="shared" si="19"/>
        <v>0</v>
      </c>
    </row>
    <row r="73" spans="1:23" ht="15.75">
      <c r="A73" s="290"/>
      <c r="B73" s="17">
        <f t="shared" si="24"/>
        <v>21</v>
      </c>
      <c r="C73" s="167"/>
      <c r="D73" s="41" t="s">
        <v>125</v>
      </c>
      <c r="E73" s="261" t="s">
        <v>126</v>
      </c>
      <c r="F73" s="262">
        <f>+F462</f>
        <v>930191.56999999855</v>
      </c>
      <c r="G73" s="261"/>
      <c r="H73" s="261"/>
      <c r="I73" s="261"/>
      <c r="J73" s="262">
        <f t="shared" si="35" ref="J73:Q73">+J462</f>
        <v>373551.41667948826</v>
      </c>
      <c r="K73" s="262">
        <f t="shared" si="35"/>
        <v>13343.979319699176</v>
      </c>
      <c r="L73" s="262">
        <f t="shared" si="35"/>
        <v>391104.53122019512</v>
      </c>
      <c r="M73" s="262">
        <f t="shared" si="35"/>
        <v>6.7505763405828434</v>
      </c>
      <c r="N73" s="262">
        <f t="shared" si="35"/>
        <v>62886.704634140835</v>
      </c>
      <c r="O73" s="262">
        <f>+O462</f>
        <v>9894.8003110788559</v>
      </c>
      <c r="P73" s="262">
        <f t="shared" si="35"/>
        <v>74118.934259980815</v>
      </c>
      <c r="Q73" s="262">
        <f t="shared" si="35"/>
        <v>3405.0410718991493</v>
      </c>
      <c r="R73" s="262">
        <f>+R462</f>
        <v>754.99600350797471</v>
      </c>
      <c r="S73" s="262">
        <f>+S462</f>
        <v>1124.4159236675462</v>
      </c>
      <c r="T73" s="262"/>
      <c r="U73" s="121">
        <f t="shared" si="30"/>
        <v>930191.5699999982</v>
      </c>
      <c r="V73" s="67"/>
      <c r="W73" s="726">
        <f t="shared" si="19"/>
        <v>0</v>
      </c>
    </row>
    <row r="74" spans="1:23" ht="15.75">
      <c r="A74" s="290"/>
      <c r="B74" s="17">
        <f t="shared" si="24"/>
        <v>22</v>
      </c>
      <c r="C74" s="167"/>
      <c r="D74" s="42" t="s">
        <v>525</v>
      </c>
      <c r="E74" s="261" t="s">
        <v>128</v>
      </c>
      <c r="F74" s="262">
        <f>F483</f>
        <v>0</v>
      </c>
      <c r="G74" s="261"/>
      <c r="H74" s="261"/>
      <c r="I74" s="261"/>
      <c r="J74" s="262">
        <f t="shared" si="36" ref="J74:Q74">J483</f>
        <v>0</v>
      </c>
      <c r="K74" s="262">
        <f t="shared" si="36"/>
        <v>0</v>
      </c>
      <c r="L74" s="262">
        <f t="shared" si="36"/>
        <v>0</v>
      </c>
      <c r="M74" s="262">
        <f t="shared" si="36"/>
        <v>0</v>
      </c>
      <c r="N74" s="262">
        <f t="shared" si="36"/>
        <v>0</v>
      </c>
      <c r="O74" s="262">
        <f>O483</f>
        <v>0</v>
      </c>
      <c r="P74" s="262">
        <f t="shared" si="36"/>
        <v>0</v>
      </c>
      <c r="Q74" s="262">
        <f t="shared" si="36"/>
        <v>0</v>
      </c>
      <c r="R74" s="262">
        <f>R483</f>
        <v>0</v>
      </c>
      <c r="S74" s="262">
        <f>S483</f>
        <v>0</v>
      </c>
      <c r="T74" s="262"/>
      <c r="U74" s="121">
        <f t="shared" si="30"/>
        <v>0</v>
      </c>
      <c r="V74" s="67"/>
      <c r="W74" s="726">
        <f t="shared" si="19"/>
        <v>0</v>
      </c>
    </row>
    <row r="75" spans="1:23" ht="15.75">
      <c r="A75" s="290"/>
      <c r="B75" s="17">
        <f t="shared" si="24"/>
        <v>23</v>
      </c>
      <c r="C75" s="167"/>
      <c r="D75" s="42" t="s">
        <v>526</v>
      </c>
      <c r="E75" s="261" t="s">
        <v>132</v>
      </c>
      <c r="F75" s="262">
        <f>F591</f>
        <v>4277692.1731872801</v>
      </c>
      <c r="G75" s="261"/>
      <c r="H75" s="261"/>
      <c r="I75" s="261"/>
      <c r="J75" s="262">
        <f t="shared" si="37" ref="J75:Q75">J591</f>
        <v>2264002.1236945996</v>
      </c>
      <c r="K75" s="262">
        <f t="shared" si="37"/>
        <v>301750.94784220681</v>
      </c>
      <c r="L75" s="262">
        <f t="shared" si="37"/>
        <v>1156841.519279412</v>
      </c>
      <c r="M75" s="262">
        <f t="shared" si="37"/>
        <v>12169.15682724712</v>
      </c>
      <c r="N75" s="262">
        <f t="shared" si="37"/>
        <v>303153.05062901485</v>
      </c>
      <c r="O75" s="262">
        <f>O591</f>
        <v>14949.82280403507</v>
      </c>
      <c r="P75" s="262">
        <f t="shared" si="37"/>
        <v>42016.249431912642</v>
      </c>
      <c r="Q75" s="262">
        <f t="shared" si="37"/>
        <v>180872.03511701306</v>
      </c>
      <c r="R75" s="262">
        <f>R591</f>
        <v>580.74054389619141</v>
      </c>
      <c r="S75" s="262">
        <f>S591</f>
        <v>1356.5270179427826</v>
      </c>
      <c r="T75" s="262"/>
      <c r="U75" s="121">
        <f t="shared" si="30"/>
        <v>4277692.1731872801</v>
      </c>
      <c r="V75" s="67"/>
      <c r="W75" s="726">
        <f t="shared" si="19"/>
        <v>0</v>
      </c>
    </row>
    <row r="76" spans="1:23" ht="17.25">
      <c r="A76" s="290"/>
      <c r="B76" s="17">
        <f t="shared" si="24"/>
        <v>24</v>
      </c>
      <c r="C76" s="167"/>
      <c r="D76" s="42" t="s">
        <v>527</v>
      </c>
      <c r="E76" s="261" t="s">
        <v>528</v>
      </c>
      <c r="F76" s="264">
        <f>+F399</f>
        <v>-85810289.089999706</v>
      </c>
      <c r="G76" s="261"/>
      <c r="H76" s="261"/>
      <c r="I76" s="261"/>
      <c r="J76" s="264">
        <f t="shared" si="38" ref="J76:Q76">+J399</f>
        <v>-47810448.332887694</v>
      </c>
      <c r="K76" s="264">
        <f t="shared" si="38"/>
        <v>-7371139.8790871026</v>
      </c>
      <c r="L76" s="264">
        <f t="shared" si="38"/>
        <v>-22736535.948726233</v>
      </c>
      <c r="M76" s="264">
        <f t="shared" si="38"/>
        <v>-319255.48672271176</v>
      </c>
      <c r="N76" s="264">
        <f t="shared" si="38"/>
        <v>-6662001.998003562</v>
      </c>
      <c r="O76" s="264">
        <f>+O399</f>
        <v>-227660.63384249574</v>
      </c>
      <c r="P76" s="264">
        <f t="shared" si="38"/>
        <v>-495599.68751866359</v>
      </c>
      <c r="Q76" s="264">
        <f t="shared" si="38"/>
        <v>-100036.51376285068</v>
      </c>
      <c r="R76" s="264">
        <f>+R399</f>
        <v>-26268.534674134124</v>
      </c>
      <c r="S76" s="264">
        <f>+S399</f>
        <v>-61342.074774270288</v>
      </c>
      <c r="T76" s="264"/>
      <c r="U76" s="265">
        <f t="shared" si="30"/>
        <v>-85810289.089999706</v>
      </c>
      <c r="V76" s="67"/>
      <c r="W76" s="726">
        <f t="shared" si="19"/>
        <v>0</v>
      </c>
    </row>
    <row r="77" spans="1:23" ht="15.75">
      <c r="A77" s="290"/>
      <c r="B77" s="17">
        <f t="shared" si="24"/>
        <v>25</v>
      </c>
      <c r="C77" s="249"/>
      <c r="D77" s="213" t="s">
        <v>491</v>
      </c>
      <c r="E77" s="213"/>
      <c r="F77" s="269">
        <f>SUM(F68:F76)</f>
        <v>-80461065.566812441</v>
      </c>
      <c r="G77" s="213"/>
      <c r="H77" s="213"/>
      <c r="I77" s="213"/>
      <c r="J77" s="269">
        <f t="shared" si="39" ref="J77:Q77">SUM(J68:J76)</f>
        <v>-45096748.015929446</v>
      </c>
      <c r="K77" s="269">
        <f t="shared" si="39"/>
        <v>-7045330.0872107428</v>
      </c>
      <c r="L77" s="269">
        <f t="shared" si="39"/>
        <v>-21150640.277086738</v>
      </c>
      <c r="M77" s="269">
        <f t="shared" si="39"/>
        <v>-306635.00841460505</v>
      </c>
      <c r="N77" s="269">
        <f t="shared" si="39"/>
        <v>-6285618.7253237478</v>
      </c>
      <c r="O77" s="269">
        <f>SUM(O68:O76)</f>
        <v>-202363.07078375196</v>
      </c>
      <c r="P77" s="269">
        <f t="shared" si="39"/>
        <v>-378273.23428309557</v>
      </c>
      <c r="Q77" s="269">
        <f t="shared" si="39"/>
        <v>88216.803236964523</v>
      </c>
      <c r="R77" s="269">
        <f>SUM(R68:R76)</f>
        <v>-24896.827014008071</v>
      </c>
      <c r="S77" s="269">
        <f>SUM(S68:S76)</f>
        <v>-58777.124003283738</v>
      </c>
      <c r="T77" s="269"/>
      <c r="U77" s="251">
        <f t="shared" si="30"/>
        <v>-80461065.566812471</v>
      </c>
      <c r="V77" s="133"/>
      <c r="W77" s="726">
        <f t="shared" si="19"/>
        <v>0</v>
      </c>
    </row>
    <row r="78" spans="1:23" ht="15.75" thickBot="1">
      <c r="A78" s="290"/>
      <c r="B78" s="17">
        <f t="shared" si="24"/>
        <v>26</v>
      </c>
      <c r="C78" s="167"/>
      <c r="D78" s="41"/>
      <c r="E78" s="41"/>
      <c r="F78" s="12"/>
      <c r="G78" s="41"/>
      <c r="H78" s="41"/>
      <c r="I78" s="4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7"/>
      <c r="W78" s="726">
        <f t="shared" si="19"/>
        <v>0</v>
      </c>
    </row>
    <row r="79" spans="1:23" ht="16.5" thickBot="1">
      <c r="A79" s="290"/>
      <c r="B79" s="17">
        <f t="shared" si="24"/>
        <v>27</v>
      </c>
      <c r="C79" s="249"/>
      <c r="D79" s="276" t="s">
        <v>529</v>
      </c>
      <c r="E79" s="277"/>
      <c r="F79" s="278">
        <f>+F64+F77</f>
        <v>205072406.65318757</v>
      </c>
      <c r="G79" s="277"/>
      <c r="H79" s="277"/>
      <c r="I79" s="1002"/>
      <c r="J79" s="356">
        <f t="shared" si="40" ref="J79:Q79">+J64+J77</f>
        <v>113992371.31527753</v>
      </c>
      <c r="K79" s="905">
        <f t="shared" si="40"/>
        <v>17482115.120293319</v>
      </c>
      <c r="L79" s="905">
        <f t="shared" si="40"/>
        <v>54505112.949494958</v>
      </c>
      <c r="M79" s="905">
        <f t="shared" si="40"/>
        <v>755686.6387437369</v>
      </c>
      <c r="N79" s="905">
        <f t="shared" si="40"/>
        <v>15882172.370583642</v>
      </c>
      <c r="O79" s="905">
        <f>+O64+O77</f>
        <v>555176.98598817526</v>
      </c>
      <c r="P79" s="905">
        <f t="shared" si="40"/>
        <v>1270833.1969973296</v>
      </c>
      <c r="Q79" s="905">
        <f t="shared" si="40"/>
        <v>421087.99416760291</v>
      </c>
      <c r="R79" s="905">
        <f>+R64+R77</f>
        <v>62511.641075060412</v>
      </c>
      <c r="S79" s="279">
        <f>+S64+S77</f>
        <v>145338.4405662042</v>
      </c>
      <c r="T79" s="1004"/>
      <c r="U79" s="279">
        <f>SUM(I79:T79)</f>
        <v>205072406.65318757</v>
      </c>
      <c r="V79" s="133" t="b">
        <f>IF(ROUND(U79-'WP II-I-1.1'!I459,2)=0,TRUE,U79-'WP II-I-1.1'!I459)</f>
        <v>1</v>
      </c>
      <c r="W79" s="726">
        <f t="shared" si="19"/>
        <v>0</v>
      </c>
    </row>
    <row r="80" spans="1:23" ht="15">
      <c r="A80" s="290"/>
      <c r="B80" s="17">
        <f t="shared" si="24"/>
        <v>28</v>
      </c>
      <c r="C80" s="167"/>
      <c r="D80" s="281"/>
      <c r="E80" s="281"/>
      <c r="F80" s="262"/>
      <c r="G80" s="281"/>
      <c r="H80" s="281"/>
      <c r="I80" s="281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67"/>
      <c r="W80" s="726">
        <f t="shared" si="19"/>
        <v>0</v>
      </c>
    </row>
    <row r="81" spans="1:23" ht="15.75">
      <c r="A81" s="47"/>
      <c r="B81" s="17">
        <f t="shared" si="24"/>
        <v>29</v>
      </c>
      <c r="C81" s="167"/>
      <c r="D81" s="48" t="s">
        <v>530</v>
      </c>
      <c r="E81" s="281"/>
      <c r="F81" s="282">
        <f>F597</f>
        <v>0.070499999999999993</v>
      </c>
      <c r="G81" s="281"/>
      <c r="H81" s="281"/>
      <c r="I81" s="281"/>
      <c r="J81" s="282">
        <f t="shared" si="41" ref="J81:Q81">J597</f>
        <v>0.070499999999999993</v>
      </c>
      <c r="K81" s="282">
        <f t="shared" si="41"/>
        <v>0.070499999999999993</v>
      </c>
      <c r="L81" s="282">
        <f t="shared" si="41"/>
        <v>0.070499999999999993</v>
      </c>
      <c r="M81" s="282">
        <f t="shared" si="41"/>
        <v>0.070499999999999993</v>
      </c>
      <c r="N81" s="282">
        <f t="shared" si="41"/>
        <v>0.070499999999999993</v>
      </c>
      <c r="O81" s="282">
        <f>O597</f>
        <v>0.070499999999999993</v>
      </c>
      <c r="P81" s="282">
        <f t="shared" si="41"/>
        <v>0.070499999999999993</v>
      </c>
      <c r="Q81" s="282">
        <f t="shared" si="41"/>
        <v>0.070499999999999993</v>
      </c>
      <c r="R81" s="282">
        <f>R597</f>
        <v>0.070499999999999993</v>
      </c>
      <c r="S81" s="282">
        <f>S597</f>
        <v>0.070499999999999993</v>
      </c>
      <c r="T81" s="282"/>
      <c r="U81" s="282">
        <f>U83/U79</f>
        <v>0.070499999999999979</v>
      </c>
      <c r="V81" s="67"/>
      <c r="W81" s="726">
        <f t="shared" si="19"/>
        <v>0</v>
      </c>
    </row>
    <row r="82" spans="1:23" ht="15.75" thickBot="1">
      <c r="A82" s="611"/>
      <c r="B82" s="17">
        <f t="shared" si="24"/>
        <v>30</v>
      </c>
      <c r="C82" s="167"/>
      <c r="D82" s="1"/>
      <c r="E82" s="1"/>
      <c r="F82" s="262"/>
      <c r="G82" s="1"/>
      <c r="H82" s="1"/>
      <c r="I82" s="1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67"/>
      <c r="W82" s="726">
        <f t="shared" si="19"/>
        <v>0</v>
      </c>
    </row>
    <row r="83" spans="1:23" ht="16.5" thickBot="1">
      <c r="A83" s="147"/>
      <c r="B83" s="17">
        <f t="shared" si="24"/>
        <v>31</v>
      </c>
      <c r="C83" s="249"/>
      <c r="D83" s="284" t="s">
        <v>531</v>
      </c>
      <c r="E83" s="285"/>
      <c r="F83" s="278">
        <f>+F79*F81</f>
        <v>14457604.669049723</v>
      </c>
      <c r="G83" s="285"/>
      <c r="H83" s="285"/>
      <c r="I83" s="1003"/>
      <c r="J83" s="356">
        <f t="shared" si="42" ref="J83:Q83">+J79*J81</f>
        <v>8036462.177727065</v>
      </c>
      <c r="K83" s="905">
        <f t="shared" si="42"/>
        <v>1232489.1159806789</v>
      </c>
      <c r="L83" s="905">
        <f t="shared" si="42"/>
        <v>3842610.4629393942</v>
      </c>
      <c r="M83" s="905">
        <f t="shared" si="42"/>
        <v>53275.90803143345</v>
      </c>
      <c r="N83" s="905">
        <f t="shared" si="42"/>
        <v>1119693.1521261467</v>
      </c>
      <c r="O83" s="905">
        <f>+O79*O81</f>
        <v>39139.977512166355</v>
      </c>
      <c r="P83" s="905">
        <f t="shared" si="42"/>
        <v>89593.740388311722</v>
      </c>
      <c r="Q83" s="905">
        <f t="shared" si="42"/>
        <v>29686.703588816003</v>
      </c>
      <c r="R83" s="905">
        <f>+R79*R81</f>
        <v>4407.0706957917582</v>
      </c>
      <c r="S83" s="279">
        <f>+S79*S81</f>
        <v>10246.360059917395</v>
      </c>
      <c r="T83" s="279"/>
      <c r="U83" s="279">
        <f>SUM(I83:T83)</f>
        <v>14457604.669049719</v>
      </c>
      <c r="V83" s="133" t="b">
        <f>IF(ROUND(U83-'WP II-I-1.1'!I461,2)=0,TRUE,U83-'WP II-I-1.1'!I461)</f>
        <v>1</v>
      </c>
      <c r="W83" s="726">
        <f t="shared" si="19"/>
        <v>0</v>
      </c>
    </row>
    <row r="84" spans="1:23" ht="15.75">
      <c r="A84" s="147"/>
      <c r="B84" s="17"/>
      <c r="C84" s="249"/>
      <c r="V84" s="133"/>
      <c r="W84" s="167"/>
    </row>
    <row r="85" spans="1:23" ht="15.75">
      <c r="A85" s="147"/>
      <c r="B85" s="17"/>
      <c r="C85" s="249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33"/>
      <c r="W85" s="167"/>
    </row>
    <row r="86" spans="1:23" ht="15.75">
      <c r="A86" s="147"/>
      <c r="B86" s="17"/>
      <c r="C86" s="249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33"/>
      <c r="W86" s="167"/>
    </row>
    <row r="87" spans="1:23" ht="15.75">
      <c r="A87" s="147"/>
      <c r="B87" s="17"/>
      <c r="C87" s="249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33"/>
      <c r="W87" s="167"/>
    </row>
    <row r="88" spans="1:23" ht="15.75">
      <c r="A88" s="147"/>
      <c r="B88" s="17"/>
      <c r="C88" s="249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33"/>
      <c r="W88" s="167"/>
    </row>
    <row r="89" spans="1:23" ht="15.75">
      <c r="A89" s="147"/>
      <c r="B89" s="17"/>
      <c r="C89" s="249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33"/>
      <c r="W89" s="167"/>
    </row>
    <row r="90" spans="1:23" ht="16.5" thickBot="1">
      <c r="A90" s="147"/>
      <c r="B90" s="133"/>
      <c r="C90" s="17"/>
      <c r="V90" s="133"/>
      <c r="W90" s="167"/>
    </row>
    <row r="91" spans="1:23" ht="15.75">
      <c r="A91" s="47"/>
      <c r="B91" s="920" t="str">
        <f>+$B$4</f>
        <v>2022 RATE CASE</v>
      </c>
      <c r="C91" s="935"/>
      <c r="D91" s="401"/>
      <c r="V91" s="134">
        <f>$H$2</f>
        <v>0</v>
      </c>
      <c r="W91" s="167"/>
    </row>
    <row r="92" spans="1:23" ht="15.75">
      <c r="A92" s="290"/>
      <c r="B92" s="917" t="str">
        <f>+$B$5</f>
        <v>ONCOR ELECTRIC DELIVERY COMPANY LLC</v>
      </c>
      <c r="C92" s="8"/>
      <c r="D92" s="405"/>
      <c r="V92" s="67"/>
      <c r="W92" s="167"/>
    </row>
    <row r="93" spans="1:23" ht="15.75">
      <c r="A93" s="47"/>
      <c r="B93" s="917" t="str">
        <f>+$B$6</f>
        <v>II-I-1-TBILLTDCS:  CLASS REVENUE REQUIREMENT</v>
      </c>
      <c r="C93" s="85"/>
      <c r="D93" s="405"/>
      <c r="V93" s="67"/>
      <c r="W93" s="167"/>
    </row>
    <row r="94" spans="1:23" ht="15.75">
      <c r="A94" s="47"/>
      <c r="B94" s="406" t="str">
        <f>+$B$7</f>
        <v>TEST YEAR ENDING 12/31/2021</v>
      </c>
      <c r="C94" s="85"/>
      <c r="D94" s="405"/>
      <c r="V94" s="67"/>
      <c r="W94" s="167"/>
    </row>
    <row r="95" spans="1:23" ht="15.75">
      <c r="A95" s="47"/>
      <c r="B95" s="406" t="str">
        <f>+$B$8</f>
        <v>SPONSOR:  MATTHEW A. TROXLE</v>
      </c>
      <c r="C95" s="85"/>
      <c r="D95" s="405"/>
      <c r="V95" s="67"/>
      <c r="W95" s="167"/>
    </row>
    <row r="96" spans="1:23" ht="16.5" thickBot="1">
      <c r="A96" s="47"/>
      <c r="B96" s="410"/>
      <c r="C96" s="934"/>
      <c r="D96" s="93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12"/>
      <c r="V96" s="67"/>
      <c r="W96" s="167"/>
    </row>
    <row r="97" spans="1:23" ht="15.75" thickBot="1">
      <c r="A97" s="47"/>
      <c r="B97" s="13"/>
      <c r="C97" s="14"/>
      <c r="D97" s="14"/>
      <c r="E97" s="14"/>
      <c r="F97" s="14"/>
      <c r="G97" s="14"/>
      <c r="H97" s="14"/>
      <c r="I97" s="14"/>
      <c r="J97" s="238"/>
      <c r="K97" s="238"/>
      <c r="L97" s="14"/>
      <c r="M97" s="238"/>
      <c r="N97" s="238"/>
      <c r="O97" s="238"/>
      <c r="P97" s="238"/>
      <c r="Q97" s="14"/>
      <c r="R97" s="393" t="str">
        <f>R$10</f>
        <v xml:space="preserve"> </v>
      </c>
      <c r="S97" s="394"/>
      <c r="T97" s="238"/>
      <c r="U97" s="13"/>
      <c r="V97" s="67"/>
      <c r="W97" s="167"/>
    </row>
    <row r="98" spans="1:23" ht="15.75">
      <c r="A98" s="47"/>
      <c r="B98" s="15" t="s">
        <v>2</v>
      </c>
      <c r="C98" s="15" t="s">
        <v>370</v>
      </c>
      <c r="D98" s="287" t="s">
        <v>532</v>
      </c>
      <c r="E98" s="15" t="s">
        <v>371</v>
      </c>
      <c r="F98" s="287" t="str">
        <f>F$11</f>
        <v>TBILLTDCS</v>
      </c>
      <c r="G98" s="242" t="s">
        <v>741</v>
      </c>
      <c r="H98" s="242" t="s">
        <v>376</v>
      </c>
      <c r="I98" s="15"/>
      <c r="J98" s="242" t="s">
        <v>730</v>
      </c>
      <c r="K98" s="242" t="s">
        <v>409</v>
      </c>
      <c r="L98" s="15" t="s">
        <v>409</v>
      </c>
      <c r="M98" s="242" t="s">
        <v>410</v>
      </c>
      <c r="N98" s="242" t="s">
        <v>410</v>
      </c>
      <c r="O98" s="242" t="s">
        <v>410</v>
      </c>
      <c r="P98" s="242" t="s">
        <v>411</v>
      </c>
      <c r="Q98" s="15" t="s">
        <v>412</v>
      </c>
      <c r="R98" s="396" t="str">
        <f>R$11</f>
        <v>Wholesale</v>
      </c>
      <c r="S98" s="13" t="str">
        <f>S$11</f>
        <v>Wholesale</v>
      </c>
      <c r="T98" s="242"/>
      <c r="U98" s="15" t="s">
        <v>10</v>
      </c>
      <c r="V98" s="67"/>
      <c r="W98" s="167"/>
    </row>
    <row r="99" spans="1:23" ht="15">
      <c r="A99" s="47"/>
      <c r="B99" s="15"/>
      <c r="C99" s="15"/>
      <c r="D99" s="15"/>
      <c r="E99" s="15"/>
      <c r="F99" s="15"/>
      <c r="G99" s="242" t="s">
        <v>742</v>
      </c>
      <c r="H99" s="242" t="s">
        <v>743</v>
      </c>
      <c r="I99" s="15"/>
      <c r="J99" s="242"/>
      <c r="K99" s="242" t="s">
        <v>731</v>
      </c>
      <c r="L99" s="15" t="s">
        <v>732</v>
      </c>
      <c r="M99" s="242" t="s">
        <v>731</v>
      </c>
      <c r="N99" s="242" t="s">
        <v>732</v>
      </c>
      <c r="O99" s="242" t="s">
        <v>414</v>
      </c>
      <c r="P99" s="242"/>
      <c r="Q99" s="15"/>
      <c r="R99" s="235" t="str">
        <f>R$12</f>
        <v>XFMR</v>
      </c>
      <c r="S99" s="15" t="str">
        <f>S$12</f>
        <v>DLS</v>
      </c>
      <c r="T99" s="242"/>
      <c r="U99" s="15"/>
      <c r="V99" s="67"/>
      <c r="W99" s="167"/>
    </row>
    <row r="100" spans="1:23" ht="15.75" thickBot="1">
      <c r="A100" s="47"/>
      <c r="B100" s="16"/>
      <c r="C100" s="16"/>
      <c r="D100" s="16"/>
      <c r="E100" s="16"/>
      <c r="F100" s="16" t="s">
        <v>13</v>
      </c>
      <c r="G100" s="16" t="s">
        <v>14</v>
      </c>
      <c r="H100" s="16" t="s">
        <v>15</v>
      </c>
      <c r="I100" s="16"/>
      <c r="J100" s="243" t="str">
        <f t="shared" si="43" ref="J100:Q100">J$13</f>
        <v>(d)</v>
      </c>
      <c r="K100" s="243" t="str">
        <f t="shared" si="43"/>
        <v>(e)</v>
      </c>
      <c r="L100" s="16" t="str">
        <f t="shared" si="43"/>
        <v>(f)</v>
      </c>
      <c r="M100" s="243" t="str">
        <f t="shared" si="43"/>
        <v>(g)</v>
      </c>
      <c r="N100" s="243" t="str">
        <f t="shared" si="43"/>
        <v>(h)</v>
      </c>
      <c r="O100" s="243" t="str">
        <f>O$13</f>
        <v>(i)</v>
      </c>
      <c r="P100" s="243" t="str">
        <f t="shared" si="43"/>
        <v>(j)</v>
      </c>
      <c r="Q100" s="243" t="str">
        <f t="shared" si="43"/>
        <v>(k)</v>
      </c>
      <c r="R100" s="243" t="str">
        <f>R$13</f>
        <v>(l)</v>
      </c>
      <c r="S100" s="16" t="str">
        <f>S$13</f>
        <v>(m)</v>
      </c>
      <c r="T100" s="16"/>
      <c r="U100" s="16" t="s">
        <v>734</v>
      </c>
      <c r="V100" s="67"/>
      <c r="W100" s="167"/>
    </row>
    <row r="101" spans="1:23" ht="15">
      <c r="A101" s="47"/>
      <c r="B101" s="67"/>
      <c r="C101" s="67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67"/>
      <c r="W101" s="726">
        <f t="shared" si="44" ref="W101:W118">F101-U101</f>
        <v>0</v>
      </c>
    </row>
    <row r="102" spans="1:23" ht="15.75">
      <c r="A102" s="47"/>
      <c r="B102" s="17">
        <f t="shared" si="45" ref="B102:B118">B101+1</f>
        <v>1</v>
      </c>
      <c r="C102" s="8" t="s">
        <v>533</v>
      </c>
      <c r="D102" s="8"/>
      <c r="E102" s="20" t="s">
        <v>24</v>
      </c>
      <c r="F102" s="20"/>
      <c r="G102" s="20"/>
      <c r="H102" s="20"/>
      <c r="I102" s="1010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1010"/>
      <c r="U102" s="8"/>
      <c r="V102" s="67"/>
      <c r="W102" s="726">
        <f t="shared" si="44"/>
        <v>0</v>
      </c>
    </row>
    <row r="103" spans="1:23" ht="15">
      <c r="A103" s="47"/>
      <c r="B103" s="17">
        <f t="shared" si="45"/>
        <v>2</v>
      </c>
      <c r="C103" s="1" t="s">
        <v>25</v>
      </c>
      <c r="D103" s="1" t="s">
        <v>26</v>
      </c>
      <c r="E103" s="17"/>
      <c r="F103" s="118">
        <f>' WP II-I-1.4'!I103</f>
        <v>0</v>
      </c>
      <c r="G103" s="17">
        <v>65</v>
      </c>
      <c r="H103" s="47" t="str">
        <f>VLOOKUP(G103,FactorTable,2)</f>
        <v>PLT_N XINT</v>
      </c>
      <c r="I103" s="17"/>
      <c r="J103" s="434">
        <f t="shared" si="46" ref="J103:S105">$F103*HLOOKUP(J$1318,FactorTable,$G103+1)</f>
        <v>0</v>
      </c>
      <c r="K103" s="434">
        <f t="shared" si="46"/>
        <v>0</v>
      </c>
      <c r="L103" s="434">
        <f t="shared" si="46"/>
        <v>0</v>
      </c>
      <c r="M103" s="434">
        <f t="shared" si="46"/>
        <v>0</v>
      </c>
      <c r="N103" s="434">
        <f t="shared" si="46"/>
        <v>0</v>
      </c>
      <c r="O103" s="434">
        <f t="shared" si="46"/>
        <v>0</v>
      </c>
      <c r="P103" s="434">
        <f t="shared" si="46"/>
        <v>0</v>
      </c>
      <c r="Q103" s="434">
        <f t="shared" si="46"/>
        <v>0</v>
      </c>
      <c r="R103" s="434">
        <f t="shared" si="46"/>
        <v>0</v>
      </c>
      <c r="S103" s="434">
        <f t="shared" si="46"/>
        <v>0</v>
      </c>
      <c r="T103" s="17"/>
      <c r="U103" s="118">
        <f>SUM(I103:T103)</f>
        <v>0</v>
      </c>
      <c r="V103" s="67"/>
      <c r="W103" s="726">
        <f t="shared" si="44"/>
        <v>0</v>
      </c>
    </row>
    <row r="104" spans="1:23" ht="15">
      <c r="A104" s="47"/>
      <c r="B104" s="17">
        <f t="shared" si="45"/>
        <v>3</v>
      </c>
      <c r="C104" s="1" t="s">
        <v>27</v>
      </c>
      <c r="D104" s="1" t="s">
        <v>28</v>
      </c>
      <c r="E104" s="17"/>
      <c r="F104" s="118">
        <f>' WP II-I-1.4'!I104</f>
        <v>0</v>
      </c>
      <c r="G104" s="17">
        <v>65</v>
      </c>
      <c r="H104" s="47" t="str">
        <f>VLOOKUP(G104,FactorTable,2)</f>
        <v>PLT_N XINT</v>
      </c>
      <c r="I104" s="17"/>
      <c r="J104" s="434">
        <f t="shared" si="46"/>
        <v>0</v>
      </c>
      <c r="K104" s="434">
        <f t="shared" si="46"/>
        <v>0</v>
      </c>
      <c r="L104" s="434">
        <f t="shared" si="46"/>
        <v>0</v>
      </c>
      <c r="M104" s="434">
        <f t="shared" si="46"/>
        <v>0</v>
      </c>
      <c r="N104" s="434">
        <f t="shared" si="46"/>
        <v>0</v>
      </c>
      <c r="O104" s="434">
        <f t="shared" si="46"/>
        <v>0</v>
      </c>
      <c r="P104" s="434">
        <f t="shared" si="46"/>
        <v>0</v>
      </c>
      <c r="Q104" s="434">
        <f t="shared" si="46"/>
        <v>0</v>
      </c>
      <c r="R104" s="434">
        <f t="shared" si="46"/>
        <v>0</v>
      </c>
      <c r="S104" s="434">
        <f t="shared" si="46"/>
        <v>0</v>
      </c>
      <c r="T104" s="17"/>
      <c r="U104" s="118">
        <f>SUM(I104:T104)</f>
        <v>0</v>
      </c>
      <c r="V104" s="67"/>
      <c r="W104" s="726">
        <f t="shared" si="44"/>
        <v>0</v>
      </c>
    </row>
    <row r="105" spans="1:23" ht="15">
      <c r="A105" s="47"/>
      <c r="B105" s="17">
        <f t="shared" si="45"/>
        <v>4</v>
      </c>
      <c r="C105" s="1" t="s">
        <v>29</v>
      </c>
      <c r="D105" s="1" t="s">
        <v>34</v>
      </c>
      <c r="E105" s="17"/>
      <c r="F105" s="118">
        <f>' WP II-I-1.4'!I105</f>
        <v>310409174.74000001</v>
      </c>
      <c r="G105" s="17">
        <v>65</v>
      </c>
      <c r="H105" s="47" t="str">
        <f>VLOOKUP(G105,FactorTable,2)</f>
        <v>PLT_N XINT</v>
      </c>
      <c r="I105" s="17"/>
      <c r="J105" s="435">
        <f t="shared" si="46"/>
        <v>172948978.12773615</v>
      </c>
      <c r="K105" s="435">
        <f t="shared" si="46"/>
        <v>26664278.503487542</v>
      </c>
      <c r="L105" s="435">
        <f t="shared" si="46"/>
        <v>82246889.44805041</v>
      </c>
      <c r="M105" s="435">
        <f t="shared" si="46"/>
        <v>1154871.2073545856</v>
      </c>
      <c r="N105" s="435">
        <f t="shared" si="46"/>
        <v>24099051.107351582</v>
      </c>
      <c r="O105" s="435">
        <f t="shared" si="46"/>
        <v>823537.01661249879</v>
      </c>
      <c r="P105" s="435">
        <f t="shared" si="46"/>
        <v>1792776.7361641312</v>
      </c>
      <c r="Q105" s="435">
        <f t="shared" si="46"/>
        <v>361870.95988483209</v>
      </c>
      <c r="R105" s="435">
        <f t="shared" si="46"/>
        <v>95023.501916826775</v>
      </c>
      <c r="S105" s="435">
        <f t="shared" si="46"/>
        <v>221898.13144143872</v>
      </c>
      <c r="T105" s="17"/>
      <c r="U105" s="118">
        <f>SUM(I105:T105)</f>
        <v>310409174.73999995</v>
      </c>
      <c r="V105" s="67"/>
      <c r="W105" s="726">
        <f t="shared" si="44"/>
        <v>0</v>
      </c>
    </row>
    <row r="106" spans="1:23" ht="15.75">
      <c r="A106" s="47"/>
      <c r="B106" s="17">
        <f t="shared" si="45"/>
        <v>5</v>
      </c>
      <c r="C106" s="8"/>
      <c r="D106" s="297" t="s">
        <v>491</v>
      </c>
      <c r="E106" s="20"/>
      <c r="F106" s="298">
        <f>SUM(F103:F105)</f>
        <v>310409174.74000001</v>
      </c>
      <c r="G106" s="17"/>
      <c r="H106" s="20"/>
      <c r="I106" s="1010"/>
      <c r="J106" s="907">
        <f t="shared" si="47" ref="J106:Q106">SUM(J103:J105)</f>
        <v>172948978.12773615</v>
      </c>
      <c r="K106" s="907">
        <f t="shared" si="47"/>
        <v>26664278.503487542</v>
      </c>
      <c r="L106" s="907">
        <f t="shared" si="47"/>
        <v>82246889.44805041</v>
      </c>
      <c r="M106" s="907">
        <f t="shared" si="47"/>
        <v>1154871.2073545856</v>
      </c>
      <c r="N106" s="907">
        <f t="shared" si="47"/>
        <v>24099051.107351582</v>
      </c>
      <c r="O106" s="907">
        <f>SUM(O103:O105)</f>
        <v>823537.01661249879</v>
      </c>
      <c r="P106" s="907">
        <f t="shared" si="47"/>
        <v>1792776.7361641312</v>
      </c>
      <c r="Q106" s="907">
        <f t="shared" si="47"/>
        <v>361870.95988483209</v>
      </c>
      <c r="R106" s="907">
        <f>SUM(R103:R105)</f>
        <v>95023.501916826775</v>
      </c>
      <c r="S106" s="907">
        <f>SUM(S103:S105)</f>
        <v>221898.13144143872</v>
      </c>
      <c r="T106" s="1010"/>
      <c r="U106" s="299">
        <f>SUM(I106:T106)</f>
        <v>310409174.73999995</v>
      </c>
      <c r="V106" s="67"/>
      <c r="W106" s="726">
        <f t="shared" si="44"/>
        <v>0</v>
      </c>
    </row>
    <row r="107" spans="1:23" ht="15.75">
      <c r="A107" s="47"/>
      <c r="B107" s="17">
        <f t="shared" si="45"/>
        <v>6</v>
      </c>
      <c r="C107" s="8" t="s">
        <v>566</v>
      </c>
      <c r="D107" s="8"/>
      <c r="E107" s="20" t="s">
        <v>24</v>
      </c>
      <c r="F107" s="20"/>
      <c r="G107" s="17"/>
      <c r="H107" s="17"/>
      <c r="I107" s="1010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10"/>
      <c r="U107" s="8"/>
      <c r="V107" s="67"/>
      <c r="W107" s="726">
        <f t="shared" si="44"/>
        <v>0</v>
      </c>
    </row>
    <row r="108" spans="1:23" ht="15.75">
      <c r="A108" s="47"/>
      <c r="B108" s="17">
        <f t="shared" si="45"/>
        <v>7</v>
      </c>
      <c r="C108" s="1" t="s">
        <v>39</v>
      </c>
      <c r="D108" s="1" t="s">
        <v>40</v>
      </c>
      <c r="E108" s="20"/>
      <c r="F108" s="118">
        <f>' WP II-I-1.4'!I108</f>
        <v>0</v>
      </c>
      <c r="G108" s="17">
        <v>28</v>
      </c>
      <c r="H108" s="28" t="str">
        <f t="shared" si="48" ref="H108:H117">VLOOKUP(G108,FactorTable,2)</f>
        <v>NCP XHV</v>
      </c>
      <c r="I108" s="1010"/>
      <c r="J108" s="19">
        <f t="shared" si="49" ref="J108:S117">$F108*HLOOKUP(J$1318,FactorTable,$G108+1)</f>
        <v>0</v>
      </c>
      <c r="K108" s="19">
        <f t="shared" si="49"/>
        <v>0</v>
      </c>
      <c r="L108" s="19">
        <f t="shared" si="49"/>
        <v>0</v>
      </c>
      <c r="M108" s="19">
        <f t="shared" si="49"/>
        <v>0</v>
      </c>
      <c r="N108" s="19">
        <f t="shared" si="49"/>
        <v>0</v>
      </c>
      <c r="O108" s="19">
        <f t="shared" si="49"/>
        <v>0</v>
      </c>
      <c r="P108" s="19">
        <f t="shared" si="49"/>
        <v>0</v>
      </c>
      <c r="Q108" s="19">
        <f t="shared" si="49"/>
        <v>0</v>
      </c>
      <c r="R108" s="19">
        <f t="shared" si="49"/>
        <v>0</v>
      </c>
      <c r="S108" s="19">
        <f t="shared" si="49"/>
        <v>0</v>
      </c>
      <c r="T108" s="1010"/>
      <c r="U108" s="118">
        <f t="shared" si="50" ref="U108:U118">SUM(I108:T108)</f>
        <v>0</v>
      </c>
      <c r="V108" s="67"/>
      <c r="W108" s="726">
        <f t="shared" si="44"/>
        <v>0</v>
      </c>
    </row>
    <row r="109" spans="1:23" ht="15">
      <c r="A109" s="47"/>
      <c r="B109" s="17">
        <f t="shared" si="45"/>
        <v>8</v>
      </c>
      <c r="C109" s="1" t="s">
        <v>41</v>
      </c>
      <c r="D109" s="1" t="s">
        <v>42</v>
      </c>
      <c r="E109" s="17"/>
      <c r="F109" s="118">
        <f>' WP II-I-1.4'!I109</f>
        <v>0</v>
      </c>
      <c r="G109" s="17">
        <v>28</v>
      </c>
      <c r="H109" s="28" t="str">
        <f t="shared" si="48"/>
        <v>NCP XHV</v>
      </c>
      <c r="I109" s="17"/>
      <c r="J109" s="19">
        <f t="shared" si="49"/>
        <v>0</v>
      </c>
      <c r="K109" s="19">
        <f t="shared" si="49"/>
        <v>0</v>
      </c>
      <c r="L109" s="19">
        <f t="shared" si="49"/>
        <v>0</v>
      </c>
      <c r="M109" s="19">
        <f t="shared" si="49"/>
        <v>0</v>
      </c>
      <c r="N109" s="19">
        <f t="shared" si="49"/>
        <v>0</v>
      </c>
      <c r="O109" s="19">
        <f t="shared" si="49"/>
        <v>0</v>
      </c>
      <c r="P109" s="19">
        <f t="shared" si="49"/>
        <v>0</v>
      </c>
      <c r="Q109" s="19">
        <f t="shared" si="49"/>
        <v>0</v>
      </c>
      <c r="R109" s="19">
        <f t="shared" si="49"/>
        <v>0</v>
      </c>
      <c r="S109" s="19">
        <f t="shared" si="49"/>
        <v>0</v>
      </c>
      <c r="T109" s="17"/>
      <c r="U109" s="118">
        <f t="shared" si="50"/>
        <v>0</v>
      </c>
      <c r="V109" s="67"/>
      <c r="W109" s="726">
        <f t="shared" si="44"/>
        <v>0</v>
      </c>
    </row>
    <row r="110" spans="1:23" ht="15">
      <c r="A110" s="47"/>
      <c r="B110" s="17">
        <f t="shared" si="45"/>
        <v>9</v>
      </c>
      <c r="C110" s="1" t="s">
        <v>43</v>
      </c>
      <c r="D110" s="1" t="s">
        <v>44</v>
      </c>
      <c r="E110" s="17"/>
      <c r="F110" s="118">
        <f>' WP II-I-1.4'!I110</f>
        <v>0</v>
      </c>
      <c r="G110" s="17">
        <v>28</v>
      </c>
      <c r="H110" s="28" t="str">
        <f t="shared" si="48"/>
        <v>NCP XHV</v>
      </c>
      <c r="I110" s="17"/>
      <c r="J110" s="19">
        <f t="shared" si="49"/>
        <v>0</v>
      </c>
      <c r="K110" s="19">
        <f t="shared" si="49"/>
        <v>0</v>
      </c>
      <c r="L110" s="19">
        <f t="shared" si="49"/>
        <v>0</v>
      </c>
      <c r="M110" s="19">
        <f t="shared" si="49"/>
        <v>0</v>
      </c>
      <c r="N110" s="19">
        <f t="shared" si="49"/>
        <v>0</v>
      </c>
      <c r="O110" s="19">
        <f t="shared" si="49"/>
        <v>0</v>
      </c>
      <c r="P110" s="19">
        <f t="shared" si="49"/>
        <v>0</v>
      </c>
      <c r="Q110" s="19">
        <f t="shared" si="49"/>
        <v>0</v>
      </c>
      <c r="R110" s="19">
        <f t="shared" si="49"/>
        <v>0</v>
      </c>
      <c r="S110" s="19">
        <f t="shared" si="49"/>
        <v>0</v>
      </c>
      <c r="T110" s="17"/>
      <c r="U110" s="118">
        <f t="shared" si="50"/>
        <v>0</v>
      </c>
      <c r="V110" s="67"/>
      <c r="W110" s="726">
        <f t="shared" si="44"/>
        <v>0</v>
      </c>
    </row>
    <row r="111" spans="1:23" ht="15">
      <c r="A111" s="47"/>
      <c r="B111" s="17">
        <f t="shared" si="45"/>
        <v>10</v>
      </c>
      <c r="C111" s="1" t="s">
        <v>45</v>
      </c>
      <c r="D111" s="1" t="s">
        <v>46</v>
      </c>
      <c r="E111" s="17"/>
      <c r="F111" s="118">
        <f>' WP II-I-1.4'!I111</f>
        <v>0</v>
      </c>
      <c r="G111" s="17">
        <v>28</v>
      </c>
      <c r="H111" s="28" t="str">
        <f t="shared" si="48"/>
        <v>NCP XHV</v>
      </c>
      <c r="I111" s="17"/>
      <c r="J111" s="19">
        <f t="shared" si="49"/>
        <v>0</v>
      </c>
      <c r="K111" s="19">
        <f t="shared" si="49"/>
        <v>0</v>
      </c>
      <c r="L111" s="19">
        <f t="shared" si="49"/>
        <v>0</v>
      </c>
      <c r="M111" s="19">
        <f t="shared" si="49"/>
        <v>0</v>
      </c>
      <c r="N111" s="19">
        <f t="shared" si="49"/>
        <v>0</v>
      </c>
      <c r="O111" s="19">
        <f t="shared" si="49"/>
        <v>0</v>
      </c>
      <c r="P111" s="19">
        <f t="shared" si="49"/>
        <v>0</v>
      </c>
      <c r="Q111" s="19">
        <f t="shared" si="49"/>
        <v>0</v>
      </c>
      <c r="R111" s="19">
        <f t="shared" si="49"/>
        <v>0</v>
      </c>
      <c r="S111" s="19">
        <f t="shared" si="49"/>
        <v>0</v>
      </c>
      <c r="T111" s="17"/>
      <c r="U111" s="118">
        <f t="shared" si="50"/>
        <v>0</v>
      </c>
      <c r="V111" s="67"/>
      <c r="W111" s="726">
        <f t="shared" si="44"/>
        <v>0</v>
      </c>
    </row>
    <row r="112" spans="1:23" ht="15">
      <c r="A112" s="47"/>
      <c r="B112" s="17">
        <f t="shared" si="45"/>
        <v>11</v>
      </c>
      <c r="C112" s="1" t="s">
        <v>47</v>
      </c>
      <c r="D112" s="1" t="s">
        <v>48</v>
      </c>
      <c r="E112" s="17"/>
      <c r="F112" s="118">
        <f>' WP II-I-1.4'!I112</f>
        <v>0</v>
      </c>
      <c r="G112" s="17">
        <v>28</v>
      </c>
      <c r="H112" s="28" t="str">
        <f t="shared" si="48"/>
        <v>NCP XHV</v>
      </c>
      <c r="I112" s="17"/>
      <c r="J112" s="19">
        <f t="shared" si="49"/>
        <v>0</v>
      </c>
      <c r="K112" s="19">
        <f t="shared" si="49"/>
        <v>0</v>
      </c>
      <c r="L112" s="19">
        <f t="shared" si="49"/>
        <v>0</v>
      </c>
      <c r="M112" s="19">
        <f t="shared" si="49"/>
        <v>0</v>
      </c>
      <c r="N112" s="19">
        <f t="shared" si="49"/>
        <v>0</v>
      </c>
      <c r="O112" s="19">
        <f t="shared" si="49"/>
        <v>0</v>
      </c>
      <c r="P112" s="19">
        <f t="shared" si="49"/>
        <v>0</v>
      </c>
      <c r="Q112" s="19">
        <f t="shared" si="49"/>
        <v>0</v>
      </c>
      <c r="R112" s="19">
        <f t="shared" si="49"/>
        <v>0</v>
      </c>
      <c r="S112" s="19">
        <f t="shared" si="49"/>
        <v>0</v>
      </c>
      <c r="T112" s="17"/>
      <c r="U112" s="118">
        <f t="shared" si="50"/>
        <v>0</v>
      </c>
      <c r="V112" s="67"/>
      <c r="W112" s="726">
        <f t="shared" si="44"/>
        <v>0</v>
      </c>
    </row>
    <row r="113" spans="1:23" ht="15">
      <c r="A113" s="47"/>
      <c r="B113" s="17">
        <f t="shared" si="45"/>
        <v>12</v>
      </c>
      <c r="C113" s="1" t="s">
        <v>49</v>
      </c>
      <c r="D113" s="1" t="s">
        <v>50</v>
      </c>
      <c r="E113" s="17"/>
      <c r="F113" s="118">
        <f>' WP II-I-1.4'!I113</f>
        <v>0</v>
      </c>
      <c r="G113" s="17">
        <v>28</v>
      </c>
      <c r="H113" s="28" t="str">
        <f t="shared" si="48"/>
        <v>NCP XHV</v>
      </c>
      <c r="I113" s="17"/>
      <c r="J113" s="19">
        <f t="shared" si="49"/>
        <v>0</v>
      </c>
      <c r="K113" s="19">
        <f t="shared" si="49"/>
        <v>0</v>
      </c>
      <c r="L113" s="19">
        <f t="shared" si="49"/>
        <v>0</v>
      </c>
      <c r="M113" s="19">
        <f t="shared" si="49"/>
        <v>0</v>
      </c>
      <c r="N113" s="19">
        <f t="shared" si="49"/>
        <v>0</v>
      </c>
      <c r="O113" s="19">
        <f t="shared" si="49"/>
        <v>0</v>
      </c>
      <c r="P113" s="19">
        <f t="shared" si="49"/>
        <v>0</v>
      </c>
      <c r="Q113" s="19">
        <f t="shared" si="49"/>
        <v>0</v>
      </c>
      <c r="R113" s="19">
        <f t="shared" si="49"/>
        <v>0</v>
      </c>
      <c r="S113" s="19">
        <f t="shared" si="49"/>
        <v>0</v>
      </c>
      <c r="T113" s="17"/>
      <c r="U113" s="118">
        <f t="shared" si="50"/>
        <v>0</v>
      </c>
      <c r="V113" s="67"/>
      <c r="W113" s="726">
        <f t="shared" si="44"/>
        <v>0</v>
      </c>
    </row>
    <row r="114" spans="1:23" ht="15">
      <c r="A114" s="47"/>
      <c r="B114" s="17">
        <f t="shared" si="45"/>
        <v>13</v>
      </c>
      <c r="C114" s="1" t="s">
        <v>51</v>
      </c>
      <c r="D114" s="1" t="s">
        <v>534</v>
      </c>
      <c r="E114" s="17"/>
      <c r="F114" s="118">
        <f>' WP II-I-1.4'!I114</f>
        <v>0</v>
      </c>
      <c r="G114" s="17">
        <v>28</v>
      </c>
      <c r="H114" s="28" t="str">
        <f t="shared" si="48"/>
        <v>NCP XHV</v>
      </c>
      <c r="I114" s="17"/>
      <c r="J114" s="19">
        <f t="shared" si="49"/>
        <v>0</v>
      </c>
      <c r="K114" s="19">
        <f t="shared" si="49"/>
        <v>0</v>
      </c>
      <c r="L114" s="19">
        <f t="shared" si="49"/>
        <v>0</v>
      </c>
      <c r="M114" s="19">
        <f t="shared" si="49"/>
        <v>0</v>
      </c>
      <c r="N114" s="19">
        <f t="shared" si="49"/>
        <v>0</v>
      </c>
      <c r="O114" s="19">
        <f t="shared" si="49"/>
        <v>0</v>
      </c>
      <c r="P114" s="19">
        <f t="shared" si="49"/>
        <v>0</v>
      </c>
      <c r="Q114" s="19">
        <f t="shared" si="49"/>
        <v>0</v>
      </c>
      <c r="R114" s="19">
        <f t="shared" si="49"/>
        <v>0</v>
      </c>
      <c r="S114" s="19">
        <f t="shared" si="49"/>
        <v>0</v>
      </c>
      <c r="T114" s="17"/>
      <c r="U114" s="118">
        <f t="shared" si="50"/>
        <v>0</v>
      </c>
      <c r="V114" s="67"/>
      <c r="W114" s="726">
        <f t="shared" si="44"/>
        <v>0</v>
      </c>
    </row>
    <row r="115" spans="1:23" ht="15">
      <c r="A115" s="47"/>
      <c r="B115" s="17">
        <f t="shared" si="45"/>
        <v>14</v>
      </c>
      <c r="C115" s="1" t="s">
        <v>53</v>
      </c>
      <c r="D115" s="1" t="s">
        <v>54</v>
      </c>
      <c r="E115" s="17"/>
      <c r="F115" s="118">
        <f>' WP II-I-1.4'!I115</f>
        <v>0</v>
      </c>
      <c r="G115" s="17">
        <v>28</v>
      </c>
      <c r="H115" s="28" t="str">
        <f t="shared" si="48"/>
        <v>NCP XHV</v>
      </c>
      <c r="I115" s="17"/>
      <c r="J115" s="19">
        <f t="shared" si="49"/>
        <v>0</v>
      </c>
      <c r="K115" s="19">
        <f t="shared" si="49"/>
        <v>0</v>
      </c>
      <c r="L115" s="19">
        <f t="shared" si="49"/>
        <v>0</v>
      </c>
      <c r="M115" s="19">
        <f t="shared" si="49"/>
        <v>0</v>
      </c>
      <c r="N115" s="19">
        <f t="shared" si="49"/>
        <v>0</v>
      </c>
      <c r="O115" s="19">
        <f t="shared" si="49"/>
        <v>0</v>
      </c>
      <c r="P115" s="19">
        <f t="shared" si="49"/>
        <v>0</v>
      </c>
      <c r="Q115" s="19">
        <f t="shared" si="49"/>
        <v>0</v>
      </c>
      <c r="R115" s="19">
        <f t="shared" si="49"/>
        <v>0</v>
      </c>
      <c r="S115" s="19">
        <f t="shared" si="49"/>
        <v>0</v>
      </c>
      <c r="T115" s="17"/>
      <c r="U115" s="118">
        <f t="shared" si="50"/>
        <v>0</v>
      </c>
      <c r="V115" s="67"/>
      <c r="W115" s="726">
        <f t="shared" si="44"/>
        <v>0</v>
      </c>
    </row>
    <row r="116" spans="1:23" ht="15">
      <c r="A116" s="47"/>
      <c r="B116" s="17">
        <f t="shared" si="45"/>
        <v>15</v>
      </c>
      <c r="C116" s="1" t="s">
        <v>55</v>
      </c>
      <c r="D116" s="31" t="s">
        <v>535</v>
      </c>
      <c r="E116" s="17"/>
      <c r="F116" s="118">
        <f>' WP II-I-1.4'!I116</f>
        <v>0</v>
      </c>
      <c r="G116" s="17">
        <v>28</v>
      </c>
      <c r="H116" s="28" t="str">
        <f t="shared" si="48"/>
        <v>NCP XHV</v>
      </c>
      <c r="I116" s="17"/>
      <c r="J116" s="19">
        <f t="shared" si="49"/>
        <v>0</v>
      </c>
      <c r="K116" s="19">
        <f t="shared" si="49"/>
        <v>0</v>
      </c>
      <c r="L116" s="19">
        <f t="shared" si="49"/>
        <v>0</v>
      </c>
      <c r="M116" s="19">
        <f t="shared" si="49"/>
        <v>0</v>
      </c>
      <c r="N116" s="19">
        <f t="shared" si="49"/>
        <v>0</v>
      </c>
      <c r="O116" s="19">
        <f t="shared" si="49"/>
        <v>0</v>
      </c>
      <c r="P116" s="19">
        <f t="shared" si="49"/>
        <v>0</v>
      </c>
      <c r="Q116" s="19">
        <f t="shared" si="49"/>
        <v>0</v>
      </c>
      <c r="R116" s="19">
        <f t="shared" si="49"/>
        <v>0</v>
      </c>
      <c r="S116" s="19">
        <f t="shared" si="49"/>
        <v>0</v>
      </c>
      <c r="T116" s="17"/>
      <c r="U116" s="118">
        <f t="shared" si="50"/>
        <v>0</v>
      </c>
      <c r="V116" s="67"/>
      <c r="W116" s="726">
        <f t="shared" si="44"/>
        <v>0</v>
      </c>
    </row>
    <row r="117" spans="1:23" ht="15">
      <c r="A117" s="47"/>
      <c r="B117" s="17">
        <f t="shared" si="45"/>
        <v>16</v>
      </c>
      <c r="C117" s="1" t="s">
        <v>57</v>
      </c>
      <c r="D117" s="1" t="s">
        <v>58</v>
      </c>
      <c r="E117" s="17"/>
      <c r="F117" s="118">
        <f>' WP II-I-1.4'!I117</f>
        <v>0</v>
      </c>
      <c r="G117" s="17">
        <v>28</v>
      </c>
      <c r="H117" s="28" t="str">
        <f t="shared" si="48"/>
        <v>NCP XHV</v>
      </c>
      <c r="I117" s="17"/>
      <c r="J117" s="83">
        <f t="shared" si="49"/>
        <v>0</v>
      </c>
      <c r="K117" s="83">
        <f t="shared" si="49"/>
        <v>0</v>
      </c>
      <c r="L117" s="83">
        <f t="shared" si="49"/>
        <v>0</v>
      </c>
      <c r="M117" s="83">
        <f t="shared" si="49"/>
        <v>0</v>
      </c>
      <c r="N117" s="83">
        <f t="shared" si="49"/>
        <v>0</v>
      </c>
      <c r="O117" s="83">
        <f t="shared" si="49"/>
        <v>0</v>
      </c>
      <c r="P117" s="83">
        <f t="shared" si="49"/>
        <v>0</v>
      </c>
      <c r="Q117" s="83">
        <f t="shared" si="49"/>
        <v>0</v>
      </c>
      <c r="R117" s="83">
        <f t="shared" si="49"/>
        <v>0</v>
      </c>
      <c r="S117" s="83">
        <f t="shared" si="49"/>
        <v>0</v>
      </c>
      <c r="T117" s="17"/>
      <c r="U117" s="118">
        <f t="shared" si="50"/>
        <v>0</v>
      </c>
      <c r="V117" s="67"/>
      <c r="W117" s="726">
        <f t="shared" si="44"/>
        <v>0</v>
      </c>
    </row>
    <row r="118" spans="1:23" ht="15.75">
      <c r="A118" s="47"/>
      <c r="B118" s="17">
        <f t="shared" si="45"/>
        <v>17</v>
      </c>
      <c r="C118" s="8"/>
      <c r="D118" s="297" t="s">
        <v>491</v>
      </c>
      <c r="E118" s="20"/>
      <c r="F118" s="22">
        <f>SUM(F108:F117)</f>
        <v>0</v>
      </c>
      <c r="G118" s="17"/>
      <c r="H118" s="20"/>
      <c r="I118" s="20"/>
      <c r="J118" s="896">
        <f t="shared" si="51" ref="J118:Q118">SUM(J108:J117)</f>
        <v>0</v>
      </c>
      <c r="K118" s="896">
        <f t="shared" si="51"/>
        <v>0</v>
      </c>
      <c r="L118" s="896">
        <f t="shared" si="51"/>
        <v>0</v>
      </c>
      <c r="M118" s="896">
        <f t="shared" si="51"/>
        <v>0</v>
      </c>
      <c r="N118" s="896">
        <f t="shared" si="51"/>
        <v>0</v>
      </c>
      <c r="O118" s="896">
        <f>SUM(O108:O117)</f>
        <v>0</v>
      </c>
      <c r="P118" s="896">
        <f t="shared" si="51"/>
        <v>0</v>
      </c>
      <c r="Q118" s="896">
        <f t="shared" si="51"/>
        <v>0</v>
      </c>
      <c r="R118" s="896">
        <f>SUM(R108:R117)</f>
        <v>0</v>
      </c>
      <c r="S118" s="896">
        <f>SUM(S108:S117)</f>
        <v>0</v>
      </c>
      <c r="T118" s="20"/>
      <c r="U118" s="299">
        <f t="shared" si="50"/>
        <v>0</v>
      </c>
      <c r="V118" s="67"/>
      <c r="W118" s="726">
        <f t="shared" si="44"/>
        <v>0</v>
      </c>
    </row>
    <row r="119" spans="1:23" ht="15">
      <c r="A119" s="47"/>
      <c r="B119" s="17"/>
      <c r="C119" s="1"/>
      <c r="D119" s="1"/>
      <c r="E119" s="17"/>
      <c r="F119" s="19"/>
      <c r="G119" s="17"/>
      <c r="H119" s="134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34"/>
      <c r="V119" s="134">
        <f>$H$2</f>
        <v>0</v>
      </c>
      <c r="W119" s="167"/>
    </row>
    <row r="120" spans="1:23" ht="15.75" thickBot="1">
      <c r="A120" s="47"/>
      <c r="B120" s="17"/>
      <c r="C120" s="1"/>
      <c r="D120" s="1"/>
      <c r="E120" s="17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"/>
      <c r="V120" s="134"/>
      <c r="W120" s="167"/>
    </row>
    <row r="121" spans="1:23" ht="15.75">
      <c r="A121" s="47"/>
      <c r="B121" s="920" t="str">
        <f>+$B$4</f>
        <v>2022 RATE CASE</v>
      </c>
      <c r="C121" s="935"/>
      <c r="D121" s="624"/>
      <c r="F121" s="67"/>
      <c r="U121" s="134"/>
      <c r="W121" s="167"/>
    </row>
    <row r="122" spans="1:23" ht="15.75">
      <c r="A122" s="290"/>
      <c r="B122" s="917" t="str">
        <f>+$B$5</f>
        <v>ONCOR ELECTRIC DELIVERY COMPANY LLC</v>
      </c>
      <c r="C122" s="8"/>
      <c r="D122" s="967"/>
      <c r="F122" s="67"/>
      <c r="U122" s="134"/>
      <c r="V122" s="67"/>
      <c r="W122" s="167"/>
    </row>
    <row r="123" spans="1:23" ht="15.75">
      <c r="A123" s="47"/>
      <c r="B123" s="917" t="str">
        <f>+$B$6</f>
        <v>II-I-1-TBILLTDCS:  CLASS REVENUE REQUIREMENT</v>
      </c>
      <c r="C123" s="85"/>
      <c r="D123" s="967"/>
      <c r="F123" s="12"/>
      <c r="U123" s="12"/>
      <c r="V123" s="67"/>
      <c r="W123" s="167"/>
    </row>
    <row r="124" spans="1:23" ht="15.75">
      <c r="A124" s="47"/>
      <c r="B124" s="406" t="str">
        <f>+$B$7</f>
        <v>TEST YEAR ENDING 12/31/2021</v>
      </c>
      <c r="C124" s="85"/>
      <c r="D124" s="967"/>
      <c r="F124" s="12"/>
      <c r="K124" s="129" t="s">
        <v>0</v>
      </c>
      <c r="U124" s="12"/>
      <c r="V124" s="67"/>
      <c r="W124" s="167"/>
    </row>
    <row r="125" spans="1:23" ht="15.75">
      <c r="A125" s="47"/>
      <c r="B125" s="406" t="str">
        <f>+$B$8</f>
        <v>SPONSOR:  MATTHEW A. TROXLE</v>
      </c>
      <c r="C125" s="85"/>
      <c r="D125" s="967"/>
      <c r="F125" s="12"/>
      <c r="U125" s="12"/>
      <c r="V125" s="67"/>
      <c r="W125" s="167"/>
    </row>
    <row r="126" spans="1:23" ht="16.5" thickBot="1">
      <c r="A126" s="47"/>
      <c r="B126" s="410"/>
      <c r="C126" s="934"/>
      <c r="D126" s="968"/>
      <c r="F126" s="12"/>
      <c r="U126" s="12"/>
      <c r="V126" s="67"/>
      <c r="W126" s="167"/>
    </row>
    <row r="127" spans="1:23" ht="15.75" thickBot="1">
      <c r="A127" s="47"/>
      <c r="B127" s="13"/>
      <c r="C127" s="14"/>
      <c r="D127" s="14"/>
      <c r="E127" s="14"/>
      <c r="F127" s="13"/>
      <c r="G127" s="14"/>
      <c r="H127" s="14"/>
      <c r="I127" s="14"/>
      <c r="J127" s="238"/>
      <c r="K127" s="238"/>
      <c r="L127" s="14"/>
      <c r="M127" s="238"/>
      <c r="N127" s="238"/>
      <c r="O127" s="238"/>
      <c r="P127" s="238"/>
      <c r="Q127" s="14"/>
      <c r="R127" s="393" t="str">
        <f>R$10</f>
        <v xml:space="preserve"> </v>
      </c>
      <c r="S127" s="394"/>
      <c r="T127" s="238"/>
      <c r="U127" s="13"/>
      <c r="V127" s="67"/>
      <c r="W127" s="167"/>
    </row>
    <row r="128" spans="1:23" ht="15.75">
      <c r="A128" s="47"/>
      <c r="B128" s="15" t="s">
        <v>2</v>
      </c>
      <c r="C128" s="15" t="s">
        <v>370</v>
      </c>
      <c r="D128" s="287" t="s">
        <v>567</v>
      </c>
      <c r="E128" s="15" t="s">
        <v>371</v>
      </c>
      <c r="F128" s="287" t="str">
        <f>F$11</f>
        <v>TBILLTDCS</v>
      </c>
      <c r="G128" s="242" t="s">
        <v>741</v>
      </c>
      <c r="H128" s="242" t="s">
        <v>376</v>
      </c>
      <c r="I128" s="15"/>
      <c r="J128" s="242" t="s">
        <v>730</v>
      </c>
      <c r="K128" s="242" t="s">
        <v>409</v>
      </c>
      <c r="L128" s="15" t="s">
        <v>409</v>
      </c>
      <c r="M128" s="242" t="s">
        <v>410</v>
      </c>
      <c r="N128" s="242" t="s">
        <v>410</v>
      </c>
      <c r="O128" s="242" t="s">
        <v>410</v>
      </c>
      <c r="P128" s="242" t="s">
        <v>411</v>
      </c>
      <c r="Q128" s="15" t="s">
        <v>412</v>
      </c>
      <c r="R128" s="396" t="str">
        <f>R$11</f>
        <v>Wholesale</v>
      </c>
      <c r="S128" s="13" t="str">
        <f>S$11</f>
        <v>Wholesale</v>
      </c>
      <c r="T128" s="242"/>
      <c r="U128" s="15" t="s">
        <v>10</v>
      </c>
      <c r="V128" s="67"/>
      <c r="W128" s="167"/>
    </row>
    <row r="129" spans="1:23" ht="15">
      <c r="A129" s="47"/>
      <c r="B129" s="15"/>
      <c r="C129" s="15"/>
      <c r="D129" s="15"/>
      <c r="E129" s="15"/>
      <c r="F129" s="15"/>
      <c r="G129" s="242" t="s">
        <v>742</v>
      </c>
      <c r="H129" s="242" t="s">
        <v>743</v>
      </c>
      <c r="I129" s="15"/>
      <c r="J129" s="242"/>
      <c r="K129" s="242" t="s">
        <v>731</v>
      </c>
      <c r="L129" s="15" t="s">
        <v>732</v>
      </c>
      <c r="M129" s="242" t="s">
        <v>731</v>
      </c>
      <c r="N129" s="242" t="s">
        <v>732</v>
      </c>
      <c r="O129" s="242" t="s">
        <v>414</v>
      </c>
      <c r="P129" s="242"/>
      <c r="Q129" s="15"/>
      <c r="R129" s="235" t="str">
        <f>R$12</f>
        <v>XFMR</v>
      </c>
      <c r="S129" s="15" t="str">
        <f>S$12</f>
        <v>DLS</v>
      </c>
      <c r="T129" s="242"/>
      <c r="U129" s="15"/>
      <c r="V129" s="67"/>
      <c r="W129" s="167"/>
    </row>
    <row r="130" spans="1:23" ht="15.75" thickBot="1">
      <c r="A130" s="47"/>
      <c r="B130" s="16"/>
      <c r="C130" s="16"/>
      <c r="D130" s="16"/>
      <c r="E130" s="16"/>
      <c r="F130" s="16" t="s">
        <v>13</v>
      </c>
      <c r="G130" s="16" t="s">
        <v>14</v>
      </c>
      <c r="H130" s="16" t="s">
        <v>15</v>
      </c>
      <c r="I130" s="16"/>
      <c r="J130" s="243" t="str">
        <f t="shared" si="52" ref="J130:Q130">J$13</f>
        <v>(d)</v>
      </c>
      <c r="K130" s="243" t="str">
        <f t="shared" si="52"/>
        <v>(e)</v>
      </c>
      <c r="L130" s="16" t="str">
        <f t="shared" si="52"/>
        <v>(f)</v>
      </c>
      <c r="M130" s="243" t="str">
        <f t="shared" si="52"/>
        <v>(g)</v>
      </c>
      <c r="N130" s="243" t="str">
        <f t="shared" si="52"/>
        <v>(h)</v>
      </c>
      <c r="O130" s="243" t="str">
        <f>O$13</f>
        <v>(i)</v>
      </c>
      <c r="P130" s="243" t="str">
        <f t="shared" si="52"/>
        <v>(j)</v>
      </c>
      <c r="Q130" s="243" t="str">
        <f t="shared" si="52"/>
        <v>(k)</v>
      </c>
      <c r="R130" s="243" t="str">
        <f>R$13</f>
        <v>(l)</v>
      </c>
      <c r="S130" s="16" t="str">
        <f>S$13</f>
        <v>(m)</v>
      </c>
      <c r="T130" s="16"/>
      <c r="U130" s="16" t="s">
        <v>734</v>
      </c>
      <c r="V130" s="67"/>
      <c r="W130" s="167"/>
    </row>
    <row r="131" spans="1:23" ht="15">
      <c r="A131" s="47"/>
      <c r="B131" s="67"/>
      <c r="C131" s="67"/>
      <c r="D131" s="100"/>
      <c r="E131" s="100"/>
      <c r="F131" s="288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67"/>
      <c r="W131" s="726">
        <f t="shared" si="53" ref="W131:W163">F131-U131</f>
        <v>0</v>
      </c>
    </row>
    <row r="132" spans="1:23" ht="15.75">
      <c r="A132" s="47"/>
      <c r="B132" s="17">
        <v>1</v>
      </c>
      <c r="C132" s="8" t="s">
        <v>567</v>
      </c>
      <c r="D132" s="8"/>
      <c r="E132" s="20" t="s">
        <v>24</v>
      </c>
      <c r="F132" s="22"/>
      <c r="G132" s="20"/>
      <c r="H132" s="20"/>
      <c r="I132" s="1010"/>
      <c r="J132" s="1059"/>
      <c r="K132" s="1059"/>
      <c r="L132" s="1059"/>
      <c r="M132" s="1059"/>
      <c r="N132" s="1059"/>
      <c r="O132" s="1059"/>
      <c r="P132" s="1059"/>
      <c r="Q132" s="1059"/>
      <c r="R132" s="1059"/>
      <c r="S132" s="1059"/>
      <c r="T132" s="1059"/>
      <c r="U132" s="8"/>
      <c r="V132" s="67"/>
      <c r="W132" s="726">
        <f t="shared" si="53"/>
        <v>0</v>
      </c>
    </row>
    <row r="133" spans="1:23" ht="15">
      <c r="A133" s="47"/>
      <c r="B133" s="17">
        <f t="shared" si="54" ref="B133:B163">B132+1</f>
        <v>2</v>
      </c>
      <c r="C133" s="1" t="s">
        <v>61</v>
      </c>
      <c r="D133" s="1" t="s">
        <v>42</v>
      </c>
      <c r="E133" s="17"/>
      <c r="F133" s="118">
        <f>' WP II-I-1.4'!I133</f>
        <v>0</v>
      </c>
      <c r="G133" s="17">
        <v>54</v>
      </c>
      <c r="H133" s="28" t="str">
        <f t="shared" si="55" ref="H133:H153">VLOOKUP(G133,FactorTable,2)</f>
        <v>PLT 362-373</v>
      </c>
      <c r="I133" s="17"/>
      <c r="J133" s="121">
        <f t="shared" si="56" ref="J133:S142">$F133*HLOOKUP(J$1318,FactorTable,$G133+1)</f>
        <v>0</v>
      </c>
      <c r="K133" s="121">
        <f t="shared" si="56"/>
        <v>0</v>
      </c>
      <c r="L133" s="121">
        <f t="shared" si="56"/>
        <v>0</v>
      </c>
      <c r="M133" s="121">
        <f t="shared" si="56"/>
        <v>0</v>
      </c>
      <c r="N133" s="121">
        <f t="shared" si="56"/>
        <v>0</v>
      </c>
      <c r="O133" s="121">
        <f t="shared" si="56"/>
        <v>0</v>
      </c>
      <c r="P133" s="121">
        <f t="shared" si="56"/>
        <v>0</v>
      </c>
      <c r="Q133" s="121">
        <f t="shared" si="56"/>
        <v>0</v>
      </c>
      <c r="R133" s="121">
        <f t="shared" si="56"/>
        <v>0</v>
      </c>
      <c r="S133" s="121">
        <f t="shared" si="56"/>
        <v>0</v>
      </c>
      <c r="T133" s="17"/>
      <c r="U133" s="118">
        <f t="shared" si="57" ref="U133:U154">SUM(I133:T133)</f>
        <v>0</v>
      </c>
      <c r="V133" s="67"/>
      <c r="W133" s="726">
        <f t="shared" si="53"/>
        <v>0</v>
      </c>
    </row>
    <row r="134" spans="1:23" ht="15">
      <c r="A134" s="47"/>
      <c r="B134" s="17">
        <f t="shared" si="54"/>
        <v>3</v>
      </c>
      <c r="C134" s="1" t="s">
        <v>62</v>
      </c>
      <c r="D134" s="31" t="s">
        <v>44</v>
      </c>
      <c r="E134" s="17"/>
      <c r="F134" s="118">
        <f>' WP II-I-1.4'!I134</f>
        <v>0</v>
      </c>
      <c r="G134" s="17">
        <v>54</v>
      </c>
      <c r="H134" s="28" t="str">
        <f t="shared" si="55"/>
        <v>PLT 362-373</v>
      </c>
      <c r="I134" s="17"/>
      <c r="J134" s="121">
        <f t="shared" si="56"/>
        <v>0</v>
      </c>
      <c r="K134" s="121">
        <f t="shared" si="56"/>
        <v>0</v>
      </c>
      <c r="L134" s="121">
        <f t="shared" si="56"/>
        <v>0</v>
      </c>
      <c r="M134" s="121">
        <f t="shared" si="56"/>
        <v>0</v>
      </c>
      <c r="N134" s="121">
        <f t="shared" si="56"/>
        <v>0</v>
      </c>
      <c r="O134" s="121">
        <f t="shared" si="56"/>
        <v>0</v>
      </c>
      <c r="P134" s="121">
        <f t="shared" si="56"/>
        <v>0</v>
      </c>
      <c r="Q134" s="121">
        <f t="shared" si="56"/>
        <v>0</v>
      </c>
      <c r="R134" s="121">
        <f t="shared" si="56"/>
        <v>0</v>
      </c>
      <c r="S134" s="121">
        <f t="shared" si="56"/>
        <v>0</v>
      </c>
      <c r="T134" s="17"/>
      <c r="U134" s="118">
        <f t="shared" si="57"/>
        <v>0</v>
      </c>
      <c r="V134" s="67"/>
      <c r="W134" s="726">
        <f t="shared" si="53"/>
        <v>0</v>
      </c>
    </row>
    <row r="135" spans="1:23" ht="15">
      <c r="A135" s="47"/>
      <c r="B135" s="17">
        <f t="shared" si="54"/>
        <v>4</v>
      </c>
      <c r="C135" s="1" t="s">
        <v>63</v>
      </c>
      <c r="D135" s="1" t="s">
        <v>46</v>
      </c>
      <c r="E135" s="17"/>
      <c r="F135" s="118">
        <f>' WP II-I-1.4'!I135</f>
        <v>0</v>
      </c>
      <c r="G135" s="17">
        <v>28</v>
      </c>
      <c r="H135" s="28" t="str">
        <f t="shared" si="55"/>
        <v>NCP XHV</v>
      </c>
      <c r="I135" s="17"/>
      <c r="J135" s="121">
        <f t="shared" si="56"/>
        <v>0</v>
      </c>
      <c r="K135" s="121">
        <f t="shared" si="56"/>
        <v>0</v>
      </c>
      <c r="L135" s="121">
        <f t="shared" si="56"/>
        <v>0</v>
      </c>
      <c r="M135" s="121">
        <f t="shared" si="56"/>
        <v>0</v>
      </c>
      <c r="N135" s="121">
        <f t="shared" si="56"/>
        <v>0</v>
      </c>
      <c r="O135" s="121">
        <f t="shared" si="56"/>
        <v>0</v>
      </c>
      <c r="P135" s="121">
        <f t="shared" si="56"/>
        <v>0</v>
      </c>
      <c r="Q135" s="121">
        <f t="shared" si="56"/>
        <v>0</v>
      </c>
      <c r="R135" s="121">
        <f t="shared" si="56"/>
        <v>0</v>
      </c>
      <c r="S135" s="121">
        <f t="shared" si="56"/>
        <v>0</v>
      </c>
      <c r="T135" s="17"/>
      <c r="U135" s="118">
        <f t="shared" si="57"/>
        <v>0</v>
      </c>
      <c r="V135" s="67"/>
      <c r="W135" s="726">
        <f t="shared" si="53"/>
        <v>0</v>
      </c>
    </row>
    <row r="136" spans="1:23" ht="15">
      <c r="A136" s="47"/>
      <c r="B136" s="17">
        <f t="shared" si="54"/>
        <v>5</v>
      </c>
      <c r="C136" s="1" t="s">
        <v>64</v>
      </c>
      <c r="D136" s="1" t="s">
        <v>65</v>
      </c>
      <c r="E136" s="17"/>
      <c r="F136" s="118">
        <f>' WP II-I-1.4'!I136</f>
        <v>0</v>
      </c>
      <c r="G136" s="17">
        <v>28</v>
      </c>
      <c r="H136" s="28" t="str">
        <f t="shared" si="55"/>
        <v>NCP XHV</v>
      </c>
      <c r="I136" s="17"/>
      <c r="J136" s="121">
        <f t="shared" si="56"/>
        <v>0</v>
      </c>
      <c r="K136" s="121">
        <f t="shared" si="56"/>
        <v>0</v>
      </c>
      <c r="L136" s="121">
        <f t="shared" si="56"/>
        <v>0</v>
      </c>
      <c r="M136" s="121">
        <f t="shared" si="56"/>
        <v>0</v>
      </c>
      <c r="N136" s="121">
        <f t="shared" si="56"/>
        <v>0</v>
      </c>
      <c r="O136" s="121">
        <f t="shared" si="56"/>
        <v>0</v>
      </c>
      <c r="P136" s="121">
        <f t="shared" si="56"/>
        <v>0</v>
      </c>
      <c r="Q136" s="121">
        <f t="shared" si="56"/>
        <v>0</v>
      </c>
      <c r="R136" s="121">
        <f t="shared" si="56"/>
        <v>0</v>
      </c>
      <c r="S136" s="121">
        <f t="shared" si="56"/>
        <v>0</v>
      </c>
      <c r="T136" s="17"/>
      <c r="U136" s="118">
        <f t="shared" si="57"/>
        <v>0</v>
      </c>
      <c r="V136" s="67"/>
      <c r="W136" s="726">
        <f t="shared" si="53"/>
        <v>0</v>
      </c>
    </row>
    <row r="137" spans="1:23" ht="15">
      <c r="A137" s="47"/>
      <c r="B137" s="17">
        <f t="shared" si="54"/>
        <v>6</v>
      </c>
      <c r="C137" s="1" t="s">
        <v>380</v>
      </c>
      <c r="D137" s="31" t="s">
        <v>537</v>
      </c>
      <c r="E137" s="17"/>
      <c r="F137" s="118">
        <f>' WP II-I-1.4'!I137</f>
        <v>0</v>
      </c>
      <c r="G137" s="17">
        <v>30</v>
      </c>
      <c r="H137" s="28" t="str">
        <f t="shared" si="55"/>
        <v>NCP XSS</v>
      </c>
      <c r="I137" s="17"/>
      <c r="J137" s="121">
        <f t="shared" si="56"/>
        <v>0</v>
      </c>
      <c r="K137" s="121">
        <f t="shared" si="56"/>
        <v>0</v>
      </c>
      <c r="L137" s="121">
        <f t="shared" si="56"/>
        <v>0</v>
      </c>
      <c r="M137" s="121">
        <f t="shared" si="56"/>
        <v>0</v>
      </c>
      <c r="N137" s="121">
        <f t="shared" si="56"/>
        <v>0</v>
      </c>
      <c r="O137" s="121">
        <f t="shared" si="56"/>
        <v>0</v>
      </c>
      <c r="P137" s="121">
        <f t="shared" si="56"/>
        <v>0</v>
      </c>
      <c r="Q137" s="121">
        <f t="shared" si="56"/>
        <v>0</v>
      </c>
      <c r="R137" s="121">
        <f t="shared" si="56"/>
        <v>0</v>
      </c>
      <c r="S137" s="121">
        <f t="shared" si="56"/>
        <v>0</v>
      </c>
      <c r="T137" s="17"/>
      <c r="U137" s="118">
        <f t="shared" si="57"/>
        <v>0</v>
      </c>
      <c r="V137" s="67"/>
      <c r="W137" s="726">
        <f t="shared" si="53"/>
        <v>0</v>
      </c>
    </row>
    <row r="138" spans="1:23" ht="15">
      <c r="A138" s="47"/>
      <c r="B138" s="17">
        <f t="shared" si="54"/>
        <v>7</v>
      </c>
      <c r="C138" s="1" t="s">
        <v>382</v>
      </c>
      <c r="D138" s="31" t="s">
        <v>538</v>
      </c>
      <c r="E138" s="17"/>
      <c r="F138" s="118">
        <f>' WP II-I-1.4'!I138</f>
        <v>0</v>
      </c>
      <c r="G138" s="17">
        <v>32</v>
      </c>
      <c r="H138" s="28" t="str">
        <f t="shared" si="55"/>
        <v>NCP SEC</v>
      </c>
      <c r="I138" s="17"/>
      <c r="J138" s="121">
        <f t="shared" si="56"/>
        <v>0</v>
      </c>
      <c r="K138" s="121">
        <f t="shared" si="56"/>
        <v>0</v>
      </c>
      <c r="L138" s="121">
        <f t="shared" si="56"/>
        <v>0</v>
      </c>
      <c r="M138" s="121">
        <f t="shared" si="56"/>
        <v>0</v>
      </c>
      <c r="N138" s="121">
        <f t="shared" si="56"/>
        <v>0</v>
      </c>
      <c r="O138" s="121">
        <f t="shared" si="56"/>
        <v>0</v>
      </c>
      <c r="P138" s="121">
        <f t="shared" si="56"/>
        <v>0</v>
      </c>
      <c r="Q138" s="121">
        <f t="shared" si="56"/>
        <v>0</v>
      </c>
      <c r="R138" s="121">
        <f t="shared" si="56"/>
        <v>0</v>
      </c>
      <c r="S138" s="121">
        <f t="shared" si="56"/>
        <v>0</v>
      </c>
      <c r="T138" s="17"/>
      <c r="U138" s="118">
        <f t="shared" si="57"/>
        <v>0</v>
      </c>
      <c r="V138" s="67"/>
      <c r="W138" s="726">
        <f t="shared" si="53"/>
        <v>0</v>
      </c>
    </row>
    <row r="139" spans="1:23" ht="15">
      <c r="A139" s="47"/>
      <c r="B139" s="17">
        <f t="shared" si="54"/>
        <v>8</v>
      </c>
      <c r="C139" s="1" t="s">
        <v>385</v>
      </c>
      <c r="D139" s="1" t="s">
        <v>539</v>
      </c>
      <c r="E139" s="17"/>
      <c r="F139" s="118">
        <f>' WP II-I-1.4'!I139</f>
        <v>0</v>
      </c>
      <c r="G139" s="17">
        <v>30</v>
      </c>
      <c r="H139" s="28" t="str">
        <f t="shared" si="55"/>
        <v>NCP XSS</v>
      </c>
      <c r="I139" s="17"/>
      <c r="J139" s="121">
        <f t="shared" si="56"/>
        <v>0</v>
      </c>
      <c r="K139" s="121">
        <f t="shared" si="56"/>
        <v>0</v>
      </c>
      <c r="L139" s="121">
        <f t="shared" si="56"/>
        <v>0</v>
      </c>
      <c r="M139" s="121">
        <f t="shared" si="56"/>
        <v>0</v>
      </c>
      <c r="N139" s="121">
        <f t="shared" si="56"/>
        <v>0</v>
      </c>
      <c r="O139" s="121">
        <f t="shared" si="56"/>
        <v>0</v>
      </c>
      <c r="P139" s="121">
        <f t="shared" si="56"/>
        <v>0</v>
      </c>
      <c r="Q139" s="121">
        <f t="shared" si="56"/>
        <v>0</v>
      </c>
      <c r="R139" s="121">
        <f t="shared" si="56"/>
        <v>0</v>
      </c>
      <c r="S139" s="121">
        <f t="shared" si="56"/>
        <v>0</v>
      </c>
      <c r="T139" s="17"/>
      <c r="U139" s="118">
        <f t="shared" si="57"/>
        <v>0</v>
      </c>
      <c r="V139" s="67"/>
      <c r="W139" s="726">
        <f t="shared" si="53"/>
        <v>0</v>
      </c>
    </row>
    <row r="140" spans="1:23" ht="15">
      <c r="A140" s="47"/>
      <c r="B140" s="17">
        <f t="shared" si="54"/>
        <v>9</v>
      </c>
      <c r="C140" s="1" t="s">
        <v>387</v>
      </c>
      <c r="D140" s="1" t="s">
        <v>540</v>
      </c>
      <c r="E140" s="17"/>
      <c r="F140" s="118">
        <f>' WP II-I-1.4'!I140</f>
        <v>0</v>
      </c>
      <c r="G140" s="17">
        <v>32</v>
      </c>
      <c r="H140" s="28" t="str">
        <f t="shared" si="55"/>
        <v>NCP SEC</v>
      </c>
      <c r="I140" s="17"/>
      <c r="J140" s="121">
        <f t="shared" si="56"/>
        <v>0</v>
      </c>
      <c r="K140" s="121">
        <f t="shared" si="56"/>
        <v>0</v>
      </c>
      <c r="L140" s="121">
        <f t="shared" si="56"/>
        <v>0</v>
      </c>
      <c r="M140" s="121">
        <f t="shared" si="56"/>
        <v>0</v>
      </c>
      <c r="N140" s="121">
        <f t="shared" si="56"/>
        <v>0</v>
      </c>
      <c r="O140" s="121">
        <f t="shared" si="56"/>
        <v>0</v>
      </c>
      <c r="P140" s="121">
        <f t="shared" si="56"/>
        <v>0</v>
      </c>
      <c r="Q140" s="121">
        <f t="shared" si="56"/>
        <v>0</v>
      </c>
      <c r="R140" s="121">
        <f t="shared" si="56"/>
        <v>0</v>
      </c>
      <c r="S140" s="121">
        <f t="shared" si="56"/>
        <v>0</v>
      </c>
      <c r="T140" s="17"/>
      <c r="U140" s="118">
        <f t="shared" si="57"/>
        <v>0</v>
      </c>
      <c r="V140" s="67"/>
      <c r="W140" s="726">
        <f t="shared" si="53"/>
        <v>0</v>
      </c>
    </row>
    <row r="141" spans="1:23" ht="15">
      <c r="A141" s="47"/>
      <c r="B141" s="17">
        <f t="shared" si="54"/>
        <v>10</v>
      </c>
      <c r="C141" s="1" t="s">
        <v>390</v>
      </c>
      <c r="D141" s="1" t="s">
        <v>391</v>
      </c>
      <c r="E141" s="17"/>
      <c r="F141" s="118">
        <f>' WP II-I-1.4'!I141</f>
        <v>0</v>
      </c>
      <c r="G141" s="17">
        <v>30</v>
      </c>
      <c r="H141" s="28" t="str">
        <f t="shared" si="55"/>
        <v>NCP XSS</v>
      </c>
      <c r="I141" s="17"/>
      <c r="J141" s="121">
        <f t="shared" si="56"/>
        <v>0</v>
      </c>
      <c r="K141" s="121">
        <f t="shared" si="56"/>
        <v>0</v>
      </c>
      <c r="L141" s="121">
        <f t="shared" si="56"/>
        <v>0</v>
      </c>
      <c r="M141" s="121">
        <f t="shared" si="56"/>
        <v>0</v>
      </c>
      <c r="N141" s="121">
        <f t="shared" si="56"/>
        <v>0</v>
      </c>
      <c r="O141" s="121">
        <f t="shared" si="56"/>
        <v>0</v>
      </c>
      <c r="P141" s="121">
        <f t="shared" si="56"/>
        <v>0</v>
      </c>
      <c r="Q141" s="121">
        <f t="shared" si="56"/>
        <v>0</v>
      </c>
      <c r="R141" s="121">
        <f t="shared" si="56"/>
        <v>0</v>
      </c>
      <c r="S141" s="121">
        <f t="shared" si="56"/>
        <v>0</v>
      </c>
      <c r="T141" s="17"/>
      <c r="U141" s="118">
        <f t="shared" si="57"/>
        <v>0</v>
      </c>
      <c r="V141" s="67"/>
      <c r="W141" s="726">
        <f t="shared" si="53"/>
        <v>0</v>
      </c>
    </row>
    <row r="142" spans="1:23" ht="15">
      <c r="A142" s="47"/>
      <c r="B142" s="17">
        <f t="shared" si="54"/>
        <v>11</v>
      </c>
      <c r="C142" s="1" t="s">
        <v>392</v>
      </c>
      <c r="D142" s="1" t="s">
        <v>393</v>
      </c>
      <c r="E142" s="17"/>
      <c r="F142" s="118">
        <f>' WP II-I-1.4'!I142</f>
        <v>0</v>
      </c>
      <c r="G142" s="17">
        <v>32</v>
      </c>
      <c r="H142" s="28" t="str">
        <f t="shared" si="55"/>
        <v>NCP SEC</v>
      </c>
      <c r="I142" s="17"/>
      <c r="J142" s="121">
        <f t="shared" si="56"/>
        <v>0</v>
      </c>
      <c r="K142" s="121">
        <f t="shared" si="56"/>
        <v>0</v>
      </c>
      <c r="L142" s="121">
        <f t="shared" si="56"/>
        <v>0</v>
      </c>
      <c r="M142" s="121">
        <f t="shared" si="56"/>
        <v>0</v>
      </c>
      <c r="N142" s="121">
        <f t="shared" si="56"/>
        <v>0</v>
      </c>
      <c r="O142" s="121">
        <f t="shared" si="56"/>
        <v>0</v>
      </c>
      <c r="P142" s="121">
        <f t="shared" si="56"/>
        <v>0</v>
      </c>
      <c r="Q142" s="121">
        <f t="shared" si="56"/>
        <v>0</v>
      </c>
      <c r="R142" s="121">
        <f t="shared" si="56"/>
        <v>0</v>
      </c>
      <c r="S142" s="121">
        <f t="shared" si="56"/>
        <v>0</v>
      </c>
      <c r="T142" s="17"/>
      <c r="U142" s="118">
        <f t="shared" si="57"/>
        <v>0</v>
      </c>
      <c r="V142" s="67"/>
      <c r="W142" s="726">
        <f t="shared" si="53"/>
        <v>0</v>
      </c>
    </row>
    <row r="143" spans="1:23" ht="15">
      <c r="A143" s="47"/>
      <c r="B143" s="17">
        <f t="shared" si="54"/>
        <v>12</v>
      </c>
      <c r="C143" s="1" t="s">
        <v>395</v>
      </c>
      <c r="D143" s="31" t="s">
        <v>541</v>
      </c>
      <c r="E143" s="30"/>
      <c r="F143" s="118">
        <f>' WP II-I-1.4'!I143</f>
        <v>0</v>
      </c>
      <c r="G143" s="17">
        <v>30</v>
      </c>
      <c r="H143" s="28" t="str">
        <f t="shared" si="55"/>
        <v>NCP XSS</v>
      </c>
      <c r="I143" s="30"/>
      <c r="J143" s="121">
        <f t="shared" si="58" ref="J143:S153">$F143*HLOOKUP(J$1318,FactorTable,$G143+1)</f>
        <v>0</v>
      </c>
      <c r="K143" s="121">
        <f t="shared" si="58"/>
        <v>0</v>
      </c>
      <c r="L143" s="121">
        <f t="shared" si="58"/>
        <v>0</v>
      </c>
      <c r="M143" s="121">
        <f t="shared" si="58"/>
        <v>0</v>
      </c>
      <c r="N143" s="121">
        <f t="shared" si="58"/>
        <v>0</v>
      </c>
      <c r="O143" s="121">
        <f t="shared" si="58"/>
        <v>0</v>
      </c>
      <c r="P143" s="121">
        <f t="shared" si="58"/>
        <v>0</v>
      </c>
      <c r="Q143" s="121">
        <f t="shared" si="58"/>
        <v>0</v>
      </c>
      <c r="R143" s="121">
        <f t="shared" si="58"/>
        <v>0</v>
      </c>
      <c r="S143" s="121">
        <f t="shared" si="58"/>
        <v>0</v>
      </c>
      <c r="T143" s="30"/>
      <c r="U143" s="118">
        <f t="shared" si="57"/>
        <v>0</v>
      </c>
      <c r="V143" s="67"/>
      <c r="W143" s="726">
        <f t="shared" si="53"/>
        <v>0</v>
      </c>
    </row>
    <row r="144" spans="1:23" ht="15">
      <c r="A144" s="47"/>
      <c r="B144" s="17">
        <f t="shared" si="54"/>
        <v>13</v>
      </c>
      <c r="C144" s="1" t="s">
        <v>397</v>
      </c>
      <c r="D144" s="31" t="s">
        <v>542</v>
      </c>
      <c r="E144" s="30"/>
      <c r="F144" s="118">
        <f>' WP II-I-1.4'!I144</f>
        <v>0</v>
      </c>
      <c r="G144" s="17">
        <v>32</v>
      </c>
      <c r="H144" s="28" t="str">
        <f t="shared" si="55"/>
        <v>NCP SEC</v>
      </c>
      <c r="I144" s="30"/>
      <c r="J144" s="121">
        <f t="shared" si="58"/>
        <v>0</v>
      </c>
      <c r="K144" s="121">
        <f t="shared" si="58"/>
        <v>0</v>
      </c>
      <c r="L144" s="121">
        <f t="shared" si="58"/>
        <v>0</v>
      </c>
      <c r="M144" s="121">
        <f t="shared" si="58"/>
        <v>0</v>
      </c>
      <c r="N144" s="121">
        <f t="shared" si="58"/>
        <v>0</v>
      </c>
      <c r="O144" s="121">
        <f t="shared" si="58"/>
        <v>0</v>
      </c>
      <c r="P144" s="121">
        <f t="shared" si="58"/>
        <v>0</v>
      </c>
      <c r="Q144" s="121">
        <f t="shared" si="58"/>
        <v>0</v>
      </c>
      <c r="R144" s="121">
        <f t="shared" si="58"/>
        <v>0</v>
      </c>
      <c r="S144" s="121">
        <f t="shared" si="58"/>
        <v>0</v>
      </c>
      <c r="T144" s="30"/>
      <c r="U144" s="118">
        <f t="shared" si="57"/>
        <v>0</v>
      </c>
      <c r="V144" s="67"/>
      <c r="W144" s="726">
        <f t="shared" si="53"/>
        <v>0</v>
      </c>
    </row>
    <row r="145" spans="1:23" ht="15">
      <c r="A145" s="47"/>
      <c r="B145" s="17">
        <f t="shared" si="54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18">
        <f>' WP II-I-1.4'!I145</f>
        <v>0</v>
      </c>
      <c r="G145" s="17">
        <v>30</v>
      </c>
      <c r="H145" s="28" t="str">
        <f t="shared" si="55"/>
        <v>NCP XSS</v>
      </c>
      <c r="I145" s="17"/>
      <c r="J145" s="121">
        <f t="shared" si="58"/>
        <v>0</v>
      </c>
      <c r="K145" s="121">
        <f t="shared" si="58"/>
        <v>0</v>
      </c>
      <c r="L145" s="121">
        <f t="shared" si="58"/>
        <v>0</v>
      </c>
      <c r="M145" s="121">
        <f t="shared" si="58"/>
        <v>0</v>
      </c>
      <c r="N145" s="121">
        <f t="shared" si="58"/>
        <v>0</v>
      </c>
      <c r="O145" s="121">
        <f t="shared" si="58"/>
        <v>0</v>
      </c>
      <c r="P145" s="121">
        <f t="shared" si="58"/>
        <v>0</v>
      </c>
      <c r="Q145" s="121">
        <f t="shared" si="58"/>
        <v>0</v>
      </c>
      <c r="R145" s="121">
        <f t="shared" si="58"/>
        <v>0</v>
      </c>
      <c r="S145" s="121">
        <f t="shared" si="58"/>
        <v>0</v>
      </c>
      <c r="T145" s="17"/>
      <c r="U145" s="118">
        <f t="shared" si="57"/>
        <v>0</v>
      </c>
      <c r="V145" s="67"/>
      <c r="W145" s="726">
        <f t="shared" si="53"/>
        <v>0</v>
      </c>
    </row>
    <row r="146" spans="1:23" ht="15">
      <c r="A146" s="47"/>
      <c r="B146" s="17">
        <f t="shared" si="54"/>
        <v>15</v>
      </c>
      <c r="C146" s="1" t="s">
        <v>402</v>
      </c>
      <c r="D146" s="1" t="str">
        <f>'WP II-I-1.2'!D40</f>
        <v>Secondary Transformers</v>
      </c>
      <c r="E146" s="17"/>
      <c r="F146" s="118">
        <f>' WP II-I-1.4'!I146</f>
        <v>0</v>
      </c>
      <c r="G146" s="17">
        <v>32</v>
      </c>
      <c r="H146" s="28" t="str">
        <f t="shared" si="55"/>
        <v>NCP SEC</v>
      </c>
      <c r="I146" s="17"/>
      <c r="J146" s="121">
        <f t="shared" si="58"/>
        <v>0</v>
      </c>
      <c r="K146" s="121">
        <f t="shared" si="58"/>
        <v>0</v>
      </c>
      <c r="L146" s="121">
        <f t="shared" si="58"/>
        <v>0</v>
      </c>
      <c r="M146" s="121">
        <f t="shared" si="58"/>
        <v>0</v>
      </c>
      <c r="N146" s="121">
        <f t="shared" si="58"/>
        <v>0</v>
      </c>
      <c r="O146" s="121">
        <f t="shared" si="58"/>
        <v>0</v>
      </c>
      <c r="P146" s="121">
        <f t="shared" si="58"/>
        <v>0</v>
      </c>
      <c r="Q146" s="121">
        <f t="shared" si="58"/>
        <v>0</v>
      </c>
      <c r="R146" s="121">
        <f t="shared" si="58"/>
        <v>0</v>
      </c>
      <c r="S146" s="121">
        <f t="shared" si="58"/>
        <v>0</v>
      </c>
      <c r="T146" s="17"/>
      <c r="U146" s="118">
        <f t="shared" si="57"/>
        <v>0</v>
      </c>
      <c r="V146" s="67"/>
      <c r="W146" s="726">
        <f t="shared" si="53"/>
        <v>0</v>
      </c>
    </row>
    <row r="147" spans="1:23" ht="15">
      <c r="A147" s="47"/>
      <c r="B147" s="17">
        <f t="shared" si="54"/>
        <v>16</v>
      </c>
      <c r="C147" s="1" t="s">
        <v>404</v>
      </c>
      <c r="D147" s="1" t="str">
        <f>'WP II-I-1.2'!D41</f>
        <v>Capacitors</v>
      </c>
      <c r="E147" s="17"/>
      <c r="F147" s="118">
        <f>' WP II-I-1.4'!I147</f>
        <v>0</v>
      </c>
      <c r="G147" s="17">
        <v>26</v>
      </c>
      <c r="H147" s="28" t="str">
        <f t="shared" si="55"/>
        <v>NCP ALL</v>
      </c>
      <c r="I147" s="17"/>
      <c r="J147" s="121">
        <f t="shared" si="58"/>
        <v>0</v>
      </c>
      <c r="K147" s="121">
        <f t="shared" si="58"/>
        <v>0</v>
      </c>
      <c r="L147" s="121">
        <f t="shared" si="58"/>
        <v>0</v>
      </c>
      <c r="M147" s="121">
        <f t="shared" si="58"/>
        <v>0</v>
      </c>
      <c r="N147" s="121">
        <f t="shared" si="58"/>
        <v>0</v>
      </c>
      <c r="O147" s="121">
        <f t="shared" si="58"/>
        <v>0</v>
      </c>
      <c r="P147" s="121">
        <f t="shared" si="58"/>
        <v>0</v>
      </c>
      <c r="Q147" s="121">
        <f t="shared" si="58"/>
        <v>0</v>
      </c>
      <c r="R147" s="121">
        <f t="shared" si="58"/>
        <v>0</v>
      </c>
      <c r="S147" s="121">
        <f t="shared" si="58"/>
        <v>0</v>
      </c>
      <c r="T147" s="17"/>
      <c r="U147" s="118">
        <f t="shared" si="57"/>
        <v>0</v>
      </c>
      <c r="V147" s="67"/>
      <c r="W147" s="726">
        <f t="shared" si="53"/>
        <v>0</v>
      </c>
    </row>
    <row r="148" spans="1:23" ht="15">
      <c r="A148" s="47"/>
      <c r="B148" s="17">
        <f t="shared" si="54"/>
        <v>17</v>
      </c>
      <c r="C148" s="1" t="s">
        <v>76</v>
      </c>
      <c r="D148" s="31" t="s">
        <v>77</v>
      </c>
      <c r="E148" s="30"/>
      <c r="F148" s="118">
        <f>' WP II-I-1.4'!I148</f>
        <v>0</v>
      </c>
      <c r="G148" s="17">
        <v>7</v>
      </c>
      <c r="H148" s="28" t="str">
        <f t="shared" si="55"/>
        <v>CUS W SEC</v>
      </c>
      <c r="I148" s="30"/>
      <c r="J148" s="121">
        <f t="shared" si="58"/>
        <v>0</v>
      </c>
      <c r="K148" s="121">
        <f t="shared" si="58"/>
        <v>0</v>
      </c>
      <c r="L148" s="121">
        <f t="shared" si="58"/>
        <v>0</v>
      </c>
      <c r="M148" s="121">
        <f t="shared" si="58"/>
        <v>0</v>
      </c>
      <c r="N148" s="121">
        <f t="shared" si="58"/>
        <v>0</v>
      </c>
      <c r="O148" s="121">
        <f t="shared" si="58"/>
        <v>0</v>
      </c>
      <c r="P148" s="121">
        <f t="shared" si="58"/>
        <v>0</v>
      </c>
      <c r="Q148" s="121">
        <f t="shared" si="58"/>
        <v>0</v>
      </c>
      <c r="R148" s="121">
        <f t="shared" si="58"/>
        <v>0</v>
      </c>
      <c r="S148" s="121">
        <f t="shared" si="58"/>
        <v>0</v>
      </c>
      <c r="T148" s="30"/>
      <c r="U148" s="118">
        <f t="shared" si="57"/>
        <v>0</v>
      </c>
      <c r="V148" s="67"/>
      <c r="W148" s="726">
        <f t="shared" si="53"/>
        <v>0</v>
      </c>
    </row>
    <row r="149" spans="1:23" ht="15">
      <c r="A149" s="47"/>
      <c r="B149" s="17">
        <f t="shared" si="54"/>
        <v>18</v>
      </c>
      <c r="C149" s="1" t="s">
        <v>78</v>
      </c>
      <c r="D149" s="1" t="s">
        <v>79</v>
      </c>
      <c r="E149" s="17"/>
      <c r="F149" s="118">
        <f>' WP II-I-1.4'!I149</f>
        <v>0</v>
      </c>
      <c r="G149" s="17">
        <v>6</v>
      </c>
      <c r="H149" s="28" t="str">
        <f t="shared" si="55"/>
        <v>CUS W ALL</v>
      </c>
      <c r="I149" s="17"/>
      <c r="J149" s="121">
        <f t="shared" si="58"/>
        <v>0</v>
      </c>
      <c r="K149" s="121">
        <f t="shared" si="58"/>
        <v>0</v>
      </c>
      <c r="L149" s="121">
        <f t="shared" si="58"/>
        <v>0</v>
      </c>
      <c r="M149" s="121">
        <f t="shared" si="58"/>
        <v>0</v>
      </c>
      <c r="N149" s="121">
        <f t="shared" si="58"/>
        <v>0</v>
      </c>
      <c r="O149" s="121">
        <f t="shared" si="58"/>
        <v>0</v>
      </c>
      <c r="P149" s="121">
        <f t="shared" si="58"/>
        <v>0</v>
      </c>
      <c r="Q149" s="121">
        <f t="shared" si="58"/>
        <v>0</v>
      </c>
      <c r="R149" s="121">
        <f t="shared" si="58"/>
        <v>0</v>
      </c>
      <c r="S149" s="121">
        <f t="shared" si="58"/>
        <v>0</v>
      </c>
      <c r="T149" s="17"/>
      <c r="U149" s="118">
        <f t="shared" si="57"/>
        <v>0</v>
      </c>
      <c r="V149" s="67"/>
      <c r="W149" s="726">
        <f t="shared" si="53"/>
        <v>0</v>
      </c>
    </row>
    <row r="150" spans="1:23" ht="15">
      <c r="A150" s="47"/>
      <c r="B150" s="17">
        <f t="shared" si="54"/>
        <v>19</v>
      </c>
      <c r="C150" s="1" t="s">
        <v>80</v>
      </c>
      <c r="D150" s="1" t="s">
        <v>543</v>
      </c>
      <c r="E150" s="17"/>
      <c r="F150" s="118">
        <f>' WP II-I-1.4'!I150</f>
        <v>0</v>
      </c>
      <c r="G150" s="17">
        <v>33</v>
      </c>
      <c r="H150" s="28" t="str">
        <f t="shared" si="55"/>
        <v>NCP LGT</v>
      </c>
      <c r="I150" s="17"/>
      <c r="J150" s="121">
        <f t="shared" si="58"/>
        <v>0</v>
      </c>
      <c r="K150" s="121">
        <f t="shared" si="58"/>
        <v>0</v>
      </c>
      <c r="L150" s="121">
        <f t="shared" si="58"/>
        <v>0</v>
      </c>
      <c r="M150" s="121">
        <f t="shared" si="58"/>
        <v>0</v>
      </c>
      <c r="N150" s="121">
        <f t="shared" si="58"/>
        <v>0</v>
      </c>
      <c r="O150" s="121">
        <f t="shared" si="58"/>
        <v>0</v>
      </c>
      <c r="P150" s="121">
        <f t="shared" si="58"/>
        <v>0</v>
      </c>
      <c r="Q150" s="121">
        <f t="shared" si="58"/>
        <v>0</v>
      </c>
      <c r="R150" s="121">
        <f t="shared" si="58"/>
        <v>0</v>
      </c>
      <c r="S150" s="121">
        <f t="shared" si="58"/>
        <v>0</v>
      </c>
      <c r="T150" s="17"/>
      <c r="U150" s="118">
        <f t="shared" si="57"/>
        <v>0</v>
      </c>
      <c r="V150" s="67"/>
      <c r="W150" s="726">
        <f t="shared" si="53"/>
        <v>0</v>
      </c>
    </row>
    <row r="151" spans="1:23" ht="15">
      <c r="A151" s="47"/>
      <c r="B151" s="17">
        <f t="shared" si="54"/>
        <v>20</v>
      </c>
      <c r="C151" s="1" t="s">
        <v>82</v>
      </c>
      <c r="D151" s="1" t="s">
        <v>544</v>
      </c>
      <c r="E151" s="17"/>
      <c r="F151" s="118">
        <f>' WP II-I-1.4'!I151</f>
        <v>0</v>
      </c>
      <c r="G151" s="17">
        <v>6</v>
      </c>
      <c r="H151" s="28" t="str">
        <f t="shared" si="55"/>
        <v>CUS W ALL</v>
      </c>
      <c r="I151" s="17"/>
      <c r="J151" s="121">
        <f t="shared" si="58"/>
        <v>0</v>
      </c>
      <c r="K151" s="121">
        <f t="shared" si="58"/>
        <v>0</v>
      </c>
      <c r="L151" s="121">
        <f t="shared" si="58"/>
        <v>0</v>
      </c>
      <c r="M151" s="121">
        <f t="shared" si="58"/>
        <v>0</v>
      </c>
      <c r="N151" s="121">
        <f t="shared" si="58"/>
        <v>0</v>
      </c>
      <c r="O151" s="121">
        <f t="shared" si="58"/>
        <v>0</v>
      </c>
      <c r="P151" s="121">
        <f t="shared" si="58"/>
        <v>0</v>
      </c>
      <c r="Q151" s="121">
        <f t="shared" si="58"/>
        <v>0</v>
      </c>
      <c r="R151" s="121">
        <f t="shared" si="58"/>
        <v>0</v>
      </c>
      <c r="S151" s="121">
        <f t="shared" si="58"/>
        <v>0</v>
      </c>
      <c r="T151" s="17"/>
      <c r="U151" s="118">
        <f t="shared" si="57"/>
        <v>0</v>
      </c>
      <c r="V151" s="67"/>
      <c r="W151" s="726">
        <f t="shared" si="53"/>
        <v>0</v>
      </c>
    </row>
    <row r="152" spans="1:23" ht="15">
      <c r="A152" s="47"/>
      <c r="B152" s="17">
        <f t="shared" si="54"/>
        <v>21</v>
      </c>
      <c r="C152" s="1" t="s">
        <v>84</v>
      </c>
      <c r="D152" s="1" t="s">
        <v>88</v>
      </c>
      <c r="E152" s="17"/>
      <c r="F152" s="118">
        <f>' WP II-I-1.4'!I152</f>
        <v>0</v>
      </c>
      <c r="G152" s="17">
        <v>33</v>
      </c>
      <c r="H152" s="28" t="str">
        <f t="shared" si="55"/>
        <v>NCP LGT</v>
      </c>
      <c r="I152" s="17"/>
      <c r="J152" s="121">
        <f t="shared" si="58"/>
        <v>0</v>
      </c>
      <c r="K152" s="121">
        <f t="shared" si="58"/>
        <v>0</v>
      </c>
      <c r="L152" s="121">
        <f t="shared" si="58"/>
        <v>0</v>
      </c>
      <c r="M152" s="121">
        <f t="shared" si="58"/>
        <v>0</v>
      </c>
      <c r="N152" s="121">
        <f t="shared" si="58"/>
        <v>0</v>
      </c>
      <c r="O152" s="121">
        <f t="shared" si="58"/>
        <v>0</v>
      </c>
      <c r="P152" s="121">
        <f t="shared" si="58"/>
        <v>0</v>
      </c>
      <c r="Q152" s="121">
        <f t="shared" si="58"/>
        <v>0</v>
      </c>
      <c r="R152" s="121">
        <f t="shared" si="58"/>
        <v>0</v>
      </c>
      <c r="S152" s="121">
        <f t="shared" si="58"/>
        <v>0</v>
      </c>
      <c r="T152" s="17"/>
      <c r="U152" s="118">
        <f t="shared" si="57"/>
        <v>0</v>
      </c>
      <c r="V152" s="67"/>
      <c r="W152" s="726">
        <f t="shared" si="53"/>
        <v>0</v>
      </c>
    </row>
    <row r="153" spans="1:23" ht="15">
      <c r="A153" s="47"/>
      <c r="B153" s="17">
        <f t="shared" si="54"/>
        <v>22</v>
      </c>
      <c r="C153" s="1" t="s">
        <v>86</v>
      </c>
      <c r="D153" s="1" t="s">
        <v>40</v>
      </c>
      <c r="E153" s="17"/>
      <c r="F153" s="118">
        <f>' WP II-I-1.4'!I153</f>
        <v>0</v>
      </c>
      <c r="G153" s="17">
        <v>54</v>
      </c>
      <c r="H153" s="28" t="str">
        <f t="shared" si="55"/>
        <v>PLT 362-373</v>
      </c>
      <c r="I153" s="17"/>
      <c r="J153" s="201">
        <f t="shared" si="58"/>
        <v>0</v>
      </c>
      <c r="K153" s="201">
        <f t="shared" si="58"/>
        <v>0</v>
      </c>
      <c r="L153" s="201">
        <f t="shared" si="58"/>
        <v>0</v>
      </c>
      <c r="M153" s="201">
        <f t="shared" si="58"/>
        <v>0</v>
      </c>
      <c r="N153" s="201">
        <f t="shared" si="58"/>
        <v>0</v>
      </c>
      <c r="O153" s="201">
        <f t="shared" si="58"/>
        <v>0</v>
      </c>
      <c r="P153" s="201">
        <f t="shared" si="58"/>
        <v>0</v>
      </c>
      <c r="Q153" s="201">
        <f t="shared" si="58"/>
        <v>0</v>
      </c>
      <c r="R153" s="201">
        <f t="shared" si="58"/>
        <v>0</v>
      </c>
      <c r="S153" s="201">
        <f t="shared" si="58"/>
        <v>0</v>
      </c>
      <c r="T153" s="17"/>
      <c r="U153" s="118">
        <f t="shared" si="57"/>
        <v>0</v>
      </c>
      <c r="V153" s="67"/>
      <c r="W153" s="726">
        <f t="shared" si="53"/>
        <v>0</v>
      </c>
    </row>
    <row r="154" spans="1:23" ht="15.75">
      <c r="A154" s="47"/>
      <c r="B154" s="17">
        <f t="shared" si="54"/>
        <v>23</v>
      </c>
      <c r="C154" s="67"/>
      <c r="D154" s="297" t="s">
        <v>491</v>
      </c>
      <c r="E154" s="150"/>
      <c r="F154" s="22">
        <f>SUM(F133:F153)</f>
        <v>0</v>
      </c>
      <c r="G154" s="150"/>
      <c r="H154" s="150"/>
      <c r="I154" s="150"/>
      <c r="J154" s="896">
        <f t="shared" si="59" ref="J154:Q154">SUM(J133:J153)</f>
        <v>0</v>
      </c>
      <c r="K154" s="896">
        <f t="shared" si="59"/>
        <v>0</v>
      </c>
      <c r="L154" s="896">
        <f t="shared" si="59"/>
        <v>0</v>
      </c>
      <c r="M154" s="896">
        <f t="shared" si="59"/>
        <v>0</v>
      </c>
      <c r="N154" s="896">
        <f t="shared" si="59"/>
        <v>0</v>
      </c>
      <c r="O154" s="896">
        <f>SUM(O133:O153)</f>
        <v>0</v>
      </c>
      <c r="P154" s="896">
        <f t="shared" si="59"/>
        <v>0</v>
      </c>
      <c r="Q154" s="896">
        <f t="shared" si="59"/>
        <v>0</v>
      </c>
      <c r="R154" s="896">
        <f>SUM(R133:R153)</f>
        <v>0</v>
      </c>
      <c r="S154" s="896">
        <f>SUM(S133:S153)</f>
        <v>0</v>
      </c>
      <c r="T154" s="150"/>
      <c r="U154" s="299">
        <f t="shared" si="57"/>
        <v>0</v>
      </c>
      <c r="V154" s="67"/>
      <c r="W154" s="726">
        <f t="shared" si="53"/>
        <v>0</v>
      </c>
    </row>
    <row r="155" spans="1:23" ht="15">
      <c r="A155" s="47"/>
      <c r="B155" s="17">
        <f t="shared" si="54"/>
        <v>24</v>
      </c>
      <c r="C155" s="67"/>
      <c r="D155" s="1"/>
      <c r="E155" s="17"/>
      <c r="F155" s="19"/>
      <c r="G155" s="17"/>
      <c r="H155" s="17"/>
      <c r="I155" s="17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7"/>
      <c r="U155" s="1"/>
      <c r="V155" s="67"/>
      <c r="W155" s="726">
        <f t="shared" si="53"/>
        <v>0</v>
      </c>
    </row>
    <row r="156" spans="1:23" ht="15.75">
      <c r="A156" s="47"/>
      <c r="B156" s="17">
        <f t="shared" si="54"/>
        <v>25</v>
      </c>
      <c r="C156" s="67"/>
      <c r="D156" s="297" t="s">
        <v>568</v>
      </c>
      <c r="E156" s="17"/>
      <c r="F156" s="896">
        <f>SUM(F137:F138)</f>
        <v>0</v>
      </c>
      <c r="G156" s="17"/>
      <c r="H156" s="17"/>
      <c r="I156" s="17"/>
      <c r="J156" s="896">
        <f t="shared" si="60" ref="J156:Q156">SUM(J137:J138)</f>
        <v>0</v>
      </c>
      <c r="K156" s="896">
        <f t="shared" si="60"/>
        <v>0</v>
      </c>
      <c r="L156" s="896">
        <f t="shared" si="60"/>
        <v>0</v>
      </c>
      <c r="M156" s="896">
        <f t="shared" si="60"/>
        <v>0</v>
      </c>
      <c r="N156" s="896">
        <f t="shared" si="60"/>
        <v>0</v>
      </c>
      <c r="O156" s="896">
        <f>SUM(O137:O138)</f>
        <v>0</v>
      </c>
      <c r="P156" s="896">
        <f t="shared" si="60"/>
        <v>0</v>
      </c>
      <c r="Q156" s="896">
        <f t="shared" si="60"/>
        <v>0</v>
      </c>
      <c r="R156" s="896">
        <f>SUM(R137:R138)</f>
        <v>0</v>
      </c>
      <c r="S156" s="896">
        <f>SUM(S137:S138)</f>
        <v>0</v>
      </c>
      <c r="T156" s="17"/>
      <c r="U156" s="299">
        <f>SUM(I156:T156)</f>
        <v>0</v>
      </c>
      <c r="V156" s="67"/>
      <c r="W156" s="726">
        <f t="shared" si="53"/>
        <v>0</v>
      </c>
    </row>
    <row r="157" spans="1:23" ht="15.75">
      <c r="A157" s="47"/>
      <c r="B157" s="17">
        <f t="shared" si="54"/>
        <v>26</v>
      </c>
      <c r="C157" s="67"/>
      <c r="D157" s="297" t="s">
        <v>569</v>
      </c>
      <c r="E157" s="17"/>
      <c r="F157" s="896">
        <f>SUM(F139:F140)</f>
        <v>0</v>
      </c>
      <c r="G157" s="17"/>
      <c r="H157" s="17"/>
      <c r="I157" s="17"/>
      <c r="J157" s="896">
        <f t="shared" si="61" ref="J157:Q157">SUM(J139:J140)</f>
        <v>0</v>
      </c>
      <c r="K157" s="896">
        <f t="shared" si="61"/>
        <v>0</v>
      </c>
      <c r="L157" s="896">
        <f t="shared" si="61"/>
        <v>0</v>
      </c>
      <c r="M157" s="896">
        <f t="shared" si="61"/>
        <v>0</v>
      </c>
      <c r="N157" s="896">
        <f t="shared" si="61"/>
        <v>0</v>
      </c>
      <c r="O157" s="896">
        <f>SUM(O139:O140)</f>
        <v>0</v>
      </c>
      <c r="P157" s="896">
        <f t="shared" si="61"/>
        <v>0</v>
      </c>
      <c r="Q157" s="896">
        <f t="shared" si="61"/>
        <v>0</v>
      </c>
      <c r="R157" s="896">
        <f>SUM(R139:R140)</f>
        <v>0</v>
      </c>
      <c r="S157" s="896">
        <f>SUM(S139:S140)</f>
        <v>0</v>
      </c>
      <c r="T157" s="17"/>
      <c r="U157" s="299">
        <f>SUM(I157:T157)</f>
        <v>0</v>
      </c>
      <c r="V157" s="67"/>
      <c r="W157" s="726">
        <f t="shared" si="53"/>
        <v>0</v>
      </c>
    </row>
    <row r="158" spans="1:23" ht="15.75">
      <c r="A158" s="47"/>
      <c r="B158" s="17">
        <f t="shared" si="54"/>
        <v>27</v>
      </c>
      <c r="C158" s="67"/>
      <c r="D158" s="297" t="s">
        <v>570</v>
      </c>
      <c r="E158" s="17"/>
      <c r="F158" s="896">
        <f>SUM(F141:F142)</f>
        <v>0</v>
      </c>
      <c r="G158" s="17"/>
      <c r="H158" s="17"/>
      <c r="I158" s="17"/>
      <c r="J158" s="896">
        <f t="shared" si="62" ref="J158:Q158">SUM(J141:J142)</f>
        <v>0</v>
      </c>
      <c r="K158" s="896">
        <f t="shared" si="62"/>
        <v>0</v>
      </c>
      <c r="L158" s="896">
        <f t="shared" si="62"/>
        <v>0</v>
      </c>
      <c r="M158" s="896">
        <f t="shared" si="62"/>
        <v>0</v>
      </c>
      <c r="N158" s="896">
        <f t="shared" si="62"/>
        <v>0</v>
      </c>
      <c r="O158" s="896">
        <f>SUM(O141:O142)</f>
        <v>0</v>
      </c>
      <c r="P158" s="896">
        <f t="shared" si="62"/>
        <v>0</v>
      </c>
      <c r="Q158" s="896">
        <f t="shared" si="62"/>
        <v>0</v>
      </c>
      <c r="R158" s="896">
        <f>SUM(R141:R142)</f>
        <v>0</v>
      </c>
      <c r="S158" s="896">
        <f>SUM(S141:S142)</f>
        <v>0</v>
      </c>
      <c r="T158" s="17"/>
      <c r="U158" s="299">
        <f>SUM(I158:T158)</f>
        <v>0</v>
      </c>
      <c r="V158" s="67"/>
      <c r="W158" s="726">
        <f t="shared" si="53"/>
        <v>0</v>
      </c>
    </row>
    <row r="159" spans="1:23" ht="15.75">
      <c r="A159" s="47"/>
      <c r="B159" s="17">
        <f t="shared" si="54"/>
        <v>28</v>
      </c>
      <c r="C159" s="67"/>
      <c r="D159" s="297" t="s">
        <v>571</v>
      </c>
      <c r="E159" s="17"/>
      <c r="F159" s="896">
        <f>SUM(F143:F144)</f>
        <v>0</v>
      </c>
      <c r="G159" s="17"/>
      <c r="H159" s="17"/>
      <c r="I159" s="17"/>
      <c r="J159" s="896">
        <f t="shared" si="63" ref="J159:Q159">SUM(J143:J144)</f>
        <v>0</v>
      </c>
      <c r="K159" s="896">
        <f t="shared" si="63"/>
        <v>0</v>
      </c>
      <c r="L159" s="896">
        <f t="shared" si="63"/>
        <v>0</v>
      </c>
      <c r="M159" s="896">
        <f t="shared" si="63"/>
        <v>0</v>
      </c>
      <c r="N159" s="896">
        <f t="shared" si="63"/>
        <v>0</v>
      </c>
      <c r="O159" s="896">
        <f>SUM(O143:O144)</f>
        <v>0</v>
      </c>
      <c r="P159" s="896">
        <f t="shared" si="63"/>
        <v>0</v>
      </c>
      <c r="Q159" s="896">
        <f t="shared" si="63"/>
        <v>0</v>
      </c>
      <c r="R159" s="896">
        <f>SUM(R143:R144)</f>
        <v>0</v>
      </c>
      <c r="S159" s="896">
        <f>SUM(S143:S144)</f>
        <v>0</v>
      </c>
      <c r="T159" s="17"/>
      <c r="U159" s="299">
        <f>SUM(I159:T159)</f>
        <v>0</v>
      </c>
      <c r="V159" s="67"/>
      <c r="W159" s="726">
        <f t="shared" si="53"/>
        <v>0</v>
      </c>
    </row>
    <row r="160" spans="1:23" ht="15.75">
      <c r="A160" s="47"/>
      <c r="B160" s="17">
        <f t="shared" si="54"/>
        <v>29</v>
      </c>
      <c r="C160" s="67"/>
      <c r="D160" s="297" t="s">
        <v>572</v>
      </c>
      <c r="E160" s="17"/>
      <c r="F160" s="896">
        <f>SUM(F145:F147)</f>
        <v>0</v>
      </c>
      <c r="G160" s="17"/>
      <c r="H160" s="17"/>
      <c r="I160" s="17"/>
      <c r="J160" s="896">
        <f t="shared" si="64" ref="J160:Q160">SUM(J145:J147)</f>
        <v>0</v>
      </c>
      <c r="K160" s="896">
        <f t="shared" si="64"/>
        <v>0</v>
      </c>
      <c r="L160" s="896">
        <f t="shared" si="64"/>
        <v>0</v>
      </c>
      <c r="M160" s="896">
        <f t="shared" si="64"/>
        <v>0</v>
      </c>
      <c r="N160" s="896">
        <f t="shared" si="64"/>
        <v>0</v>
      </c>
      <c r="O160" s="896">
        <f>SUM(O145:O147)</f>
        <v>0</v>
      </c>
      <c r="P160" s="896">
        <f t="shared" si="64"/>
        <v>0</v>
      </c>
      <c r="Q160" s="896">
        <f t="shared" si="64"/>
        <v>0</v>
      </c>
      <c r="R160" s="896">
        <f>SUM(R145:R147)</f>
        <v>0</v>
      </c>
      <c r="S160" s="896">
        <f>SUM(S145:S147)</f>
        <v>0</v>
      </c>
      <c r="T160" s="17"/>
      <c r="U160" s="299">
        <f>SUM(I160:T160)</f>
        <v>0</v>
      </c>
      <c r="V160" s="67"/>
      <c r="W160" s="726">
        <f t="shared" si="53"/>
        <v>0</v>
      </c>
    </row>
    <row r="161" spans="1:23" ht="15.75" thickBot="1">
      <c r="A161" s="47"/>
      <c r="B161" s="17">
        <f t="shared" si="54"/>
        <v>30</v>
      </c>
      <c r="C161" s="67"/>
      <c r="D161" s="1"/>
      <c r="E161" s="17"/>
      <c r="F161" s="19"/>
      <c r="G161" s="17"/>
      <c r="H161" s="17"/>
      <c r="I161" s="17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7"/>
      <c r="U161" s="1"/>
      <c r="V161" s="67"/>
      <c r="W161" s="726">
        <f t="shared" si="53"/>
        <v>0</v>
      </c>
    </row>
    <row r="162" spans="1:23" ht="15.75">
      <c r="A162" s="47"/>
      <c r="B162" s="17">
        <f t="shared" si="54"/>
        <v>31</v>
      </c>
      <c r="C162" s="303" t="s">
        <v>545</v>
      </c>
      <c r="D162" s="304"/>
      <c r="E162" s="305" t="s">
        <v>24</v>
      </c>
      <c r="F162" s="306">
        <f>F106+F118+F154</f>
        <v>310409174.74000001</v>
      </c>
      <c r="G162" s="305"/>
      <c r="H162" s="437"/>
      <c r="I162" s="438"/>
      <c r="J162" s="439">
        <f t="shared" si="65" ref="J162:Q162">J106+J118+J154</f>
        <v>172948978.12773615</v>
      </c>
      <c r="K162" s="908">
        <f t="shared" si="65"/>
        <v>26664278.503487542</v>
      </c>
      <c r="L162" s="908">
        <f t="shared" si="65"/>
        <v>82246889.44805041</v>
      </c>
      <c r="M162" s="908">
        <f t="shared" si="65"/>
        <v>1154871.2073545856</v>
      </c>
      <c r="N162" s="908">
        <f t="shared" si="65"/>
        <v>24099051.107351582</v>
      </c>
      <c r="O162" s="908">
        <f>O106+O118+O154</f>
        <v>823537.01661249879</v>
      </c>
      <c r="P162" s="908">
        <f t="shared" si="65"/>
        <v>1792776.7361641312</v>
      </c>
      <c r="Q162" s="908">
        <f t="shared" si="65"/>
        <v>361870.95988483209</v>
      </c>
      <c r="R162" s="908">
        <f>R106+R118+R154</f>
        <v>95023.501916826775</v>
      </c>
      <c r="S162" s="641">
        <f>S106+S118+S154</f>
        <v>221898.13144143872</v>
      </c>
      <c r="T162" s="438"/>
      <c r="U162" s="307">
        <f>SUM(I162:T162)</f>
        <v>310409174.73999995</v>
      </c>
      <c r="V162" s="67"/>
      <c r="W162" s="726">
        <f t="shared" si="53"/>
        <v>0</v>
      </c>
    </row>
    <row r="163" spans="1:23" ht="16.5" thickBot="1">
      <c r="A163" s="47"/>
      <c r="B163" s="17">
        <f t="shared" si="54"/>
        <v>32</v>
      </c>
      <c r="C163" s="309" t="s">
        <v>546</v>
      </c>
      <c r="D163" s="310"/>
      <c r="E163" s="311" t="s">
        <v>24</v>
      </c>
      <c r="F163" s="312">
        <f>F118+F154</f>
        <v>0</v>
      </c>
      <c r="G163" s="311"/>
      <c r="H163" s="440"/>
      <c r="I163" s="441"/>
      <c r="J163" s="442">
        <f t="shared" si="66" ref="J163:Q163">J118+J154</f>
        <v>0</v>
      </c>
      <c r="K163" s="312">
        <f t="shared" si="66"/>
        <v>0</v>
      </c>
      <c r="L163" s="312">
        <f t="shared" si="66"/>
        <v>0</v>
      </c>
      <c r="M163" s="312">
        <f t="shared" si="66"/>
        <v>0</v>
      </c>
      <c r="N163" s="312">
        <f t="shared" si="66"/>
        <v>0</v>
      </c>
      <c r="O163" s="312">
        <f>O118+O154</f>
        <v>0</v>
      </c>
      <c r="P163" s="312">
        <f t="shared" si="66"/>
        <v>0</v>
      </c>
      <c r="Q163" s="312">
        <f t="shared" si="66"/>
        <v>0</v>
      </c>
      <c r="R163" s="312">
        <f>R118+R154</f>
        <v>0</v>
      </c>
      <c r="S163" s="443">
        <f>S118+S154</f>
        <v>0</v>
      </c>
      <c r="T163" s="441"/>
      <c r="U163" s="313">
        <f>SUM(I163:T163)</f>
        <v>0</v>
      </c>
      <c r="V163" s="67"/>
      <c r="W163" s="726">
        <f t="shared" si="53"/>
        <v>0</v>
      </c>
    </row>
    <row r="164" spans="1:23" ht="15">
      <c r="A164" s="4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W164" s="167"/>
    </row>
    <row r="165" spans="1:23" ht="15">
      <c r="A165" s="47"/>
      <c r="B165" s="67"/>
      <c r="C165" s="67"/>
      <c r="D165" s="67"/>
      <c r="E165" s="67"/>
      <c r="F165" s="67"/>
      <c r="G165" s="67"/>
      <c r="H165" s="134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134"/>
      <c r="V165" s="134">
        <f>$H$2</f>
        <v>0</v>
      </c>
      <c r="W165" s="167"/>
    </row>
    <row r="166" spans="1:23" ht="15.75" thickBot="1">
      <c r="A166" s="4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134"/>
      <c r="W166" s="167"/>
    </row>
    <row r="167" spans="1:23" ht="15.75">
      <c r="A167" s="47"/>
      <c r="B167" s="920" t="str">
        <f>+$B$4</f>
        <v>2022 RATE CASE</v>
      </c>
      <c r="C167" s="935"/>
      <c r="D167" s="624"/>
      <c r="F167" s="12"/>
      <c r="U167" s="134"/>
      <c r="W167" s="167"/>
    </row>
    <row r="168" spans="1:23" ht="15.75">
      <c r="A168" s="290"/>
      <c r="B168" s="917" t="str">
        <f>+$B$5</f>
        <v>ONCOR ELECTRIC DELIVERY COMPANY LLC</v>
      </c>
      <c r="C168" s="8"/>
      <c r="D168" s="967"/>
      <c r="F168" s="12"/>
      <c r="U168" s="134"/>
      <c r="V168" s="67"/>
      <c r="W168" s="167"/>
    </row>
    <row r="169" spans="1:23" ht="15.75">
      <c r="A169" s="47"/>
      <c r="B169" s="917" t="str">
        <f>+$B$6</f>
        <v>II-I-1-TBILLTDCS:  CLASS REVENUE REQUIREMENT</v>
      </c>
      <c r="C169" s="85"/>
      <c r="D169" s="967"/>
      <c r="F169" s="12"/>
      <c r="U169" s="12"/>
      <c r="V169" s="67"/>
      <c r="W169" s="167"/>
    </row>
    <row r="170" spans="1:23" ht="15.75">
      <c r="A170" s="47"/>
      <c r="B170" s="406" t="str">
        <f>+$B$7</f>
        <v>TEST YEAR ENDING 12/31/2021</v>
      </c>
      <c r="C170" s="85"/>
      <c r="D170" s="967"/>
      <c r="F170" s="12"/>
      <c r="U170" s="12"/>
      <c r="V170" s="67"/>
      <c r="W170" s="167"/>
    </row>
    <row r="171" spans="1:23" ht="15.75">
      <c r="A171" s="47"/>
      <c r="B171" s="406" t="str">
        <f>+$B$8</f>
        <v>SPONSOR:  MATTHEW A. TROXLE</v>
      </c>
      <c r="C171" s="85"/>
      <c r="D171" s="967"/>
      <c r="F171" s="12"/>
      <c r="U171" s="12"/>
      <c r="V171" s="67"/>
      <c r="W171" s="167"/>
    </row>
    <row r="172" spans="1:23" ht="16.5" thickBot="1">
      <c r="A172" s="47"/>
      <c r="B172" s="410"/>
      <c r="C172" s="934"/>
      <c r="D172" s="968"/>
      <c r="F172" s="12"/>
      <c r="U172" s="12"/>
      <c r="V172" s="67"/>
      <c r="W172" s="167"/>
    </row>
    <row r="173" spans="1:23" ht="15.75" thickBot="1">
      <c r="A173" s="47"/>
      <c r="B173" s="13"/>
      <c r="C173" s="14"/>
      <c r="D173" s="14"/>
      <c r="E173" s="14"/>
      <c r="F173" s="13"/>
      <c r="G173" s="14"/>
      <c r="H173" s="14"/>
      <c r="I173" s="14"/>
      <c r="J173" s="238"/>
      <c r="K173" s="238"/>
      <c r="L173" s="14"/>
      <c r="M173" s="238"/>
      <c r="N173" s="238"/>
      <c r="O173" s="238"/>
      <c r="P173" s="238"/>
      <c r="Q173" s="14"/>
      <c r="R173" s="393" t="str">
        <f>R$10</f>
        <v xml:space="preserve"> </v>
      </c>
      <c r="S173" s="394"/>
      <c r="T173" s="238"/>
      <c r="U173" s="13"/>
      <c r="V173" s="67"/>
      <c r="W173" s="167"/>
    </row>
    <row r="174" spans="1:23" ht="15.75">
      <c r="A174" s="47"/>
      <c r="B174" s="15" t="s">
        <v>2</v>
      </c>
      <c r="C174" s="15" t="s">
        <v>370</v>
      </c>
      <c r="D174" s="287" t="s">
        <v>547</v>
      </c>
      <c r="E174" s="15" t="s">
        <v>371</v>
      </c>
      <c r="F174" s="287" t="str">
        <f>F$11</f>
        <v>TBILLTDCS</v>
      </c>
      <c r="G174" s="242" t="s">
        <v>741</v>
      </c>
      <c r="H174" s="242" t="s">
        <v>376</v>
      </c>
      <c r="I174" s="15"/>
      <c r="J174" s="242" t="s">
        <v>730</v>
      </c>
      <c r="K174" s="242" t="s">
        <v>409</v>
      </c>
      <c r="L174" s="15" t="s">
        <v>409</v>
      </c>
      <c r="M174" s="242" t="s">
        <v>410</v>
      </c>
      <c r="N174" s="242" t="s">
        <v>410</v>
      </c>
      <c r="O174" s="242" t="s">
        <v>410</v>
      </c>
      <c r="P174" s="242" t="s">
        <v>411</v>
      </c>
      <c r="Q174" s="15" t="s">
        <v>412</v>
      </c>
      <c r="R174" s="396" t="str">
        <f>R$11</f>
        <v>Wholesale</v>
      </c>
      <c r="S174" s="13" t="str">
        <f>S$11</f>
        <v>Wholesale</v>
      </c>
      <c r="T174" s="242"/>
      <c r="U174" s="15" t="s">
        <v>10</v>
      </c>
      <c r="V174" s="67"/>
      <c r="W174" s="167"/>
    </row>
    <row r="175" spans="1:23" ht="15">
      <c r="A175" s="47"/>
      <c r="B175" s="15"/>
      <c r="C175" s="15"/>
      <c r="D175" s="15"/>
      <c r="E175" s="15"/>
      <c r="F175" s="15"/>
      <c r="G175" s="242" t="s">
        <v>742</v>
      </c>
      <c r="H175" s="242" t="s">
        <v>743</v>
      </c>
      <c r="I175" s="15"/>
      <c r="J175" s="242"/>
      <c r="K175" s="242" t="s">
        <v>731</v>
      </c>
      <c r="L175" s="15" t="s">
        <v>732</v>
      </c>
      <c r="M175" s="242" t="s">
        <v>731</v>
      </c>
      <c r="N175" s="242" t="s">
        <v>732</v>
      </c>
      <c r="O175" s="242" t="s">
        <v>414</v>
      </c>
      <c r="P175" s="242"/>
      <c r="Q175" s="15"/>
      <c r="R175" s="235" t="str">
        <f>R$12</f>
        <v>XFMR</v>
      </c>
      <c r="S175" s="15" t="str">
        <f>S$12</f>
        <v>DLS</v>
      </c>
      <c r="T175" s="242"/>
      <c r="U175" s="15"/>
      <c r="V175" s="67"/>
      <c r="W175" s="167"/>
    </row>
    <row r="176" spans="1:23" ht="15.75" thickBot="1">
      <c r="A176" s="47"/>
      <c r="B176" s="16"/>
      <c r="C176" s="16"/>
      <c r="D176" s="16"/>
      <c r="E176" s="16"/>
      <c r="F176" s="16" t="s">
        <v>13</v>
      </c>
      <c r="G176" s="16" t="s">
        <v>14</v>
      </c>
      <c r="H176" s="16" t="s">
        <v>15</v>
      </c>
      <c r="I176" s="16"/>
      <c r="J176" s="243" t="str">
        <f t="shared" si="67" ref="J176:Q176">J$13</f>
        <v>(d)</v>
      </c>
      <c r="K176" s="243" t="str">
        <f t="shared" si="67"/>
        <v>(e)</v>
      </c>
      <c r="L176" s="16" t="str">
        <f t="shared" si="67"/>
        <v>(f)</v>
      </c>
      <c r="M176" s="243" t="str">
        <f t="shared" si="67"/>
        <v>(g)</v>
      </c>
      <c r="N176" s="243" t="str">
        <f t="shared" si="67"/>
        <v>(h)</v>
      </c>
      <c r="O176" s="243" t="str">
        <f>O$13</f>
        <v>(i)</v>
      </c>
      <c r="P176" s="243" t="str">
        <f t="shared" si="67"/>
        <v>(j)</v>
      </c>
      <c r="Q176" s="243" t="str">
        <f t="shared" si="67"/>
        <v>(k)</v>
      </c>
      <c r="R176" s="243" t="str">
        <f>R$13</f>
        <v>(l)</v>
      </c>
      <c r="S176" s="16" t="str">
        <f>S$13</f>
        <v>(m)</v>
      </c>
      <c r="T176" s="16"/>
      <c r="U176" s="16" t="s">
        <v>734</v>
      </c>
      <c r="V176" s="67"/>
      <c r="W176" s="167"/>
    </row>
    <row r="177" spans="1:23" ht="15">
      <c r="A177" s="47"/>
      <c r="B177" s="67"/>
      <c r="C177" s="100"/>
      <c r="D177" s="100"/>
      <c r="E177" s="315"/>
      <c r="F177" s="100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1"/>
      <c r="V177" s="67"/>
      <c r="W177" s="726">
        <f t="shared" si="68" ref="W177:W238">F177-U177</f>
        <v>0</v>
      </c>
    </row>
    <row r="178" spans="1:23" ht="15.75">
      <c r="A178" s="47"/>
      <c r="B178" s="17">
        <f t="shared" si="69" ref="B178:B194">B177+1</f>
        <v>1</v>
      </c>
      <c r="C178" s="49" t="s">
        <v>547</v>
      </c>
      <c r="D178" s="49"/>
      <c r="E178" s="58" t="s">
        <v>90</v>
      </c>
      <c r="F178" s="49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49"/>
      <c r="V178" s="67"/>
      <c r="W178" s="726">
        <f t="shared" si="68"/>
        <v>0</v>
      </c>
    </row>
    <row r="179" spans="1:23" ht="15">
      <c r="A179" s="47"/>
      <c r="B179" s="17">
        <f t="shared" si="69"/>
        <v>2</v>
      </c>
      <c r="C179" s="12" t="s">
        <v>91</v>
      </c>
      <c r="D179" s="12" t="s">
        <v>40</v>
      </c>
      <c r="E179" s="11"/>
      <c r="F179" s="118">
        <f>' WP II-I-1.4'!I179</f>
        <v>2557941.0099999998</v>
      </c>
      <c r="G179" s="11">
        <v>87</v>
      </c>
      <c r="H179" s="47" t="str">
        <f t="shared" si="70" ref="H179:H187">VLOOKUP(G179,FactorTable,2)</f>
        <v>PAYROLL XAG</v>
      </c>
      <c r="I179" s="11"/>
      <c r="J179" s="434">
        <f t="shared" si="71" ref="J179:S187">$F179*HLOOKUP(J$1318,FactorTable,$G179+1)</f>
        <v>1425193.9690928264</v>
      </c>
      <c r="K179" s="434">
        <f t="shared" si="71"/>
        <v>219728.20727113349</v>
      </c>
      <c r="L179" s="434">
        <f t="shared" si="71"/>
        <v>677759.25644054101</v>
      </c>
      <c r="M179" s="434">
        <f t="shared" si="71"/>
        <v>9516.7690356925414</v>
      </c>
      <c r="N179" s="434">
        <f t="shared" si="71"/>
        <v>198589.33351829479</v>
      </c>
      <c r="O179" s="434">
        <f t="shared" si="71"/>
        <v>6786.3944737156171</v>
      </c>
      <c r="P179" s="434">
        <f t="shared" si="71"/>
        <v>14773.458738934764</v>
      </c>
      <c r="Q179" s="434">
        <f t="shared" si="71"/>
        <v>2982.0142055813926</v>
      </c>
      <c r="R179" s="434">
        <f t="shared" si="71"/>
        <v>783.04551619795586</v>
      </c>
      <c r="S179" s="434">
        <f t="shared" si="71"/>
        <v>1828.561707081798</v>
      </c>
      <c r="T179" s="11"/>
      <c r="U179" s="118">
        <f t="shared" si="72" ref="U179:U188">SUM(I179:T179)</f>
        <v>2557941.0099999993</v>
      </c>
      <c r="V179" s="67"/>
      <c r="W179" s="726">
        <f t="shared" si="68"/>
        <v>0</v>
      </c>
    </row>
    <row r="180" spans="1:23" ht="15">
      <c r="A180" s="47"/>
      <c r="B180" s="17">
        <f t="shared" si="69"/>
        <v>3</v>
      </c>
      <c r="C180" s="12" t="s">
        <v>92</v>
      </c>
      <c r="D180" s="12" t="s">
        <v>42</v>
      </c>
      <c r="E180" s="11"/>
      <c r="F180" s="118">
        <f>' WP II-I-1.4'!I180</f>
        <v>12.49</v>
      </c>
      <c r="G180" s="11">
        <v>87</v>
      </c>
      <c r="H180" s="47" t="str">
        <f t="shared" si="70"/>
        <v>PAYROLL XAG</v>
      </c>
      <c r="I180" s="11"/>
      <c r="J180" s="434">
        <f t="shared" si="71"/>
        <v>6.9589848258343538</v>
      </c>
      <c r="K180" s="434">
        <f t="shared" si="71"/>
        <v>1.0728962466638188</v>
      </c>
      <c r="L180" s="434">
        <f t="shared" si="71"/>
        <v>3.3093855878022604</v>
      </c>
      <c r="M180" s="434">
        <f t="shared" si="71"/>
        <v>0.046468798455911169</v>
      </c>
      <c r="N180" s="434">
        <f t="shared" si="71"/>
        <v>0.96967864620283106</v>
      </c>
      <c r="O180" s="434">
        <f t="shared" si="71"/>
        <v>0.033136834135478389</v>
      </c>
      <c r="P180" s="434">
        <f t="shared" si="71"/>
        <v>0.072136338925695251</v>
      </c>
      <c r="Q180" s="434">
        <f t="shared" si="71"/>
        <v>0.014560678796776316</v>
      </c>
      <c r="R180" s="434">
        <f t="shared" si="71"/>
        <v>0.0038234808617859683</v>
      </c>
      <c r="S180" s="434">
        <f t="shared" si="71"/>
        <v>0.0089285623210879506</v>
      </c>
      <c r="T180" s="11"/>
      <c r="U180" s="118">
        <f t="shared" si="72"/>
        <v>12.490000000000002</v>
      </c>
      <c r="V180" s="67"/>
      <c r="W180" s="726">
        <f t="shared" si="68"/>
        <v>0</v>
      </c>
    </row>
    <row r="181" spans="1:23" ht="15">
      <c r="A181" s="47"/>
      <c r="B181" s="17">
        <f t="shared" si="69"/>
        <v>4</v>
      </c>
      <c r="C181" s="12" t="s">
        <v>93</v>
      </c>
      <c r="D181" s="12" t="s">
        <v>44</v>
      </c>
      <c r="E181" s="11"/>
      <c r="F181" s="118">
        <f>' WP II-I-1.4'!I181</f>
        <v>13542694.41</v>
      </c>
      <c r="G181" s="11">
        <v>87</v>
      </c>
      <c r="H181" s="47" t="str">
        <f t="shared" si="70"/>
        <v>PAYROLL XAG</v>
      </c>
      <c r="I181" s="11"/>
      <c r="J181" s="434">
        <f t="shared" si="71"/>
        <v>7545508.799047376</v>
      </c>
      <c r="K181" s="434">
        <f t="shared" si="71"/>
        <v>1163323.1386872761</v>
      </c>
      <c r="L181" s="434">
        <f t="shared" si="71"/>
        <v>3588310.4644086659</v>
      </c>
      <c r="M181" s="434">
        <f t="shared" si="71"/>
        <v>50385.327228845861</v>
      </c>
      <c r="N181" s="434">
        <f t="shared" si="71"/>
        <v>1051406.05135528</v>
      </c>
      <c r="O181" s="434">
        <f t="shared" si="71"/>
        <v>35929.705237120921</v>
      </c>
      <c r="P181" s="434">
        <f t="shared" si="71"/>
        <v>78216.204477732463</v>
      </c>
      <c r="Q181" s="434">
        <f t="shared" si="71"/>
        <v>15787.896184700412</v>
      </c>
      <c r="R181" s="434">
        <f t="shared" si="71"/>
        <v>4145.7352196677994</v>
      </c>
      <c r="S181" s="434">
        <f t="shared" si="71"/>
        <v>9681.0881533334214</v>
      </c>
      <c r="T181" s="11"/>
      <c r="U181" s="118">
        <f t="shared" si="72"/>
        <v>13542694.41</v>
      </c>
      <c r="V181" s="67"/>
      <c r="W181" s="726">
        <f t="shared" si="68"/>
        <v>0</v>
      </c>
    </row>
    <row r="182" spans="1:23" ht="15">
      <c r="A182" s="47"/>
      <c r="B182" s="17">
        <f t="shared" si="69"/>
        <v>5</v>
      </c>
      <c r="C182" s="12" t="s">
        <v>94</v>
      </c>
      <c r="D182" s="12" t="s">
        <v>95</v>
      </c>
      <c r="E182" s="11"/>
      <c r="F182" s="118">
        <f>' WP II-I-1.4'!I182</f>
        <v>84000108.049999997</v>
      </c>
      <c r="G182" s="11">
        <v>87</v>
      </c>
      <c r="H182" s="47" t="str">
        <f t="shared" si="70"/>
        <v>PAYROLL XAG</v>
      </c>
      <c r="I182" s="11"/>
      <c r="J182" s="434">
        <f t="shared" si="71"/>
        <v>46801879.686821148</v>
      </c>
      <c r="K182" s="434">
        <f t="shared" si="71"/>
        <v>7215644.5673498968</v>
      </c>
      <c r="L182" s="434">
        <f t="shared" si="71"/>
        <v>22256905.280584678</v>
      </c>
      <c r="M182" s="434">
        <f t="shared" si="71"/>
        <v>312520.74389513303</v>
      </c>
      <c r="N182" s="434">
        <f t="shared" si="71"/>
        <v>6521466.0572310267</v>
      </c>
      <c r="O182" s="434">
        <f t="shared" si="71"/>
        <v>222858.09830385211</v>
      </c>
      <c r="P182" s="434">
        <f t="shared" si="71"/>
        <v>485144.93707684719</v>
      </c>
      <c r="Q182" s="434">
        <f t="shared" si="71"/>
        <v>97926.22835953199</v>
      </c>
      <c r="R182" s="434">
        <f t="shared" si="71"/>
        <v>25714.395958136782</v>
      </c>
      <c r="S182" s="434">
        <f t="shared" si="71"/>
        <v>60048.054419739528</v>
      </c>
      <c r="T182" s="11"/>
      <c r="U182" s="118">
        <f t="shared" si="72"/>
        <v>84000108.049999997</v>
      </c>
      <c r="V182" s="67"/>
      <c r="W182" s="726">
        <f t="shared" si="68"/>
        <v>0</v>
      </c>
    </row>
    <row r="183" spans="1:23" ht="15">
      <c r="A183" s="47"/>
      <c r="B183" s="17">
        <f t="shared" si="69"/>
        <v>6</v>
      </c>
      <c r="C183" s="12" t="s">
        <v>96</v>
      </c>
      <c r="D183" s="12" t="s">
        <v>98</v>
      </c>
      <c r="E183" s="11"/>
      <c r="F183" s="118">
        <f>' WP II-I-1.4'!I183</f>
        <v>0</v>
      </c>
      <c r="G183" s="11">
        <v>87</v>
      </c>
      <c r="H183" s="47" t="str">
        <f t="shared" si="70"/>
        <v>PAYROLL XAG</v>
      </c>
      <c r="I183" s="11"/>
      <c r="J183" s="434">
        <f t="shared" si="71"/>
        <v>0</v>
      </c>
      <c r="K183" s="434">
        <f t="shared" si="71"/>
        <v>0</v>
      </c>
      <c r="L183" s="434">
        <f t="shared" si="71"/>
        <v>0</v>
      </c>
      <c r="M183" s="434">
        <f t="shared" si="71"/>
        <v>0</v>
      </c>
      <c r="N183" s="434">
        <f t="shared" si="71"/>
        <v>0</v>
      </c>
      <c r="O183" s="434">
        <f t="shared" si="71"/>
        <v>0</v>
      </c>
      <c r="P183" s="434">
        <f t="shared" si="71"/>
        <v>0</v>
      </c>
      <c r="Q183" s="434">
        <f t="shared" si="71"/>
        <v>0</v>
      </c>
      <c r="R183" s="434">
        <f t="shared" si="71"/>
        <v>0</v>
      </c>
      <c r="S183" s="434">
        <f t="shared" si="71"/>
        <v>0</v>
      </c>
      <c r="T183" s="11"/>
      <c r="U183" s="118">
        <f t="shared" si="72"/>
        <v>0</v>
      </c>
      <c r="V183" s="67"/>
      <c r="W183" s="726">
        <f t="shared" si="68"/>
        <v>0</v>
      </c>
    </row>
    <row r="184" spans="1:23" ht="15">
      <c r="A184" s="47"/>
      <c r="B184" s="17">
        <f t="shared" si="69"/>
        <v>7</v>
      </c>
      <c r="C184" s="12" t="s">
        <v>99</v>
      </c>
      <c r="D184" s="12" t="s">
        <v>548</v>
      </c>
      <c r="E184" s="11"/>
      <c r="F184" s="118">
        <f>' WP II-I-1.4'!I184</f>
        <v>0</v>
      </c>
      <c r="G184" s="11">
        <v>87</v>
      </c>
      <c r="H184" s="47" t="str">
        <f t="shared" si="70"/>
        <v>PAYROLL XAG</v>
      </c>
      <c r="I184" s="11"/>
      <c r="J184" s="434">
        <f t="shared" si="71"/>
        <v>0</v>
      </c>
      <c r="K184" s="434">
        <f t="shared" si="71"/>
        <v>0</v>
      </c>
      <c r="L184" s="434">
        <f t="shared" si="71"/>
        <v>0</v>
      </c>
      <c r="M184" s="434">
        <f t="shared" si="71"/>
        <v>0</v>
      </c>
      <c r="N184" s="434">
        <f t="shared" si="71"/>
        <v>0</v>
      </c>
      <c r="O184" s="434">
        <f t="shared" si="71"/>
        <v>0</v>
      </c>
      <c r="P184" s="434">
        <f t="shared" si="71"/>
        <v>0</v>
      </c>
      <c r="Q184" s="434">
        <f t="shared" si="71"/>
        <v>0</v>
      </c>
      <c r="R184" s="434">
        <f t="shared" si="71"/>
        <v>0</v>
      </c>
      <c r="S184" s="434">
        <f t="shared" si="71"/>
        <v>0</v>
      </c>
      <c r="T184" s="11"/>
      <c r="U184" s="118">
        <f t="shared" si="72"/>
        <v>0</v>
      </c>
      <c r="V184" s="67"/>
      <c r="W184" s="726">
        <f t="shared" si="68"/>
        <v>0</v>
      </c>
    </row>
    <row r="185" spans="1:23" ht="15">
      <c r="A185" s="47"/>
      <c r="B185" s="17">
        <f t="shared" si="69"/>
        <v>8</v>
      </c>
      <c r="C185" s="12" t="s">
        <v>101</v>
      </c>
      <c r="D185" s="12" t="s">
        <v>549</v>
      </c>
      <c r="E185" s="11"/>
      <c r="F185" s="118">
        <f>' WP II-I-1.4'!I185</f>
        <v>0</v>
      </c>
      <c r="G185" s="11">
        <v>87</v>
      </c>
      <c r="H185" s="47" t="str">
        <f t="shared" si="70"/>
        <v>PAYROLL XAG</v>
      </c>
      <c r="I185" s="11"/>
      <c r="J185" s="434">
        <f t="shared" si="71"/>
        <v>0</v>
      </c>
      <c r="K185" s="434">
        <f t="shared" si="71"/>
        <v>0</v>
      </c>
      <c r="L185" s="434">
        <f t="shared" si="71"/>
        <v>0</v>
      </c>
      <c r="M185" s="434">
        <f t="shared" si="71"/>
        <v>0</v>
      </c>
      <c r="N185" s="434">
        <f t="shared" si="71"/>
        <v>0</v>
      </c>
      <c r="O185" s="434">
        <f t="shared" si="71"/>
        <v>0</v>
      </c>
      <c r="P185" s="434">
        <f t="shared" si="71"/>
        <v>0</v>
      </c>
      <c r="Q185" s="434">
        <f t="shared" si="71"/>
        <v>0</v>
      </c>
      <c r="R185" s="434">
        <f t="shared" si="71"/>
        <v>0</v>
      </c>
      <c r="S185" s="434">
        <f t="shared" si="71"/>
        <v>0</v>
      </c>
      <c r="T185" s="11"/>
      <c r="U185" s="118">
        <f t="shared" si="72"/>
        <v>0</v>
      </c>
      <c r="V185" s="67"/>
      <c r="W185" s="726">
        <f t="shared" si="68"/>
        <v>0</v>
      </c>
    </row>
    <row r="186" spans="1:23" ht="15">
      <c r="A186" s="47"/>
      <c r="B186" s="17">
        <f t="shared" si="69"/>
        <v>9</v>
      </c>
      <c r="C186" s="12" t="s">
        <v>103</v>
      </c>
      <c r="D186" s="12" t="s">
        <v>104</v>
      </c>
      <c r="E186" s="11"/>
      <c r="F186" s="118">
        <f>' WP II-I-1.4'!I186</f>
        <v>0</v>
      </c>
      <c r="G186" s="11">
        <v>87</v>
      </c>
      <c r="H186" s="47" t="str">
        <f t="shared" si="70"/>
        <v>PAYROLL XAG</v>
      </c>
      <c r="I186" s="11"/>
      <c r="J186" s="434">
        <f t="shared" si="71"/>
        <v>0</v>
      </c>
      <c r="K186" s="434">
        <f t="shared" si="71"/>
        <v>0</v>
      </c>
      <c r="L186" s="434">
        <f t="shared" si="71"/>
        <v>0</v>
      </c>
      <c r="M186" s="434">
        <f t="shared" si="71"/>
        <v>0</v>
      </c>
      <c r="N186" s="434">
        <f t="shared" si="71"/>
        <v>0</v>
      </c>
      <c r="O186" s="434">
        <f t="shared" si="71"/>
        <v>0</v>
      </c>
      <c r="P186" s="434">
        <f t="shared" si="71"/>
        <v>0</v>
      </c>
      <c r="Q186" s="434">
        <f t="shared" si="71"/>
        <v>0</v>
      </c>
      <c r="R186" s="434">
        <f t="shared" si="71"/>
        <v>0</v>
      </c>
      <c r="S186" s="434">
        <f t="shared" si="71"/>
        <v>0</v>
      </c>
      <c r="T186" s="11"/>
      <c r="U186" s="118">
        <f t="shared" si="72"/>
        <v>0</v>
      </c>
      <c r="V186" s="67"/>
      <c r="W186" s="726">
        <f t="shared" si="68"/>
        <v>0</v>
      </c>
    </row>
    <row r="187" spans="1:23" ht="15">
      <c r="A187" s="47"/>
      <c r="B187" s="17">
        <f t="shared" si="69"/>
        <v>10</v>
      </c>
      <c r="C187" s="12" t="s">
        <v>105</v>
      </c>
      <c r="D187" s="12" t="s">
        <v>106</v>
      </c>
      <c r="E187" s="11"/>
      <c r="F187" s="118">
        <f>' WP II-I-1.4'!I187</f>
        <v>0</v>
      </c>
      <c r="G187" s="11">
        <v>87</v>
      </c>
      <c r="H187" s="47" t="str">
        <f t="shared" si="70"/>
        <v>PAYROLL XAG</v>
      </c>
      <c r="I187" s="11"/>
      <c r="J187" s="435">
        <f t="shared" si="71"/>
        <v>0</v>
      </c>
      <c r="K187" s="435">
        <f t="shared" si="71"/>
        <v>0</v>
      </c>
      <c r="L187" s="435">
        <f t="shared" si="71"/>
        <v>0</v>
      </c>
      <c r="M187" s="435">
        <f t="shared" si="71"/>
        <v>0</v>
      </c>
      <c r="N187" s="435">
        <f t="shared" si="71"/>
        <v>0</v>
      </c>
      <c r="O187" s="435">
        <f t="shared" si="71"/>
        <v>0</v>
      </c>
      <c r="P187" s="435">
        <f t="shared" si="71"/>
        <v>0</v>
      </c>
      <c r="Q187" s="435">
        <f t="shared" si="71"/>
        <v>0</v>
      </c>
      <c r="R187" s="435">
        <f t="shared" si="71"/>
        <v>0</v>
      </c>
      <c r="S187" s="435">
        <f t="shared" si="71"/>
        <v>0</v>
      </c>
      <c r="T187" s="11"/>
      <c r="U187" s="118">
        <f t="shared" si="72"/>
        <v>0</v>
      </c>
      <c r="V187" s="67"/>
      <c r="W187" s="726">
        <f t="shared" si="68"/>
        <v>0</v>
      </c>
    </row>
    <row r="188" spans="1:23" ht="15.75">
      <c r="A188" s="47"/>
      <c r="B188" s="17">
        <f t="shared" si="69"/>
        <v>11</v>
      </c>
      <c r="C188" s="1"/>
      <c r="D188" s="297" t="s">
        <v>491</v>
      </c>
      <c r="E188" s="20"/>
      <c r="F188" s="21">
        <f>SUM(F179:F187)</f>
        <v>100100755.95999999</v>
      </c>
      <c r="G188" s="20"/>
      <c r="H188" s="20"/>
      <c r="I188" s="1010"/>
      <c r="J188" s="895">
        <f t="shared" si="73" ref="J188:Q188">SUM(J179:J187)</f>
        <v>55772589.413946174</v>
      </c>
      <c r="K188" s="895">
        <f t="shared" si="73"/>
        <v>8598696.9862045534</v>
      </c>
      <c r="L188" s="895">
        <f t="shared" si="73"/>
        <v>26522978.310819473</v>
      </c>
      <c r="M188" s="895">
        <f t="shared" si="73"/>
        <v>372422.88662846992</v>
      </c>
      <c r="N188" s="895">
        <f t="shared" si="73"/>
        <v>7771462.4117832482</v>
      </c>
      <c r="O188" s="895">
        <f>SUM(O179:O187)</f>
        <v>265574.23115152278</v>
      </c>
      <c r="P188" s="895">
        <f t="shared" si="73"/>
        <v>578134.67242985335</v>
      </c>
      <c r="Q188" s="895">
        <f t="shared" si="73"/>
        <v>116696.15331049259</v>
      </c>
      <c r="R188" s="895">
        <f>SUM(R179:R187)</f>
        <v>30643.180517483401</v>
      </c>
      <c r="S188" s="895">
        <f>SUM(S179:S187)</f>
        <v>71557.713208717061</v>
      </c>
      <c r="T188" s="1010"/>
      <c r="U188" s="299">
        <f t="shared" si="72"/>
        <v>100100755.95999999</v>
      </c>
      <c r="V188" s="67"/>
      <c r="W188" s="726">
        <f t="shared" si="68"/>
        <v>0</v>
      </c>
    </row>
    <row r="189" spans="1:23" ht="15.75">
      <c r="A189" s="47"/>
      <c r="B189" s="17">
        <f t="shared" si="69"/>
        <v>12</v>
      </c>
      <c r="C189" s="8"/>
      <c r="D189" s="297"/>
      <c r="E189" s="20"/>
      <c r="F189" s="18"/>
      <c r="G189" s="20"/>
      <c r="H189" s="20"/>
      <c r="I189" s="1010"/>
      <c r="J189" s="1059"/>
      <c r="K189" s="1059"/>
      <c r="L189" s="1059"/>
      <c r="M189" s="1059"/>
      <c r="N189" s="1059"/>
      <c r="O189" s="1059"/>
      <c r="P189" s="1059"/>
      <c r="Q189" s="1059"/>
      <c r="R189" s="1059"/>
      <c r="S189" s="1059"/>
      <c r="T189" s="1010"/>
      <c r="U189" s="121"/>
      <c r="V189" s="67"/>
      <c r="W189" s="726">
        <f t="shared" si="68"/>
        <v>0</v>
      </c>
    </row>
    <row r="190" spans="1:23" ht="15">
      <c r="A190" s="47"/>
      <c r="B190" s="17">
        <f t="shared" si="69"/>
        <v>13</v>
      </c>
      <c r="C190" s="1" t="s">
        <v>110</v>
      </c>
      <c r="D190" s="1" t="s">
        <v>550</v>
      </c>
      <c r="E190" s="17"/>
      <c r="F190" s="118">
        <f>' WP II-I-1.4'!I190</f>
        <v>0</v>
      </c>
      <c r="G190" s="11">
        <v>87</v>
      </c>
      <c r="H190" s="47" t="str">
        <f>VLOOKUP(G190,FactorTable,2)</f>
        <v>PAYROLL XAG</v>
      </c>
      <c r="I190" s="17"/>
      <c r="J190" s="434">
        <f t="shared" si="74" ref="J190:S191">$F190*HLOOKUP(J$1318,FactorTable,$G190+1)</f>
        <v>0</v>
      </c>
      <c r="K190" s="434">
        <f t="shared" si="74"/>
        <v>0</v>
      </c>
      <c r="L190" s="434">
        <f t="shared" si="74"/>
        <v>0</v>
      </c>
      <c r="M190" s="434">
        <f t="shared" si="74"/>
        <v>0</v>
      </c>
      <c r="N190" s="434">
        <f t="shared" si="74"/>
        <v>0</v>
      </c>
      <c r="O190" s="434">
        <f t="shared" si="74"/>
        <v>0</v>
      </c>
      <c r="P190" s="434">
        <f t="shared" si="74"/>
        <v>0</v>
      </c>
      <c r="Q190" s="434">
        <f t="shared" si="74"/>
        <v>0</v>
      </c>
      <c r="R190" s="434">
        <f t="shared" si="74"/>
        <v>0</v>
      </c>
      <c r="S190" s="434">
        <f t="shared" si="74"/>
        <v>0</v>
      </c>
      <c r="T190" s="17"/>
      <c r="U190" s="118">
        <f>SUM(I190:T190)</f>
        <v>0</v>
      </c>
      <c r="V190" s="67"/>
      <c r="W190" s="726">
        <f t="shared" si="68"/>
        <v>0</v>
      </c>
    </row>
    <row r="191" spans="1:23" ht="15">
      <c r="A191" s="47"/>
      <c r="B191" s="17">
        <f t="shared" si="69"/>
        <v>14</v>
      </c>
      <c r="C191" s="1" t="s">
        <v>112</v>
      </c>
      <c r="D191" s="1" t="s">
        <v>551</v>
      </c>
      <c r="E191" s="17"/>
      <c r="F191" s="118">
        <f>' WP II-I-1.4'!I191</f>
        <v>0</v>
      </c>
      <c r="G191" s="11">
        <v>87</v>
      </c>
      <c r="H191" s="47" t="str">
        <f>VLOOKUP(G191,FactorTable,2)</f>
        <v>PAYROLL XAG</v>
      </c>
      <c r="I191" s="17"/>
      <c r="J191" s="435">
        <f t="shared" si="74"/>
        <v>0</v>
      </c>
      <c r="K191" s="435">
        <f t="shared" si="74"/>
        <v>0</v>
      </c>
      <c r="L191" s="435">
        <f t="shared" si="74"/>
        <v>0</v>
      </c>
      <c r="M191" s="435">
        <f t="shared" si="74"/>
        <v>0</v>
      </c>
      <c r="N191" s="435">
        <f t="shared" si="74"/>
        <v>0</v>
      </c>
      <c r="O191" s="435">
        <f t="shared" si="74"/>
        <v>0</v>
      </c>
      <c r="P191" s="435">
        <f t="shared" si="74"/>
        <v>0</v>
      </c>
      <c r="Q191" s="435">
        <f t="shared" si="74"/>
        <v>0</v>
      </c>
      <c r="R191" s="435">
        <f t="shared" si="74"/>
        <v>0</v>
      </c>
      <c r="S191" s="435">
        <f t="shared" si="74"/>
        <v>0</v>
      </c>
      <c r="T191" s="17"/>
      <c r="U191" s="118">
        <f>SUM(I191:T191)</f>
        <v>0</v>
      </c>
      <c r="V191" s="67"/>
      <c r="W191" s="726">
        <f t="shared" si="68"/>
        <v>0</v>
      </c>
    </row>
    <row r="192" spans="1:23" ht="15.75">
      <c r="A192" s="47"/>
      <c r="B192" s="17">
        <f t="shared" si="69"/>
        <v>15</v>
      </c>
      <c r="C192" s="8"/>
      <c r="D192" s="297" t="s">
        <v>491</v>
      </c>
      <c r="E192" s="20"/>
      <c r="F192" s="21">
        <f>+F191+F190</f>
        <v>0</v>
      </c>
      <c r="G192" s="20"/>
      <c r="H192" s="20"/>
      <c r="I192" s="20"/>
      <c r="J192" s="895">
        <f t="shared" si="75" ref="J192:Q192">+J191+J190</f>
        <v>0</v>
      </c>
      <c r="K192" s="895">
        <f t="shared" si="75"/>
        <v>0</v>
      </c>
      <c r="L192" s="895">
        <f t="shared" si="75"/>
        <v>0</v>
      </c>
      <c r="M192" s="895">
        <f t="shared" si="75"/>
        <v>0</v>
      </c>
      <c r="N192" s="895">
        <f t="shared" si="75"/>
        <v>0</v>
      </c>
      <c r="O192" s="895">
        <f>+O191+O190</f>
        <v>0</v>
      </c>
      <c r="P192" s="895">
        <f t="shared" si="75"/>
        <v>0</v>
      </c>
      <c r="Q192" s="895">
        <f t="shared" si="75"/>
        <v>0</v>
      </c>
      <c r="R192" s="895">
        <f>+R191+R190</f>
        <v>0</v>
      </c>
      <c r="S192" s="895">
        <f>+S191+S190</f>
        <v>0</v>
      </c>
      <c r="T192" s="20"/>
      <c r="U192" s="21">
        <f>SUM(I192:T192)</f>
        <v>0</v>
      </c>
      <c r="V192" s="67"/>
      <c r="W192" s="726">
        <f t="shared" si="68"/>
        <v>0</v>
      </c>
    </row>
    <row r="193" spans="1:23" ht="16.5" thickBot="1">
      <c r="A193" s="47"/>
      <c r="B193" s="17">
        <f t="shared" si="69"/>
        <v>16</v>
      </c>
      <c r="C193" s="8"/>
      <c r="D193" s="297"/>
      <c r="E193" s="20"/>
      <c r="F193" s="22"/>
      <c r="G193" s="20"/>
      <c r="H193" s="20"/>
      <c r="I193" s="20"/>
      <c r="J193" s="896"/>
      <c r="K193" s="896"/>
      <c r="L193" s="896"/>
      <c r="M193" s="896"/>
      <c r="N193" s="896"/>
      <c r="O193" s="896"/>
      <c r="P193" s="896"/>
      <c r="Q193" s="896"/>
      <c r="R193" s="896"/>
      <c r="S193" s="896"/>
      <c r="T193" s="20"/>
      <c r="U193" s="8"/>
      <c r="V193" s="67"/>
      <c r="W193" s="726">
        <f t="shared" si="68"/>
        <v>0</v>
      </c>
    </row>
    <row r="194" spans="1:23" ht="16.5" thickBot="1">
      <c r="A194" s="47"/>
      <c r="B194" s="17">
        <f t="shared" si="69"/>
        <v>17</v>
      </c>
      <c r="C194" s="284" t="s">
        <v>552</v>
      </c>
      <c r="D194" s="285"/>
      <c r="E194" s="316" t="s">
        <v>90</v>
      </c>
      <c r="F194" s="255">
        <f>+F192+F188</f>
        <v>100100755.95999999</v>
      </c>
      <c r="G194" s="316"/>
      <c r="H194" s="444"/>
      <c r="I194" s="1061"/>
      <c r="J194" s="446">
        <f t="shared" si="76" ref="J194:Q194">+J192+J188</f>
        <v>55772589.413946174</v>
      </c>
      <c r="K194" s="903">
        <f t="shared" si="76"/>
        <v>8598696.9862045534</v>
      </c>
      <c r="L194" s="903">
        <f t="shared" si="76"/>
        <v>26522978.310819473</v>
      </c>
      <c r="M194" s="903">
        <f t="shared" si="76"/>
        <v>372422.88662846992</v>
      </c>
      <c r="N194" s="903">
        <f t="shared" si="76"/>
        <v>7771462.4117832482</v>
      </c>
      <c r="O194" s="903">
        <f>+O192+O188</f>
        <v>265574.23115152278</v>
      </c>
      <c r="P194" s="903">
        <f t="shared" si="76"/>
        <v>578134.67242985335</v>
      </c>
      <c r="Q194" s="903">
        <f t="shared" si="76"/>
        <v>116696.15331049259</v>
      </c>
      <c r="R194" s="903">
        <f>+R192+R188</f>
        <v>30643.180517483401</v>
      </c>
      <c r="S194" s="903">
        <f>+S192+S188</f>
        <v>71557.713208717061</v>
      </c>
      <c r="T194" s="445"/>
      <c r="U194" s="256">
        <f>SUM(I194:T194)</f>
        <v>100100755.95999999</v>
      </c>
      <c r="V194" s="67"/>
      <c r="W194" s="726">
        <f t="shared" si="68"/>
        <v>0</v>
      </c>
    </row>
    <row r="195" spans="1:23" ht="15">
      <c r="A195" s="4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726"/>
    </row>
    <row r="196" spans="1:23" ht="15">
      <c r="A196" s="47"/>
      <c r="B196" s="67"/>
      <c r="C196" s="67"/>
      <c r="D196" s="67"/>
      <c r="E196" s="67"/>
      <c r="F196" s="67"/>
      <c r="G196" s="67"/>
      <c r="H196" s="134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134"/>
      <c r="V196" s="134">
        <f>$H$2</f>
        <v>0</v>
      </c>
      <c r="W196" s="726"/>
    </row>
    <row r="197" spans="1:23" ht="15.75" thickBot="1">
      <c r="A197" s="4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726"/>
    </row>
    <row r="198" spans="1:23" ht="15.75">
      <c r="A198" s="47"/>
      <c r="B198" s="920" t="str">
        <f>+$B$4</f>
        <v>2022 RATE CASE</v>
      </c>
      <c r="C198" s="935"/>
      <c r="D198" s="620"/>
      <c r="F198" s="12"/>
      <c r="U198" s="134"/>
      <c r="W198" s="726"/>
    </row>
    <row r="199" spans="1:23" ht="15.75">
      <c r="A199" s="290"/>
      <c r="B199" s="917" t="str">
        <f>+$B$5</f>
        <v>ONCOR ELECTRIC DELIVERY COMPANY LLC</v>
      </c>
      <c r="C199" s="8"/>
      <c r="D199" s="621"/>
      <c r="F199" s="12"/>
      <c r="U199" s="134"/>
      <c r="V199" s="67"/>
      <c r="W199" s="726"/>
    </row>
    <row r="200" spans="1:23" ht="15.75">
      <c r="A200" s="47"/>
      <c r="B200" s="917" t="str">
        <f>+$B$6</f>
        <v>II-I-1-TBILLTDCS:  CLASS REVENUE REQUIREMENT</v>
      </c>
      <c r="C200" s="85"/>
      <c r="D200" s="621"/>
      <c r="F200" s="12"/>
      <c r="U200" s="12"/>
      <c r="V200" s="67"/>
      <c r="W200" s="726"/>
    </row>
    <row r="201" spans="1:23" ht="15.75">
      <c r="A201" s="47"/>
      <c r="B201" s="406" t="str">
        <f>+$B$7</f>
        <v>TEST YEAR ENDING 12/31/2021</v>
      </c>
      <c r="C201" s="85"/>
      <c r="D201" s="621"/>
      <c r="F201" s="12"/>
      <c r="U201" s="12"/>
      <c r="V201" s="67"/>
      <c r="W201" s="726"/>
    </row>
    <row r="202" spans="1:23" ht="15.75">
      <c r="A202" s="47"/>
      <c r="B202" s="406" t="str">
        <f>+$B$8</f>
        <v>SPONSOR:  MATTHEW A. TROXLE</v>
      </c>
      <c r="C202" s="85"/>
      <c r="D202" s="621"/>
      <c r="F202" s="12"/>
      <c r="U202" s="12"/>
      <c r="V202" s="67"/>
      <c r="W202" s="726"/>
    </row>
    <row r="203" spans="1:23" ht="16.5" thickBot="1">
      <c r="A203" s="47"/>
      <c r="B203" s="410"/>
      <c r="C203" s="934"/>
      <c r="D203" s="622"/>
      <c r="F203" s="12"/>
      <c r="U203" s="12"/>
      <c r="V203" s="67"/>
      <c r="W203" s="726"/>
    </row>
    <row r="204" spans="1:23" ht="15.75" thickBot="1">
      <c r="A204" s="47"/>
      <c r="B204" s="13"/>
      <c r="C204" s="14"/>
      <c r="D204" s="14"/>
      <c r="E204" s="14"/>
      <c r="F204" s="13"/>
      <c r="G204" s="14"/>
      <c r="H204" s="14"/>
      <c r="I204" s="14"/>
      <c r="J204" s="14"/>
      <c r="K204" s="238"/>
      <c r="L204" s="14"/>
      <c r="M204" s="238"/>
      <c r="N204" s="238"/>
      <c r="O204" s="238"/>
      <c r="P204" s="238"/>
      <c r="Q204" s="14"/>
      <c r="R204" s="393" t="str">
        <f>R$10</f>
        <v xml:space="preserve"> </v>
      </c>
      <c r="S204" s="394"/>
      <c r="T204" s="238"/>
      <c r="U204" s="13"/>
      <c r="V204" s="67"/>
      <c r="W204" s="726"/>
    </row>
    <row r="205" spans="1:23" ht="15.75">
      <c r="A205" s="47"/>
      <c r="B205" s="15" t="s">
        <v>2</v>
      </c>
      <c r="C205" s="15" t="s">
        <v>370</v>
      </c>
      <c r="D205" s="287" t="s">
        <v>108</v>
      </c>
      <c r="E205" s="15" t="s">
        <v>371</v>
      </c>
      <c r="F205" s="287" t="str">
        <f>F$11</f>
        <v>TBILLTDCS</v>
      </c>
      <c r="G205" s="242" t="s">
        <v>741</v>
      </c>
      <c r="H205" s="242" t="s">
        <v>376</v>
      </c>
      <c r="I205" s="15"/>
      <c r="J205" s="15" t="s">
        <v>730</v>
      </c>
      <c r="K205" s="242" t="s">
        <v>409</v>
      </c>
      <c r="L205" s="15" t="s">
        <v>409</v>
      </c>
      <c r="M205" s="242" t="s">
        <v>410</v>
      </c>
      <c r="N205" s="242" t="s">
        <v>410</v>
      </c>
      <c r="O205" s="242" t="s">
        <v>410</v>
      </c>
      <c r="P205" s="242" t="s">
        <v>411</v>
      </c>
      <c r="Q205" s="15" t="s">
        <v>412</v>
      </c>
      <c r="R205" s="396" t="str">
        <f>R$11</f>
        <v>Wholesale</v>
      </c>
      <c r="S205" s="13" t="str">
        <f>S$11</f>
        <v>Wholesale</v>
      </c>
      <c r="T205" s="242"/>
      <c r="U205" s="15" t="s">
        <v>10</v>
      </c>
      <c r="V205" s="67"/>
      <c r="W205" s="726"/>
    </row>
    <row r="206" spans="1:23" ht="15">
      <c r="A206" s="47"/>
      <c r="B206" s="15"/>
      <c r="C206" s="15"/>
      <c r="D206" s="15"/>
      <c r="E206" s="15"/>
      <c r="F206" s="15"/>
      <c r="G206" s="242" t="s">
        <v>742</v>
      </c>
      <c r="H206" s="242" t="s">
        <v>743</v>
      </c>
      <c r="I206" s="15"/>
      <c r="J206" s="15"/>
      <c r="K206" s="242" t="s">
        <v>731</v>
      </c>
      <c r="L206" s="15" t="s">
        <v>732</v>
      </c>
      <c r="M206" s="242" t="s">
        <v>731</v>
      </c>
      <c r="N206" s="242" t="s">
        <v>732</v>
      </c>
      <c r="O206" s="242" t="s">
        <v>414</v>
      </c>
      <c r="P206" s="242"/>
      <c r="Q206" s="15"/>
      <c r="R206" s="235" t="str">
        <f>R$12</f>
        <v>XFMR</v>
      </c>
      <c r="S206" s="15" t="str">
        <f>S$12</f>
        <v>DLS</v>
      </c>
      <c r="T206" s="242"/>
      <c r="U206" s="15"/>
      <c r="V206" s="67"/>
      <c r="W206" s="726"/>
    </row>
    <row r="207" spans="1:23" ht="15.75" thickBot="1">
      <c r="A207" s="47"/>
      <c r="B207" s="16"/>
      <c r="C207" s="16"/>
      <c r="D207" s="16"/>
      <c r="E207" s="16"/>
      <c r="F207" s="16" t="s">
        <v>13</v>
      </c>
      <c r="G207" s="16" t="s">
        <v>14</v>
      </c>
      <c r="H207" s="16" t="s">
        <v>15</v>
      </c>
      <c r="I207" s="16"/>
      <c r="J207" s="243" t="str">
        <f t="shared" si="77" ref="J207:Q207">J$13</f>
        <v>(d)</v>
      </c>
      <c r="K207" s="243" t="str">
        <f t="shared" si="77"/>
        <v>(e)</v>
      </c>
      <c r="L207" s="16" t="str">
        <f t="shared" si="77"/>
        <v>(f)</v>
      </c>
      <c r="M207" s="243" t="str">
        <f t="shared" si="77"/>
        <v>(g)</v>
      </c>
      <c r="N207" s="243" t="str">
        <f t="shared" si="77"/>
        <v>(h)</v>
      </c>
      <c r="O207" s="243" t="str">
        <f>O$13</f>
        <v>(i)</v>
      </c>
      <c r="P207" s="243" t="str">
        <f t="shared" si="77"/>
        <v>(j)</v>
      </c>
      <c r="Q207" s="243" t="str">
        <f t="shared" si="77"/>
        <v>(k)</v>
      </c>
      <c r="R207" s="243" t="str">
        <f>R$13</f>
        <v>(l)</v>
      </c>
      <c r="S207" s="16" t="str">
        <f>S$13</f>
        <v>(m)</v>
      </c>
      <c r="T207" s="16"/>
      <c r="U207" s="16" t="s">
        <v>734</v>
      </c>
      <c r="V207" s="67"/>
      <c r="W207" s="726"/>
    </row>
    <row r="208" spans="1:23" ht="15">
      <c r="A208" s="47"/>
      <c r="B208" s="67"/>
      <c r="C208" s="100"/>
      <c r="D208" s="100"/>
      <c r="E208" s="315"/>
      <c r="F208" s="100"/>
      <c r="G208" s="315"/>
      <c r="H208" s="315"/>
      <c r="I208" s="315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315"/>
      <c r="U208" s="1"/>
      <c r="V208" s="67"/>
      <c r="W208" s="726"/>
    </row>
    <row r="209" spans="1:23" ht="15.75">
      <c r="A209" s="47"/>
      <c r="B209" s="17">
        <f t="shared" si="78" ref="B209:B218">B208+1</f>
        <v>1</v>
      </c>
      <c r="C209" s="1" t="s">
        <v>107</v>
      </c>
      <c r="D209" s="1" t="s">
        <v>553</v>
      </c>
      <c r="E209" s="20" t="s">
        <v>109</v>
      </c>
      <c r="F209" s="118">
        <f>' WP II-I-1.4'!$I$209</f>
        <v>1554894.4199999999</v>
      </c>
      <c r="G209" s="17">
        <v>87</v>
      </c>
      <c r="H209" s="47" t="str">
        <f>VLOOKUP(G209,FactorTable,2)</f>
        <v>PAYROLL XAG</v>
      </c>
      <c r="I209" s="1010"/>
      <c r="J209" s="435">
        <f t="shared" si="79" ref="J209:S209">$F209*HLOOKUP(J$1318,FactorTable,$G209+1)</f>
        <v>866331.99956401193</v>
      </c>
      <c r="K209" s="435">
        <f t="shared" si="79"/>
        <v>133566.08384119417</v>
      </c>
      <c r="L209" s="435">
        <f t="shared" si="79"/>
        <v>411989.20609304681</v>
      </c>
      <c r="M209" s="435">
        <f t="shared" si="79"/>
        <v>5784.9539970537144</v>
      </c>
      <c r="N209" s="435">
        <f t="shared" si="79"/>
        <v>120716.40641905012</v>
      </c>
      <c r="O209" s="435">
        <f t="shared" si="79"/>
        <v>4125.24247347645</v>
      </c>
      <c r="P209" s="435">
        <f t="shared" si="79"/>
        <v>8980.3355384141178</v>
      </c>
      <c r="Q209" s="435">
        <f t="shared" si="79"/>
        <v>1812.6755974795681</v>
      </c>
      <c r="R209" s="435">
        <f t="shared" si="79"/>
        <v>475.98951617035971</v>
      </c>
      <c r="S209" s="435">
        <f t="shared" si="79"/>
        <v>1111.5269601026344</v>
      </c>
      <c r="T209" s="1010"/>
      <c r="U209" s="118">
        <f>SUM(I209:T209)</f>
        <v>1554894.4199999997</v>
      </c>
      <c r="V209" s="67"/>
      <c r="W209" s="726">
        <f t="shared" si="68"/>
        <v>0</v>
      </c>
    </row>
    <row r="210" spans="1:23" ht="15.75">
      <c r="A210" s="47"/>
      <c r="B210" s="17">
        <f t="shared" si="78"/>
        <v>2</v>
      </c>
      <c r="C210" s="8"/>
      <c r="D210" s="297" t="s">
        <v>491</v>
      </c>
      <c r="E210" s="20"/>
      <c r="F210" s="22">
        <f>+F209</f>
        <v>1554894.4199999999</v>
      </c>
      <c r="G210" s="20"/>
      <c r="H210" s="20"/>
      <c r="I210" s="20"/>
      <c r="J210" s="896">
        <f t="shared" si="80" ref="J210:Q210">+J209</f>
        <v>866331.99956401193</v>
      </c>
      <c r="K210" s="896">
        <f t="shared" si="80"/>
        <v>133566.08384119417</v>
      </c>
      <c r="L210" s="896">
        <f t="shared" si="80"/>
        <v>411989.20609304681</v>
      </c>
      <c r="M210" s="896">
        <f t="shared" si="80"/>
        <v>5784.9539970537144</v>
      </c>
      <c r="N210" s="896">
        <f t="shared" si="80"/>
        <v>120716.40641905012</v>
      </c>
      <c r="O210" s="896">
        <f>+O209</f>
        <v>4125.24247347645</v>
      </c>
      <c r="P210" s="896">
        <f t="shared" si="80"/>
        <v>8980.3355384141178</v>
      </c>
      <c r="Q210" s="896">
        <f t="shared" si="80"/>
        <v>1812.6755974795681</v>
      </c>
      <c r="R210" s="896">
        <f>+R209</f>
        <v>475.98951617035971</v>
      </c>
      <c r="S210" s="896">
        <f>+S209</f>
        <v>1111.5269601026344</v>
      </c>
      <c r="T210" s="20"/>
      <c r="U210" s="299">
        <f>SUM(I210:T210)</f>
        <v>1554894.4199999997</v>
      </c>
      <c r="V210" s="67"/>
      <c r="W210" s="726">
        <f t="shared" si="68"/>
        <v>0</v>
      </c>
    </row>
    <row r="211" spans="1:23" ht="16.5" thickBot="1">
      <c r="A211" s="47"/>
      <c r="B211" s="17">
        <f t="shared" si="78"/>
        <v>3</v>
      </c>
      <c r="C211" s="1"/>
      <c r="D211" s="297"/>
      <c r="E211" s="17"/>
      <c r="F211" s="19"/>
      <c r="G211" s="17"/>
      <c r="H211" s="17"/>
      <c r="I211" s="17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7"/>
      <c r="U211" s="1"/>
      <c r="V211" s="67"/>
      <c r="W211" s="726">
        <f t="shared" si="68"/>
        <v>0</v>
      </c>
    </row>
    <row r="212" spans="1:23" ht="16.5" thickBot="1">
      <c r="A212" s="47"/>
      <c r="B212" s="17">
        <f t="shared" si="78"/>
        <v>4</v>
      </c>
      <c r="C212" s="284" t="s">
        <v>554</v>
      </c>
      <c r="D212" s="285"/>
      <c r="E212" s="316"/>
      <c r="F212" s="317">
        <f>+F210</f>
        <v>1554894.4199999999</v>
      </c>
      <c r="G212" s="316"/>
      <c r="H212" s="444"/>
      <c r="I212" s="1061"/>
      <c r="J212" s="447">
        <f t="shared" si="81" ref="J212:Q212">+J210</f>
        <v>866331.99956401193</v>
      </c>
      <c r="K212" s="317">
        <f t="shared" si="81"/>
        <v>133566.08384119417</v>
      </c>
      <c r="L212" s="317">
        <f t="shared" si="81"/>
        <v>411989.20609304681</v>
      </c>
      <c r="M212" s="317">
        <f t="shared" si="81"/>
        <v>5784.9539970537144</v>
      </c>
      <c r="N212" s="317">
        <f t="shared" si="81"/>
        <v>120716.40641905012</v>
      </c>
      <c r="O212" s="317">
        <f>+O210</f>
        <v>4125.24247347645</v>
      </c>
      <c r="P212" s="317">
        <f t="shared" si="81"/>
        <v>8980.3355384141178</v>
      </c>
      <c r="Q212" s="317">
        <f t="shared" si="81"/>
        <v>1812.6755974795681</v>
      </c>
      <c r="R212" s="317">
        <f>+R210</f>
        <v>475.98951617035971</v>
      </c>
      <c r="S212" s="256">
        <f>+S210</f>
        <v>1111.5269601026344</v>
      </c>
      <c r="T212" s="444"/>
      <c r="U212" s="256">
        <f>SUM(I212:T212)</f>
        <v>1554894.4199999997</v>
      </c>
      <c r="V212" s="67"/>
      <c r="W212" s="726">
        <f t="shared" si="68"/>
        <v>0</v>
      </c>
    </row>
    <row r="213" spans="1:23" ht="15.75" thickBot="1">
      <c r="A213" s="47"/>
      <c r="B213" s="17">
        <f t="shared" si="78"/>
        <v>5</v>
      </c>
      <c r="C213" s="12"/>
      <c r="D213" s="12"/>
      <c r="E213" s="11"/>
      <c r="F213" s="12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U213" s="12"/>
      <c r="V213" s="67"/>
      <c r="W213" s="726">
        <f t="shared" si="68"/>
        <v>0</v>
      </c>
    </row>
    <row r="214" spans="1:23" ht="16.5" thickBot="1">
      <c r="A214" s="47"/>
      <c r="B214" s="17">
        <f t="shared" si="78"/>
        <v>6</v>
      </c>
      <c r="C214" s="284" t="s">
        <v>555</v>
      </c>
      <c r="D214" s="285"/>
      <c r="E214" s="316" t="s">
        <v>556</v>
      </c>
      <c r="F214" s="317">
        <f>+F194+F212</f>
        <v>101655650.38</v>
      </c>
      <c r="G214" s="316"/>
      <c r="H214" s="444"/>
      <c r="I214" s="1061"/>
      <c r="J214" s="447">
        <f t="shared" si="82" ref="J214:Q214">+J194+J212</f>
        <v>56638921.413510188</v>
      </c>
      <c r="K214" s="317">
        <f t="shared" si="82"/>
        <v>8732263.0700457469</v>
      </c>
      <c r="L214" s="317">
        <f t="shared" si="82"/>
        <v>26934967.51691252</v>
      </c>
      <c r="M214" s="317">
        <f t="shared" si="82"/>
        <v>378207.84062552365</v>
      </c>
      <c r="N214" s="317">
        <f t="shared" si="82"/>
        <v>7892178.8182022981</v>
      </c>
      <c r="O214" s="317">
        <f>+O194+O212</f>
        <v>269699.47362499923</v>
      </c>
      <c r="P214" s="317">
        <f t="shared" si="82"/>
        <v>587115.00796826743</v>
      </c>
      <c r="Q214" s="317">
        <f t="shared" si="82"/>
        <v>118508.82890797216</v>
      </c>
      <c r="R214" s="317">
        <f>+R194+R212</f>
        <v>31119.170033653761</v>
      </c>
      <c r="S214" s="256">
        <f>+S194+S212</f>
        <v>72669.240168819699</v>
      </c>
      <c r="T214" s="444"/>
      <c r="U214" s="256">
        <f>SUM(I214:T214)</f>
        <v>101655650.38</v>
      </c>
      <c r="V214" s="67"/>
      <c r="W214" s="726">
        <f t="shared" si="68"/>
        <v>0</v>
      </c>
    </row>
    <row r="215" spans="1:23" ht="15.75" thickBot="1">
      <c r="A215" s="47"/>
      <c r="B215" s="17">
        <f t="shared" si="78"/>
        <v>7</v>
      </c>
      <c r="C215" s="12"/>
      <c r="D215" s="12"/>
      <c r="E215" s="11"/>
      <c r="F215" s="12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U215" s="12"/>
      <c r="V215" s="67"/>
      <c r="W215" s="726">
        <f t="shared" si="68"/>
        <v>0</v>
      </c>
    </row>
    <row r="216" spans="1:23" ht="16.5" thickBot="1">
      <c r="A216" s="47"/>
      <c r="B216" s="17">
        <f t="shared" si="78"/>
        <v>8</v>
      </c>
      <c r="C216" s="284" t="s">
        <v>557</v>
      </c>
      <c r="D216" s="285"/>
      <c r="E216" s="316" t="s">
        <v>558</v>
      </c>
      <c r="F216" s="255">
        <f>+F214+F162</f>
        <v>412064825.12</v>
      </c>
      <c r="G216" s="316"/>
      <c r="H216" s="444"/>
      <c r="I216" s="1061"/>
      <c r="J216" s="446">
        <f t="shared" si="83" ref="J216:Q216">+J214+J162</f>
        <v>229587899.54124636</v>
      </c>
      <c r="K216" s="903">
        <f t="shared" si="83"/>
        <v>35396541.573533289</v>
      </c>
      <c r="L216" s="903">
        <f t="shared" si="83"/>
        <v>109181856.96496293</v>
      </c>
      <c r="M216" s="903">
        <f t="shared" si="83"/>
        <v>1533079.0479801092</v>
      </c>
      <c r="N216" s="903">
        <f t="shared" si="83"/>
        <v>31991229.925553881</v>
      </c>
      <c r="O216" s="903">
        <f>+O214+O162</f>
        <v>1093236.490237498</v>
      </c>
      <c r="P216" s="903">
        <f t="shared" si="83"/>
        <v>2379891.7441323986</v>
      </c>
      <c r="Q216" s="903">
        <f t="shared" si="83"/>
        <v>480379.78879280423</v>
      </c>
      <c r="R216" s="903">
        <f>+R214+R162</f>
        <v>126142.67195048054</v>
      </c>
      <c r="S216" s="380">
        <f>+S214+S162</f>
        <v>294567.37161025841</v>
      </c>
      <c r="T216" s="444"/>
      <c r="U216" s="256">
        <f>SUM(I216:T216)</f>
        <v>412064825.11999995</v>
      </c>
      <c r="V216" s="67"/>
      <c r="W216" s="726">
        <f t="shared" si="68"/>
        <v>0</v>
      </c>
    </row>
    <row r="217" spans="1:23" ht="16.5" thickBot="1">
      <c r="A217" s="47"/>
      <c r="B217" s="17">
        <f t="shared" si="78"/>
        <v>9</v>
      </c>
      <c r="C217" s="8"/>
      <c r="D217" s="1"/>
      <c r="E217" s="17"/>
      <c r="F217" s="1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7"/>
      <c r="U217" s="1"/>
      <c r="V217" s="67"/>
      <c r="W217" s="726">
        <f t="shared" si="68"/>
        <v>0</v>
      </c>
    </row>
    <row r="218" spans="1:23" ht="16.5" thickBot="1">
      <c r="A218" s="47"/>
      <c r="B218" s="17">
        <f t="shared" si="78"/>
        <v>10</v>
      </c>
      <c r="C218" s="284" t="s">
        <v>559</v>
      </c>
      <c r="D218" s="285"/>
      <c r="E218" s="316" t="s">
        <v>558</v>
      </c>
      <c r="F218" s="255">
        <f>+F214+F163</f>
        <v>101655650.38</v>
      </c>
      <c r="G218" s="316"/>
      <c r="H218" s="444"/>
      <c r="I218" s="1061"/>
      <c r="J218" s="446">
        <f t="shared" si="84" ref="J218:Q218">+J214+J163</f>
        <v>56638921.413510188</v>
      </c>
      <c r="K218" s="903">
        <f t="shared" si="84"/>
        <v>8732263.0700457469</v>
      </c>
      <c r="L218" s="903">
        <f t="shared" si="84"/>
        <v>26934967.51691252</v>
      </c>
      <c r="M218" s="903">
        <f t="shared" si="84"/>
        <v>378207.84062552365</v>
      </c>
      <c r="N218" s="903">
        <f t="shared" si="84"/>
        <v>7892178.8182022981</v>
      </c>
      <c r="O218" s="903">
        <f>+O214+O163</f>
        <v>269699.47362499923</v>
      </c>
      <c r="P218" s="903">
        <f t="shared" si="84"/>
        <v>587115.00796826743</v>
      </c>
      <c r="Q218" s="903">
        <f t="shared" si="84"/>
        <v>118508.82890797216</v>
      </c>
      <c r="R218" s="903">
        <f>+R214+R163</f>
        <v>31119.170033653761</v>
      </c>
      <c r="S218" s="380">
        <f>+S214+S163</f>
        <v>72669.240168819699</v>
      </c>
      <c r="T218" s="444"/>
      <c r="U218" s="256">
        <f>SUM(I218:T218)</f>
        <v>101655650.38</v>
      </c>
      <c r="V218" s="67"/>
      <c r="W218" s="726">
        <f t="shared" si="68"/>
        <v>0</v>
      </c>
    </row>
    <row r="219" spans="1:23" ht="15">
      <c r="A219" s="4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726"/>
    </row>
    <row r="220" spans="1:23" ht="15">
      <c r="A220" s="47"/>
      <c r="B220" s="67"/>
      <c r="C220" s="67"/>
      <c r="D220" s="67"/>
      <c r="E220" s="67"/>
      <c r="F220" s="67"/>
      <c r="G220" s="67"/>
      <c r="H220" s="134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134"/>
      <c r="V220" s="134">
        <f>$H$2</f>
        <v>0</v>
      </c>
      <c r="W220" s="726"/>
    </row>
    <row r="221" spans="1:23" ht="15.75" thickBot="1">
      <c r="A221" s="4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726"/>
    </row>
    <row r="222" spans="1:23" ht="15.75">
      <c r="A222" s="47"/>
      <c r="B222" s="920" t="str">
        <f>+$B$4</f>
        <v>2022 RATE CASE</v>
      </c>
      <c r="C222" s="935"/>
      <c r="D222" s="620"/>
      <c r="F222" s="12"/>
      <c r="U222" s="134"/>
      <c r="W222" s="726"/>
    </row>
    <row r="223" spans="1:23" ht="15.75">
      <c r="A223" s="47"/>
      <c r="B223" s="917" t="str">
        <f>+$B$5</f>
        <v>ONCOR ELECTRIC DELIVERY COMPANY LLC</v>
      </c>
      <c r="C223" s="8"/>
      <c r="D223" s="621"/>
      <c r="F223" s="12"/>
      <c r="U223" s="134"/>
      <c r="V223" s="67"/>
      <c r="W223" s="726"/>
    </row>
    <row r="224" spans="1:23" ht="15.75">
      <c r="A224" s="47"/>
      <c r="B224" s="917" t="str">
        <f>+$B$6</f>
        <v>II-I-1-TBILLTDCS:  CLASS REVENUE REQUIREMENT</v>
      </c>
      <c r="C224" s="85"/>
      <c r="D224" s="621"/>
      <c r="F224" s="12"/>
      <c r="U224" s="12"/>
      <c r="V224" s="67"/>
      <c r="W224" s="726"/>
    </row>
    <row r="225" spans="1:23" ht="15.75">
      <c r="A225" s="47"/>
      <c r="B225" s="406" t="str">
        <f>+$B$7</f>
        <v>TEST YEAR ENDING 12/31/2021</v>
      </c>
      <c r="C225" s="85"/>
      <c r="D225" s="621"/>
      <c r="F225" s="12"/>
      <c r="U225" s="12"/>
      <c r="V225" s="67"/>
      <c r="W225" s="726"/>
    </row>
    <row r="226" spans="1:23" ht="15.75">
      <c r="A226" s="47"/>
      <c r="B226" s="406" t="str">
        <f>+$B$8</f>
        <v>SPONSOR:  MATTHEW A. TROXLE</v>
      </c>
      <c r="C226" s="85"/>
      <c r="D226" s="621"/>
      <c r="F226" s="12"/>
      <c r="U226" s="12"/>
      <c r="V226" s="67"/>
      <c r="W226" s="726"/>
    </row>
    <row r="227" spans="1:23" ht="16.5" thickBot="1">
      <c r="A227" s="47"/>
      <c r="B227" s="410"/>
      <c r="C227" s="934"/>
      <c r="D227" s="622"/>
      <c r="F227" s="12"/>
      <c r="U227" s="12"/>
      <c r="V227" s="67"/>
      <c r="W227" s="726"/>
    </row>
    <row r="228" spans="1:23" ht="15.75" thickBot="1">
      <c r="A228" s="47"/>
      <c r="B228" s="13"/>
      <c r="C228" s="14"/>
      <c r="D228" s="14"/>
      <c r="E228" s="14"/>
      <c r="F228" s="13"/>
      <c r="G228" s="14"/>
      <c r="H228" s="14"/>
      <c r="I228" s="14"/>
      <c r="J228" s="238"/>
      <c r="K228" s="238"/>
      <c r="L228" s="14"/>
      <c r="M228" s="238"/>
      <c r="N228" s="238"/>
      <c r="O228" s="238"/>
      <c r="P228" s="238"/>
      <c r="Q228" s="14"/>
      <c r="R228" s="393" t="str">
        <f>R$10</f>
        <v xml:space="preserve"> </v>
      </c>
      <c r="S228" s="394"/>
      <c r="T228" s="238"/>
      <c r="U228" s="13"/>
      <c r="V228" s="67"/>
      <c r="W228" s="726"/>
    </row>
    <row r="229" spans="1:23" ht="15.75">
      <c r="A229" s="47"/>
      <c r="B229" s="15" t="s">
        <v>2</v>
      </c>
      <c r="C229" s="15" t="s">
        <v>370</v>
      </c>
      <c r="D229" s="287" t="s">
        <v>560</v>
      </c>
      <c r="E229" s="15" t="s">
        <v>371</v>
      </c>
      <c r="F229" s="287" t="str">
        <f>F$11</f>
        <v>TBILLTDCS</v>
      </c>
      <c r="G229" s="242" t="s">
        <v>741</v>
      </c>
      <c r="H229" s="242" t="s">
        <v>376</v>
      </c>
      <c r="I229" s="15"/>
      <c r="J229" s="242" t="s">
        <v>730</v>
      </c>
      <c r="K229" s="242" t="s">
        <v>409</v>
      </c>
      <c r="L229" s="15" t="s">
        <v>409</v>
      </c>
      <c r="M229" s="242" t="s">
        <v>410</v>
      </c>
      <c r="N229" s="242" t="s">
        <v>410</v>
      </c>
      <c r="O229" s="242" t="s">
        <v>410</v>
      </c>
      <c r="P229" s="242" t="s">
        <v>411</v>
      </c>
      <c r="Q229" s="15" t="s">
        <v>412</v>
      </c>
      <c r="R229" s="396" t="str">
        <f>R$11</f>
        <v>Wholesale</v>
      </c>
      <c r="S229" s="13" t="str">
        <f>S$11</f>
        <v>Wholesale</v>
      </c>
      <c r="T229" s="242"/>
      <c r="U229" s="15" t="s">
        <v>10</v>
      </c>
      <c r="V229" s="67"/>
      <c r="W229" s="726"/>
    </row>
    <row r="230" spans="1:23" ht="15">
      <c r="A230" s="47"/>
      <c r="B230" s="15"/>
      <c r="C230" s="15"/>
      <c r="D230" s="15"/>
      <c r="E230" s="15"/>
      <c r="F230" s="15"/>
      <c r="G230" s="242" t="s">
        <v>742</v>
      </c>
      <c r="H230" s="242" t="s">
        <v>743</v>
      </c>
      <c r="I230" s="15"/>
      <c r="J230" s="242"/>
      <c r="K230" s="242" t="s">
        <v>731</v>
      </c>
      <c r="L230" s="15" t="s">
        <v>732</v>
      </c>
      <c r="M230" s="242" t="s">
        <v>731</v>
      </c>
      <c r="N230" s="242" t="s">
        <v>732</v>
      </c>
      <c r="O230" s="242" t="s">
        <v>414</v>
      </c>
      <c r="P230" s="242"/>
      <c r="Q230" s="15"/>
      <c r="R230" s="235" t="str">
        <f>R$12</f>
        <v>XFMR</v>
      </c>
      <c r="S230" s="15" t="str">
        <f>S$12</f>
        <v>DLS</v>
      </c>
      <c r="T230" s="242"/>
      <c r="U230" s="15"/>
      <c r="V230" s="67"/>
      <c r="W230" s="726"/>
    </row>
    <row r="231" spans="1:23" ht="15.75" thickBot="1">
      <c r="A231" s="47"/>
      <c r="B231" s="16"/>
      <c r="C231" s="16"/>
      <c r="D231" s="16"/>
      <c r="E231" s="16"/>
      <c r="F231" s="16" t="s">
        <v>13</v>
      </c>
      <c r="G231" s="16" t="s">
        <v>14</v>
      </c>
      <c r="H231" s="16" t="s">
        <v>15</v>
      </c>
      <c r="I231" s="16"/>
      <c r="J231" s="243" t="str">
        <f t="shared" si="85" ref="J231:Q231">J$13</f>
        <v>(d)</v>
      </c>
      <c r="K231" s="243" t="str">
        <f t="shared" si="85"/>
        <v>(e)</v>
      </c>
      <c r="L231" s="16" t="str">
        <f t="shared" si="85"/>
        <v>(f)</v>
      </c>
      <c r="M231" s="243" t="str">
        <f t="shared" si="85"/>
        <v>(g)</v>
      </c>
      <c r="N231" s="243" t="str">
        <f t="shared" si="85"/>
        <v>(h)</v>
      </c>
      <c r="O231" s="243" t="str">
        <f>O$13</f>
        <v>(i)</v>
      </c>
      <c r="P231" s="243" t="str">
        <f t="shared" si="85"/>
        <v>(j)</v>
      </c>
      <c r="Q231" s="243" t="str">
        <f t="shared" si="85"/>
        <v>(k)</v>
      </c>
      <c r="R231" s="243" t="str">
        <f>R$13</f>
        <v>(l)</v>
      </c>
      <c r="S231" s="16" t="str">
        <f>S$13</f>
        <v>(m)</v>
      </c>
      <c r="T231" s="16"/>
      <c r="U231" s="16" t="s">
        <v>734</v>
      </c>
      <c r="V231" s="67"/>
      <c r="W231" s="726"/>
    </row>
    <row r="232" spans="1:23" ht="15">
      <c r="A232" s="47"/>
      <c r="B232" s="67"/>
      <c r="C232" s="100"/>
      <c r="D232" s="100"/>
      <c r="E232" s="315"/>
      <c r="F232" s="100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1"/>
      <c r="V232" s="67"/>
      <c r="W232" s="726"/>
    </row>
    <row r="233" spans="1:23" ht="15.75">
      <c r="A233" s="47"/>
      <c r="B233" s="17">
        <f>B232+1</f>
        <v>1</v>
      </c>
      <c r="C233" s="8"/>
      <c r="D233" s="8" t="s">
        <v>560</v>
      </c>
      <c r="E233" s="20"/>
      <c r="F233" s="8"/>
      <c r="G233" s="20"/>
      <c r="H233" s="20"/>
      <c r="I233" s="20"/>
      <c r="J233" s="1059"/>
      <c r="K233" s="1059"/>
      <c r="L233" s="1059"/>
      <c r="M233" s="1059"/>
      <c r="N233" s="1059"/>
      <c r="O233" s="1059"/>
      <c r="P233" s="1059"/>
      <c r="Q233" s="1059"/>
      <c r="R233" s="1059"/>
      <c r="S233" s="1059"/>
      <c r="T233" s="20"/>
      <c r="U233" s="8"/>
      <c r="V233" s="67"/>
      <c r="W233" s="726">
        <f t="shared" si="68"/>
        <v>0</v>
      </c>
    </row>
    <row r="234" spans="1:23" ht="15">
      <c r="A234" s="47"/>
      <c r="B234" s="17">
        <f>B233+1</f>
        <v>2</v>
      </c>
      <c r="C234" s="1" t="s">
        <v>561</v>
      </c>
      <c r="D234" s="1" t="s">
        <v>116</v>
      </c>
      <c r="E234" s="17"/>
      <c r="F234" s="118">
        <f>' WP II-I-1.4'!$I$234</f>
        <v>0</v>
      </c>
      <c r="G234" s="40">
        <v>28</v>
      </c>
      <c r="H234" s="47" t="str">
        <f>VLOOKUP(G234,FactorTable,2)</f>
        <v>NCP XHV</v>
      </c>
      <c r="I234" s="17"/>
      <c r="J234" s="434">
        <f t="shared" si="86" ref="J234:S234">$F234*HLOOKUP(J$1318,FactorTable,$G234+1)</f>
        <v>0</v>
      </c>
      <c r="K234" s="434">
        <f t="shared" si="86"/>
        <v>0</v>
      </c>
      <c r="L234" s="434">
        <f t="shared" si="86"/>
        <v>0</v>
      </c>
      <c r="M234" s="434">
        <f t="shared" si="86"/>
        <v>0</v>
      </c>
      <c r="N234" s="434">
        <f t="shared" si="86"/>
        <v>0</v>
      </c>
      <c r="O234" s="434">
        <f t="shared" si="86"/>
        <v>0</v>
      </c>
      <c r="P234" s="434">
        <f t="shared" si="86"/>
        <v>0</v>
      </c>
      <c r="Q234" s="434">
        <f t="shared" si="86"/>
        <v>0</v>
      </c>
      <c r="R234" s="434">
        <f t="shared" si="86"/>
        <v>0</v>
      </c>
      <c r="S234" s="434">
        <f t="shared" si="86"/>
        <v>0</v>
      </c>
      <c r="T234" s="17"/>
      <c r="U234" s="118">
        <f>SUM(I234:T234)</f>
        <v>0</v>
      </c>
      <c r="V234" s="67"/>
      <c r="W234" s="726">
        <f t="shared" si="68"/>
        <v>0</v>
      </c>
    </row>
    <row r="235" spans="1:23" ht="15.75">
      <c r="A235" s="47"/>
      <c r="B235" s="17">
        <f>B234+1</f>
        <v>3</v>
      </c>
      <c r="C235" s="1"/>
      <c r="D235" s="297" t="s">
        <v>491</v>
      </c>
      <c r="E235" s="20"/>
      <c r="F235" s="22">
        <f>+F234</f>
        <v>0</v>
      </c>
      <c r="G235" s="20"/>
      <c r="H235" s="20"/>
      <c r="I235" s="20"/>
      <c r="J235" s="896">
        <f t="shared" si="87" ref="J235:Q235">+J234</f>
        <v>0</v>
      </c>
      <c r="K235" s="896">
        <f t="shared" si="87"/>
        <v>0</v>
      </c>
      <c r="L235" s="896">
        <f t="shared" si="87"/>
        <v>0</v>
      </c>
      <c r="M235" s="896">
        <f t="shared" si="87"/>
        <v>0</v>
      </c>
      <c r="N235" s="896">
        <f t="shared" si="87"/>
        <v>0</v>
      </c>
      <c r="O235" s="896">
        <f>+O234</f>
        <v>0</v>
      </c>
      <c r="P235" s="896">
        <f t="shared" si="87"/>
        <v>0</v>
      </c>
      <c r="Q235" s="896">
        <f t="shared" si="87"/>
        <v>0</v>
      </c>
      <c r="R235" s="896">
        <f>+R234</f>
        <v>0</v>
      </c>
      <c r="S235" s="896">
        <f>+S234</f>
        <v>0</v>
      </c>
      <c r="T235" s="20"/>
      <c r="U235" s="299">
        <f>SUM(I235:T235)</f>
        <v>0</v>
      </c>
      <c r="V235" s="67"/>
      <c r="W235" s="726">
        <f t="shared" si="68"/>
        <v>0</v>
      </c>
    </row>
    <row r="236" spans="1:23" ht="16.5" thickBot="1">
      <c r="A236" s="47"/>
      <c r="B236" s="17">
        <f>B235+1</f>
        <v>4</v>
      </c>
      <c r="C236" s="1"/>
      <c r="D236" s="1"/>
      <c r="E236" s="20"/>
      <c r="F236" s="19"/>
      <c r="G236" s="20"/>
      <c r="H236" s="20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  <c r="U236" s="8"/>
      <c r="V236" s="67"/>
      <c r="W236" s="726">
        <f t="shared" si="68"/>
        <v>0</v>
      </c>
    </row>
    <row r="237" spans="1:23" ht="16.5" thickBot="1">
      <c r="A237" s="47"/>
      <c r="B237" s="17">
        <f>B236+1</f>
        <v>5</v>
      </c>
      <c r="C237" s="284" t="s">
        <v>562</v>
      </c>
      <c r="D237" s="285"/>
      <c r="E237" s="316" t="s">
        <v>117</v>
      </c>
      <c r="F237" s="255">
        <f>+F235</f>
        <v>0</v>
      </c>
      <c r="G237" s="316"/>
      <c r="H237" s="444"/>
      <c r="I237" s="445"/>
      <c r="J237" s="446">
        <f t="shared" si="88" ref="J237:Q237">+J235</f>
        <v>0</v>
      </c>
      <c r="K237" s="903">
        <f t="shared" si="88"/>
        <v>0</v>
      </c>
      <c r="L237" s="903">
        <f t="shared" si="88"/>
        <v>0</v>
      </c>
      <c r="M237" s="903">
        <f t="shared" si="88"/>
        <v>0</v>
      </c>
      <c r="N237" s="903">
        <f t="shared" si="88"/>
        <v>0</v>
      </c>
      <c r="O237" s="903">
        <f>+O235</f>
        <v>0</v>
      </c>
      <c r="P237" s="903">
        <f t="shared" si="88"/>
        <v>0</v>
      </c>
      <c r="Q237" s="903">
        <f t="shared" si="88"/>
        <v>0</v>
      </c>
      <c r="R237" s="903">
        <f>+R235</f>
        <v>0</v>
      </c>
      <c r="S237" s="380">
        <f>+S235</f>
        <v>0</v>
      </c>
      <c r="T237" s="445"/>
      <c r="U237" s="256">
        <f>SUM(I237:T237)</f>
        <v>0</v>
      </c>
      <c r="V237" s="67"/>
      <c r="W237" s="726">
        <f t="shared" si="68"/>
        <v>0</v>
      </c>
    </row>
    <row r="238" spans="1:23" ht="15.75" thickBot="1">
      <c r="A238" s="4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726">
        <f t="shared" si="68"/>
        <v>0</v>
      </c>
    </row>
    <row r="239" spans="1:23" ht="15.75">
      <c r="A239" s="47"/>
      <c r="B239" s="920" t="str">
        <f>+$B$4</f>
        <v>2022 RATE CASE</v>
      </c>
      <c r="C239" s="935"/>
      <c r="D239" s="965"/>
      <c r="E239" s="67"/>
      <c r="F239" s="67"/>
      <c r="G239" s="67"/>
      <c r="H239" s="134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134"/>
      <c r="V239" s="134">
        <f>$H$2</f>
        <v>0</v>
      </c>
      <c r="W239" s="726"/>
    </row>
    <row r="240" spans="1:23" ht="15.75">
      <c r="A240" s="290"/>
      <c r="B240" s="917" t="str">
        <f>+$B$5</f>
        <v>ONCOR ELECTRIC DELIVERY COMPANY LLC</v>
      </c>
      <c r="C240" s="8"/>
      <c r="D240" s="966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134"/>
      <c r="V240" s="67"/>
      <c r="W240" s="726"/>
    </row>
    <row r="241" spans="1:23" ht="15.75">
      <c r="A241" s="47"/>
      <c r="B241" s="917" t="str">
        <f>+$B$6</f>
        <v>II-I-1-TBILLTDCS:  CLASS REVENUE REQUIREMENT</v>
      </c>
      <c r="C241" s="85"/>
      <c r="D241" s="921"/>
      <c r="E241" s="67"/>
      <c r="F241" s="12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12"/>
      <c r="V241" s="67"/>
      <c r="W241" s="726"/>
    </row>
    <row r="242" spans="1:23" ht="15.75">
      <c r="A242" s="47"/>
      <c r="B242" s="406" t="str">
        <f>+$B$7</f>
        <v>TEST YEAR ENDING 12/31/2021</v>
      </c>
      <c r="C242" s="85"/>
      <c r="D242" s="921"/>
      <c r="E242" s="67"/>
      <c r="F242" s="12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12"/>
      <c r="V242" s="67"/>
      <c r="W242" s="726"/>
    </row>
    <row r="243" spans="1:23" ht="15.75">
      <c r="A243" s="47"/>
      <c r="B243" s="406" t="str">
        <f>+$B$8</f>
        <v>SPONSOR:  MATTHEW A. TROXLE</v>
      </c>
      <c r="C243" s="85"/>
      <c r="D243" s="921"/>
      <c r="E243" s="67"/>
      <c r="F243" s="12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12"/>
      <c r="V243" s="67"/>
      <c r="W243" s="726"/>
    </row>
    <row r="244" spans="1:23" ht="16.5" thickBot="1">
      <c r="A244" s="47"/>
      <c r="B244" s="410"/>
      <c r="C244" s="934"/>
      <c r="D244" s="930"/>
      <c r="E244" s="67"/>
      <c r="F244" s="12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12"/>
      <c r="V244" s="67"/>
      <c r="W244" s="726"/>
    </row>
    <row r="245" spans="1:23" ht="15.75" thickBot="1">
      <c r="A245" s="47"/>
      <c r="B245" s="13"/>
      <c r="C245" s="14"/>
      <c r="D245" s="14"/>
      <c r="E245" s="14"/>
      <c r="F245" s="13"/>
      <c r="G245" s="14"/>
      <c r="H245" s="14"/>
      <c r="I245" s="14"/>
      <c r="J245" s="238"/>
      <c r="K245" s="238"/>
      <c r="L245" s="14"/>
      <c r="M245" s="238"/>
      <c r="N245" s="238"/>
      <c r="O245" s="238"/>
      <c r="P245" s="238"/>
      <c r="Q245" s="14"/>
      <c r="R245" s="393" t="str">
        <f>R$10</f>
        <v xml:space="preserve"> </v>
      </c>
      <c r="S245" s="394"/>
      <c r="T245" s="238"/>
      <c r="U245" s="13"/>
      <c r="V245" s="67"/>
      <c r="W245" s="726"/>
    </row>
    <row r="246" spans="1:23" ht="15.75">
      <c r="A246" s="47"/>
      <c r="B246" s="15" t="s">
        <v>2</v>
      </c>
      <c r="C246" s="15" t="s">
        <v>370</v>
      </c>
      <c r="D246" s="287" t="s">
        <v>563</v>
      </c>
      <c r="E246" s="15" t="s">
        <v>371</v>
      </c>
      <c r="F246" s="287" t="str">
        <f>F$11</f>
        <v>TBILLTDCS</v>
      </c>
      <c r="G246" s="242" t="s">
        <v>741</v>
      </c>
      <c r="H246" s="242" t="s">
        <v>376</v>
      </c>
      <c r="I246" s="15"/>
      <c r="J246" s="242" t="s">
        <v>730</v>
      </c>
      <c r="K246" s="242" t="s">
        <v>409</v>
      </c>
      <c r="L246" s="15" t="s">
        <v>409</v>
      </c>
      <c r="M246" s="242" t="s">
        <v>410</v>
      </c>
      <c r="N246" s="242" t="s">
        <v>410</v>
      </c>
      <c r="O246" s="242" t="s">
        <v>410</v>
      </c>
      <c r="P246" s="242" t="s">
        <v>411</v>
      </c>
      <c r="Q246" s="15" t="s">
        <v>412</v>
      </c>
      <c r="R246" s="396" t="str">
        <f>R$11</f>
        <v>Wholesale</v>
      </c>
      <c r="S246" s="13" t="str">
        <f>S$11</f>
        <v>Wholesale</v>
      </c>
      <c r="T246" s="242"/>
      <c r="U246" s="15" t="s">
        <v>10</v>
      </c>
      <c r="V246" s="67"/>
      <c r="W246" s="726"/>
    </row>
    <row r="247" spans="1:23" ht="15">
      <c r="A247" s="47"/>
      <c r="B247" s="15"/>
      <c r="C247" s="15"/>
      <c r="D247" s="15"/>
      <c r="E247" s="15"/>
      <c r="F247" s="15"/>
      <c r="G247" s="242" t="s">
        <v>742</v>
      </c>
      <c r="H247" s="242" t="s">
        <v>743</v>
      </c>
      <c r="I247" s="15"/>
      <c r="J247" s="242"/>
      <c r="K247" s="242" t="s">
        <v>731</v>
      </c>
      <c r="L247" s="15" t="s">
        <v>732</v>
      </c>
      <c r="M247" s="242" t="s">
        <v>731</v>
      </c>
      <c r="N247" s="242" t="s">
        <v>732</v>
      </c>
      <c r="O247" s="242" t="s">
        <v>414</v>
      </c>
      <c r="P247" s="242"/>
      <c r="Q247" s="15"/>
      <c r="R247" s="235" t="str">
        <f>R$12</f>
        <v>XFMR</v>
      </c>
      <c r="S247" s="15" t="str">
        <f>S$12</f>
        <v>DLS</v>
      </c>
      <c r="T247" s="242"/>
      <c r="U247" s="15"/>
      <c r="V247" s="67"/>
      <c r="W247" s="726"/>
    </row>
    <row r="248" spans="1:23" ht="15.75" thickBot="1">
      <c r="A248" s="47"/>
      <c r="B248" s="16"/>
      <c r="C248" s="16"/>
      <c r="D248" s="16"/>
      <c r="E248" s="16"/>
      <c r="F248" s="16" t="s">
        <v>13</v>
      </c>
      <c r="G248" s="16" t="s">
        <v>14</v>
      </c>
      <c r="H248" s="16" t="s">
        <v>15</v>
      </c>
      <c r="I248" s="16"/>
      <c r="J248" s="243" t="str">
        <f t="shared" si="89" ref="J248:Q248">J$13</f>
        <v>(d)</v>
      </c>
      <c r="K248" s="243" t="str">
        <f t="shared" si="89"/>
        <v>(e)</v>
      </c>
      <c r="L248" s="16" t="str">
        <f t="shared" si="89"/>
        <v>(f)</v>
      </c>
      <c r="M248" s="243" t="str">
        <f t="shared" si="89"/>
        <v>(g)</v>
      </c>
      <c r="N248" s="243" t="str">
        <f t="shared" si="89"/>
        <v>(h)</v>
      </c>
      <c r="O248" s="243" t="str">
        <f>O$13</f>
        <v>(i)</v>
      </c>
      <c r="P248" s="243" t="str">
        <f t="shared" si="89"/>
        <v>(j)</v>
      </c>
      <c r="Q248" s="243" t="str">
        <f t="shared" si="89"/>
        <v>(k)</v>
      </c>
      <c r="R248" s="243" t="str">
        <f>R$13</f>
        <v>(l)</v>
      </c>
      <c r="S248" s="16" t="str">
        <f>S$13</f>
        <v>(m)</v>
      </c>
      <c r="T248" s="16"/>
      <c r="U248" s="16" t="s">
        <v>734</v>
      </c>
      <c r="V248" s="67"/>
      <c r="W248" s="726"/>
    </row>
    <row r="249" spans="1:23" ht="15">
      <c r="A249" s="47"/>
      <c r="B249" s="67"/>
      <c r="C249" s="67"/>
      <c r="D249" s="100"/>
      <c r="E249" s="100"/>
      <c r="F249" s="288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67"/>
      <c r="W249" s="167"/>
    </row>
    <row r="250" spans="1:23" ht="15.75">
      <c r="A250" s="47"/>
      <c r="B250" s="17">
        <f t="shared" si="90" ref="B250:B266">B249+1</f>
        <v>1</v>
      </c>
      <c r="C250" s="8" t="s">
        <v>564</v>
      </c>
      <c r="D250" s="8"/>
      <c r="E250" s="20" t="s">
        <v>24</v>
      </c>
      <c r="F250" s="21"/>
      <c r="G250" s="20"/>
      <c r="H250" s="20"/>
      <c r="I250" s="20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1010"/>
      <c r="U250" s="8"/>
      <c r="V250" s="67"/>
      <c r="W250" s="167"/>
    </row>
    <row r="251" spans="1:23" ht="15">
      <c r="A251" s="47"/>
      <c r="B251" s="17">
        <f t="shared" si="90"/>
        <v>2</v>
      </c>
      <c r="C251" s="1" t="s">
        <v>25</v>
      </c>
      <c r="D251" s="1" t="s">
        <v>26</v>
      </c>
      <c r="E251" s="17"/>
      <c r="F251" s="118">
        <f>' WP II-I-1.4'!I251</f>
        <v>0</v>
      </c>
      <c r="G251" s="17">
        <v>65</v>
      </c>
      <c r="H251" s="47" t="str">
        <f>VLOOKUP(G251,FactorTable,2)</f>
        <v>PLT_N XINT</v>
      </c>
      <c r="I251" s="17"/>
      <c r="J251" s="434">
        <f t="shared" si="91" ref="J251:S253">$F251*HLOOKUP(J$1318,FactorTable,$G251+1)</f>
        <v>0</v>
      </c>
      <c r="K251" s="434">
        <f t="shared" si="91"/>
        <v>0</v>
      </c>
      <c r="L251" s="434">
        <f t="shared" si="91"/>
        <v>0</v>
      </c>
      <c r="M251" s="434">
        <f t="shared" si="91"/>
        <v>0</v>
      </c>
      <c r="N251" s="434">
        <f t="shared" si="91"/>
        <v>0</v>
      </c>
      <c r="O251" s="434">
        <f t="shared" si="91"/>
        <v>0</v>
      </c>
      <c r="P251" s="434">
        <f t="shared" si="91"/>
        <v>0</v>
      </c>
      <c r="Q251" s="434">
        <f t="shared" si="91"/>
        <v>0</v>
      </c>
      <c r="R251" s="434">
        <f t="shared" si="91"/>
        <v>0</v>
      </c>
      <c r="S251" s="434">
        <f t="shared" si="91"/>
        <v>0</v>
      </c>
      <c r="T251" s="17"/>
      <c r="U251" s="118">
        <f>SUM(I251:T251)</f>
        <v>0</v>
      </c>
      <c r="V251" s="67"/>
      <c r="W251" s="726">
        <f>F251-U251</f>
        <v>0</v>
      </c>
    </row>
    <row r="252" spans="1:23" ht="15">
      <c r="A252" s="47"/>
      <c r="B252" s="17">
        <f t="shared" si="90"/>
        <v>3</v>
      </c>
      <c r="C252" s="1" t="s">
        <v>27</v>
      </c>
      <c r="D252" s="1" t="s">
        <v>28</v>
      </c>
      <c r="E252" s="17"/>
      <c r="F252" s="118">
        <f>' WP II-I-1.4'!I252</f>
        <v>0</v>
      </c>
      <c r="G252" s="17">
        <v>65</v>
      </c>
      <c r="H252" s="47" t="str">
        <f>VLOOKUP(G252,FactorTable,2)</f>
        <v>PLT_N XINT</v>
      </c>
      <c r="I252" s="17"/>
      <c r="J252" s="434">
        <f t="shared" si="91"/>
        <v>0</v>
      </c>
      <c r="K252" s="434">
        <f t="shared" si="91"/>
        <v>0</v>
      </c>
      <c r="L252" s="434">
        <f t="shared" si="91"/>
        <v>0</v>
      </c>
      <c r="M252" s="434">
        <f t="shared" si="91"/>
        <v>0</v>
      </c>
      <c r="N252" s="434">
        <f t="shared" si="91"/>
        <v>0</v>
      </c>
      <c r="O252" s="434">
        <f t="shared" si="91"/>
        <v>0</v>
      </c>
      <c r="P252" s="434">
        <f t="shared" si="91"/>
        <v>0</v>
      </c>
      <c r="Q252" s="434">
        <f t="shared" si="91"/>
        <v>0</v>
      </c>
      <c r="R252" s="434">
        <f t="shared" si="91"/>
        <v>0</v>
      </c>
      <c r="S252" s="434">
        <f t="shared" si="91"/>
        <v>0</v>
      </c>
      <c r="T252" s="17"/>
      <c r="U252" s="118">
        <f>SUM(I252:T252)</f>
        <v>0</v>
      </c>
      <c r="V252" s="67"/>
      <c r="W252" s="726">
        <f>F252-U252</f>
        <v>0</v>
      </c>
    </row>
    <row r="253" spans="1:23" ht="15">
      <c r="A253" s="47"/>
      <c r="B253" s="17">
        <f t="shared" si="90"/>
        <v>4</v>
      </c>
      <c r="C253" s="1" t="s">
        <v>29</v>
      </c>
      <c r="D253" s="1" t="s">
        <v>34</v>
      </c>
      <c r="E253" s="17"/>
      <c r="F253" s="118">
        <f>' WP II-I-1.4'!I253</f>
        <v>84146159.569999993</v>
      </c>
      <c r="G253" s="17">
        <v>65</v>
      </c>
      <c r="H253" s="47" t="str">
        <f>VLOOKUP(G253,FactorTable,2)</f>
        <v>PLT_N XINT</v>
      </c>
      <c r="I253" s="17"/>
      <c r="J253" s="435">
        <f t="shared" si="91"/>
        <v>46883254.411518507</v>
      </c>
      <c r="K253" s="435">
        <f t="shared" si="91"/>
        <v>7228190.4542696355</v>
      </c>
      <c r="L253" s="435">
        <f t="shared" si="91"/>
        <v>22295603.502791613</v>
      </c>
      <c r="M253" s="435">
        <f t="shared" si="91"/>
        <v>313064.1256923356</v>
      </c>
      <c r="N253" s="435">
        <f t="shared" si="91"/>
        <v>6532804.971577662</v>
      </c>
      <c r="O253" s="435">
        <f t="shared" si="91"/>
        <v>223245.58309115993</v>
      </c>
      <c r="P253" s="435">
        <f t="shared" si="91"/>
        <v>485988.46165229409</v>
      </c>
      <c r="Q253" s="435">
        <f t="shared" si="91"/>
        <v>98096.493313134939</v>
      </c>
      <c r="R253" s="435">
        <f t="shared" si="91"/>
        <v>25759.105741287683</v>
      </c>
      <c r="S253" s="435">
        <f t="shared" si="91"/>
        <v>60152.460352358379</v>
      </c>
      <c r="T253" s="17"/>
      <c r="U253" s="118">
        <f>SUM(I253:T253)</f>
        <v>84146159.569999978</v>
      </c>
      <c r="V253" s="67"/>
      <c r="W253" s="726">
        <f>F253-U253</f>
        <v>0</v>
      </c>
    </row>
    <row r="254" spans="1:23" ht="15.75">
      <c r="A254" s="47"/>
      <c r="B254" s="17">
        <f t="shared" si="90"/>
        <v>5</v>
      </c>
      <c r="C254" s="8"/>
      <c r="D254" s="297" t="s">
        <v>491</v>
      </c>
      <c r="E254" s="20"/>
      <c r="F254" s="298">
        <f>SUM(F251:F253)</f>
        <v>84146159.569999993</v>
      </c>
      <c r="G254" s="17"/>
      <c r="H254" s="17"/>
      <c r="I254" s="1010"/>
      <c r="J254" s="907">
        <f t="shared" si="92" ref="J254:Q254">SUM(J251:J253)</f>
        <v>46883254.411518507</v>
      </c>
      <c r="K254" s="907">
        <f t="shared" si="92"/>
        <v>7228190.4542696355</v>
      </c>
      <c r="L254" s="907">
        <f t="shared" si="92"/>
        <v>22295603.502791613</v>
      </c>
      <c r="M254" s="907">
        <f t="shared" si="92"/>
        <v>313064.1256923356</v>
      </c>
      <c r="N254" s="907">
        <f t="shared" si="92"/>
        <v>6532804.971577662</v>
      </c>
      <c r="O254" s="907">
        <f>SUM(O251:O253)</f>
        <v>223245.58309115993</v>
      </c>
      <c r="P254" s="907">
        <f t="shared" si="92"/>
        <v>485988.46165229409</v>
      </c>
      <c r="Q254" s="907">
        <f t="shared" si="92"/>
        <v>98096.493313134939</v>
      </c>
      <c r="R254" s="907">
        <f>SUM(R251:R253)</f>
        <v>25759.105741287683</v>
      </c>
      <c r="S254" s="907">
        <f>SUM(S251:S253)</f>
        <v>60152.460352358379</v>
      </c>
      <c r="T254" s="1010"/>
      <c r="U254" s="299">
        <f>SUM(I254:T254)</f>
        <v>84146159.569999978</v>
      </c>
      <c r="V254" s="67"/>
      <c r="W254" s="726">
        <f>F254-U254</f>
        <v>0</v>
      </c>
    </row>
    <row r="255" spans="1:23" ht="15.75">
      <c r="A255" s="47"/>
      <c r="B255" s="17">
        <f t="shared" si="90"/>
        <v>6</v>
      </c>
      <c r="C255" s="8" t="s">
        <v>573</v>
      </c>
      <c r="D255" s="8"/>
      <c r="E255" s="20" t="s">
        <v>24</v>
      </c>
      <c r="F255" s="22"/>
      <c r="G255" s="20"/>
      <c r="H255" s="20"/>
      <c r="I255" s="1010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10"/>
      <c r="U255" s="8"/>
      <c r="V255" s="67"/>
      <c r="W255" s="167"/>
    </row>
    <row r="256" spans="1:23" ht="15.75">
      <c r="A256" s="47"/>
      <c r="B256" s="17">
        <f t="shared" si="90"/>
        <v>7</v>
      </c>
      <c r="C256" s="1" t="s">
        <v>39</v>
      </c>
      <c r="D256" s="1" t="s">
        <v>40</v>
      </c>
      <c r="E256" s="20"/>
      <c r="F256" s="118">
        <f>' WP II-I-1.4'!I256</f>
        <v>0</v>
      </c>
      <c r="G256" s="17">
        <v>28</v>
      </c>
      <c r="H256" s="28" t="str">
        <f t="shared" si="93" ref="H256:H265">VLOOKUP(G256,FactorTable,2)</f>
        <v>NCP XHV</v>
      </c>
      <c r="I256" s="1010"/>
      <c r="J256" s="434">
        <f t="shared" si="94" ref="J256:S265">$F256*HLOOKUP(J$1318,FactorTable,$G256+1)</f>
        <v>0</v>
      </c>
      <c r="K256" s="434">
        <f t="shared" si="94"/>
        <v>0</v>
      </c>
      <c r="L256" s="434">
        <f t="shared" si="94"/>
        <v>0</v>
      </c>
      <c r="M256" s="434">
        <f t="shared" si="94"/>
        <v>0</v>
      </c>
      <c r="N256" s="434">
        <f t="shared" si="94"/>
        <v>0</v>
      </c>
      <c r="O256" s="434">
        <f t="shared" si="94"/>
        <v>0</v>
      </c>
      <c r="P256" s="434">
        <f t="shared" si="94"/>
        <v>0</v>
      </c>
      <c r="Q256" s="434">
        <f t="shared" si="94"/>
        <v>0</v>
      </c>
      <c r="R256" s="434">
        <f t="shared" si="94"/>
        <v>0</v>
      </c>
      <c r="S256" s="434">
        <f t="shared" si="94"/>
        <v>0</v>
      </c>
      <c r="T256" s="1010"/>
      <c r="U256" s="118">
        <f t="shared" si="95" ref="U256:U266">SUM(I256:T256)</f>
        <v>0</v>
      </c>
      <c r="V256" s="67"/>
      <c r="W256" s="726">
        <f t="shared" si="96" ref="W256:W266">F256-U256</f>
        <v>0</v>
      </c>
    </row>
    <row r="257" spans="1:23" ht="15">
      <c r="A257" s="47"/>
      <c r="B257" s="17">
        <f t="shared" si="90"/>
        <v>8</v>
      </c>
      <c r="C257" s="1" t="s">
        <v>41</v>
      </c>
      <c r="D257" s="1" t="s">
        <v>42</v>
      </c>
      <c r="E257" s="17"/>
      <c r="F257" s="118">
        <f>' WP II-I-1.4'!I257</f>
        <v>0</v>
      </c>
      <c r="G257" s="17">
        <v>28</v>
      </c>
      <c r="H257" s="28" t="str">
        <f t="shared" si="93"/>
        <v>NCP XHV</v>
      </c>
      <c r="I257" s="17"/>
      <c r="J257" s="434">
        <f t="shared" si="94"/>
        <v>0</v>
      </c>
      <c r="K257" s="434">
        <f t="shared" si="94"/>
        <v>0</v>
      </c>
      <c r="L257" s="434">
        <f t="shared" si="94"/>
        <v>0</v>
      </c>
      <c r="M257" s="434">
        <f t="shared" si="94"/>
        <v>0</v>
      </c>
      <c r="N257" s="434">
        <f t="shared" si="94"/>
        <v>0</v>
      </c>
      <c r="O257" s="434">
        <f t="shared" si="94"/>
        <v>0</v>
      </c>
      <c r="P257" s="434">
        <f t="shared" si="94"/>
        <v>0</v>
      </c>
      <c r="Q257" s="434">
        <f t="shared" si="94"/>
        <v>0</v>
      </c>
      <c r="R257" s="434">
        <f t="shared" si="94"/>
        <v>0</v>
      </c>
      <c r="S257" s="434">
        <f t="shared" si="94"/>
        <v>0</v>
      </c>
      <c r="T257" s="17"/>
      <c r="U257" s="118">
        <f t="shared" si="95"/>
        <v>0</v>
      </c>
      <c r="V257" s="67"/>
      <c r="W257" s="726">
        <f t="shared" si="96"/>
        <v>0</v>
      </c>
    </row>
    <row r="258" spans="1:23" ht="15">
      <c r="A258" s="47"/>
      <c r="B258" s="17">
        <f t="shared" si="90"/>
        <v>9</v>
      </c>
      <c r="C258" s="1" t="s">
        <v>43</v>
      </c>
      <c r="D258" s="1" t="s">
        <v>44</v>
      </c>
      <c r="E258" s="17"/>
      <c r="F258" s="118">
        <f>' WP II-I-1.4'!I258</f>
        <v>0</v>
      </c>
      <c r="G258" s="17">
        <v>28</v>
      </c>
      <c r="H258" s="28" t="str">
        <f t="shared" si="93"/>
        <v>NCP XHV</v>
      </c>
      <c r="I258" s="17"/>
      <c r="J258" s="434">
        <f t="shared" si="94"/>
        <v>0</v>
      </c>
      <c r="K258" s="434">
        <f t="shared" si="94"/>
        <v>0</v>
      </c>
      <c r="L258" s="434">
        <f t="shared" si="94"/>
        <v>0</v>
      </c>
      <c r="M258" s="434">
        <f t="shared" si="94"/>
        <v>0</v>
      </c>
      <c r="N258" s="434">
        <f t="shared" si="94"/>
        <v>0</v>
      </c>
      <c r="O258" s="434">
        <f t="shared" si="94"/>
        <v>0</v>
      </c>
      <c r="P258" s="434">
        <f t="shared" si="94"/>
        <v>0</v>
      </c>
      <c r="Q258" s="434">
        <f t="shared" si="94"/>
        <v>0</v>
      </c>
      <c r="R258" s="434">
        <f t="shared" si="94"/>
        <v>0</v>
      </c>
      <c r="S258" s="434">
        <f t="shared" si="94"/>
        <v>0</v>
      </c>
      <c r="T258" s="17"/>
      <c r="U258" s="118">
        <f t="shared" si="95"/>
        <v>0</v>
      </c>
      <c r="V258" s="67"/>
      <c r="W258" s="726">
        <f t="shared" si="96"/>
        <v>0</v>
      </c>
    </row>
    <row r="259" spans="1:23" ht="15">
      <c r="A259" s="47"/>
      <c r="B259" s="17">
        <f t="shared" si="90"/>
        <v>10</v>
      </c>
      <c r="C259" s="1" t="s">
        <v>45</v>
      </c>
      <c r="D259" s="1" t="s">
        <v>46</v>
      </c>
      <c r="E259" s="17"/>
      <c r="F259" s="118">
        <f>' WP II-I-1.4'!I259</f>
        <v>0</v>
      </c>
      <c r="G259" s="17">
        <v>28</v>
      </c>
      <c r="H259" s="28" t="str">
        <f t="shared" si="93"/>
        <v>NCP XHV</v>
      </c>
      <c r="I259" s="17"/>
      <c r="J259" s="434">
        <f t="shared" si="94"/>
        <v>0</v>
      </c>
      <c r="K259" s="434">
        <f t="shared" si="94"/>
        <v>0</v>
      </c>
      <c r="L259" s="434">
        <f t="shared" si="94"/>
        <v>0</v>
      </c>
      <c r="M259" s="434">
        <f t="shared" si="94"/>
        <v>0</v>
      </c>
      <c r="N259" s="434">
        <f t="shared" si="94"/>
        <v>0</v>
      </c>
      <c r="O259" s="434">
        <f t="shared" si="94"/>
        <v>0</v>
      </c>
      <c r="P259" s="434">
        <f t="shared" si="94"/>
        <v>0</v>
      </c>
      <c r="Q259" s="434">
        <f t="shared" si="94"/>
        <v>0</v>
      </c>
      <c r="R259" s="434">
        <f t="shared" si="94"/>
        <v>0</v>
      </c>
      <c r="S259" s="434">
        <f t="shared" si="94"/>
        <v>0</v>
      </c>
      <c r="T259" s="17"/>
      <c r="U259" s="118">
        <f t="shared" si="95"/>
        <v>0</v>
      </c>
      <c r="V259" s="67"/>
      <c r="W259" s="726">
        <f t="shared" si="96"/>
        <v>0</v>
      </c>
    </row>
    <row r="260" spans="1:23" ht="15">
      <c r="A260" s="47"/>
      <c r="B260" s="17">
        <f t="shared" si="90"/>
        <v>11</v>
      </c>
      <c r="C260" s="1" t="s">
        <v>47</v>
      </c>
      <c r="D260" s="1" t="s">
        <v>48</v>
      </c>
      <c r="E260" s="17"/>
      <c r="F260" s="118">
        <f>' WP II-I-1.4'!I260</f>
        <v>0</v>
      </c>
      <c r="G260" s="17">
        <v>28</v>
      </c>
      <c r="H260" s="28" t="str">
        <f t="shared" si="93"/>
        <v>NCP XHV</v>
      </c>
      <c r="I260" s="17"/>
      <c r="J260" s="434">
        <f t="shared" si="94"/>
        <v>0</v>
      </c>
      <c r="K260" s="434">
        <f t="shared" si="94"/>
        <v>0</v>
      </c>
      <c r="L260" s="434">
        <f t="shared" si="94"/>
        <v>0</v>
      </c>
      <c r="M260" s="434">
        <f t="shared" si="94"/>
        <v>0</v>
      </c>
      <c r="N260" s="434">
        <f t="shared" si="94"/>
        <v>0</v>
      </c>
      <c r="O260" s="434">
        <f t="shared" si="94"/>
        <v>0</v>
      </c>
      <c r="P260" s="434">
        <f t="shared" si="94"/>
        <v>0</v>
      </c>
      <c r="Q260" s="434">
        <f t="shared" si="94"/>
        <v>0</v>
      </c>
      <c r="R260" s="434">
        <f t="shared" si="94"/>
        <v>0</v>
      </c>
      <c r="S260" s="434">
        <f t="shared" si="94"/>
        <v>0</v>
      </c>
      <c r="T260" s="17"/>
      <c r="U260" s="118">
        <f t="shared" si="95"/>
        <v>0</v>
      </c>
      <c r="V260" s="67"/>
      <c r="W260" s="726">
        <f t="shared" si="96"/>
        <v>0</v>
      </c>
    </row>
    <row r="261" spans="1:23" ht="15">
      <c r="A261" s="47"/>
      <c r="B261" s="17">
        <f t="shared" si="90"/>
        <v>12</v>
      </c>
      <c r="C261" s="1" t="s">
        <v>49</v>
      </c>
      <c r="D261" s="1" t="s">
        <v>50</v>
      </c>
      <c r="E261" s="17"/>
      <c r="F261" s="118">
        <f>' WP II-I-1.4'!I261</f>
        <v>0</v>
      </c>
      <c r="G261" s="17">
        <v>28</v>
      </c>
      <c r="H261" s="28" t="str">
        <f t="shared" si="93"/>
        <v>NCP XHV</v>
      </c>
      <c r="I261" s="17"/>
      <c r="J261" s="434">
        <f t="shared" si="94"/>
        <v>0</v>
      </c>
      <c r="K261" s="434">
        <f t="shared" si="94"/>
        <v>0</v>
      </c>
      <c r="L261" s="434">
        <f t="shared" si="94"/>
        <v>0</v>
      </c>
      <c r="M261" s="434">
        <f t="shared" si="94"/>
        <v>0</v>
      </c>
      <c r="N261" s="434">
        <f t="shared" si="94"/>
        <v>0</v>
      </c>
      <c r="O261" s="434">
        <f t="shared" si="94"/>
        <v>0</v>
      </c>
      <c r="P261" s="434">
        <f t="shared" si="94"/>
        <v>0</v>
      </c>
      <c r="Q261" s="434">
        <f t="shared" si="94"/>
        <v>0</v>
      </c>
      <c r="R261" s="434">
        <f t="shared" si="94"/>
        <v>0</v>
      </c>
      <c r="S261" s="434">
        <f t="shared" si="94"/>
        <v>0</v>
      </c>
      <c r="T261" s="17"/>
      <c r="U261" s="118">
        <f t="shared" si="95"/>
        <v>0</v>
      </c>
      <c r="V261" s="67"/>
      <c r="W261" s="726">
        <f t="shared" si="96"/>
        <v>0</v>
      </c>
    </row>
    <row r="262" spans="1:23" ht="15">
      <c r="A262" s="47"/>
      <c r="B262" s="17">
        <f t="shared" si="90"/>
        <v>13</v>
      </c>
      <c r="C262" s="1" t="s">
        <v>51</v>
      </c>
      <c r="D262" s="1" t="s">
        <v>534</v>
      </c>
      <c r="E262" s="17"/>
      <c r="F262" s="118">
        <f>' WP II-I-1.4'!I262</f>
        <v>0</v>
      </c>
      <c r="G262" s="17">
        <v>28</v>
      </c>
      <c r="H262" s="28" t="str">
        <f t="shared" si="93"/>
        <v>NCP XHV</v>
      </c>
      <c r="I262" s="17"/>
      <c r="J262" s="434">
        <f t="shared" si="94"/>
        <v>0</v>
      </c>
      <c r="K262" s="434">
        <f t="shared" si="94"/>
        <v>0</v>
      </c>
      <c r="L262" s="434">
        <f t="shared" si="94"/>
        <v>0</v>
      </c>
      <c r="M262" s="434">
        <f t="shared" si="94"/>
        <v>0</v>
      </c>
      <c r="N262" s="434">
        <f t="shared" si="94"/>
        <v>0</v>
      </c>
      <c r="O262" s="434">
        <f t="shared" si="94"/>
        <v>0</v>
      </c>
      <c r="P262" s="434">
        <f t="shared" si="94"/>
        <v>0</v>
      </c>
      <c r="Q262" s="434">
        <f t="shared" si="94"/>
        <v>0</v>
      </c>
      <c r="R262" s="434">
        <f t="shared" si="94"/>
        <v>0</v>
      </c>
      <c r="S262" s="434">
        <f t="shared" si="94"/>
        <v>0</v>
      </c>
      <c r="T262" s="17"/>
      <c r="U262" s="118">
        <f t="shared" si="95"/>
        <v>0</v>
      </c>
      <c r="V262" s="67"/>
      <c r="W262" s="726">
        <f t="shared" si="96"/>
        <v>0</v>
      </c>
    </row>
    <row r="263" spans="1:23" ht="15">
      <c r="A263" s="47"/>
      <c r="B263" s="17">
        <f t="shared" si="90"/>
        <v>14</v>
      </c>
      <c r="C263" s="1" t="s">
        <v>53</v>
      </c>
      <c r="D263" s="1" t="s">
        <v>54</v>
      </c>
      <c r="E263" s="17"/>
      <c r="F263" s="118">
        <f>' WP II-I-1.4'!I263</f>
        <v>0</v>
      </c>
      <c r="G263" s="17">
        <v>28</v>
      </c>
      <c r="H263" s="28" t="str">
        <f t="shared" si="93"/>
        <v>NCP XHV</v>
      </c>
      <c r="I263" s="17"/>
      <c r="J263" s="434">
        <f t="shared" si="94"/>
        <v>0</v>
      </c>
      <c r="K263" s="434">
        <f t="shared" si="94"/>
        <v>0</v>
      </c>
      <c r="L263" s="434">
        <f t="shared" si="94"/>
        <v>0</v>
      </c>
      <c r="M263" s="434">
        <f t="shared" si="94"/>
        <v>0</v>
      </c>
      <c r="N263" s="434">
        <f t="shared" si="94"/>
        <v>0</v>
      </c>
      <c r="O263" s="434">
        <f t="shared" si="94"/>
        <v>0</v>
      </c>
      <c r="P263" s="434">
        <f t="shared" si="94"/>
        <v>0</v>
      </c>
      <c r="Q263" s="434">
        <f t="shared" si="94"/>
        <v>0</v>
      </c>
      <c r="R263" s="434">
        <f t="shared" si="94"/>
        <v>0</v>
      </c>
      <c r="S263" s="434">
        <f t="shared" si="94"/>
        <v>0</v>
      </c>
      <c r="T263" s="17"/>
      <c r="U263" s="118">
        <f t="shared" si="95"/>
        <v>0</v>
      </c>
      <c r="V263" s="67"/>
      <c r="W263" s="726">
        <f t="shared" si="96"/>
        <v>0</v>
      </c>
    </row>
    <row r="264" spans="1:23" ht="15">
      <c r="A264" s="47"/>
      <c r="B264" s="17">
        <f t="shared" si="90"/>
        <v>15</v>
      </c>
      <c r="C264" s="1" t="s">
        <v>55</v>
      </c>
      <c r="D264" s="31" t="s">
        <v>535</v>
      </c>
      <c r="E264" s="17"/>
      <c r="F264" s="118">
        <f>' WP II-I-1.4'!I264</f>
        <v>0</v>
      </c>
      <c r="G264" s="17">
        <v>28</v>
      </c>
      <c r="H264" s="28" t="str">
        <f t="shared" si="93"/>
        <v>NCP XHV</v>
      </c>
      <c r="I264" s="17"/>
      <c r="J264" s="434">
        <f t="shared" si="94"/>
        <v>0</v>
      </c>
      <c r="K264" s="434">
        <f t="shared" si="94"/>
        <v>0</v>
      </c>
      <c r="L264" s="434">
        <f t="shared" si="94"/>
        <v>0</v>
      </c>
      <c r="M264" s="434">
        <f t="shared" si="94"/>
        <v>0</v>
      </c>
      <c r="N264" s="434">
        <f t="shared" si="94"/>
        <v>0</v>
      </c>
      <c r="O264" s="434">
        <f t="shared" si="94"/>
        <v>0</v>
      </c>
      <c r="P264" s="434">
        <f t="shared" si="94"/>
        <v>0</v>
      </c>
      <c r="Q264" s="434">
        <f t="shared" si="94"/>
        <v>0</v>
      </c>
      <c r="R264" s="434">
        <f t="shared" si="94"/>
        <v>0</v>
      </c>
      <c r="S264" s="434">
        <f t="shared" si="94"/>
        <v>0</v>
      </c>
      <c r="T264" s="17"/>
      <c r="U264" s="118">
        <f t="shared" si="95"/>
        <v>0</v>
      </c>
      <c r="V264" s="67"/>
      <c r="W264" s="726">
        <f t="shared" si="96"/>
        <v>0</v>
      </c>
    </row>
    <row r="265" spans="1:23" ht="15">
      <c r="A265" s="47"/>
      <c r="B265" s="17">
        <f t="shared" si="90"/>
        <v>16</v>
      </c>
      <c r="C265" s="1" t="s">
        <v>57</v>
      </c>
      <c r="D265" s="1" t="s">
        <v>58</v>
      </c>
      <c r="E265" s="17"/>
      <c r="F265" s="118">
        <f>' WP II-I-1.4'!I265</f>
        <v>0</v>
      </c>
      <c r="G265" s="17">
        <v>28</v>
      </c>
      <c r="H265" s="28" t="str">
        <f t="shared" si="93"/>
        <v>NCP XHV</v>
      </c>
      <c r="I265" s="17"/>
      <c r="J265" s="435">
        <f t="shared" si="94"/>
        <v>0</v>
      </c>
      <c r="K265" s="435">
        <f t="shared" si="94"/>
        <v>0</v>
      </c>
      <c r="L265" s="435">
        <f t="shared" si="94"/>
        <v>0</v>
      </c>
      <c r="M265" s="435">
        <f t="shared" si="94"/>
        <v>0</v>
      </c>
      <c r="N265" s="435">
        <f t="shared" si="94"/>
        <v>0</v>
      </c>
      <c r="O265" s="435">
        <f t="shared" si="94"/>
        <v>0</v>
      </c>
      <c r="P265" s="435">
        <f t="shared" si="94"/>
        <v>0</v>
      </c>
      <c r="Q265" s="435">
        <f t="shared" si="94"/>
        <v>0</v>
      </c>
      <c r="R265" s="435">
        <f t="shared" si="94"/>
        <v>0</v>
      </c>
      <c r="S265" s="435">
        <f t="shared" si="94"/>
        <v>0</v>
      </c>
      <c r="T265" s="17"/>
      <c r="U265" s="118">
        <f t="shared" si="95"/>
        <v>0</v>
      </c>
      <c r="V265" s="67"/>
      <c r="W265" s="726">
        <f t="shared" si="96"/>
        <v>0</v>
      </c>
    </row>
    <row r="266" spans="1:23" ht="15.75">
      <c r="A266" s="47"/>
      <c r="B266" s="17">
        <f t="shared" si="90"/>
        <v>17</v>
      </c>
      <c r="C266" s="8"/>
      <c r="D266" s="297" t="s">
        <v>491</v>
      </c>
      <c r="E266" s="20"/>
      <c r="F266" s="22">
        <f>SUM(F256:F265)</f>
        <v>0</v>
      </c>
      <c r="G266" s="20"/>
      <c r="H266" s="20"/>
      <c r="I266" s="20"/>
      <c r="J266" s="896">
        <f t="shared" si="97" ref="J266:Q266">SUM(J256:J265)</f>
        <v>0</v>
      </c>
      <c r="K266" s="896">
        <f t="shared" si="97"/>
        <v>0</v>
      </c>
      <c r="L266" s="896">
        <f t="shared" si="97"/>
        <v>0</v>
      </c>
      <c r="M266" s="896">
        <f t="shared" si="97"/>
        <v>0</v>
      </c>
      <c r="N266" s="896">
        <f t="shared" si="97"/>
        <v>0</v>
      </c>
      <c r="O266" s="896">
        <f>SUM(O256:O265)</f>
        <v>0</v>
      </c>
      <c r="P266" s="896">
        <f t="shared" si="97"/>
        <v>0</v>
      </c>
      <c r="Q266" s="896">
        <f t="shared" si="97"/>
        <v>0</v>
      </c>
      <c r="R266" s="896">
        <f>SUM(R256:R265)</f>
        <v>0</v>
      </c>
      <c r="S266" s="896">
        <f>SUM(S256:S265)</f>
        <v>0</v>
      </c>
      <c r="T266" s="20"/>
      <c r="U266" s="299">
        <f t="shared" si="95"/>
        <v>0</v>
      </c>
      <c r="V266" s="67"/>
      <c r="W266" s="726">
        <f t="shared" si="96"/>
        <v>0</v>
      </c>
    </row>
    <row r="267" spans="1:23" ht="16.5" thickBot="1">
      <c r="A267" s="47"/>
      <c r="B267" s="17"/>
      <c r="C267" s="8"/>
      <c r="D267" s="297"/>
      <c r="E267" s="20"/>
      <c r="F267" s="22"/>
      <c r="G267" s="20"/>
      <c r="H267" s="13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134"/>
      <c r="V267" s="134">
        <f>$H$2</f>
        <v>0</v>
      </c>
      <c r="W267" s="167"/>
    </row>
    <row r="268" spans="1:23" ht="15.75">
      <c r="A268" s="47"/>
      <c r="B268" s="920" t="str">
        <f>+$B$4</f>
        <v>2022 RATE CASE</v>
      </c>
      <c r="C268" s="935"/>
      <c r="D268" s="624"/>
      <c r="F268" s="67"/>
      <c r="H268" s="134"/>
      <c r="U268" s="134"/>
      <c r="V268" s="134">
        <f>$H$2</f>
        <v>0</v>
      </c>
      <c r="W268" s="167"/>
    </row>
    <row r="269" spans="1:23" ht="15.75">
      <c r="A269" s="290"/>
      <c r="B269" s="917" t="str">
        <f>+$B$5</f>
        <v>ONCOR ELECTRIC DELIVERY COMPANY LLC</v>
      </c>
      <c r="C269" s="8"/>
      <c r="D269" s="967"/>
      <c r="F269" s="67"/>
      <c r="U269" s="134"/>
      <c r="V269" s="67"/>
      <c r="W269" s="167"/>
    </row>
    <row r="270" spans="1:23" ht="15.75">
      <c r="A270" s="47"/>
      <c r="B270" s="917" t="str">
        <f>+$B$6</f>
        <v>II-I-1-TBILLTDCS:  CLASS REVENUE REQUIREMENT</v>
      </c>
      <c r="C270" s="85"/>
      <c r="D270" s="967"/>
      <c r="F270" s="12"/>
      <c r="U270" s="12"/>
      <c r="V270" s="67"/>
      <c r="W270" s="167"/>
    </row>
    <row r="271" spans="1:23" ht="15.75">
      <c r="A271" s="47"/>
      <c r="B271" s="406" t="str">
        <f>+$B$7</f>
        <v>TEST YEAR ENDING 12/31/2021</v>
      </c>
      <c r="C271" s="85"/>
      <c r="D271" s="967"/>
      <c r="F271" s="12"/>
      <c r="U271" s="12"/>
      <c r="V271" s="67"/>
      <c r="W271" s="167"/>
    </row>
    <row r="272" spans="1:23" ht="15.75">
      <c r="A272" s="47"/>
      <c r="B272" s="406" t="str">
        <f>+$B$8</f>
        <v>SPONSOR:  MATTHEW A. TROXLE</v>
      </c>
      <c r="C272" s="85"/>
      <c r="D272" s="967"/>
      <c r="F272" s="12"/>
      <c r="U272" s="12"/>
      <c r="V272" s="67"/>
      <c r="W272" s="167"/>
    </row>
    <row r="273" spans="1:23" ht="16.5" thickBot="1">
      <c r="A273" s="47"/>
      <c r="B273" s="410"/>
      <c r="C273" s="934"/>
      <c r="D273" s="968"/>
      <c r="F273" s="12"/>
      <c r="U273" s="12"/>
      <c r="V273" s="67"/>
      <c r="W273" s="167"/>
    </row>
    <row r="274" spans="1:23" ht="15.75" thickBot="1">
      <c r="A274" s="47"/>
      <c r="B274" s="13"/>
      <c r="C274" s="14"/>
      <c r="D274" s="14"/>
      <c r="E274" s="14"/>
      <c r="F274" s="13"/>
      <c r="G274" s="14"/>
      <c r="H274" s="14"/>
      <c r="I274" s="14"/>
      <c r="J274" s="238"/>
      <c r="K274" s="238"/>
      <c r="L274" s="14"/>
      <c r="M274" s="238"/>
      <c r="N274" s="238"/>
      <c r="O274" s="238"/>
      <c r="P274" s="238"/>
      <c r="Q274" s="14"/>
      <c r="R274" s="393" t="str">
        <f>R$10</f>
        <v xml:space="preserve"> </v>
      </c>
      <c r="S274" s="394"/>
      <c r="T274" s="238"/>
      <c r="U274" s="13"/>
      <c r="V274" s="67"/>
      <c r="W274" s="167"/>
    </row>
    <row r="275" spans="1:23" ht="15.75">
      <c r="A275" s="47"/>
      <c r="B275" s="15" t="s">
        <v>2</v>
      </c>
      <c r="C275" s="15" t="s">
        <v>370</v>
      </c>
      <c r="D275" s="287" t="s">
        <v>574</v>
      </c>
      <c r="E275" s="15" t="s">
        <v>371</v>
      </c>
      <c r="F275" s="287" t="str">
        <f>F$11</f>
        <v>TBILLTDCS</v>
      </c>
      <c r="G275" s="242" t="s">
        <v>741</v>
      </c>
      <c r="H275" s="242" t="s">
        <v>376</v>
      </c>
      <c r="I275" s="15"/>
      <c r="J275" s="242" t="s">
        <v>730</v>
      </c>
      <c r="K275" s="242" t="s">
        <v>409</v>
      </c>
      <c r="L275" s="15" t="s">
        <v>409</v>
      </c>
      <c r="M275" s="242" t="s">
        <v>410</v>
      </c>
      <c r="N275" s="242" t="s">
        <v>410</v>
      </c>
      <c r="O275" s="242" t="s">
        <v>410</v>
      </c>
      <c r="P275" s="242" t="s">
        <v>411</v>
      </c>
      <c r="Q275" s="15" t="s">
        <v>412</v>
      </c>
      <c r="R275" s="396" t="str">
        <f>R$11</f>
        <v>Wholesale</v>
      </c>
      <c r="S275" s="13" t="str">
        <f>S$11</f>
        <v>Wholesale</v>
      </c>
      <c r="T275" s="242"/>
      <c r="U275" s="15" t="s">
        <v>10</v>
      </c>
      <c r="V275" s="67"/>
      <c r="W275" s="167"/>
    </row>
    <row r="276" spans="1:23" ht="15">
      <c r="A276" s="47"/>
      <c r="B276" s="15"/>
      <c r="C276" s="15"/>
      <c r="D276" s="15"/>
      <c r="E276" s="15"/>
      <c r="F276" s="15"/>
      <c r="G276" s="242" t="s">
        <v>742</v>
      </c>
      <c r="H276" s="242" t="s">
        <v>743</v>
      </c>
      <c r="I276" s="15"/>
      <c r="J276" s="242"/>
      <c r="K276" s="242" t="s">
        <v>731</v>
      </c>
      <c r="L276" s="15" t="s">
        <v>732</v>
      </c>
      <c r="M276" s="242" t="s">
        <v>731</v>
      </c>
      <c r="N276" s="242" t="s">
        <v>732</v>
      </c>
      <c r="O276" s="242" t="s">
        <v>414</v>
      </c>
      <c r="P276" s="242"/>
      <c r="Q276" s="15"/>
      <c r="R276" s="235" t="str">
        <f>R$12</f>
        <v>XFMR</v>
      </c>
      <c r="S276" s="15" t="str">
        <f>S$12</f>
        <v>DLS</v>
      </c>
      <c r="T276" s="242"/>
      <c r="U276" s="15"/>
      <c r="V276" s="67"/>
      <c r="W276" s="167"/>
    </row>
    <row r="277" spans="1:23" ht="15.75" thickBot="1">
      <c r="A277" s="47"/>
      <c r="B277" s="16"/>
      <c r="C277" s="16"/>
      <c r="D277" s="16"/>
      <c r="E277" s="16"/>
      <c r="F277" s="16" t="s">
        <v>13</v>
      </c>
      <c r="G277" s="16" t="s">
        <v>14</v>
      </c>
      <c r="H277" s="16" t="s">
        <v>15</v>
      </c>
      <c r="I277" s="16"/>
      <c r="J277" s="243" t="str">
        <f t="shared" si="98" ref="J277:Q277">J$13</f>
        <v>(d)</v>
      </c>
      <c r="K277" s="243" t="str">
        <f t="shared" si="98"/>
        <v>(e)</v>
      </c>
      <c r="L277" s="16" t="str">
        <f t="shared" si="98"/>
        <v>(f)</v>
      </c>
      <c r="M277" s="243" t="str">
        <f t="shared" si="98"/>
        <v>(g)</v>
      </c>
      <c r="N277" s="243" t="str">
        <f t="shared" si="98"/>
        <v>(h)</v>
      </c>
      <c r="O277" s="243" t="str">
        <f>O$13</f>
        <v>(i)</v>
      </c>
      <c r="P277" s="243" t="str">
        <f t="shared" si="98"/>
        <v>(j)</v>
      </c>
      <c r="Q277" s="243" t="str">
        <f t="shared" si="98"/>
        <v>(k)</v>
      </c>
      <c r="R277" s="243" t="str">
        <f>R$13</f>
        <v>(l)</v>
      </c>
      <c r="S277" s="16" t="str">
        <f>S$13</f>
        <v>(m)</v>
      </c>
      <c r="T277" s="16"/>
      <c r="U277" s="16" t="s">
        <v>734</v>
      </c>
      <c r="V277" s="67"/>
      <c r="W277" s="167"/>
    </row>
    <row r="278" spans="1:23" ht="15">
      <c r="A278" s="47"/>
      <c r="B278" s="67"/>
      <c r="C278" s="67"/>
      <c r="D278" s="100"/>
      <c r="E278" s="100"/>
      <c r="F278" s="288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67"/>
      <c r="W278" s="167"/>
    </row>
    <row r="279" spans="1:23" ht="15.75">
      <c r="A279" s="47"/>
      <c r="B279" s="17">
        <v>1</v>
      </c>
      <c r="C279" s="8" t="s">
        <v>574</v>
      </c>
      <c r="D279" s="8"/>
      <c r="E279" s="20" t="s">
        <v>24</v>
      </c>
      <c r="F279" s="22"/>
      <c r="G279" s="20"/>
      <c r="H279" s="20"/>
      <c r="I279" s="20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1010"/>
      <c r="U279" s="8"/>
      <c r="V279" s="67"/>
      <c r="W279" s="167"/>
    </row>
    <row r="280" spans="1:23" ht="15">
      <c r="A280" s="47"/>
      <c r="B280" s="17">
        <f t="shared" si="99" ref="B280:B315">B279+1</f>
        <v>2</v>
      </c>
      <c r="C280" s="1" t="s">
        <v>61</v>
      </c>
      <c r="D280" s="1" t="s">
        <v>42</v>
      </c>
      <c r="E280" s="17"/>
      <c r="F280" s="118">
        <f>' WP II-I-1.4'!I280</f>
        <v>0</v>
      </c>
      <c r="G280" s="17">
        <v>54</v>
      </c>
      <c r="H280" s="28" t="str">
        <f t="shared" si="100" ref="H280:H299">VLOOKUP(G280,FactorTable,2)</f>
        <v>PLT 362-373</v>
      </c>
      <c r="I280" s="17"/>
      <c r="J280" s="434">
        <f t="shared" si="101" ref="J280:S289">$F280*HLOOKUP(J$1318,FactorTable,$G280+1)</f>
        <v>0</v>
      </c>
      <c r="K280" s="434">
        <f t="shared" si="101"/>
        <v>0</v>
      </c>
      <c r="L280" s="434">
        <f t="shared" si="101"/>
        <v>0</v>
      </c>
      <c r="M280" s="434">
        <f t="shared" si="101"/>
        <v>0</v>
      </c>
      <c r="N280" s="434">
        <f t="shared" si="101"/>
        <v>0</v>
      </c>
      <c r="O280" s="434">
        <f t="shared" si="101"/>
        <v>0</v>
      </c>
      <c r="P280" s="434">
        <f t="shared" si="101"/>
        <v>0</v>
      </c>
      <c r="Q280" s="434">
        <f t="shared" si="101"/>
        <v>0</v>
      </c>
      <c r="R280" s="434">
        <f t="shared" si="101"/>
        <v>0</v>
      </c>
      <c r="S280" s="434">
        <f t="shared" si="101"/>
        <v>0</v>
      </c>
      <c r="T280" s="17"/>
      <c r="U280" s="118">
        <f t="shared" si="102" ref="U280:U300">SUM(I280:T280)</f>
        <v>0</v>
      </c>
      <c r="V280" s="67"/>
      <c r="W280" s="726">
        <f t="shared" si="103" ref="W280:W315">F280-U280</f>
        <v>0</v>
      </c>
    </row>
    <row r="281" spans="1:23" ht="15">
      <c r="A281" s="47"/>
      <c r="B281" s="17">
        <f t="shared" si="99"/>
        <v>3</v>
      </c>
      <c r="C281" s="1" t="s">
        <v>62</v>
      </c>
      <c r="D281" s="31" t="s">
        <v>44</v>
      </c>
      <c r="E281" s="17"/>
      <c r="F281" s="118">
        <f>' WP II-I-1.4'!I281</f>
        <v>0</v>
      </c>
      <c r="G281" s="17">
        <v>54</v>
      </c>
      <c r="H281" s="28" t="str">
        <f t="shared" si="100"/>
        <v>PLT 362-373</v>
      </c>
      <c r="I281" s="17"/>
      <c r="J281" s="434">
        <f t="shared" si="101"/>
        <v>0</v>
      </c>
      <c r="K281" s="434">
        <f t="shared" si="101"/>
        <v>0</v>
      </c>
      <c r="L281" s="434">
        <f t="shared" si="101"/>
        <v>0</v>
      </c>
      <c r="M281" s="434">
        <f t="shared" si="101"/>
        <v>0</v>
      </c>
      <c r="N281" s="434">
        <f t="shared" si="101"/>
        <v>0</v>
      </c>
      <c r="O281" s="434">
        <f t="shared" si="101"/>
        <v>0</v>
      </c>
      <c r="P281" s="434">
        <f t="shared" si="101"/>
        <v>0</v>
      </c>
      <c r="Q281" s="434">
        <f t="shared" si="101"/>
        <v>0</v>
      </c>
      <c r="R281" s="434">
        <f t="shared" si="101"/>
        <v>0</v>
      </c>
      <c r="S281" s="434">
        <f t="shared" si="101"/>
        <v>0</v>
      </c>
      <c r="T281" s="17"/>
      <c r="U281" s="118">
        <f t="shared" si="102"/>
        <v>0</v>
      </c>
      <c r="V281" s="67"/>
      <c r="W281" s="726">
        <f t="shared" si="103"/>
        <v>0</v>
      </c>
    </row>
    <row r="282" spans="1:23" ht="15">
      <c r="A282" s="47"/>
      <c r="B282" s="17">
        <f t="shared" si="99"/>
        <v>4</v>
      </c>
      <c r="C282" s="1" t="s">
        <v>63</v>
      </c>
      <c r="D282" s="1" t="s">
        <v>46</v>
      </c>
      <c r="E282" s="17"/>
      <c r="F282" s="118">
        <f>' WP II-I-1.4'!I282</f>
        <v>0</v>
      </c>
      <c r="G282" s="17">
        <v>28</v>
      </c>
      <c r="H282" s="28" t="str">
        <f t="shared" si="100"/>
        <v>NCP XHV</v>
      </c>
      <c r="I282" s="17"/>
      <c r="J282" s="434">
        <f t="shared" si="101"/>
        <v>0</v>
      </c>
      <c r="K282" s="434">
        <f t="shared" si="101"/>
        <v>0</v>
      </c>
      <c r="L282" s="434">
        <f t="shared" si="101"/>
        <v>0</v>
      </c>
      <c r="M282" s="434">
        <f t="shared" si="101"/>
        <v>0</v>
      </c>
      <c r="N282" s="434">
        <f t="shared" si="101"/>
        <v>0</v>
      </c>
      <c r="O282" s="434">
        <f t="shared" si="101"/>
        <v>0</v>
      </c>
      <c r="P282" s="434">
        <f t="shared" si="101"/>
        <v>0</v>
      </c>
      <c r="Q282" s="434">
        <f t="shared" si="101"/>
        <v>0</v>
      </c>
      <c r="R282" s="434">
        <f t="shared" si="101"/>
        <v>0</v>
      </c>
      <c r="S282" s="434">
        <f t="shared" si="101"/>
        <v>0</v>
      </c>
      <c r="T282" s="17"/>
      <c r="U282" s="118">
        <f t="shared" si="102"/>
        <v>0</v>
      </c>
      <c r="V282" s="67"/>
      <c r="W282" s="726">
        <f t="shared" si="103"/>
        <v>0</v>
      </c>
    </row>
    <row r="283" spans="1:23" ht="15">
      <c r="A283" s="47"/>
      <c r="B283" s="17">
        <f t="shared" si="99"/>
        <v>5</v>
      </c>
      <c r="C283" s="1" t="s">
        <v>64</v>
      </c>
      <c r="D283" s="1" t="s">
        <v>65</v>
      </c>
      <c r="E283" s="17"/>
      <c r="F283" s="118">
        <f>' WP II-I-1.4'!I283</f>
        <v>0</v>
      </c>
      <c r="G283" s="17">
        <v>28</v>
      </c>
      <c r="H283" s="28" t="str">
        <f t="shared" si="100"/>
        <v>NCP XHV</v>
      </c>
      <c r="I283" s="17"/>
      <c r="J283" s="434">
        <f t="shared" si="101"/>
        <v>0</v>
      </c>
      <c r="K283" s="434">
        <f t="shared" si="101"/>
        <v>0</v>
      </c>
      <c r="L283" s="434">
        <f t="shared" si="101"/>
        <v>0</v>
      </c>
      <c r="M283" s="434">
        <f t="shared" si="101"/>
        <v>0</v>
      </c>
      <c r="N283" s="434">
        <f t="shared" si="101"/>
        <v>0</v>
      </c>
      <c r="O283" s="434">
        <f t="shared" si="101"/>
        <v>0</v>
      </c>
      <c r="P283" s="434">
        <f t="shared" si="101"/>
        <v>0</v>
      </c>
      <c r="Q283" s="434">
        <f t="shared" si="101"/>
        <v>0</v>
      </c>
      <c r="R283" s="434">
        <f t="shared" si="101"/>
        <v>0</v>
      </c>
      <c r="S283" s="434">
        <f t="shared" si="101"/>
        <v>0</v>
      </c>
      <c r="T283" s="17"/>
      <c r="U283" s="118">
        <f t="shared" si="102"/>
        <v>0</v>
      </c>
      <c r="V283" s="67"/>
      <c r="W283" s="726">
        <f t="shared" si="103"/>
        <v>0</v>
      </c>
    </row>
    <row r="284" spans="1:23" ht="15">
      <c r="A284" s="47"/>
      <c r="B284" s="17">
        <f t="shared" si="99"/>
        <v>6</v>
      </c>
      <c r="C284" s="1" t="s">
        <v>380</v>
      </c>
      <c r="D284" s="31" t="s">
        <v>537</v>
      </c>
      <c r="E284" s="17"/>
      <c r="F284" s="118">
        <f>' WP II-I-1.4'!I284</f>
        <v>0</v>
      </c>
      <c r="G284" s="17">
        <v>30</v>
      </c>
      <c r="H284" s="28" t="str">
        <f t="shared" si="100"/>
        <v>NCP XSS</v>
      </c>
      <c r="I284" s="17"/>
      <c r="J284" s="434">
        <f t="shared" si="101"/>
        <v>0</v>
      </c>
      <c r="K284" s="434">
        <f t="shared" si="101"/>
        <v>0</v>
      </c>
      <c r="L284" s="434">
        <f t="shared" si="101"/>
        <v>0</v>
      </c>
      <c r="M284" s="434">
        <f t="shared" si="101"/>
        <v>0</v>
      </c>
      <c r="N284" s="434">
        <f t="shared" si="101"/>
        <v>0</v>
      </c>
      <c r="O284" s="434">
        <f t="shared" si="101"/>
        <v>0</v>
      </c>
      <c r="P284" s="434">
        <f t="shared" si="101"/>
        <v>0</v>
      </c>
      <c r="Q284" s="434">
        <f t="shared" si="101"/>
        <v>0</v>
      </c>
      <c r="R284" s="434">
        <f t="shared" si="101"/>
        <v>0</v>
      </c>
      <c r="S284" s="434">
        <f t="shared" si="101"/>
        <v>0</v>
      </c>
      <c r="T284" s="17"/>
      <c r="U284" s="118">
        <f t="shared" si="102"/>
        <v>0</v>
      </c>
      <c r="V284" s="67"/>
      <c r="W284" s="726">
        <f t="shared" si="103"/>
        <v>0</v>
      </c>
    </row>
    <row r="285" spans="1:23" ht="15">
      <c r="A285" s="47"/>
      <c r="B285" s="17">
        <f t="shared" si="99"/>
        <v>7</v>
      </c>
      <c r="C285" s="1" t="s">
        <v>382</v>
      </c>
      <c r="D285" s="31" t="s">
        <v>538</v>
      </c>
      <c r="E285" s="17"/>
      <c r="F285" s="118">
        <f>' WP II-I-1.4'!I285</f>
        <v>0</v>
      </c>
      <c r="G285" s="17">
        <v>32</v>
      </c>
      <c r="H285" s="28" t="str">
        <f t="shared" si="100"/>
        <v>NCP SEC</v>
      </c>
      <c r="I285" s="17"/>
      <c r="J285" s="434">
        <f t="shared" si="101"/>
        <v>0</v>
      </c>
      <c r="K285" s="434">
        <f t="shared" si="101"/>
        <v>0</v>
      </c>
      <c r="L285" s="434">
        <f t="shared" si="101"/>
        <v>0</v>
      </c>
      <c r="M285" s="434">
        <f t="shared" si="101"/>
        <v>0</v>
      </c>
      <c r="N285" s="434">
        <f t="shared" si="101"/>
        <v>0</v>
      </c>
      <c r="O285" s="434">
        <f t="shared" si="101"/>
        <v>0</v>
      </c>
      <c r="P285" s="434">
        <f t="shared" si="101"/>
        <v>0</v>
      </c>
      <c r="Q285" s="434">
        <f t="shared" si="101"/>
        <v>0</v>
      </c>
      <c r="R285" s="434">
        <f t="shared" si="101"/>
        <v>0</v>
      </c>
      <c r="S285" s="434">
        <f t="shared" si="101"/>
        <v>0</v>
      </c>
      <c r="T285" s="17"/>
      <c r="U285" s="118">
        <f t="shared" si="102"/>
        <v>0</v>
      </c>
      <c r="V285" s="67"/>
      <c r="W285" s="726">
        <f t="shared" si="103"/>
        <v>0</v>
      </c>
    </row>
    <row r="286" spans="1:23" ht="15">
      <c r="A286" s="47"/>
      <c r="B286" s="17">
        <f t="shared" si="99"/>
        <v>8</v>
      </c>
      <c r="C286" s="1" t="s">
        <v>385</v>
      </c>
      <c r="D286" s="1" t="s">
        <v>539</v>
      </c>
      <c r="E286" s="17"/>
      <c r="F286" s="118">
        <f>' WP II-I-1.4'!I286</f>
        <v>0</v>
      </c>
      <c r="G286" s="17">
        <v>30</v>
      </c>
      <c r="H286" s="28" t="str">
        <f t="shared" si="100"/>
        <v>NCP XSS</v>
      </c>
      <c r="I286" s="17"/>
      <c r="J286" s="434">
        <f t="shared" si="101"/>
        <v>0</v>
      </c>
      <c r="K286" s="434">
        <f t="shared" si="101"/>
        <v>0</v>
      </c>
      <c r="L286" s="434">
        <f t="shared" si="101"/>
        <v>0</v>
      </c>
      <c r="M286" s="434">
        <f t="shared" si="101"/>
        <v>0</v>
      </c>
      <c r="N286" s="434">
        <f t="shared" si="101"/>
        <v>0</v>
      </c>
      <c r="O286" s="434">
        <f t="shared" si="101"/>
        <v>0</v>
      </c>
      <c r="P286" s="434">
        <f t="shared" si="101"/>
        <v>0</v>
      </c>
      <c r="Q286" s="434">
        <f t="shared" si="101"/>
        <v>0</v>
      </c>
      <c r="R286" s="434">
        <f t="shared" si="101"/>
        <v>0</v>
      </c>
      <c r="S286" s="434">
        <f t="shared" si="101"/>
        <v>0</v>
      </c>
      <c r="T286" s="17"/>
      <c r="U286" s="118">
        <f t="shared" si="102"/>
        <v>0</v>
      </c>
      <c r="V286" s="67"/>
      <c r="W286" s="726">
        <f t="shared" si="103"/>
        <v>0</v>
      </c>
    </row>
    <row r="287" spans="1:23" ht="15">
      <c r="A287" s="47"/>
      <c r="B287" s="17">
        <f t="shared" si="99"/>
        <v>9</v>
      </c>
      <c r="C287" s="1" t="s">
        <v>387</v>
      </c>
      <c r="D287" s="1" t="s">
        <v>540</v>
      </c>
      <c r="E287" s="17"/>
      <c r="F287" s="118">
        <f>' WP II-I-1.4'!I287</f>
        <v>0</v>
      </c>
      <c r="G287" s="17">
        <v>32</v>
      </c>
      <c r="H287" s="28" t="str">
        <f t="shared" si="100"/>
        <v>NCP SEC</v>
      </c>
      <c r="I287" s="17"/>
      <c r="J287" s="434">
        <f t="shared" si="101"/>
        <v>0</v>
      </c>
      <c r="K287" s="434">
        <f t="shared" si="101"/>
        <v>0</v>
      </c>
      <c r="L287" s="434">
        <f t="shared" si="101"/>
        <v>0</v>
      </c>
      <c r="M287" s="434">
        <f t="shared" si="101"/>
        <v>0</v>
      </c>
      <c r="N287" s="434">
        <f t="shared" si="101"/>
        <v>0</v>
      </c>
      <c r="O287" s="434">
        <f t="shared" si="101"/>
        <v>0</v>
      </c>
      <c r="P287" s="434">
        <f t="shared" si="101"/>
        <v>0</v>
      </c>
      <c r="Q287" s="434">
        <f t="shared" si="101"/>
        <v>0</v>
      </c>
      <c r="R287" s="434">
        <f t="shared" si="101"/>
        <v>0</v>
      </c>
      <c r="S287" s="434">
        <f t="shared" si="101"/>
        <v>0</v>
      </c>
      <c r="T287" s="17"/>
      <c r="U287" s="118">
        <f t="shared" si="102"/>
        <v>0</v>
      </c>
      <c r="V287" s="67"/>
      <c r="W287" s="726">
        <f t="shared" si="103"/>
        <v>0</v>
      </c>
    </row>
    <row r="288" spans="1:23" ht="15">
      <c r="A288" s="47"/>
      <c r="B288" s="17">
        <f t="shared" si="99"/>
        <v>10</v>
      </c>
      <c r="C288" s="1" t="s">
        <v>390</v>
      </c>
      <c r="D288" s="1" t="s">
        <v>391</v>
      </c>
      <c r="E288" s="17"/>
      <c r="F288" s="118">
        <f>' WP II-I-1.4'!I288</f>
        <v>0</v>
      </c>
      <c r="G288" s="17">
        <v>30</v>
      </c>
      <c r="H288" s="28" t="str">
        <f t="shared" si="100"/>
        <v>NCP XSS</v>
      </c>
      <c r="I288" s="17"/>
      <c r="J288" s="434">
        <f t="shared" si="101"/>
        <v>0</v>
      </c>
      <c r="K288" s="434">
        <f t="shared" si="101"/>
        <v>0</v>
      </c>
      <c r="L288" s="434">
        <f t="shared" si="101"/>
        <v>0</v>
      </c>
      <c r="M288" s="434">
        <f t="shared" si="101"/>
        <v>0</v>
      </c>
      <c r="N288" s="434">
        <f t="shared" si="101"/>
        <v>0</v>
      </c>
      <c r="O288" s="434">
        <f t="shared" si="101"/>
        <v>0</v>
      </c>
      <c r="P288" s="434">
        <f t="shared" si="101"/>
        <v>0</v>
      </c>
      <c r="Q288" s="434">
        <f t="shared" si="101"/>
        <v>0</v>
      </c>
      <c r="R288" s="434">
        <f t="shared" si="101"/>
        <v>0</v>
      </c>
      <c r="S288" s="434">
        <f t="shared" si="101"/>
        <v>0</v>
      </c>
      <c r="T288" s="17"/>
      <c r="U288" s="118">
        <f t="shared" si="102"/>
        <v>0</v>
      </c>
      <c r="V288" s="67"/>
      <c r="W288" s="726">
        <f t="shared" si="103"/>
        <v>0</v>
      </c>
    </row>
    <row r="289" spans="1:23" ht="15">
      <c r="A289" s="47"/>
      <c r="B289" s="17">
        <f t="shared" si="99"/>
        <v>11</v>
      </c>
      <c r="C289" s="1" t="s">
        <v>392</v>
      </c>
      <c r="D289" s="1" t="s">
        <v>393</v>
      </c>
      <c r="E289" s="17"/>
      <c r="F289" s="118">
        <f>' WP II-I-1.4'!I289</f>
        <v>0</v>
      </c>
      <c r="G289" s="17">
        <v>32</v>
      </c>
      <c r="H289" s="28" t="str">
        <f t="shared" si="100"/>
        <v>NCP SEC</v>
      </c>
      <c r="I289" s="17"/>
      <c r="J289" s="434">
        <f t="shared" si="101"/>
        <v>0</v>
      </c>
      <c r="K289" s="434">
        <f t="shared" si="101"/>
        <v>0</v>
      </c>
      <c r="L289" s="434">
        <f t="shared" si="101"/>
        <v>0</v>
      </c>
      <c r="M289" s="434">
        <f t="shared" si="101"/>
        <v>0</v>
      </c>
      <c r="N289" s="434">
        <f t="shared" si="101"/>
        <v>0</v>
      </c>
      <c r="O289" s="434">
        <f t="shared" si="101"/>
        <v>0</v>
      </c>
      <c r="P289" s="434">
        <f t="shared" si="101"/>
        <v>0</v>
      </c>
      <c r="Q289" s="434">
        <f t="shared" si="101"/>
        <v>0</v>
      </c>
      <c r="R289" s="434">
        <f t="shared" si="101"/>
        <v>0</v>
      </c>
      <c r="S289" s="434">
        <f t="shared" si="101"/>
        <v>0</v>
      </c>
      <c r="T289" s="17"/>
      <c r="U289" s="118">
        <f t="shared" si="102"/>
        <v>0</v>
      </c>
      <c r="V289" s="67"/>
      <c r="W289" s="726">
        <f t="shared" si="103"/>
        <v>0</v>
      </c>
    </row>
    <row r="290" spans="1:23" ht="15">
      <c r="A290" s="47"/>
      <c r="B290" s="17">
        <f t="shared" si="99"/>
        <v>12</v>
      </c>
      <c r="C290" s="1" t="s">
        <v>395</v>
      </c>
      <c r="D290" s="31" t="s">
        <v>541</v>
      </c>
      <c r="E290" s="30"/>
      <c r="F290" s="118">
        <f>' WP II-I-1.4'!I290</f>
        <v>0</v>
      </c>
      <c r="G290" s="17">
        <v>30</v>
      </c>
      <c r="H290" s="28" t="str">
        <f t="shared" si="100"/>
        <v>NCP XSS</v>
      </c>
      <c r="I290" s="30"/>
      <c r="J290" s="434">
        <f t="shared" si="104" ref="J290:S299">$F290*HLOOKUP(J$1318,FactorTable,$G290+1)</f>
        <v>0</v>
      </c>
      <c r="K290" s="434">
        <f t="shared" si="104"/>
        <v>0</v>
      </c>
      <c r="L290" s="434">
        <f t="shared" si="104"/>
        <v>0</v>
      </c>
      <c r="M290" s="434">
        <f t="shared" si="104"/>
        <v>0</v>
      </c>
      <c r="N290" s="434">
        <f t="shared" si="104"/>
        <v>0</v>
      </c>
      <c r="O290" s="434">
        <f t="shared" si="104"/>
        <v>0</v>
      </c>
      <c r="P290" s="434">
        <f t="shared" si="104"/>
        <v>0</v>
      </c>
      <c r="Q290" s="434">
        <f t="shared" si="104"/>
        <v>0</v>
      </c>
      <c r="R290" s="434">
        <f t="shared" si="104"/>
        <v>0</v>
      </c>
      <c r="S290" s="434">
        <f t="shared" si="104"/>
        <v>0</v>
      </c>
      <c r="T290" s="30"/>
      <c r="U290" s="118">
        <f t="shared" si="102"/>
        <v>0</v>
      </c>
      <c r="V290" s="67"/>
      <c r="W290" s="726">
        <f t="shared" si="103"/>
        <v>0</v>
      </c>
    </row>
    <row r="291" spans="1:23" ht="15">
      <c r="A291" s="47"/>
      <c r="B291" s="17">
        <f t="shared" si="99"/>
        <v>13</v>
      </c>
      <c r="C291" s="1" t="s">
        <v>397</v>
      </c>
      <c r="D291" s="31" t="s">
        <v>542</v>
      </c>
      <c r="E291" s="30"/>
      <c r="F291" s="118">
        <f>' WP II-I-1.4'!I291</f>
        <v>0</v>
      </c>
      <c r="G291" s="17">
        <v>32</v>
      </c>
      <c r="H291" s="28" t="str">
        <f t="shared" si="100"/>
        <v>NCP SEC</v>
      </c>
      <c r="I291" s="30"/>
      <c r="J291" s="434">
        <f t="shared" si="104"/>
        <v>0</v>
      </c>
      <c r="K291" s="434">
        <f t="shared" si="104"/>
        <v>0</v>
      </c>
      <c r="L291" s="434">
        <f t="shared" si="104"/>
        <v>0</v>
      </c>
      <c r="M291" s="434">
        <f t="shared" si="104"/>
        <v>0</v>
      </c>
      <c r="N291" s="434">
        <f t="shared" si="104"/>
        <v>0</v>
      </c>
      <c r="O291" s="434">
        <f t="shared" si="104"/>
        <v>0</v>
      </c>
      <c r="P291" s="434">
        <f t="shared" si="104"/>
        <v>0</v>
      </c>
      <c r="Q291" s="434">
        <f t="shared" si="104"/>
        <v>0</v>
      </c>
      <c r="R291" s="434">
        <f t="shared" si="104"/>
        <v>0</v>
      </c>
      <c r="S291" s="434">
        <f t="shared" si="104"/>
        <v>0</v>
      </c>
      <c r="T291" s="30"/>
      <c r="U291" s="118">
        <f t="shared" si="102"/>
        <v>0</v>
      </c>
      <c r="V291" s="67"/>
      <c r="W291" s="726">
        <f t="shared" si="103"/>
        <v>0</v>
      </c>
    </row>
    <row r="292" spans="1:23" ht="15">
      <c r="A292" s="47"/>
      <c r="B292" s="17">
        <f t="shared" si="99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18">
        <f>' WP II-I-1.4'!I292</f>
        <v>0</v>
      </c>
      <c r="G292" s="17">
        <v>30</v>
      </c>
      <c r="H292" s="28" t="str">
        <f t="shared" si="100"/>
        <v>NCP XSS</v>
      </c>
      <c r="I292" s="17"/>
      <c r="J292" s="434">
        <f t="shared" si="104"/>
        <v>0</v>
      </c>
      <c r="K292" s="434">
        <f t="shared" si="104"/>
        <v>0</v>
      </c>
      <c r="L292" s="434">
        <f t="shared" si="104"/>
        <v>0</v>
      </c>
      <c r="M292" s="434">
        <f t="shared" si="104"/>
        <v>0</v>
      </c>
      <c r="N292" s="434">
        <f t="shared" si="104"/>
        <v>0</v>
      </c>
      <c r="O292" s="434">
        <f t="shared" si="104"/>
        <v>0</v>
      </c>
      <c r="P292" s="434">
        <f t="shared" si="104"/>
        <v>0</v>
      </c>
      <c r="Q292" s="434">
        <f t="shared" si="104"/>
        <v>0</v>
      </c>
      <c r="R292" s="434">
        <f t="shared" si="104"/>
        <v>0</v>
      </c>
      <c r="S292" s="434">
        <f t="shared" si="104"/>
        <v>0</v>
      </c>
      <c r="T292" s="17"/>
      <c r="U292" s="118">
        <f t="shared" si="102"/>
        <v>0</v>
      </c>
      <c r="V292" s="67"/>
      <c r="W292" s="726">
        <f t="shared" si="103"/>
        <v>0</v>
      </c>
    </row>
    <row r="293" spans="1:23" ht="15">
      <c r="A293" s="47"/>
      <c r="B293" s="17">
        <f t="shared" si="99"/>
        <v>15</v>
      </c>
      <c r="C293" s="1" t="s">
        <v>402</v>
      </c>
      <c r="D293" s="1" t="str">
        <f>'WP II-I-1.2'!D40</f>
        <v>Secondary Transformers</v>
      </c>
      <c r="E293" s="17"/>
      <c r="F293" s="118">
        <f>' WP II-I-1.4'!I293</f>
        <v>0</v>
      </c>
      <c r="G293" s="17">
        <v>32</v>
      </c>
      <c r="H293" s="28" t="str">
        <f t="shared" si="100"/>
        <v>NCP SEC</v>
      </c>
      <c r="I293" s="17"/>
      <c r="J293" s="434">
        <f t="shared" si="104"/>
        <v>0</v>
      </c>
      <c r="K293" s="434">
        <f t="shared" si="104"/>
        <v>0</v>
      </c>
      <c r="L293" s="434">
        <f t="shared" si="104"/>
        <v>0</v>
      </c>
      <c r="M293" s="434">
        <f t="shared" si="104"/>
        <v>0</v>
      </c>
      <c r="N293" s="434">
        <f t="shared" si="104"/>
        <v>0</v>
      </c>
      <c r="O293" s="434">
        <f t="shared" si="104"/>
        <v>0</v>
      </c>
      <c r="P293" s="434">
        <f t="shared" si="104"/>
        <v>0</v>
      </c>
      <c r="Q293" s="434">
        <f t="shared" si="104"/>
        <v>0</v>
      </c>
      <c r="R293" s="434">
        <f t="shared" si="104"/>
        <v>0</v>
      </c>
      <c r="S293" s="434">
        <f t="shared" si="104"/>
        <v>0</v>
      </c>
      <c r="T293" s="17"/>
      <c r="U293" s="118">
        <f t="shared" si="102"/>
        <v>0</v>
      </c>
      <c r="V293" s="67"/>
      <c r="W293" s="726">
        <f t="shared" si="103"/>
        <v>0</v>
      </c>
    </row>
    <row r="294" spans="1:23" ht="15">
      <c r="A294" s="47"/>
      <c r="B294" s="17">
        <f t="shared" si="99"/>
        <v>16</v>
      </c>
      <c r="C294" s="1" t="s">
        <v>404</v>
      </c>
      <c r="D294" s="1" t="str">
        <f>'WP II-I-1.2'!D41</f>
        <v>Capacitors</v>
      </c>
      <c r="E294" s="17"/>
      <c r="F294" s="118">
        <f>' WP II-I-1.4'!I294</f>
        <v>0</v>
      </c>
      <c r="G294" s="17">
        <v>26</v>
      </c>
      <c r="H294" s="28" t="str">
        <f t="shared" si="100"/>
        <v>NCP ALL</v>
      </c>
      <c r="I294" s="17"/>
      <c r="J294" s="434">
        <f t="shared" si="104"/>
        <v>0</v>
      </c>
      <c r="K294" s="434">
        <f t="shared" si="104"/>
        <v>0</v>
      </c>
      <c r="L294" s="434">
        <f t="shared" si="104"/>
        <v>0</v>
      </c>
      <c r="M294" s="434">
        <f t="shared" si="104"/>
        <v>0</v>
      </c>
      <c r="N294" s="434">
        <f t="shared" si="104"/>
        <v>0</v>
      </c>
      <c r="O294" s="434">
        <f t="shared" si="104"/>
        <v>0</v>
      </c>
      <c r="P294" s="434">
        <f t="shared" si="104"/>
        <v>0</v>
      </c>
      <c r="Q294" s="434">
        <f t="shared" si="104"/>
        <v>0</v>
      </c>
      <c r="R294" s="434">
        <f t="shared" si="104"/>
        <v>0</v>
      </c>
      <c r="S294" s="434">
        <f t="shared" si="104"/>
        <v>0</v>
      </c>
      <c r="T294" s="17"/>
      <c r="U294" s="118">
        <f t="shared" si="102"/>
        <v>0</v>
      </c>
      <c r="V294" s="67"/>
      <c r="W294" s="726">
        <f t="shared" si="103"/>
        <v>0</v>
      </c>
    </row>
    <row r="295" spans="1:23" ht="15">
      <c r="A295" s="47"/>
      <c r="B295" s="17">
        <f t="shared" si="99"/>
        <v>17</v>
      </c>
      <c r="C295" s="1" t="s">
        <v>76</v>
      </c>
      <c r="D295" s="31" t="s">
        <v>77</v>
      </c>
      <c r="E295" s="30"/>
      <c r="F295" s="118">
        <f>' WP II-I-1.4'!I295</f>
        <v>0</v>
      </c>
      <c r="G295" s="17">
        <v>7</v>
      </c>
      <c r="H295" s="28" t="str">
        <f t="shared" si="100"/>
        <v>CUS W SEC</v>
      </c>
      <c r="I295" s="30"/>
      <c r="J295" s="434">
        <f t="shared" si="104"/>
        <v>0</v>
      </c>
      <c r="K295" s="434">
        <f t="shared" si="104"/>
        <v>0</v>
      </c>
      <c r="L295" s="434">
        <f t="shared" si="104"/>
        <v>0</v>
      </c>
      <c r="M295" s="434">
        <f t="shared" si="104"/>
        <v>0</v>
      </c>
      <c r="N295" s="434">
        <f t="shared" si="104"/>
        <v>0</v>
      </c>
      <c r="O295" s="434">
        <f t="shared" si="104"/>
        <v>0</v>
      </c>
      <c r="P295" s="434">
        <f t="shared" si="104"/>
        <v>0</v>
      </c>
      <c r="Q295" s="434">
        <f t="shared" si="104"/>
        <v>0</v>
      </c>
      <c r="R295" s="434">
        <f t="shared" si="104"/>
        <v>0</v>
      </c>
      <c r="S295" s="434">
        <f t="shared" si="104"/>
        <v>0</v>
      </c>
      <c r="T295" s="30"/>
      <c r="U295" s="118">
        <f t="shared" si="102"/>
        <v>0</v>
      </c>
      <c r="V295" s="67"/>
      <c r="W295" s="726">
        <f t="shared" si="103"/>
        <v>0</v>
      </c>
    </row>
    <row r="296" spans="1:23" ht="15">
      <c r="A296" s="47"/>
      <c r="B296" s="17">
        <f t="shared" si="99"/>
        <v>18</v>
      </c>
      <c r="C296" s="1" t="s">
        <v>78</v>
      </c>
      <c r="D296" s="1" t="s">
        <v>79</v>
      </c>
      <c r="E296" s="17"/>
      <c r="F296" s="118">
        <f>' WP II-I-1.4'!I296</f>
        <v>0</v>
      </c>
      <c r="G296" s="17">
        <v>6</v>
      </c>
      <c r="H296" s="28" t="str">
        <f t="shared" si="100"/>
        <v>CUS W ALL</v>
      </c>
      <c r="I296" s="17"/>
      <c r="J296" s="434">
        <f t="shared" si="104"/>
        <v>0</v>
      </c>
      <c r="K296" s="434">
        <f t="shared" si="104"/>
        <v>0</v>
      </c>
      <c r="L296" s="434">
        <f t="shared" si="104"/>
        <v>0</v>
      </c>
      <c r="M296" s="434">
        <f t="shared" si="104"/>
        <v>0</v>
      </c>
      <c r="N296" s="434">
        <f t="shared" si="104"/>
        <v>0</v>
      </c>
      <c r="O296" s="434">
        <f t="shared" si="104"/>
        <v>0</v>
      </c>
      <c r="P296" s="434">
        <f t="shared" si="104"/>
        <v>0</v>
      </c>
      <c r="Q296" s="434">
        <f t="shared" si="104"/>
        <v>0</v>
      </c>
      <c r="R296" s="434">
        <f t="shared" si="104"/>
        <v>0</v>
      </c>
      <c r="S296" s="434">
        <f t="shared" si="104"/>
        <v>0</v>
      </c>
      <c r="T296" s="17"/>
      <c r="U296" s="118">
        <f t="shared" si="102"/>
        <v>0</v>
      </c>
      <c r="V296" s="67"/>
      <c r="W296" s="726">
        <f t="shared" si="103"/>
        <v>0</v>
      </c>
    </row>
    <row r="297" spans="1:23" ht="15">
      <c r="A297" s="47"/>
      <c r="B297" s="17">
        <f t="shared" si="99"/>
        <v>19</v>
      </c>
      <c r="C297" s="1" t="s">
        <v>80</v>
      </c>
      <c r="D297" s="1" t="s">
        <v>543</v>
      </c>
      <c r="E297" s="17"/>
      <c r="F297" s="118">
        <f>' WP II-I-1.4'!I297</f>
        <v>0</v>
      </c>
      <c r="G297" s="17">
        <v>33</v>
      </c>
      <c r="H297" s="28" t="str">
        <f t="shared" si="100"/>
        <v>NCP LGT</v>
      </c>
      <c r="I297" s="17"/>
      <c r="J297" s="434">
        <f t="shared" si="104"/>
        <v>0</v>
      </c>
      <c r="K297" s="434">
        <f t="shared" si="104"/>
        <v>0</v>
      </c>
      <c r="L297" s="434">
        <f t="shared" si="104"/>
        <v>0</v>
      </c>
      <c r="M297" s="434">
        <f t="shared" si="104"/>
        <v>0</v>
      </c>
      <c r="N297" s="434">
        <f t="shared" si="104"/>
        <v>0</v>
      </c>
      <c r="O297" s="434">
        <f t="shared" si="104"/>
        <v>0</v>
      </c>
      <c r="P297" s="434">
        <f t="shared" si="104"/>
        <v>0</v>
      </c>
      <c r="Q297" s="434">
        <f t="shared" si="104"/>
        <v>0</v>
      </c>
      <c r="R297" s="434">
        <f t="shared" si="104"/>
        <v>0</v>
      </c>
      <c r="S297" s="434">
        <f t="shared" si="104"/>
        <v>0</v>
      </c>
      <c r="T297" s="17"/>
      <c r="U297" s="118">
        <f t="shared" si="102"/>
        <v>0</v>
      </c>
      <c r="V297" s="67"/>
      <c r="W297" s="726">
        <f t="shared" si="103"/>
        <v>0</v>
      </c>
    </row>
    <row r="298" spans="1:23" ht="15">
      <c r="A298" s="47"/>
      <c r="B298" s="17">
        <f t="shared" si="99"/>
        <v>20</v>
      </c>
      <c r="C298" s="1" t="s">
        <v>82</v>
      </c>
      <c r="D298" s="1" t="s">
        <v>544</v>
      </c>
      <c r="E298" s="17"/>
      <c r="F298" s="118">
        <f>' WP II-I-1.4'!I298</f>
        <v>0</v>
      </c>
      <c r="G298" s="17">
        <v>6</v>
      </c>
      <c r="H298" s="28" t="str">
        <f t="shared" si="100"/>
        <v>CUS W ALL</v>
      </c>
      <c r="I298" s="17"/>
      <c r="J298" s="434">
        <f t="shared" si="104"/>
        <v>0</v>
      </c>
      <c r="K298" s="434">
        <f t="shared" si="104"/>
        <v>0</v>
      </c>
      <c r="L298" s="434">
        <f t="shared" si="104"/>
        <v>0</v>
      </c>
      <c r="M298" s="434">
        <f t="shared" si="104"/>
        <v>0</v>
      </c>
      <c r="N298" s="434">
        <f t="shared" si="104"/>
        <v>0</v>
      </c>
      <c r="O298" s="434">
        <f t="shared" si="104"/>
        <v>0</v>
      </c>
      <c r="P298" s="434">
        <f t="shared" si="104"/>
        <v>0</v>
      </c>
      <c r="Q298" s="434">
        <f t="shared" si="104"/>
        <v>0</v>
      </c>
      <c r="R298" s="434">
        <f t="shared" si="104"/>
        <v>0</v>
      </c>
      <c r="S298" s="434">
        <f t="shared" si="104"/>
        <v>0</v>
      </c>
      <c r="T298" s="17"/>
      <c r="U298" s="118">
        <f t="shared" si="102"/>
        <v>0</v>
      </c>
      <c r="V298" s="67"/>
      <c r="W298" s="726">
        <f t="shared" si="103"/>
        <v>0</v>
      </c>
    </row>
    <row r="299" spans="1:23" ht="15">
      <c r="A299" s="47"/>
      <c r="B299" s="17">
        <f t="shared" si="99"/>
        <v>21</v>
      </c>
      <c r="C299" s="1" t="s">
        <v>84</v>
      </c>
      <c r="D299" s="1" t="s">
        <v>88</v>
      </c>
      <c r="E299" s="17"/>
      <c r="F299" s="118">
        <f>' WP II-I-1.4'!I299</f>
        <v>0</v>
      </c>
      <c r="G299" s="17">
        <v>33</v>
      </c>
      <c r="H299" s="28" t="str">
        <f t="shared" si="100"/>
        <v>NCP LGT</v>
      </c>
      <c r="I299" s="17"/>
      <c r="J299" s="435">
        <f t="shared" si="104"/>
        <v>0</v>
      </c>
      <c r="K299" s="435">
        <f t="shared" si="104"/>
        <v>0</v>
      </c>
      <c r="L299" s="435">
        <f t="shared" si="104"/>
        <v>0</v>
      </c>
      <c r="M299" s="435">
        <f t="shared" si="104"/>
        <v>0</v>
      </c>
      <c r="N299" s="435">
        <f t="shared" si="104"/>
        <v>0</v>
      </c>
      <c r="O299" s="435">
        <f t="shared" si="104"/>
        <v>0</v>
      </c>
      <c r="P299" s="435">
        <f t="shared" si="104"/>
        <v>0</v>
      </c>
      <c r="Q299" s="435">
        <f t="shared" si="104"/>
        <v>0</v>
      </c>
      <c r="R299" s="435">
        <f t="shared" si="104"/>
        <v>0</v>
      </c>
      <c r="S299" s="435">
        <f t="shared" si="104"/>
        <v>0</v>
      </c>
      <c r="T299" s="17"/>
      <c r="U299" s="118">
        <f t="shared" si="102"/>
        <v>0</v>
      </c>
      <c r="V299" s="67"/>
      <c r="W299" s="726">
        <f t="shared" si="103"/>
        <v>0</v>
      </c>
    </row>
    <row r="300" spans="1:23" ht="15.75">
      <c r="A300" s="47"/>
      <c r="B300" s="17">
        <f t="shared" si="99"/>
        <v>22</v>
      </c>
      <c r="C300" s="67"/>
      <c r="D300" s="297" t="s">
        <v>491</v>
      </c>
      <c r="E300" s="150"/>
      <c r="F300" s="22">
        <f>SUM(F280:F299)</f>
        <v>0</v>
      </c>
      <c r="G300" s="150"/>
      <c r="H300" s="150"/>
      <c r="I300" s="150"/>
      <c r="J300" s="896">
        <f t="shared" si="105" ref="J300:Q300">SUM(J280:J299)</f>
        <v>0</v>
      </c>
      <c r="K300" s="896">
        <f t="shared" si="105"/>
        <v>0</v>
      </c>
      <c r="L300" s="896">
        <f t="shared" si="105"/>
        <v>0</v>
      </c>
      <c r="M300" s="896">
        <f t="shared" si="105"/>
        <v>0</v>
      </c>
      <c r="N300" s="896">
        <f t="shared" si="105"/>
        <v>0</v>
      </c>
      <c r="O300" s="896">
        <f>SUM(O280:O299)</f>
        <v>0</v>
      </c>
      <c r="P300" s="896">
        <f t="shared" si="105"/>
        <v>0</v>
      </c>
      <c r="Q300" s="896">
        <f t="shared" si="105"/>
        <v>0</v>
      </c>
      <c r="R300" s="896">
        <f>SUM(R280:R299)</f>
        <v>0</v>
      </c>
      <c r="S300" s="896">
        <f>SUM(S280:S299)</f>
        <v>0</v>
      </c>
      <c r="T300" s="150"/>
      <c r="U300" s="299">
        <f t="shared" si="102"/>
        <v>0</v>
      </c>
      <c r="V300" s="67"/>
      <c r="W300" s="726">
        <f t="shared" si="103"/>
        <v>0</v>
      </c>
    </row>
    <row r="301" spans="1:23" ht="15">
      <c r="A301" s="47"/>
      <c r="B301" s="17">
        <f t="shared" si="99"/>
        <v>23</v>
      </c>
      <c r="C301" s="67"/>
      <c r="D301" s="1"/>
      <c r="E301" s="17"/>
      <c r="F301" s="19"/>
      <c r="G301" s="17"/>
      <c r="H301" s="17"/>
      <c r="I301" s="17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7"/>
      <c r="U301" s="1"/>
      <c r="V301" s="67"/>
      <c r="W301" s="726">
        <f t="shared" si="103"/>
        <v>0</v>
      </c>
    </row>
    <row r="302" spans="1:23" ht="15.75">
      <c r="A302" s="47"/>
      <c r="B302" s="17">
        <f t="shared" si="99"/>
        <v>24</v>
      </c>
      <c r="C302" s="67"/>
      <c r="D302" s="297" t="s">
        <v>568</v>
      </c>
      <c r="E302" s="17"/>
      <c r="F302" s="22">
        <f>SUM(F284:F285)</f>
        <v>0</v>
      </c>
      <c r="G302" s="17"/>
      <c r="H302" s="17"/>
      <c r="I302" s="17"/>
      <c r="J302" s="896">
        <f t="shared" si="106" ref="J302:Q302">SUM(J284:J285)</f>
        <v>0</v>
      </c>
      <c r="K302" s="896">
        <f t="shared" si="106"/>
        <v>0</v>
      </c>
      <c r="L302" s="896">
        <f t="shared" si="106"/>
        <v>0</v>
      </c>
      <c r="M302" s="896">
        <f t="shared" si="106"/>
        <v>0</v>
      </c>
      <c r="N302" s="896">
        <f t="shared" si="106"/>
        <v>0</v>
      </c>
      <c r="O302" s="896">
        <f>SUM(O284:O285)</f>
        <v>0</v>
      </c>
      <c r="P302" s="896">
        <f t="shared" si="106"/>
        <v>0</v>
      </c>
      <c r="Q302" s="896">
        <f t="shared" si="106"/>
        <v>0</v>
      </c>
      <c r="R302" s="896">
        <f>SUM(R284:R285)</f>
        <v>0</v>
      </c>
      <c r="S302" s="896">
        <f>SUM(S284:S285)</f>
        <v>0</v>
      </c>
      <c r="T302" s="17"/>
      <c r="U302" s="299">
        <f>SUM(I302:T302)</f>
        <v>0</v>
      </c>
      <c r="V302" s="67"/>
      <c r="W302" s="726">
        <f t="shared" si="103"/>
        <v>0</v>
      </c>
    </row>
    <row r="303" spans="1:23" ht="15.75">
      <c r="A303" s="47"/>
      <c r="B303" s="17">
        <f t="shared" si="99"/>
        <v>25</v>
      </c>
      <c r="C303" s="67"/>
      <c r="D303" s="297" t="s">
        <v>569</v>
      </c>
      <c r="E303" s="17"/>
      <c r="F303" s="22">
        <f>SUM(F286:F287)</f>
        <v>0</v>
      </c>
      <c r="G303" s="17"/>
      <c r="H303" s="17"/>
      <c r="I303" s="17"/>
      <c r="J303" s="896">
        <f t="shared" si="107" ref="J303:Q303">SUM(J286:J287)</f>
        <v>0</v>
      </c>
      <c r="K303" s="896">
        <f t="shared" si="107"/>
        <v>0</v>
      </c>
      <c r="L303" s="896">
        <f t="shared" si="107"/>
        <v>0</v>
      </c>
      <c r="M303" s="896">
        <f t="shared" si="107"/>
        <v>0</v>
      </c>
      <c r="N303" s="896">
        <f t="shared" si="107"/>
        <v>0</v>
      </c>
      <c r="O303" s="896">
        <f>SUM(O286:O287)</f>
        <v>0</v>
      </c>
      <c r="P303" s="896">
        <f t="shared" si="107"/>
        <v>0</v>
      </c>
      <c r="Q303" s="896">
        <f t="shared" si="107"/>
        <v>0</v>
      </c>
      <c r="R303" s="896">
        <f>SUM(R286:R287)</f>
        <v>0</v>
      </c>
      <c r="S303" s="896">
        <f>SUM(S286:S287)</f>
        <v>0</v>
      </c>
      <c r="T303" s="17"/>
      <c r="U303" s="299">
        <f>SUM(I303:T303)</f>
        <v>0</v>
      </c>
      <c r="V303" s="67"/>
      <c r="W303" s="726">
        <f t="shared" si="103"/>
        <v>0</v>
      </c>
    </row>
    <row r="304" spans="1:23" ht="15.75">
      <c r="A304" s="47"/>
      <c r="B304" s="17">
        <f t="shared" si="99"/>
        <v>26</v>
      </c>
      <c r="C304" s="67"/>
      <c r="D304" s="297" t="s">
        <v>570</v>
      </c>
      <c r="E304" s="17"/>
      <c r="F304" s="22">
        <f>SUM(F288:F289)</f>
        <v>0</v>
      </c>
      <c r="G304" s="17"/>
      <c r="H304" s="17"/>
      <c r="I304" s="17"/>
      <c r="J304" s="896">
        <f t="shared" si="108" ref="J304:Q304">SUM(J288:J289)</f>
        <v>0</v>
      </c>
      <c r="K304" s="896">
        <f t="shared" si="108"/>
        <v>0</v>
      </c>
      <c r="L304" s="896">
        <f t="shared" si="108"/>
        <v>0</v>
      </c>
      <c r="M304" s="896">
        <f t="shared" si="108"/>
        <v>0</v>
      </c>
      <c r="N304" s="896">
        <f t="shared" si="108"/>
        <v>0</v>
      </c>
      <c r="O304" s="896">
        <f>SUM(O288:O289)</f>
        <v>0</v>
      </c>
      <c r="P304" s="896">
        <f t="shared" si="108"/>
        <v>0</v>
      </c>
      <c r="Q304" s="896">
        <f t="shared" si="108"/>
        <v>0</v>
      </c>
      <c r="R304" s="896">
        <f>SUM(R288:R289)</f>
        <v>0</v>
      </c>
      <c r="S304" s="896">
        <f>SUM(S288:S289)</f>
        <v>0</v>
      </c>
      <c r="T304" s="17"/>
      <c r="U304" s="299">
        <f>SUM(I304:T304)</f>
        <v>0</v>
      </c>
      <c r="V304" s="67"/>
      <c r="W304" s="726">
        <f t="shared" si="103"/>
        <v>0</v>
      </c>
    </row>
    <row r="305" spans="1:23" ht="15.75">
      <c r="A305" s="47"/>
      <c r="B305" s="17">
        <f t="shared" si="99"/>
        <v>27</v>
      </c>
      <c r="C305" s="67"/>
      <c r="D305" s="297" t="s">
        <v>571</v>
      </c>
      <c r="E305" s="17"/>
      <c r="F305" s="22">
        <f>SUM(F290:F291)</f>
        <v>0</v>
      </c>
      <c r="G305" s="17"/>
      <c r="H305" s="17"/>
      <c r="I305" s="17"/>
      <c r="J305" s="22">
        <f t="shared" si="109" ref="J305:Q305">SUM(J290:J291)</f>
        <v>0</v>
      </c>
      <c r="K305" s="22">
        <f t="shared" si="109"/>
        <v>0</v>
      </c>
      <c r="L305" s="22">
        <f t="shared" si="109"/>
        <v>0</v>
      </c>
      <c r="M305" s="22">
        <f t="shared" si="109"/>
        <v>0</v>
      </c>
      <c r="N305" s="22">
        <f t="shared" si="109"/>
        <v>0</v>
      </c>
      <c r="O305" s="22">
        <f>SUM(O290:O291)</f>
        <v>0</v>
      </c>
      <c r="P305" s="22">
        <f t="shared" si="109"/>
        <v>0</v>
      </c>
      <c r="Q305" s="22">
        <f t="shared" si="109"/>
        <v>0</v>
      </c>
      <c r="R305" s="22">
        <f>SUM(R290:R291)</f>
        <v>0</v>
      </c>
      <c r="S305" s="22">
        <f>SUM(S290:S291)</f>
        <v>0</v>
      </c>
      <c r="T305" s="17"/>
      <c r="U305" s="299">
        <f>SUM(I305:T305)</f>
        <v>0</v>
      </c>
      <c r="V305" s="67"/>
      <c r="W305" s="726">
        <f t="shared" si="103"/>
        <v>0</v>
      </c>
    </row>
    <row r="306" spans="1:23" ht="15.75">
      <c r="A306" s="47"/>
      <c r="B306" s="17">
        <f t="shared" si="99"/>
        <v>28</v>
      </c>
      <c r="C306" s="67"/>
      <c r="D306" s="297" t="s">
        <v>572</v>
      </c>
      <c r="E306" s="17"/>
      <c r="F306" s="22">
        <f>SUM(F292:F294)</f>
        <v>0</v>
      </c>
      <c r="G306" s="17"/>
      <c r="H306" s="17"/>
      <c r="I306" s="17"/>
      <c r="J306" s="22">
        <f t="shared" si="110" ref="J306:Q306">SUM(J292:J294)</f>
        <v>0</v>
      </c>
      <c r="K306" s="22">
        <f t="shared" si="110"/>
        <v>0</v>
      </c>
      <c r="L306" s="22">
        <f t="shared" si="110"/>
        <v>0</v>
      </c>
      <c r="M306" s="22">
        <f t="shared" si="110"/>
        <v>0</v>
      </c>
      <c r="N306" s="22">
        <f t="shared" si="110"/>
        <v>0</v>
      </c>
      <c r="O306" s="22">
        <f>SUM(O292:O294)</f>
        <v>0</v>
      </c>
      <c r="P306" s="22">
        <f t="shared" si="110"/>
        <v>0</v>
      </c>
      <c r="Q306" s="22">
        <f t="shared" si="110"/>
        <v>0</v>
      </c>
      <c r="R306" s="22">
        <f>SUM(R292:R294)</f>
        <v>0</v>
      </c>
      <c r="S306" s="22">
        <f>SUM(S292:S294)</f>
        <v>0</v>
      </c>
      <c r="T306" s="17"/>
      <c r="U306" s="299">
        <f>SUM(I306:T306)</f>
        <v>0</v>
      </c>
      <c r="V306" s="67"/>
      <c r="W306" s="726">
        <f t="shared" si="103"/>
        <v>0</v>
      </c>
    </row>
    <row r="307" spans="1:23" ht="15.75" thickBot="1">
      <c r="A307" s="47"/>
      <c r="B307" s="17">
        <f t="shared" si="99"/>
        <v>29</v>
      </c>
      <c r="C307" s="67"/>
      <c r="D307" s="1"/>
      <c r="E307" s="17"/>
      <c r="F307" s="19"/>
      <c r="G307" s="17"/>
      <c r="H307" s="17"/>
      <c r="I307" s="17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7"/>
      <c r="U307" s="1"/>
      <c r="V307" s="67"/>
      <c r="W307" s="726">
        <f t="shared" si="103"/>
        <v>0</v>
      </c>
    </row>
    <row r="308" spans="1:23" ht="15.75">
      <c r="A308" s="47"/>
      <c r="B308" s="17">
        <f t="shared" si="99"/>
        <v>30</v>
      </c>
      <c r="C308" s="303" t="s">
        <v>575</v>
      </c>
      <c r="D308" s="304"/>
      <c r="E308" s="305" t="s">
        <v>24</v>
      </c>
      <c r="F308" s="306">
        <f>F254+F266+F300</f>
        <v>84146159.569999993</v>
      </c>
      <c r="G308" s="305"/>
      <c r="H308" s="437"/>
      <c r="I308" s="438"/>
      <c r="J308" s="439">
        <f t="shared" si="111" ref="J308:Q308">J254+J266+J300</f>
        <v>46883254.411518507</v>
      </c>
      <c r="K308" s="908">
        <f t="shared" si="111"/>
        <v>7228190.4542696355</v>
      </c>
      <c r="L308" s="908">
        <f t="shared" si="111"/>
        <v>22295603.502791613</v>
      </c>
      <c r="M308" s="908">
        <f t="shared" si="111"/>
        <v>313064.1256923356</v>
      </c>
      <c r="N308" s="908">
        <f t="shared" si="111"/>
        <v>6532804.971577662</v>
      </c>
      <c r="O308" s="908">
        <f>O254+O266+O300</f>
        <v>223245.58309115993</v>
      </c>
      <c r="P308" s="908">
        <f t="shared" si="111"/>
        <v>485988.46165229409</v>
      </c>
      <c r="Q308" s="908">
        <f t="shared" si="111"/>
        <v>98096.493313134939</v>
      </c>
      <c r="R308" s="908">
        <f>R254+R266+R300</f>
        <v>25759.105741287683</v>
      </c>
      <c r="S308" s="641">
        <f>S254+S266+S300</f>
        <v>60152.460352358379</v>
      </c>
      <c r="T308" s="438"/>
      <c r="U308" s="307">
        <f>SUM(I308:T308)</f>
        <v>84146159.569999978</v>
      </c>
      <c r="V308" s="67"/>
      <c r="W308" s="726">
        <f t="shared" si="103"/>
        <v>0</v>
      </c>
    </row>
    <row r="309" spans="1:23" ht="16.5" thickBot="1">
      <c r="A309" s="47"/>
      <c r="B309" s="17">
        <f t="shared" si="99"/>
        <v>31</v>
      </c>
      <c r="C309" s="309" t="s">
        <v>576</v>
      </c>
      <c r="D309" s="310"/>
      <c r="E309" s="311" t="s">
        <v>24</v>
      </c>
      <c r="F309" s="312">
        <f>F266+F300</f>
        <v>0</v>
      </c>
      <c r="G309" s="311"/>
      <c r="H309" s="440"/>
      <c r="I309" s="441"/>
      <c r="J309" s="442">
        <f t="shared" si="112" ref="J309:Q309">J266+J300</f>
        <v>0</v>
      </c>
      <c r="K309" s="312">
        <f t="shared" si="112"/>
        <v>0</v>
      </c>
      <c r="L309" s="312">
        <f t="shared" si="112"/>
        <v>0</v>
      </c>
      <c r="M309" s="312">
        <f t="shared" si="112"/>
        <v>0</v>
      </c>
      <c r="N309" s="312">
        <f t="shared" si="112"/>
        <v>0</v>
      </c>
      <c r="O309" s="312">
        <f>O266+O300</f>
        <v>0</v>
      </c>
      <c r="P309" s="312">
        <f t="shared" si="112"/>
        <v>0</v>
      </c>
      <c r="Q309" s="312">
        <f t="shared" si="112"/>
        <v>0</v>
      </c>
      <c r="R309" s="312">
        <f>R266+R300</f>
        <v>0</v>
      </c>
      <c r="S309" s="443">
        <f>S266+S300</f>
        <v>0</v>
      </c>
      <c r="T309" s="441"/>
      <c r="U309" s="313">
        <f>SUM(I309:T309)</f>
        <v>0</v>
      </c>
      <c r="V309" s="67"/>
      <c r="W309" s="726">
        <f t="shared" si="103"/>
        <v>0</v>
      </c>
    </row>
    <row r="310" spans="1:23" ht="16.5" thickBot="1">
      <c r="A310" s="47"/>
      <c r="B310" s="17">
        <f t="shared" si="99"/>
        <v>32</v>
      </c>
      <c r="C310" s="8"/>
      <c r="D310" s="8"/>
      <c r="E310" s="20"/>
      <c r="F310" s="22"/>
      <c r="G310" s="20"/>
      <c r="H310" s="20"/>
      <c r="I310" s="20"/>
      <c r="J310" s="22"/>
      <c r="K310" s="22"/>
      <c r="L310" s="896"/>
      <c r="M310" s="896"/>
      <c r="N310" s="22"/>
      <c r="O310" s="22"/>
      <c r="P310" s="22"/>
      <c r="Q310" s="22"/>
      <c r="R310" s="22"/>
      <c r="S310" s="22"/>
      <c r="T310" s="20"/>
      <c r="U310" s="22"/>
      <c r="V310" s="67"/>
      <c r="W310" s="726">
        <f t="shared" si="103"/>
        <v>0</v>
      </c>
    </row>
    <row r="311" spans="1:23" ht="15.75">
      <c r="A311" s="47"/>
      <c r="B311" s="17">
        <f t="shared" si="99"/>
        <v>33</v>
      </c>
      <c r="C311" s="319" t="s">
        <v>577</v>
      </c>
      <c r="D311" s="304"/>
      <c r="E311" s="320"/>
      <c r="F311" s="306">
        <f>F106-F254</f>
        <v>226263015.17000002</v>
      </c>
      <c r="G311" s="320"/>
      <c r="H311" s="448"/>
      <c r="I311" s="449"/>
      <c r="J311" s="439">
        <f t="shared" si="113" ref="J311:Q311">J106-J254</f>
        <v>126065723.71621764</v>
      </c>
      <c r="K311" s="908">
        <f t="shared" si="113"/>
        <v>19436088.049217906</v>
      </c>
      <c r="L311" s="908">
        <f t="shared" si="113"/>
        <v>59951285.945258796</v>
      </c>
      <c r="M311" s="908">
        <f t="shared" si="113"/>
        <v>841807.08166224998</v>
      </c>
      <c r="N311" s="908">
        <f t="shared" si="113"/>
        <v>17566246.13577392</v>
      </c>
      <c r="O311" s="908">
        <f>O106-O254</f>
        <v>600291.43352133885</v>
      </c>
      <c r="P311" s="908">
        <f t="shared" si="113"/>
        <v>1306788.2745118372</v>
      </c>
      <c r="Q311" s="908">
        <f t="shared" si="113"/>
        <v>263774.46657169715</v>
      </c>
      <c r="R311" s="908">
        <f>R106-R254</f>
        <v>69264.396175539092</v>
      </c>
      <c r="S311" s="641">
        <f>S106-S254</f>
        <v>161745.67108908034</v>
      </c>
      <c r="T311" s="449"/>
      <c r="U311" s="307">
        <f>SUM(I311:T311)</f>
        <v>226263015.16999999</v>
      </c>
      <c r="V311" s="67"/>
      <c r="W311" s="726">
        <f t="shared" si="103"/>
        <v>0</v>
      </c>
    </row>
    <row r="312" spans="1:23" ht="15.75">
      <c r="A312" s="47"/>
      <c r="B312" s="17">
        <f t="shared" si="99"/>
        <v>34</v>
      </c>
      <c r="C312" s="234" t="s">
        <v>578</v>
      </c>
      <c r="D312" s="286"/>
      <c r="E312" s="321"/>
      <c r="F312" s="322">
        <f>F118-F266</f>
        <v>0</v>
      </c>
      <c r="G312" s="321"/>
      <c r="H312" s="450"/>
      <c r="I312" s="451"/>
      <c r="J312" s="642">
        <f t="shared" si="114" ref="J312:Q312">J118-J266</f>
        <v>0</v>
      </c>
      <c r="K312" s="322">
        <f t="shared" si="114"/>
        <v>0</v>
      </c>
      <c r="L312" s="322">
        <f t="shared" si="114"/>
        <v>0</v>
      </c>
      <c r="M312" s="322">
        <f t="shared" si="114"/>
        <v>0</v>
      </c>
      <c r="N312" s="322">
        <f t="shared" si="114"/>
        <v>0</v>
      </c>
      <c r="O312" s="322">
        <f>O118-O266</f>
        <v>0</v>
      </c>
      <c r="P312" s="322">
        <f t="shared" si="114"/>
        <v>0</v>
      </c>
      <c r="Q312" s="322">
        <f t="shared" si="114"/>
        <v>0</v>
      </c>
      <c r="R312" s="322">
        <f>R118-R266</f>
        <v>0</v>
      </c>
      <c r="S312" s="323">
        <f>S118-S266</f>
        <v>0</v>
      </c>
      <c r="T312" s="451"/>
      <c r="U312" s="323">
        <f>SUM(I312:T312)</f>
        <v>0</v>
      </c>
      <c r="V312" s="67"/>
      <c r="W312" s="726">
        <f t="shared" si="103"/>
        <v>0</v>
      </c>
    </row>
    <row r="313" spans="1:23" ht="15.75">
      <c r="A313" s="47"/>
      <c r="B313" s="17">
        <f t="shared" si="99"/>
        <v>35</v>
      </c>
      <c r="C313" s="234" t="s">
        <v>579</v>
      </c>
      <c r="D313" s="286"/>
      <c r="E313" s="321"/>
      <c r="F313" s="322">
        <f>F154-F300</f>
        <v>0</v>
      </c>
      <c r="G313" s="321"/>
      <c r="H313" s="450"/>
      <c r="I313" s="451"/>
      <c r="J313" s="642">
        <f t="shared" si="115" ref="J313:Q313">J154-J300</f>
        <v>0</v>
      </c>
      <c r="K313" s="322">
        <f t="shared" si="115"/>
        <v>0</v>
      </c>
      <c r="L313" s="322">
        <f t="shared" si="115"/>
        <v>0</v>
      </c>
      <c r="M313" s="322">
        <f t="shared" si="115"/>
        <v>0</v>
      </c>
      <c r="N313" s="322">
        <f t="shared" si="115"/>
        <v>0</v>
      </c>
      <c r="O313" s="322">
        <f>O154-O300</f>
        <v>0</v>
      </c>
      <c r="P313" s="322">
        <f t="shared" si="115"/>
        <v>0</v>
      </c>
      <c r="Q313" s="322">
        <f t="shared" si="115"/>
        <v>0</v>
      </c>
      <c r="R313" s="322">
        <f>R154-R300</f>
        <v>0</v>
      </c>
      <c r="S313" s="323">
        <f>S154-S300</f>
        <v>0</v>
      </c>
      <c r="T313" s="451"/>
      <c r="U313" s="325">
        <f>SUM(I313:T313)</f>
        <v>0</v>
      </c>
      <c r="V313" s="67"/>
      <c r="W313" s="726">
        <f t="shared" si="103"/>
        <v>0</v>
      </c>
    </row>
    <row r="314" spans="1:23" ht="15.75">
      <c r="A314" s="47"/>
      <c r="B314" s="17">
        <f t="shared" si="99"/>
        <v>36</v>
      </c>
      <c r="C314" s="234" t="s">
        <v>580</v>
      </c>
      <c r="D314" s="286"/>
      <c r="E314" s="321"/>
      <c r="F314" s="322">
        <f>SUM(F312:F313)</f>
        <v>0</v>
      </c>
      <c r="G314" s="321"/>
      <c r="H314" s="450"/>
      <c r="I314" s="451"/>
      <c r="J314" s="642">
        <f t="shared" si="116" ref="J314:Q314">SUM(J312:J313)</f>
        <v>0</v>
      </c>
      <c r="K314" s="322">
        <f t="shared" si="116"/>
        <v>0</v>
      </c>
      <c r="L314" s="322">
        <f t="shared" si="116"/>
        <v>0</v>
      </c>
      <c r="M314" s="322">
        <f t="shared" si="116"/>
        <v>0</v>
      </c>
      <c r="N314" s="322">
        <f t="shared" si="116"/>
        <v>0</v>
      </c>
      <c r="O314" s="322">
        <f>SUM(O312:O313)</f>
        <v>0</v>
      </c>
      <c r="P314" s="322">
        <f t="shared" si="116"/>
        <v>0</v>
      </c>
      <c r="Q314" s="322">
        <f t="shared" si="116"/>
        <v>0</v>
      </c>
      <c r="R314" s="322">
        <f>SUM(R312:R313)</f>
        <v>0</v>
      </c>
      <c r="S314" s="323">
        <f>SUM(S312:S313)</f>
        <v>0</v>
      </c>
      <c r="T314" s="451"/>
      <c r="U314" s="325">
        <f>SUM(I314:T314)</f>
        <v>0</v>
      </c>
      <c r="V314" s="67"/>
      <c r="W314" s="726">
        <f t="shared" si="103"/>
        <v>0</v>
      </c>
    </row>
    <row r="315" spans="1:23" ht="16.5" thickBot="1">
      <c r="A315" s="47"/>
      <c r="B315" s="17">
        <f t="shared" si="99"/>
        <v>37</v>
      </c>
      <c r="C315" s="326" t="s">
        <v>581</v>
      </c>
      <c r="D315" s="310"/>
      <c r="E315" s="327"/>
      <c r="F315" s="312">
        <f>SUM(F311:F313)</f>
        <v>226263015.17000002</v>
      </c>
      <c r="G315" s="327"/>
      <c r="H315" s="452"/>
      <c r="I315" s="453"/>
      <c r="J315" s="442">
        <f t="shared" si="117" ref="J315:Q315">SUM(J311:J313)</f>
        <v>126065723.71621764</v>
      </c>
      <c r="K315" s="312">
        <f t="shared" si="117"/>
        <v>19436088.049217906</v>
      </c>
      <c r="L315" s="312">
        <f t="shared" si="117"/>
        <v>59951285.945258796</v>
      </c>
      <c r="M315" s="312">
        <f t="shared" si="117"/>
        <v>841807.08166224998</v>
      </c>
      <c r="N315" s="312">
        <f t="shared" si="117"/>
        <v>17566246.13577392</v>
      </c>
      <c r="O315" s="312">
        <f>SUM(O311:O313)</f>
        <v>600291.43352133885</v>
      </c>
      <c r="P315" s="312">
        <f t="shared" si="117"/>
        <v>1306788.2745118372</v>
      </c>
      <c r="Q315" s="312">
        <f t="shared" si="117"/>
        <v>263774.46657169715</v>
      </c>
      <c r="R315" s="312">
        <f>SUM(R311:R313)</f>
        <v>69264.396175539092</v>
      </c>
      <c r="S315" s="443">
        <f>SUM(S311:S313)</f>
        <v>161745.67108908034</v>
      </c>
      <c r="T315" s="453"/>
      <c r="U315" s="313">
        <f>SUM(I315:T315)</f>
        <v>226263015.16999999</v>
      </c>
      <c r="V315" s="67"/>
      <c r="W315" s="726">
        <f t="shared" si="103"/>
        <v>0</v>
      </c>
    </row>
    <row r="316" spans="1:23" ht="15">
      <c r="A316" s="4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W316" s="167"/>
    </row>
    <row r="317" spans="1:23" ht="15">
      <c r="A317" s="47"/>
      <c r="B317" s="17"/>
      <c r="C317" s="1"/>
      <c r="D317" s="1"/>
      <c r="E317" s="17"/>
      <c r="F317" s="18"/>
      <c r="G317" s="17"/>
      <c r="H317" s="134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34"/>
      <c r="V317" s="134">
        <f>$H$2</f>
        <v>0</v>
      </c>
      <c r="W317" s="167"/>
    </row>
    <row r="318" spans="1:23" ht="15.75" thickBot="1">
      <c r="A318" s="47"/>
      <c r="B318" s="17"/>
      <c r="C318" s="1"/>
      <c r="D318" s="1"/>
      <c r="E318" s="17"/>
      <c r="F318" s="1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"/>
      <c r="V318" s="67"/>
      <c r="W318" s="167"/>
    </row>
    <row r="319" spans="1:23" ht="15.75">
      <c r="A319" s="47"/>
      <c r="B319" s="920" t="str">
        <f>+$B$4</f>
        <v>2022 RATE CASE</v>
      </c>
      <c r="C319" s="935"/>
      <c r="D319" s="620"/>
      <c r="F319" s="12"/>
      <c r="U319" s="134"/>
      <c r="W319" s="167"/>
    </row>
    <row r="320" spans="1:23" ht="15.75">
      <c r="A320" s="47"/>
      <c r="B320" s="917" t="str">
        <f>+$B$5</f>
        <v>ONCOR ELECTRIC DELIVERY COMPANY LLC</v>
      </c>
      <c r="C320" s="8"/>
      <c r="D320" s="621"/>
      <c r="F320" s="12"/>
      <c r="U320" s="134"/>
      <c r="V320" s="67"/>
      <c r="W320" s="167"/>
    </row>
    <row r="321" spans="1:23" ht="15.75">
      <c r="A321" s="47"/>
      <c r="B321" s="917" t="str">
        <f>+$B$6</f>
        <v>II-I-1-TBILLTDCS:  CLASS REVENUE REQUIREMENT</v>
      </c>
      <c r="C321" s="85"/>
      <c r="D321" s="621"/>
      <c r="F321" s="12"/>
      <c r="U321" s="12"/>
      <c r="V321" s="67"/>
      <c r="W321" s="167"/>
    </row>
    <row r="322" spans="1:23" ht="15.75">
      <c r="A322" s="47"/>
      <c r="B322" s="406" t="str">
        <f>+$B$7</f>
        <v>TEST YEAR ENDING 12/31/2021</v>
      </c>
      <c r="C322" s="85"/>
      <c r="D322" s="621"/>
      <c r="F322" s="12"/>
      <c r="U322" s="12"/>
      <c r="V322" s="67"/>
      <c r="W322" s="167"/>
    </row>
    <row r="323" spans="1:23" ht="15.75">
      <c r="A323" s="47"/>
      <c r="B323" s="406" t="str">
        <f>+$B$8</f>
        <v>SPONSOR:  MATTHEW A. TROXLE</v>
      </c>
      <c r="C323" s="85"/>
      <c r="D323" s="621"/>
      <c r="F323" s="12"/>
      <c r="U323" s="12"/>
      <c r="V323" s="67"/>
      <c r="W323" s="167"/>
    </row>
    <row r="324" spans="1:23" ht="16.5" thickBot="1">
      <c r="A324" s="47"/>
      <c r="B324" s="410"/>
      <c r="C324" s="934"/>
      <c r="D324" s="622"/>
      <c r="F324" s="12"/>
      <c r="U324" s="12"/>
      <c r="V324" s="67"/>
      <c r="W324" s="167"/>
    </row>
    <row r="325" spans="1:23" ht="15.75" thickBot="1">
      <c r="A325" s="47"/>
      <c r="B325" s="13"/>
      <c r="C325" s="14"/>
      <c r="D325" s="14"/>
      <c r="E325" s="14"/>
      <c r="F325" s="13"/>
      <c r="G325" s="14"/>
      <c r="H325" s="14"/>
      <c r="I325" s="14"/>
      <c r="J325" s="238"/>
      <c r="K325" s="238"/>
      <c r="L325" s="14"/>
      <c r="M325" s="238"/>
      <c r="N325" s="238"/>
      <c r="O325" s="238"/>
      <c r="P325" s="238"/>
      <c r="Q325" s="14"/>
      <c r="R325" s="393" t="str">
        <f>R$10</f>
        <v xml:space="preserve"> </v>
      </c>
      <c r="S325" s="394"/>
      <c r="T325" s="238"/>
      <c r="U325" s="13"/>
      <c r="V325" s="67"/>
      <c r="W325" s="167"/>
    </row>
    <row r="326" spans="1:23" ht="15.75">
      <c r="A326" s="47"/>
      <c r="B326" s="15" t="s">
        <v>2</v>
      </c>
      <c r="C326" s="15" t="s">
        <v>370</v>
      </c>
      <c r="D326" s="287" t="s">
        <v>582</v>
      </c>
      <c r="E326" s="15" t="s">
        <v>371</v>
      </c>
      <c r="F326" s="287" t="str">
        <f>F$11</f>
        <v>TBILLTDCS</v>
      </c>
      <c r="G326" s="242" t="s">
        <v>741</v>
      </c>
      <c r="H326" s="242" t="s">
        <v>376</v>
      </c>
      <c r="I326" s="15"/>
      <c r="J326" s="242" t="s">
        <v>730</v>
      </c>
      <c r="K326" s="242" t="s">
        <v>409</v>
      </c>
      <c r="L326" s="15" t="s">
        <v>409</v>
      </c>
      <c r="M326" s="242" t="s">
        <v>410</v>
      </c>
      <c r="N326" s="242" t="s">
        <v>410</v>
      </c>
      <c r="O326" s="242" t="s">
        <v>410</v>
      </c>
      <c r="P326" s="242" t="s">
        <v>411</v>
      </c>
      <c r="Q326" s="15" t="s">
        <v>412</v>
      </c>
      <c r="R326" s="396" t="str">
        <f>R$11</f>
        <v>Wholesale</v>
      </c>
      <c r="S326" s="13" t="str">
        <f>S$11</f>
        <v>Wholesale</v>
      </c>
      <c r="T326" s="242"/>
      <c r="U326" s="15" t="s">
        <v>10</v>
      </c>
      <c r="V326" s="67"/>
      <c r="W326" s="167"/>
    </row>
    <row r="327" spans="1:23" ht="15">
      <c r="A327" s="47"/>
      <c r="B327" s="15"/>
      <c r="C327" s="15"/>
      <c r="D327" s="15"/>
      <c r="E327" s="15"/>
      <c r="F327" s="15"/>
      <c r="G327" s="242" t="s">
        <v>742</v>
      </c>
      <c r="H327" s="242" t="s">
        <v>743</v>
      </c>
      <c r="I327" s="15"/>
      <c r="J327" s="242"/>
      <c r="K327" s="242" t="s">
        <v>731</v>
      </c>
      <c r="L327" s="15" t="s">
        <v>732</v>
      </c>
      <c r="M327" s="242" t="s">
        <v>731</v>
      </c>
      <c r="N327" s="242" t="s">
        <v>732</v>
      </c>
      <c r="O327" s="242" t="s">
        <v>414</v>
      </c>
      <c r="P327" s="242"/>
      <c r="Q327" s="15"/>
      <c r="R327" s="235" t="str">
        <f>R$12</f>
        <v>XFMR</v>
      </c>
      <c r="S327" s="15" t="str">
        <f>S$12</f>
        <v>DLS</v>
      </c>
      <c r="T327" s="242"/>
      <c r="U327" s="15"/>
      <c r="V327" s="67"/>
      <c r="W327" s="167"/>
    </row>
    <row r="328" spans="1:23" ht="15.75" thickBot="1">
      <c r="A328" s="47"/>
      <c r="B328" s="16"/>
      <c r="C328" s="16"/>
      <c r="D328" s="16"/>
      <c r="E328" s="16"/>
      <c r="F328" s="16" t="s">
        <v>13</v>
      </c>
      <c r="G328" s="16" t="s">
        <v>14</v>
      </c>
      <c r="H328" s="16" t="s">
        <v>15</v>
      </c>
      <c r="I328" s="16"/>
      <c r="J328" s="243" t="str">
        <f t="shared" si="118" ref="J328:Q328">J$13</f>
        <v>(d)</v>
      </c>
      <c r="K328" s="243" t="str">
        <f t="shared" si="118"/>
        <v>(e)</v>
      </c>
      <c r="L328" s="16" t="str">
        <f t="shared" si="118"/>
        <v>(f)</v>
      </c>
      <c r="M328" s="243" t="str">
        <f t="shared" si="118"/>
        <v>(g)</v>
      </c>
      <c r="N328" s="243" t="str">
        <f t="shared" si="118"/>
        <v>(h)</v>
      </c>
      <c r="O328" s="243" t="str">
        <f>O$13</f>
        <v>(i)</v>
      </c>
      <c r="P328" s="243" t="str">
        <f t="shared" si="118"/>
        <v>(j)</v>
      </c>
      <c r="Q328" s="243" t="str">
        <f t="shared" si="118"/>
        <v>(k)</v>
      </c>
      <c r="R328" s="243" t="str">
        <f>R$13</f>
        <v>(l)</v>
      </c>
      <c r="S328" s="16" t="str">
        <f>S$13</f>
        <v>(m)</v>
      </c>
      <c r="T328" s="16"/>
      <c r="U328" s="16" t="s">
        <v>734</v>
      </c>
      <c r="V328" s="67"/>
      <c r="W328" s="167"/>
    </row>
    <row r="329" spans="1:23" ht="15">
      <c r="A329" s="47"/>
      <c r="B329" s="6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"/>
      <c r="V329" s="67"/>
      <c r="W329" s="167"/>
    </row>
    <row r="330" spans="1:23" ht="15">
      <c r="A330" s="47"/>
      <c r="B330" s="17"/>
      <c r="C330" s="1"/>
      <c r="D330" s="1"/>
      <c r="E330" s="17"/>
      <c r="F330" s="1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"/>
      <c r="V330" s="67"/>
      <c r="W330" s="167"/>
    </row>
    <row r="331" spans="1:23" ht="15.75">
      <c r="A331" s="47"/>
      <c r="B331" s="17">
        <f t="shared" si="119" ref="B331:B354">B330+1</f>
        <v>1</v>
      </c>
      <c r="C331" s="8" t="s">
        <v>301</v>
      </c>
      <c r="D331" s="1"/>
      <c r="E331" s="20" t="s">
        <v>36</v>
      </c>
      <c r="F331" s="18"/>
      <c r="G331" s="20"/>
      <c r="H331" s="20"/>
      <c r="I331" s="20"/>
      <c r="J331" s="1059"/>
      <c r="K331" s="1059"/>
      <c r="L331" s="1059"/>
      <c r="M331" s="1059"/>
      <c r="N331" s="1059"/>
      <c r="O331" s="1059"/>
      <c r="P331" s="1059"/>
      <c r="Q331" s="1059"/>
      <c r="R331" s="1059"/>
      <c r="S331" s="1059"/>
      <c r="T331" s="20"/>
      <c r="U331" s="1"/>
      <c r="V331" s="67"/>
      <c r="W331" s="167"/>
    </row>
    <row r="332" spans="1:23" ht="15.75">
      <c r="A332" s="47"/>
      <c r="B332" s="17">
        <f t="shared" si="119"/>
        <v>2</v>
      </c>
      <c r="C332" s="8" t="s">
        <v>583</v>
      </c>
      <c r="D332" s="8"/>
      <c r="E332" s="20"/>
      <c r="F332" s="8"/>
      <c r="G332" s="20"/>
      <c r="H332" s="20"/>
      <c r="I332" s="1010"/>
      <c r="J332" s="1059"/>
      <c r="K332" s="1059"/>
      <c r="L332" s="1059"/>
      <c r="M332" s="1059"/>
      <c r="N332" s="1059"/>
      <c r="O332" s="1059"/>
      <c r="P332" s="1059"/>
      <c r="Q332" s="1059"/>
      <c r="R332" s="1059"/>
      <c r="S332" s="1059"/>
      <c r="T332" s="1010"/>
      <c r="U332" s="8"/>
      <c r="V332" s="67"/>
      <c r="W332" s="167"/>
    </row>
    <row r="333" spans="1:23" ht="15">
      <c r="A333" s="47"/>
      <c r="B333" s="17">
        <f t="shared" si="119"/>
        <v>3</v>
      </c>
      <c r="C333" s="1" t="s">
        <v>91</v>
      </c>
      <c r="D333" s="1" t="s">
        <v>40</v>
      </c>
      <c r="E333" s="17"/>
      <c r="F333" s="118">
        <f>' WP II-I-1.4'!I333</f>
        <v>0</v>
      </c>
      <c r="G333" s="17">
        <v>87</v>
      </c>
      <c r="H333" s="47" t="str">
        <f t="shared" si="120" ref="H333:H341">VLOOKUP(G333,FactorTable,2)</f>
        <v>PAYROLL XAG</v>
      </c>
      <c r="I333" s="17"/>
      <c r="J333" s="434">
        <f t="shared" si="121" ref="J333:S341">$F333*HLOOKUP(J$1318,FactorTable,$G333+1)</f>
        <v>0</v>
      </c>
      <c r="K333" s="434">
        <f t="shared" si="121"/>
        <v>0</v>
      </c>
      <c r="L333" s="434">
        <f t="shared" si="121"/>
        <v>0</v>
      </c>
      <c r="M333" s="434">
        <f t="shared" si="121"/>
        <v>0</v>
      </c>
      <c r="N333" s="434">
        <f t="shared" si="121"/>
        <v>0</v>
      </c>
      <c r="O333" s="434">
        <f t="shared" si="121"/>
        <v>0</v>
      </c>
      <c r="P333" s="434">
        <f t="shared" si="121"/>
        <v>0</v>
      </c>
      <c r="Q333" s="434">
        <f t="shared" si="121"/>
        <v>0</v>
      </c>
      <c r="R333" s="434">
        <f t="shared" si="121"/>
        <v>0</v>
      </c>
      <c r="S333" s="434">
        <f t="shared" si="121"/>
        <v>0</v>
      </c>
      <c r="T333" s="17"/>
      <c r="U333" s="118">
        <f t="shared" si="122" ref="U333:U342">SUM(I333:T333)</f>
        <v>0</v>
      </c>
      <c r="V333" s="67"/>
      <c r="W333" s="726">
        <f t="shared" si="123" ref="W333:W354">F333-U333</f>
        <v>0</v>
      </c>
    </row>
    <row r="334" spans="1:23" ht="15.75">
      <c r="A334" s="47"/>
      <c r="B334" s="17">
        <f t="shared" si="119"/>
        <v>4</v>
      </c>
      <c r="C334" s="1" t="s">
        <v>92</v>
      </c>
      <c r="D334" s="1" t="s">
        <v>42</v>
      </c>
      <c r="E334" s="20"/>
      <c r="F334" s="118">
        <f>' WP II-I-1.4'!I334</f>
        <v>2.0899999999999999</v>
      </c>
      <c r="G334" s="17">
        <v>87</v>
      </c>
      <c r="H334" s="47" t="str">
        <f t="shared" si="120"/>
        <v>PAYROLL XAG</v>
      </c>
      <c r="I334" s="1010"/>
      <c r="J334" s="434">
        <f t="shared" si="121"/>
        <v>1.1644738419530665</v>
      </c>
      <c r="K334" s="434">
        <f t="shared" si="121"/>
        <v>0.17953187794454611</v>
      </c>
      <c r="L334" s="434">
        <f t="shared" si="121"/>
        <v>0.55377228811102674</v>
      </c>
      <c r="M334" s="434">
        <f t="shared" si="121"/>
        <v>0.0077758037448242062</v>
      </c>
      <c r="N334" s="434">
        <f t="shared" si="121"/>
        <v>0.16226007770727915</v>
      </c>
      <c r="O334" s="434">
        <f t="shared" si="121"/>
        <v>0.0055449145991312912</v>
      </c>
      <c r="P334" s="434">
        <f t="shared" si="121"/>
        <v>0.012070852550416579</v>
      </c>
      <c r="Q334" s="434">
        <f t="shared" si="121"/>
        <v>0.0024364946905734586</v>
      </c>
      <c r="R334" s="434">
        <f t="shared" si="121"/>
        <v>0.00063979783836130291</v>
      </c>
      <c r="S334" s="434">
        <f t="shared" si="121"/>
        <v>0.001494050860774525</v>
      </c>
      <c r="T334" s="1010"/>
      <c r="U334" s="118">
        <f t="shared" si="122"/>
        <v>2.089999999999999</v>
      </c>
      <c r="V334" s="67"/>
      <c r="W334" s="726">
        <f t="shared" si="123"/>
        <v>0</v>
      </c>
    </row>
    <row r="335" spans="1:23" ht="15.75">
      <c r="A335" s="47"/>
      <c r="B335" s="17">
        <f t="shared" si="119"/>
        <v>5</v>
      </c>
      <c r="C335" s="1" t="s">
        <v>93</v>
      </c>
      <c r="D335" s="1" t="s">
        <v>44</v>
      </c>
      <c r="E335" s="20"/>
      <c r="F335" s="118">
        <f>' WP II-I-1.4'!I335</f>
        <v>1141161.6499999999</v>
      </c>
      <c r="G335" s="17">
        <v>87</v>
      </c>
      <c r="H335" s="47" t="str">
        <f t="shared" si="120"/>
        <v>PAYROLL XAG</v>
      </c>
      <c r="I335" s="1010"/>
      <c r="J335" s="434">
        <f t="shared" si="121"/>
        <v>635814.78031818196</v>
      </c>
      <c r="K335" s="434">
        <f t="shared" si="121"/>
        <v>98026.265101816665</v>
      </c>
      <c r="L335" s="434">
        <f t="shared" si="121"/>
        <v>302365.40575361467</v>
      </c>
      <c r="M335" s="434">
        <f t="shared" si="121"/>
        <v>4245.6693930716601</v>
      </c>
      <c r="N335" s="434">
        <f t="shared" si="121"/>
        <v>88595.683256252101</v>
      </c>
      <c r="O335" s="434">
        <f t="shared" si="121"/>
        <v>3027.5808100735658</v>
      </c>
      <c r="P335" s="434">
        <f t="shared" si="121"/>
        <v>6590.8105326986079</v>
      </c>
      <c r="Q335" s="434">
        <f t="shared" si="121"/>
        <v>1330.3513403402142</v>
      </c>
      <c r="R335" s="434">
        <f t="shared" si="121"/>
        <v>349.33624731618067</v>
      </c>
      <c r="S335" s="434">
        <f t="shared" si="121"/>
        <v>815.76724663415177</v>
      </c>
      <c r="T335" s="1010"/>
      <c r="U335" s="118">
        <f t="shared" si="122"/>
        <v>1141161.6499999999</v>
      </c>
      <c r="V335" s="67"/>
      <c r="W335" s="726">
        <f t="shared" si="123"/>
        <v>0</v>
      </c>
    </row>
    <row r="336" spans="1:23" ht="15.75">
      <c r="A336" s="47"/>
      <c r="B336" s="17">
        <f t="shared" si="119"/>
        <v>6</v>
      </c>
      <c r="C336" s="1" t="s">
        <v>94</v>
      </c>
      <c r="D336" s="1" t="s">
        <v>95</v>
      </c>
      <c r="E336" s="20"/>
      <c r="F336" s="118">
        <f>' WP II-I-1.4'!I336</f>
        <v>40970025.210000001</v>
      </c>
      <c r="G336" s="17">
        <v>87</v>
      </c>
      <c r="H336" s="47" t="str">
        <f t="shared" si="120"/>
        <v>PAYROLL XAG</v>
      </c>
      <c r="I336" s="1010"/>
      <c r="J336" s="434">
        <f t="shared" si="121"/>
        <v>22827044.335503679</v>
      </c>
      <c r="K336" s="434">
        <f t="shared" si="121"/>
        <v>3519342.3757831086</v>
      </c>
      <c r="L336" s="434">
        <f t="shared" si="121"/>
        <v>10855533.303592417</v>
      </c>
      <c r="M336" s="434">
        <f t="shared" si="121"/>
        <v>152428.17007342592</v>
      </c>
      <c r="N336" s="434">
        <f t="shared" si="121"/>
        <v>3180765.2986812377</v>
      </c>
      <c r="O336" s="434">
        <f t="shared" si="121"/>
        <v>108696.31144196462</v>
      </c>
      <c r="P336" s="434">
        <f t="shared" si="121"/>
        <v>236623.50875443063</v>
      </c>
      <c r="Q336" s="434">
        <f t="shared" si="121"/>
        <v>47762.320046328117</v>
      </c>
      <c r="R336" s="434">
        <f t="shared" si="121"/>
        <v>12541.882089457458</v>
      </c>
      <c r="S336" s="434">
        <f t="shared" si="121"/>
        <v>29287.704033949518</v>
      </c>
      <c r="T336" s="1010"/>
      <c r="U336" s="118">
        <f t="shared" si="122"/>
        <v>40970025.210000001</v>
      </c>
      <c r="V336" s="67"/>
      <c r="W336" s="726">
        <f t="shared" si="123"/>
        <v>0</v>
      </c>
    </row>
    <row r="337" spans="1:23" ht="15.75">
      <c r="A337" s="47"/>
      <c r="B337" s="17">
        <f t="shared" si="119"/>
        <v>7</v>
      </c>
      <c r="C337" s="1" t="s">
        <v>96</v>
      </c>
      <c r="D337" s="1" t="s">
        <v>98</v>
      </c>
      <c r="E337" s="20"/>
      <c r="F337" s="118">
        <f>' WP II-I-1.4'!I337</f>
        <v>0</v>
      </c>
      <c r="G337" s="17">
        <v>87</v>
      </c>
      <c r="H337" s="47" t="str">
        <f t="shared" si="120"/>
        <v>PAYROLL XAG</v>
      </c>
      <c r="I337" s="1010"/>
      <c r="J337" s="434">
        <f t="shared" si="121"/>
        <v>0</v>
      </c>
      <c r="K337" s="434">
        <f t="shared" si="121"/>
        <v>0</v>
      </c>
      <c r="L337" s="434">
        <f t="shared" si="121"/>
        <v>0</v>
      </c>
      <c r="M337" s="434">
        <f t="shared" si="121"/>
        <v>0</v>
      </c>
      <c r="N337" s="434">
        <f t="shared" si="121"/>
        <v>0</v>
      </c>
      <c r="O337" s="434">
        <f t="shared" si="121"/>
        <v>0</v>
      </c>
      <c r="P337" s="434">
        <f t="shared" si="121"/>
        <v>0</v>
      </c>
      <c r="Q337" s="434">
        <f t="shared" si="121"/>
        <v>0</v>
      </c>
      <c r="R337" s="434">
        <f t="shared" si="121"/>
        <v>0</v>
      </c>
      <c r="S337" s="434">
        <f t="shared" si="121"/>
        <v>0</v>
      </c>
      <c r="T337" s="1010"/>
      <c r="U337" s="118">
        <f t="shared" si="122"/>
        <v>0</v>
      </c>
      <c r="V337" s="67"/>
      <c r="W337" s="726">
        <f t="shared" si="123"/>
        <v>0</v>
      </c>
    </row>
    <row r="338" spans="1:23" ht="15.75">
      <c r="A338" s="47"/>
      <c r="B338" s="17">
        <f t="shared" si="119"/>
        <v>8</v>
      </c>
      <c r="C338" s="1" t="s">
        <v>99</v>
      </c>
      <c r="D338" s="1" t="s">
        <v>548</v>
      </c>
      <c r="E338" s="20"/>
      <c r="F338" s="118">
        <f>' WP II-I-1.4'!I338</f>
        <v>0</v>
      </c>
      <c r="G338" s="17">
        <v>87</v>
      </c>
      <c r="H338" s="47" t="str">
        <f t="shared" si="120"/>
        <v>PAYROLL XAG</v>
      </c>
      <c r="I338" s="1010"/>
      <c r="J338" s="434">
        <f t="shared" si="121"/>
        <v>0</v>
      </c>
      <c r="K338" s="434">
        <f t="shared" si="121"/>
        <v>0</v>
      </c>
      <c r="L338" s="434">
        <f t="shared" si="121"/>
        <v>0</v>
      </c>
      <c r="M338" s="434">
        <f t="shared" si="121"/>
        <v>0</v>
      </c>
      <c r="N338" s="434">
        <f t="shared" si="121"/>
        <v>0</v>
      </c>
      <c r="O338" s="434">
        <f t="shared" si="121"/>
        <v>0</v>
      </c>
      <c r="P338" s="434">
        <f t="shared" si="121"/>
        <v>0</v>
      </c>
      <c r="Q338" s="434">
        <f t="shared" si="121"/>
        <v>0</v>
      </c>
      <c r="R338" s="434">
        <f t="shared" si="121"/>
        <v>0</v>
      </c>
      <c r="S338" s="434">
        <f t="shared" si="121"/>
        <v>0</v>
      </c>
      <c r="T338" s="1010"/>
      <c r="U338" s="118">
        <f t="shared" si="122"/>
        <v>0</v>
      </c>
      <c r="V338" s="67"/>
      <c r="W338" s="726">
        <f t="shared" si="123"/>
        <v>0</v>
      </c>
    </row>
    <row r="339" spans="1:23" ht="15.75">
      <c r="A339" s="47"/>
      <c r="B339" s="17">
        <f t="shared" si="119"/>
        <v>9</v>
      </c>
      <c r="C339" s="1" t="s">
        <v>101</v>
      </c>
      <c r="D339" s="1" t="s">
        <v>549</v>
      </c>
      <c r="E339" s="20"/>
      <c r="F339" s="118">
        <f>' WP II-I-1.4'!I339</f>
        <v>0</v>
      </c>
      <c r="G339" s="17">
        <v>87</v>
      </c>
      <c r="H339" s="47" t="str">
        <f t="shared" si="120"/>
        <v>PAYROLL XAG</v>
      </c>
      <c r="I339" s="1010"/>
      <c r="J339" s="434">
        <f t="shared" si="121"/>
        <v>0</v>
      </c>
      <c r="K339" s="434">
        <f t="shared" si="121"/>
        <v>0</v>
      </c>
      <c r="L339" s="434">
        <f t="shared" si="121"/>
        <v>0</v>
      </c>
      <c r="M339" s="434">
        <f t="shared" si="121"/>
        <v>0</v>
      </c>
      <c r="N339" s="434">
        <f t="shared" si="121"/>
        <v>0</v>
      </c>
      <c r="O339" s="434">
        <f t="shared" si="121"/>
        <v>0</v>
      </c>
      <c r="P339" s="434">
        <f t="shared" si="121"/>
        <v>0</v>
      </c>
      <c r="Q339" s="434">
        <f t="shared" si="121"/>
        <v>0</v>
      </c>
      <c r="R339" s="434">
        <f t="shared" si="121"/>
        <v>0</v>
      </c>
      <c r="S339" s="434">
        <f t="shared" si="121"/>
        <v>0</v>
      </c>
      <c r="T339" s="1010"/>
      <c r="U339" s="118">
        <f t="shared" si="122"/>
        <v>0</v>
      </c>
      <c r="V339" s="67"/>
      <c r="W339" s="726">
        <f t="shared" si="123"/>
        <v>0</v>
      </c>
    </row>
    <row r="340" spans="1:23" ht="15.75">
      <c r="A340" s="47"/>
      <c r="B340" s="17">
        <f t="shared" si="119"/>
        <v>10</v>
      </c>
      <c r="C340" s="1" t="s">
        <v>103</v>
      </c>
      <c r="D340" s="1" t="s">
        <v>104</v>
      </c>
      <c r="E340" s="20"/>
      <c r="F340" s="118">
        <f>' WP II-I-1.4'!I340</f>
        <v>0</v>
      </c>
      <c r="G340" s="17">
        <v>87</v>
      </c>
      <c r="H340" s="47" t="str">
        <f t="shared" si="120"/>
        <v>PAYROLL XAG</v>
      </c>
      <c r="I340" s="1010"/>
      <c r="J340" s="434">
        <f t="shared" si="121"/>
        <v>0</v>
      </c>
      <c r="K340" s="434">
        <f t="shared" si="121"/>
        <v>0</v>
      </c>
      <c r="L340" s="434">
        <f t="shared" si="121"/>
        <v>0</v>
      </c>
      <c r="M340" s="434">
        <f t="shared" si="121"/>
        <v>0</v>
      </c>
      <c r="N340" s="434">
        <f t="shared" si="121"/>
        <v>0</v>
      </c>
      <c r="O340" s="434">
        <f t="shared" si="121"/>
        <v>0</v>
      </c>
      <c r="P340" s="434">
        <f t="shared" si="121"/>
        <v>0</v>
      </c>
      <c r="Q340" s="434">
        <f t="shared" si="121"/>
        <v>0</v>
      </c>
      <c r="R340" s="434">
        <f t="shared" si="121"/>
        <v>0</v>
      </c>
      <c r="S340" s="434">
        <f t="shared" si="121"/>
        <v>0</v>
      </c>
      <c r="T340" s="1010"/>
      <c r="U340" s="118">
        <f t="shared" si="122"/>
        <v>0</v>
      </c>
      <c r="V340" s="67"/>
      <c r="W340" s="726">
        <f t="shared" si="123"/>
        <v>0</v>
      </c>
    </row>
    <row r="341" spans="1:23" ht="15.75">
      <c r="A341" s="47"/>
      <c r="B341" s="17">
        <f t="shared" si="119"/>
        <v>11</v>
      </c>
      <c r="C341" s="1" t="s">
        <v>105</v>
      </c>
      <c r="D341" s="1" t="s">
        <v>106</v>
      </c>
      <c r="E341" s="20"/>
      <c r="F341" s="118">
        <f>' WP II-I-1.4'!I341</f>
        <v>0</v>
      </c>
      <c r="G341" s="17">
        <v>87</v>
      </c>
      <c r="H341" s="47" t="str">
        <f t="shared" si="120"/>
        <v>PAYROLL XAG</v>
      </c>
      <c r="I341" s="1010"/>
      <c r="J341" s="435">
        <f t="shared" si="121"/>
        <v>0</v>
      </c>
      <c r="K341" s="435">
        <f t="shared" si="121"/>
        <v>0</v>
      </c>
      <c r="L341" s="435">
        <f t="shared" si="121"/>
        <v>0</v>
      </c>
      <c r="M341" s="435">
        <f t="shared" si="121"/>
        <v>0</v>
      </c>
      <c r="N341" s="435">
        <f t="shared" si="121"/>
        <v>0</v>
      </c>
      <c r="O341" s="435">
        <f t="shared" si="121"/>
        <v>0</v>
      </c>
      <c r="P341" s="435">
        <f t="shared" si="121"/>
        <v>0</v>
      </c>
      <c r="Q341" s="435">
        <f t="shared" si="121"/>
        <v>0</v>
      </c>
      <c r="R341" s="435">
        <f t="shared" si="121"/>
        <v>0</v>
      </c>
      <c r="S341" s="435">
        <f t="shared" si="121"/>
        <v>0</v>
      </c>
      <c r="T341" s="1010"/>
      <c r="U341" s="118">
        <f t="shared" si="122"/>
        <v>0</v>
      </c>
      <c r="V341" s="67"/>
      <c r="W341" s="726">
        <f t="shared" si="123"/>
        <v>0</v>
      </c>
    </row>
    <row r="342" spans="1:23" ht="15.75">
      <c r="A342" s="47"/>
      <c r="B342" s="17">
        <f t="shared" si="119"/>
        <v>12</v>
      </c>
      <c r="C342" s="8"/>
      <c r="D342" s="297" t="s">
        <v>491</v>
      </c>
      <c r="E342" s="20"/>
      <c r="F342" s="298">
        <f>SUM(F333:F341)</f>
        <v>42111188.950000003</v>
      </c>
      <c r="G342" s="20"/>
      <c r="H342" s="20"/>
      <c r="I342" s="1010"/>
      <c r="J342" s="907">
        <f t="shared" si="124" ref="J342:Q342">SUM(J333:J341)</f>
        <v>23462860.280295704</v>
      </c>
      <c r="K342" s="907">
        <f t="shared" si="124"/>
        <v>3617368.8204168035</v>
      </c>
      <c r="L342" s="907">
        <f t="shared" si="124"/>
        <v>11157899.263118319</v>
      </c>
      <c r="M342" s="907">
        <f t="shared" si="124"/>
        <v>156673.84724230133</v>
      </c>
      <c r="N342" s="907">
        <f t="shared" si="124"/>
        <v>3269361.1441975674</v>
      </c>
      <c r="O342" s="907">
        <f>SUM(O333:O341)</f>
        <v>111723.89779695278</v>
      </c>
      <c r="P342" s="907">
        <f t="shared" si="124"/>
        <v>243214.33135798178</v>
      </c>
      <c r="Q342" s="907">
        <f t="shared" si="124"/>
        <v>49092.673823163022</v>
      </c>
      <c r="R342" s="907">
        <f>SUM(R333:R341)</f>
        <v>12891.218976571478</v>
      </c>
      <c r="S342" s="907">
        <f>SUM(S333:S341)</f>
        <v>30103.472774634531</v>
      </c>
      <c r="T342" s="20"/>
      <c r="U342" s="299">
        <f t="shared" si="122"/>
        <v>42111188.949999996</v>
      </c>
      <c r="V342" s="67"/>
      <c r="W342" s="726">
        <f t="shared" si="123"/>
        <v>0</v>
      </c>
    </row>
    <row r="343" spans="1:23" ht="15.75">
      <c r="A343" s="47"/>
      <c r="B343" s="17">
        <f t="shared" si="119"/>
        <v>13</v>
      </c>
      <c r="C343" s="1"/>
      <c r="D343" s="297"/>
      <c r="E343" s="20"/>
      <c r="F343" s="22"/>
      <c r="G343" s="20"/>
      <c r="H343" s="20"/>
      <c r="I343" s="1010"/>
      <c r="J343" s="1059"/>
      <c r="K343" s="1059"/>
      <c r="L343" s="1059"/>
      <c r="M343" s="1059"/>
      <c r="N343" s="1059"/>
      <c r="O343" s="1059"/>
      <c r="P343" s="1059"/>
      <c r="Q343" s="1059"/>
      <c r="R343" s="1059"/>
      <c r="S343" s="1059"/>
      <c r="T343" s="20"/>
      <c r="U343" s="19"/>
      <c r="V343" s="67"/>
      <c r="W343" s="726">
        <f t="shared" si="123"/>
        <v>0</v>
      </c>
    </row>
    <row r="344" spans="1:23" ht="15.75">
      <c r="A344" s="47"/>
      <c r="B344" s="17">
        <f t="shared" si="119"/>
        <v>14</v>
      </c>
      <c r="C344" s="1" t="s">
        <v>107</v>
      </c>
      <c r="D344" s="1" t="s">
        <v>108</v>
      </c>
      <c r="E344" s="20"/>
      <c r="F344" s="118">
        <f>' WP II-I-1.4'!I344</f>
        <v>274004.38</v>
      </c>
      <c r="G344" s="17">
        <v>87</v>
      </c>
      <c r="H344" s="47" t="str">
        <f>VLOOKUP(G344,FactorTable,2)</f>
        <v>PAYROLL XAG</v>
      </c>
      <c r="I344" s="1010"/>
      <c r="J344" s="434">
        <f t="shared" si="125" ref="J344:S346">$F344*HLOOKUP(J$1318,FactorTable,$G344+1)</f>
        <v>152665.51822515213</v>
      </c>
      <c r="K344" s="434">
        <f t="shared" si="125"/>
        <v>23537.091342789969</v>
      </c>
      <c r="L344" s="434">
        <f t="shared" si="125"/>
        <v>72600.972471312576</v>
      </c>
      <c r="M344" s="434">
        <f t="shared" si="125"/>
        <v>1019.427887130256</v>
      </c>
      <c r="N344" s="434">
        <f t="shared" si="125"/>
        <v>21272.713871260694</v>
      </c>
      <c r="O344" s="434">
        <f t="shared" si="125"/>
        <v>726.95257745833396</v>
      </c>
      <c r="P344" s="434">
        <f t="shared" si="125"/>
        <v>1582.5198416977576</v>
      </c>
      <c r="Q344" s="434">
        <f t="shared" si="125"/>
        <v>319.43072586788156</v>
      </c>
      <c r="R344" s="434">
        <f t="shared" si="125"/>
        <v>83.879143552884699</v>
      </c>
      <c r="S344" s="434">
        <f t="shared" si="125"/>
        <v>195.8739137775072</v>
      </c>
      <c r="T344" s="1010"/>
      <c r="U344" s="118">
        <f>SUM(I344:T344)</f>
        <v>274004.38</v>
      </c>
      <c r="V344" s="67"/>
      <c r="W344" s="726">
        <f t="shared" si="123"/>
        <v>0</v>
      </c>
    </row>
    <row r="345" spans="1:23" ht="15.75">
      <c r="A345" s="47"/>
      <c r="B345" s="17">
        <f t="shared" si="119"/>
        <v>15</v>
      </c>
      <c r="C345" s="1" t="s">
        <v>110</v>
      </c>
      <c r="D345" s="1" t="s">
        <v>550</v>
      </c>
      <c r="E345" s="20"/>
      <c r="F345" s="118">
        <f>' WP II-I-1.4'!I345</f>
        <v>0</v>
      </c>
      <c r="G345" s="17">
        <v>87</v>
      </c>
      <c r="H345" s="47" t="str">
        <f>VLOOKUP(G345,FactorTable,2)</f>
        <v>PAYROLL XAG</v>
      </c>
      <c r="I345" s="1010"/>
      <c r="J345" s="434">
        <f t="shared" si="125"/>
        <v>0</v>
      </c>
      <c r="K345" s="434">
        <f t="shared" si="125"/>
        <v>0</v>
      </c>
      <c r="L345" s="434">
        <f t="shared" si="125"/>
        <v>0</v>
      </c>
      <c r="M345" s="434">
        <f t="shared" si="125"/>
        <v>0</v>
      </c>
      <c r="N345" s="434">
        <f t="shared" si="125"/>
        <v>0</v>
      </c>
      <c r="O345" s="434">
        <f t="shared" si="125"/>
        <v>0</v>
      </c>
      <c r="P345" s="434">
        <f t="shared" si="125"/>
        <v>0</v>
      </c>
      <c r="Q345" s="434">
        <f t="shared" si="125"/>
        <v>0</v>
      </c>
      <c r="R345" s="434">
        <f t="shared" si="125"/>
        <v>0</v>
      </c>
      <c r="S345" s="434">
        <f t="shared" si="125"/>
        <v>0</v>
      </c>
      <c r="T345" s="1010"/>
      <c r="U345" s="118">
        <f>SUM(I345:T345)</f>
        <v>0</v>
      </c>
      <c r="V345" s="67"/>
      <c r="W345" s="726">
        <f t="shared" si="123"/>
        <v>0</v>
      </c>
    </row>
    <row r="346" spans="1:23" ht="15.75">
      <c r="A346" s="47"/>
      <c r="B346" s="17">
        <f t="shared" si="119"/>
        <v>16</v>
      </c>
      <c r="C346" s="1" t="s">
        <v>112</v>
      </c>
      <c r="D346" s="1" t="s">
        <v>584</v>
      </c>
      <c r="E346" s="20"/>
      <c r="F346" s="118">
        <f>' WP II-I-1.4'!I346</f>
        <v>0</v>
      </c>
      <c r="G346" s="17">
        <v>87</v>
      </c>
      <c r="H346" s="47" t="str">
        <f>VLOOKUP(G346,FactorTable,2)</f>
        <v>PAYROLL XAG</v>
      </c>
      <c r="I346" s="1010"/>
      <c r="J346" s="435">
        <f t="shared" si="125"/>
        <v>0</v>
      </c>
      <c r="K346" s="435">
        <f t="shared" si="125"/>
        <v>0</v>
      </c>
      <c r="L346" s="435">
        <f t="shared" si="125"/>
        <v>0</v>
      </c>
      <c r="M346" s="435">
        <f t="shared" si="125"/>
        <v>0</v>
      </c>
      <c r="N346" s="435">
        <f t="shared" si="125"/>
        <v>0</v>
      </c>
      <c r="O346" s="435">
        <f t="shared" si="125"/>
        <v>0</v>
      </c>
      <c r="P346" s="435">
        <f t="shared" si="125"/>
        <v>0</v>
      </c>
      <c r="Q346" s="435">
        <f t="shared" si="125"/>
        <v>0</v>
      </c>
      <c r="R346" s="435">
        <f t="shared" si="125"/>
        <v>0</v>
      </c>
      <c r="S346" s="435">
        <f t="shared" si="125"/>
        <v>0</v>
      </c>
      <c r="T346" s="1010"/>
      <c r="U346" s="118">
        <f>SUM(I346:T346)</f>
        <v>0</v>
      </c>
      <c r="V346" s="67"/>
      <c r="W346" s="726">
        <f t="shared" si="123"/>
        <v>0</v>
      </c>
    </row>
    <row r="347" spans="1:23" ht="15.75">
      <c r="A347" s="47"/>
      <c r="B347" s="17">
        <f t="shared" si="119"/>
        <v>17</v>
      </c>
      <c r="C347" s="8"/>
      <c r="D347" s="297" t="s">
        <v>491</v>
      </c>
      <c r="E347" s="20"/>
      <c r="F347" s="22">
        <f>SUM(F344:F346)</f>
        <v>274004.38</v>
      </c>
      <c r="G347" s="20"/>
      <c r="H347" s="20"/>
      <c r="I347" s="1010"/>
      <c r="J347" s="896">
        <f t="shared" si="126" ref="J347:Q347">SUM(J344:J346)</f>
        <v>152665.51822515213</v>
      </c>
      <c r="K347" s="896">
        <f t="shared" si="126"/>
        <v>23537.091342789969</v>
      </c>
      <c r="L347" s="896">
        <f t="shared" si="126"/>
        <v>72600.972471312576</v>
      </c>
      <c r="M347" s="896">
        <f t="shared" si="126"/>
        <v>1019.427887130256</v>
      </c>
      <c r="N347" s="896">
        <f t="shared" si="126"/>
        <v>21272.713871260694</v>
      </c>
      <c r="O347" s="896">
        <f>SUM(O344:O346)</f>
        <v>726.95257745833396</v>
      </c>
      <c r="P347" s="896">
        <f t="shared" si="126"/>
        <v>1582.5198416977576</v>
      </c>
      <c r="Q347" s="896">
        <f t="shared" si="126"/>
        <v>319.43072586788156</v>
      </c>
      <c r="R347" s="896">
        <f>SUM(R344:R346)</f>
        <v>83.879143552884699</v>
      </c>
      <c r="S347" s="896">
        <f>SUM(S344:S346)</f>
        <v>195.8739137775072</v>
      </c>
      <c r="T347" s="20"/>
      <c r="U347" s="299">
        <f>SUM(I347:T347)</f>
        <v>274004.38</v>
      </c>
      <c r="V347" s="67"/>
      <c r="W347" s="726">
        <f t="shared" si="123"/>
        <v>0</v>
      </c>
    </row>
    <row r="348" spans="1:23" ht="15.75" thickBot="1">
      <c r="A348" s="47"/>
      <c r="B348" s="17">
        <f t="shared" si="119"/>
        <v>18</v>
      </c>
      <c r="C348" s="1"/>
      <c r="D348" s="1"/>
      <c r="E348" s="17"/>
      <c r="F348" s="18"/>
      <c r="G348" s="17"/>
      <c r="H348" s="17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7"/>
      <c r="U348" s="1"/>
      <c r="V348" s="67"/>
      <c r="W348" s="726">
        <f t="shared" si="123"/>
        <v>0</v>
      </c>
    </row>
    <row r="349" spans="1:23" ht="15.75">
      <c r="A349" s="47"/>
      <c r="B349" s="17">
        <f t="shared" si="119"/>
        <v>19</v>
      </c>
      <c r="C349" s="319" t="s">
        <v>585</v>
      </c>
      <c r="D349" s="304"/>
      <c r="E349" s="305"/>
      <c r="F349" s="328">
        <f>+F347+F342</f>
        <v>42385193.330000006</v>
      </c>
      <c r="G349" s="305"/>
      <c r="H349" s="437"/>
      <c r="I349" s="438"/>
      <c r="J349" s="454">
        <f t="shared" si="127" ref="J349:Q349">+J347+J342</f>
        <v>23615525.798520856</v>
      </c>
      <c r="K349" s="328">
        <f t="shared" si="127"/>
        <v>3640905.9117595935</v>
      </c>
      <c r="L349" s="328">
        <f t="shared" si="127"/>
        <v>11230500.235589631</v>
      </c>
      <c r="M349" s="328">
        <f t="shared" si="127"/>
        <v>157693.2751294316</v>
      </c>
      <c r="N349" s="328">
        <f t="shared" si="127"/>
        <v>3290633.858068828</v>
      </c>
      <c r="O349" s="328">
        <f>+O347+O342</f>
        <v>112450.85037441111</v>
      </c>
      <c r="P349" s="328">
        <f t="shared" si="127"/>
        <v>244796.85119967954</v>
      </c>
      <c r="Q349" s="328">
        <f t="shared" si="127"/>
        <v>49412.104549030904</v>
      </c>
      <c r="R349" s="328">
        <f>+R347+R342</f>
        <v>12975.098120124363</v>
      </c>
      <c r="S349" s="307">
        <f>+S347+S342</f>
        <v>30299.346688412039</v>
      </c>
      <c r="T349" s="438"/>
      <c r="U349" s="307">
        <f>SUM(I349:T349)</f>
        <v>42385193.329999991</v>
      </c>
      <c r="V349" s="67"/>
      <c r="W349" s="726">
        <f t="shared" si="123"/>
        <v>0</v>
      </c>
    </row>
    <row r="350" spans="1:23" ht="16.5" thickBot="1">
      <c r="A350" s="47"/>
      <c r="B350" s="17">
        <f t="shared" si="119"/>
        <v>20</v>
      </c>
      <c r="C350" s="326" t="s">
        <v>586</v>
      </c>
      <c r="D350" s="310"/>
      <c r="E350" s="327"/>
      <c r="F350" s="312">
        <f>+F214-F349</f>
        <v>59270457.04999999</v>
      </c>
      <c r="G350" s="327"/>
      <c r="H350" s="452"/>
      <c r="I350" s="453"/>
      <c r="J350" s="442">
        <f t="shared" si="128" ref="J350:Q350">+J214-J349</f>
        <v>33023395.614989333</v>
      </c>
      <c r="K350" s="312">
        <f t="shared" si="128"/>
        <v>5091357.1582861533</v>
      </c>
      <c r="L350" s="312">
        <f t="shared" si="128"/>
        <v>15704467.281322889</v>
      </c>
      <c r="M350" s="312">
        <f t="shared" si="128"/>
        <v>220514.56549609205</v>
      </c>
      <c r="N350" s="312">
        <f t="shared" si="128"/>
        <v>4601544.9601334706</v>
      </c>
      <c r="O350" s="312">
        <f>+O214-O349</f>
        <v>157248.62325058813</v>
      </c>
      <c r="P350" s="312">
        <f t="shared" si="128"/>
        <v>342318.15676858788</v>
      </c>
      <c r="Q350" s="312">
        <f t="shared" si="128"/>
        <v>69096.724358941254</v>
      </c>
      <c r="R350" s="312">
        <f>+R214-R349</f>
        <v>18144.071913529398</v>
      </c>
      <c r="S350" s="443">
        <f>+S214-S349</f>
        <v>42369.893480407656</v>
      </c>
      <c r="T350" s="453"/>
      <c r="U350" s="313">
        <f>SUM(I350:T350)</f>
        <v>59270457.049999997</v>
      </c>
      <c r="V350" s="67"/>
      <c r="W350" s="726">
        <f t="shared" si="123"/>
        <v>0</v>
      </c>
    </row>
    <row r="351" spans="1:23" ht="15.75" thickBot="1">
      <c r="A351" s="47"/>
      <c r="B351" s="17">
        <f t="shared" si="119"/>
        <v>21</v>
      </c>
      <c r="C351" s="1"/>
      <c r="D351" s="31"/>
      <c r="E351" s="330"/>
      <c r="F351" s="18"/>
      <c r="G351" s="330"/>
      <c r="H351" s="330"/>
      <c r="I351" s="330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330"/>
      <c r="U351" s="18"/>
      <c r="V351" s="67"/>
      <c r="W351" s="726">
        <f t="shared" si="123"/>
        <v>0</v>
      </c>
    </row>
    <row r="352" spans="1:23" ht="16.5" thickBot="1">
      <c r="A352" s="47"/>
      <c r="B352" s="17">
        <f t="shared" si="119"/>
        <v>22</v>
      </c>
      <c r="C352" s="284" t="s">
        <v>587</v>
      </c>
      <c r="D352" s="285"/>
      <c r="E352" s="331"/>
      <c r="F352" s="255">
        <f>F350+F315</f>
        <v>285533472.22000003</v>
      </c>
      <c r="G352" s="331"/>
      <c r="H352" s="455"/>
      <c r="I352" s="1067"/>
      <c r="J352" s="446">
        <f t="shared" si="129" ref="J352:Q352">J350+J315</f>
        <v>159089119.33120698</v>
      </c>
      <c r="K352" s="903">
        <f t="shared" si="129"/>
        <v>24527445.20750406</v>
      </c>
      <c r="L352" s="903">
        <f t="shared" si="129"/>
        <v>75655753.226581693</v>
      </c>
      <c r="M352" s="903">
        <f t="shared" si="129"/>
        <v>1062321.647158342</v>
      </c>
      <c r="N352" s="903">
        <f t="shared" si="129"/>
        <v>22167791.09590739</v>
      </c>
      <c r="O352" s="903">
        <f>O350+O315</f>
        <v>757540.05677192705</v>
      </c>
      <c r="P352" s="903">
        <f t="shared" si="129"/>
        <v>1649106.4312804251</v>
      </c>
      <c r="Q352" s="903">
        <f t="shared" si="129"/>
        <v>332871.1909306384</v>
      </c>
      <c r="R352" s="903">
        <f>R350+R315</f>
        <v>87408.468089068483</v>
      </c>
      <c r="S352" s="380">
        <f>S350+S315</f>
        <v>204115.56456948799</v>
      </c>
      <c r="T352" s="456"/>
      <c r="U352" s="256">
        <f>SUM(I352:T352)</f>
        <v>285533472.22000003</v>
      </c>
      <c r="V352" s="67"/>
      <c r="W352" s="726">
        <f t="shared" si="123"/>
        <v>0</v>
      </c>
    </row>
    <row r="353" spans="1:23" ht="16.5" thickBot="1">
      <c r="A353" s="47"/>
      <c r="B353" s="17">
        <f t="shared" si="119"/>
        <v>23</v>
      </c>
      <c r="C353" s="8"/>
      <c r="D353" s="8"/>
      <c r="E353" s="297"/>
      <c r="F353" s="22"/>
      <c r="G353" s="297"/>
      <c r="H353" s="297"/>
      <c r="I353" s="297"/>
      <c r="J353" s="896"/>
      <c r="K353" s="896"/>
      <c r="L353" s="896"/>
      <c r="M353" s="896"/>
      <c r="N353" s="896"/>
      <c r="O353" s="896"/>
      <c r="P353" s="896"/>
      <c r="Q353" s="896"/>
      <c r="R353" s="896"/>
      <c r="S353" s="896"/>
      <c r="T353" s="297"/>
      <c r="U353" s="22"/>
      <c r="V353" s="67"/>
      <c r="W353" s="726">
        <f t="shared" si="123"/>
        <v>0</v>
      </c>
    </row>
    <row r="354" spans="1:23" ht="16.5" thickBot="1">
      <c r="A354" s="47"/>
      <c r="B354" s="17">
        <f t="shared" si="119"/>
        <v>24</v>
      </c>
      <c r="C354" s="284" t="s">
        <v>588</v>
      </c>
      <c r="D354" s="285"/>
      <c r="E354" s="331"/>
      <c r="F354" s="255">
        <f>F350+F314</f>
        <v>59270457.04999999</v>
      </c>
      <c r="G354" s="331"/>
      <c r="H354" s="455"/>
      <c r="I354" s="1067"/>
      <c r="J354" s="446">
        <f t="shared" si="130" ref="J354:Q354">J350+J314</f>
        <v>33023395.614989333</v>
      </c>
      <c r="K354" s="903">
        <f t="shared" si="130"/>
        <v>5091357.1582861533</v>
      </c>
      <c r="L354" s="903">
        <f t="shared" si="130"/>
        <v>15704467.281322889</v>
      </c>
      <c r="M354" s="903">
        <f t="shared" si="130"/>
        <v>220514.56549609205</v>
      </c>
      <c r="N354" s="903">
        <f t="shared" si="130"/>
        <v>4601544.9601334706</v>
      </c>
      <c r="O354" s="903">
        <f>O350+O314</f>
        <v>157248.62325058813</v>
      </c>
      <c r="P354" s="903">
        <f t="shared" si="130"/>
        <v>342318.15676858788</v>
      </c>
      <c r="Q354" s="903">
        <f t="shared" si="130"/>
        <v>69096.724358941254</v>
      </c>
      <c r="R354" s="903">
        <f>R350+R314</f>
        <v>18144.071913529398</v>
      </c>
      <c r="S354" s="380">
        <f>S350+S314</f>
        <v>42369.893480407656</v>
      </c>
      <c r="T354" s="455"/>
      <c r="U354" s="256">
        <f>SUM(I354:T354)</f>
        <v>59270457.049999997</v>
      </c>
      <c r="V354" s="67"/>
      <c r="W354" s="726">
        <f t="shared" si="123"/>
        <v>0</v>
      </c>
    </row>
    <row r="355" spans="1:23" ht="15">
      <c r="A355" s="4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167"/>
    </row>
    <row r="356" spans="1:23" ht="15">
      <c r="A356" s="47"/>
      <c r="B356" s="67"/>
      <c r="C356" s="67"/>
      <c r="D356" s="67"/>
      <c r="E356" s="67"/>
      <c r="F356" s="67"/>
      <c r="G356" s="67"/>
      <c r="H356" s="134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134"/>
      <c r="V356" s="134">
        <f>$H$2</f>
        <v>0</v>
      </c>
      <c r="W356" s="167"/>
    </row>
    <row r="357" spans="1:23" ht="15.75" thickBot="1">
      <c r="A357" s="4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167"/>
    </row>
    <row r="358" spans="1:23" ht="15.75">
      <c r="A358" s="47"/>
      <c r="B358" s="920" t="str">
        <f>+$B$4</f>
        <v>2022 RATE CASE</v>
      </c>
      <c r="C358" s="935"/>
      <c r="D358" s="969"/>
      <c r="F358" s="332"/>
      <c r="U358" s="134"/>
      <c r="W358" s="167"/>
    </row>
    <row r="359" spans="1:23" ht="15.75">
      <c r="A359" s="47"/>
      <c r="B359" s="917" t="str">
        <f>+$B$5</f>
        <v>ONCOR ELECTRIC DELIVERY COMPANY LLC</v>
      </c>
      <c r="C359" s="8"/>
      <c r="D359" s="970"/>
      <c r="F359" s="332"/>
      <c r="U359" s="134"/>
      <c r="V359" s="67"/>
      <c r="W359" s="167"/>
    </row>
    <row r="360" spans="1:23" ht="15.75">
      <c r="A360" s="47"/>
      <c r="B360" s="917" t="str">
        <f>+$B$6</f>
        <v>II-I-1-TBILLTDCS:  CLASS REVENUE REQUIREMENT</v>
      </c>
      <c r="C360" s="85"/>
      <c r="D360" s="970"/>
      <c r="F360" s="332"/>
      <c r="U360" s="332"/>
      <c r="V360" s="67"/>
      <c r="W360" s="167"/>
    </row>
    <row r="361" spans="1:23" ht="15.75">
      <c r="A361" s="47"/>
      <c r="B361" s="406" t="str">
        <f>+$B$7</f>
        <v>TEST YEAR ENDING 12/31/2021</v>
      </c>
      <c r="C361" s="85"/>
      <c r="D361" s="970"/>
      <c r="F361" s="332"/>
      <c r="U361" s="332"/>
      <c r="V361" s="67"/>
      <c r="W361" s="167"/>
    </row>
    <row r="362" spans="1:23" ht="15.75">
      <c r="A362" s="47"/>
      <c r="B362" s="406" t="str">
        <f>+$B$8</f>
        <v>SPONSOR:  MATTHEW A. TROXLE</v>
      </c>
      <c r="C362" s="85"/>
      <c r="D362" s="970"/>
      <c r="F362" s="332"/>
      <c r="U362" s="332"/>
      <c r="V362" s="67"/>
      <c r="W362" s="167"/>
    </row>
    <row r="363" spans="1:23" ht="16.5" thickBot="1">
      <c r="A363" s="47"/>
      <c r="B363" s="410"/>
      <c r="C363" s="934"/>
      <c r="D363" s="936"/>
      <c r="F363" s="332"/>
      <c r="U363" s="332"/>
      <c r="V363" s="67"/>
      <c r="W363" s="167"/>
    </row>
    <row r="364" spans="1:23" ht="15.75" thickBot="1">
      <c r="A364" s="47"/>
      <c r="B364" s="13"/>
      <c r="C364" s="14"/>
      <c r="D364" s="14"/>
      <c r="E364" s="14"/>
      <c r="F364" s="13"/>
      <c r="G364" s="14"/>
      <c r="H364" s="14"/>
      <c r="I364" s="14"/>
      <c r="J364" s="238"/>
      <c r="K364" s="238"/>
      <c r="L364" s="14"/>
      <c r="M364" s="238"/>
      <c r="N364" s="238"/>
      <c r="O364" s="238"/>
      <c r="P364" s="238"/>
      <c r="Q364" s="14"/>
      <c r="R364" s="393" t="str">
        <f>R$10</f>
        <v xml:space="preserve"> </v>
      </c>
      <c r="S364" s="394"/>
      <c r="T364" s="238"/>
      <c r="U364" s="13"/>
      <c r="V364" s="67"/>
      <c r="W364" s="167"/>
    </row>
    <row r="365" spans="1:23" ht="15.75">
      <c r="A365" s="47"/>
      <c r="B365" s="15" t="s">
        <v>2</v>
      </c>
      <c r="C365" s="15" t="s">
        <v>370</v>
      </c>
      <c r="D365" s="287" t="s">
        <v>118</v>
      </c>
      <c r="E365" s="15" t="s">
        <v>371</v>
      </c>
      <c r="F365" s="287" t="str">
        <f>F$11</f>
        <v>TBILLTDCS</v>
      </c>
      <c r="G365" s="242" t="s">
        <v>741</v>
      </c>
      <c r="H365" s="242" t="s">
        <v>376</v>
      </c>
      <c r="I365" s="15"/>
      <c r="J365" s="242" t="s">
        <v>730</v>
      </c>
      <c r="K365" s="242" t="s">
        <v>409</v>
      </c>
      <c r="L365" s="15" t="s">
        <v>409</v>
      </c>
      <c r="M365" s="242" t="s">
        <v>410</v>
      </c>
      <c r="N365" s="242" t="s">
        <v>410</v>
      </c>
      <c r="O365" s="242" t="s">
        <v>410</v>
      </c>
      <c r="P365" s="242" t="s">
        <v>411</v>
      </c>
      <c r="Q365" s="15" t="s">
        <v>412</v>
      </c>
      <c r="R365" s="396" t="str">
        <f>R$11</f>
        <v>Wholesale</v>
      </c>
      <c r="S365" s="13" t="str">
        <f>S$11</f>
        <v>Wholesale</v>
      </c>
      <c r="T365" s="242"/>
      <c r="U365" s="15" t="s">
        <v>10</v>
      </c>
      <c r="V365" s="67"/>
      <c r="W365" s="167"/>
    </row>
    <row r="366" spans="1:23" ht="15">
      <c r="A366" s="47"/>
      <c r="B366" s="15"/>
      <c r="C366" s="15"/>
      <c r="D366" s="15"/>
      <c r="E366" s="15"/>
      <c r="F366" s="15"/>
      <c r="G366" s="242" t="s">
        <v>742</v>
      </c>
      <c r="H366" s="242" t="s">
        <v>743</v>
      </c>
      <c r="I366" s="15"/>
      <c r="J366" s="242"/>
      <c r="K366" s="242" t="s">
        <v>731</v>
      </c>
      <c r="L366" s="15" t="s">
        <v>732</v>
      </c>
      <c r="M366" s="242" t="s">
        <v>731</v>
      </c>
      <c r="N366" s="242" t="s">
        <v>732</v>
      </c>
      <c r="O366" s="242" t="s">
        <v>414</v>
      </c>
      <c r="P366" s="242"/>
      <c r="Q366" s="15"/>
      <c r="R366" s="235" t="str">
        <f>R$12</f>
        <v>XFMR</v>
      </c>
      <c r="S366" s="15" t="str">
        <f>S$12</f>
        <v>DLS</v>
      </c>
      <c r="T366" s="242"/>
      <c r="U366" s="15"/>
      <c r="V366" s="67"/>
      <c r="W366" s="167"/>
    </row>
    <row r="367" spans="1:23" ht="15.75" thickBot="1">
      <c r="A367" s="47"/>
      <c r="B367" s="16"/>
      <c r="C367" s="16"/>
      <c r="D367" s="16"/>
      <c r="E367" s="16"/>
      <c r="F367" s="16" t="s">
        <v>13</v>
      </c>
      <c r="G367" s="16" t="s">
        <v>14</v>
      </c>
      <c r="H367" s="16" t="s">
        <v>15</v>
      </c>
      <c r="I367" s="16"/>
      <c r="J367" s="243" t="str">
        <f t="shared" si="131" ref="J367:Q367">J$13</f>
        <v>(d)</v>
      </c>
      <c r="K367" s="243" t="str">
        <f t="shared" si="131"/>
        <v>(e)</v>
      </c>
      <c r="L367" s="16" t="str">
        <f t="shared" si="131"/>
        <v>(f)</v>
      </c>
      <c r="M367" s="243" t="str">
        <f t="shared" si="131"/>
        <v>(g)</v>
      </c>
      <c r="N367" s="243" t="str">
        <f t="shared" si="131"/>
        <v>(h)</v>
      </c>
      <c r="O367" s="243" t="str">
        <f>O$13</f>
        <v>(i)</v>
      </c>
      <c r="P367" s="243" t="str">
        <f t="shared" si="131"/>
        <v>(j)</v>
      </c>
      <c r="Q367" s="243" t="str">
        <f t="shared" si="131"/>
        <v>(k)</v>
      </c>
      <c r="R367" s="243" t="str">
        <f>R$13</f>
        <v>(l)</v>
      </c>
      <c r="S367" s="16" t="str">
        <f>S$13</f>
        <v>(m)</v>
      </c>
      <c r="T367" s="16"/>
      <c r="U367" s="16" t="s">
        <v>734</v>
      </c>
      <c r="V367" s="67"/>
      <c r="W367" s="167"/>
    </row>
    <row r="368" spans="1:23" ht="15">
      <c r="A368" s="47"/>
      <c r="B368" s="67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43"/>
      <c r="V368" s="67"/>
      <c r="W368" s="167"/>
    </row>
    <row r="369" spans="1:23" ht="15.75">
      <c r="A369" s="47"/>
      <c r="B369" s="17">
        <f t="shared" si="132" ref="B369:B374">B368+1</f>
        <v>1</v>
      </c>
      <c r="C369" s="334" t="s">
        <v>115</v>
      </c>
      <c r="D369" s="36"/>
      <c r="E369" s="37"/>
      <c r="F369" s="39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67"/>
      <c r="W369" s="167"/>
    </row>
    <row r="370" spans="1:23" ht="15.75">
      <c r="A370" s="47"/>
      <c r="B370" s="17">
        <f t="shared" si="132"/>
        <v>2</v>
      </c>
      <c r="C370" s="334"/>
      <c r="D370" s="4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43"/>
      <c r="V370" s="67"/>
      <c r="W370" s="726">
        <f>F370-U370</f>
        <v>0</v>
      </c>
    </row>
    <row r="371" spans="1:23" ht="15.75">
      <c r="A371" s="47"/>
      <c r="B371" s="17">
        <f t="shared" si="132"/>
        <v>3</v>
      </c>
      <c r="C371" s="43" t="s">
        <v>589</v>
      </c>
      <c r="D371" s="43" t="s">
        <v>118</v>
      </c>
      <c r="E371" s="38" t="s">
        <v>119</v>
      </c>
      <c r="F371" s="118">
        <f>' WP II-I-1.4'!$I$371</f>
        <v>0</v>
      </c>
      <c r="G371" s="40">
        <v>28</v>
      </c>
      <c r="H371" s="47" t="str">
        <f>VLOOKUP(G371,FactorTable,2)</f>
        <v>NCP XHV</v>
      </c>
      <c r="I371" s="38"/>
      <c r="J371" s="434">
        <f t="shared" si="133" ref="J371:S371">$F371*HLOOKUP(J$1318,FactorTable,$G371+1)</f>
        <v>0</v>
      </c>
      <c r="K371" s="434">
        <f t="shared" si="133"/>
        <v>0</v>
      </c>
      <c r="L371" s="434">
        <f t="shared" si="133"/>
        <v>0</v>
      </c>
      <c r="M371" s="434">
        <f t="shared" si="133"/>
        <v>0</v>
      </c>
      <c r="N371" s="434">
        <f t="shared" si="133"/>
        <v>0</v>
      </c>
      <c r="O371" s="434">
        <f t="shared" si="133"/>
        <v>0</v>
      </c>
      <c r="P371" s="434">
        <f t="shared" si="133"/>
        <v>0</v>
      </c>
      <c r="Q371" s="434">
        <f t="shared" si="133"/>
        <v>0</v>
      </c>
      <c r="R371" s="434">
        <f t="shared" si="133"/>
        <v>0</v>
      </c>
      <c r="S371" s="434">
        <f t="shared" si="133"/>
        <v>0</v>
      </c>
      <c r="T371" s="38"/>
      <c r="U371" s="118">
        <f>SUM(I371:T371)</f>
        <v>0</v>
      </c>
      <c r="V371" s="67"/>
      <c r="W371" s="726">
        <f>F371-U371</f>
        <v>0</v>
      </c>
    </row>
    <row r="372" spans="1:23" ht="15.75">
      <c r="A372" s="47"/>
      <c r="B372" s="17">
        <f t="shared" si="132"/>
        <v>4</v>
      </c>
      <c r="C372" s="36"/>
      <c r="D372" s="44" t="s">
        <v>491</v>
      </c>
      <c r="E372" s="39"/>
      <c r="F372" s="39">
        <f>+F371</f>
        <v>0</v>
      </c>
      <c r="G372" s="39"/>
      <c r="H372" s="39"/>
      <c r="I372" s="39"/>
      <c r="J372" s="898">
        <f t="shared" si="134" ref="J372:Q372">+J371</f>
        <v>0</v>
      </c>
      <c r="K372" s="898">
        <f t="shared" si="134"/>
        <v>0</v>
      </c>
      <c r="L372" s="898">
        <f t="shared" si="134"/>
        <v>0</v>
      </c>
      <c r="M372" s="898">
        <f t="shared" si="134"/>
        <v>0</v>
      </c>
      <c r="N372" s="898">
        <f t="shared" si="134"/>
        <v>0</v>
      </c>
      <c r="O372" s="898">
        <f>+O371</f>
        <v>0</v>
      </c>
      <c r="P372" s="898">
        <f t="shared" si="134"/>
        <v>0</v>
      </c>
      <c r="Q372" s="898">
        <f t="shared" si="134"/>
        <v>0</v>
      </c>
      <c r="R372" s="898">
        <f>+R371</f>
        <v>0</v>
      </c>
      <c r="S372" s="898">
        <f>+S371</f>
        <v>0</v>
      </c>
      <c r="T372" s="39"/>
      <c r="U372" s="299">
        <f>SUM(I372:T372)</f>
        <v>0</v>
      </c>
      <c r="V372" s="67"/>
      <c r="W372" s="726">
        <f>F372-U372</f>
        <v>0</v>
      </c>
    </row>
    <row r="373" spans="1:23" ht="15.75" thickBot="1">
      <c r="A373" s="47"/>
      <c r="B373" s="17">
        <f t="shared" si="132"/>
        <v>5</v>
      </c>
      <c r="C373" s="43"/>
      <c r="D373" s="4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43"/>
      <c r="V373" s="67"/>
      <c r="W373" s="167"/>
    </row>
    <row r="374" spans="1:23" ht="16.5" thickBot="1">
      <c r="A374" s="47"/>
      <c r="B374" s="17">
        <f t="shared" si="132"/>
        <v>6</v>
      </c>
      <c r="C374" s="335" t="s">
        <v>590</v>
      </c>
      <c r="D374" s="336"/>
      <c r="E374" s="337" t="s">
        <v>119</v>
      </c>
      <c r="F374" s="278">
        <f>+F372</f>
        <v>0</v>
      </c>
      <c r="G374" s="337"/>
      <c r="H374" s="457"/>
      <c r="I374" s="458"/>
      <c r="J374" s="356">
        <f t="shared" si="135" ref="J374:Q374">+J372</f>
        <v>0</v>
      </c>
      <c r="K374" s="905">
        <f t="shared" si="135"/>
        <v>0</v>
      </c>
      <c r="L374" s="905">
        <f t="shared" si="135"/>
        <v>0</v>
      </c>
      <c r="M374" s="905">
        <f t="shared" si="135"/>
        <v>0</v>
      </c>
      <c r="N374" s="905">
        <f t="shared" si="135"/>
        <v>0</v>
      </c>
      <c r="O374" s="905">
        <f>+O372</f>
        <v>0</v>
      </c>
      <c r="P374" s="905">
        <f t="shared" si="135"/>
        <v>0</v>
      </c>
      <c r="Q374" s="905">
        <f t="shared" si="135"/>
        <v>0</v>
      </c>
      <c r="R374" s="905">
        <f>+R372</f>
        <v>0</v>
      </c>
      <c r="S374" s="279">
        <f>+S372</f>
        <v>0</v>
      </c>
      <c r="T374" s="458"/>
      <c r="U374" s="256">
        <f>SUM(I374:T374)</f>
        <v>0</v>
      </c>
      <c r="V374" s="67"/>
      <c r="W374" s="167"/>
    </row>
    <row r="375" spans="1:23" ht="15">
      <c r="A375" s="4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167"/>
    </row>
    <row r="376" spans="1:23" ht="15">
      <c r="A376" s="47"/>
      <c r="B376" s="67"/>
      <c r="C376" s="67"/>
      <c r="D376" s="67"/>
      <c r="E376" s="67"/>
      <c r="F376" s="67"/>
      <c r="G376" s="67"/>
      <c r="H376" s="134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134"/>
      <c r="V376" s="134">
        <f>$H$2</f>
        <v>0</v>
      </c>
      <c r="W376" s="167"/>
    </row>
    <row r="377" spans="1:23" ht="15.75" thickBot="1">
      <c r="A377" s="4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167"/>
    </row>
    <row r="378" spans="1:23" ht="15.75">
      <c r="A378" s="47"/>
      <c r="B378" s="920" t="str">
        <f>+$B$4</f>
        <v>2022 RATE CASE</v>
      </c>
      <c r="C378" s="935"/>
      <c r="D378" s="969"/>
      <c r="F378" s="332"/>
      <c r="U378" s="134"/>
      <c r="W378" s="167"/>
    </row>
    <row r="379" spans="1:23" ht="15.75">
      <c r="A379" s="47"/>
      <c r="B379" s="917" t="str">
        <f>+$B$5</f>
        <v>ONCOR ELECTRIC DELIVERY COMPANY LLC</v>
      </c>
      <c r="C379" s="8"/>
      <c r="D379" s="970"/>
      <c r="F379" s="332"/>
      <c r="U379" s="134"/>
      <c r="V379" s="67"/>
      <c r="W379" s="167"/>
    </row>
    <row r="380" spans="1:23" ht="15.75">
      <c r="A380" s="47"/>
      <c r="B380" s="917" t="str">
        <f>+$B$6</f>
        <v>II-I-1-TBILLTDCS:  CLASS REVENUE REQUIREMENT</v>
      </c>
      <c r="C380" s="85"/>
      <c r="D380" s="970"/>
      <c r="F380" s="332"/>
      <c r="U380" s="332"/>
      <c r="V380" s="67"/>
      <c r="W380" s="167"/>
    </row>
    <row r="381" spans="1:23" ht="15.75">
      <c r="A381" s="47"/>
      <c r="B381" s="406" t="str">
        <f>+$B$7</f>
        <v>TEST YEAR ENDING 12/31/2021</v>
      </c>
      <c r="C381" s="85"/>
      <c r="D381" s="970"/>
      <c r="F381" s="332"/>
      <c r="U381" s="332"/>
      <c r="V381" s="67"/>
      <c r="W381" s="167"/>
    </row>
    <row r="382" spans="1:23" ht="15.75">
      <c r="A382" s="47"/>
      <c r="B382" s="406" t="str">
        <f>+$B$8</f>
        <v>SPONSOR:  MATTHEW A. TROXLE</v>
      </c>
      <c r="C382" s="85"/>
      <c r="D382" s="970"/>
      <c r="F382" s="332"/>
      <c r="U382" s="332"/>
      <c r="V382" s="67"/>
      <c r="W382" s="167"/>
    </row>
    <row r="383" spans="1:23" ht="16.5" thickBot="1">
      <c r="A383" s="47"/>
      <c r="B383" s="410"/>
      <c r="C383" s="934"/>
      <c r="D383" s="936"/>
      <c r="F383" s="332"/>
      <c r="U383" s="332"/>
      <c r="V383" s="67"/>
      <c r="W383" s="167"/>
    </row>
    <row r="384" spans="1:23" ht="15.75" thickBot="1">
      <c r="A384" s="47"/>
      <c r="B384" s="13"/>
      <c r="C384" s="14"/>
      <c r="D384" s="14"/>
      <c r="E384" s="14"/>
      <c r="F384" s="13"/>
      <c r="G384" s="14"/>
      <c r="H384" s="14"/>
      <c r="I384" s="14"/>
      <c r="J384" s="238"/>
      <c r="K384" s="238"/>
      <c r="L384" s="14"/>
      <c r="M384" s="238"/>
      <c r="N384" s="238"/>
      <c r="O384" s="238"/>
      <c r="P384" s="238"/>
      <c r="Q384" s="14"/>
      <c r="R384" s="393" t="str">
        <f>R$10</f>
        <v xml:space="preserve"> </v>
      </c>
      <c r="S384" s="394"/>
      <c r="T384" s="238"/>
      <c r="U384" s="13"/>
      <c r="V384" s="67"/>
      <c r="W384" s="167"/>
    </row>
    <row r="385" spans="1:23" ht="15.75">
      <c r="A385" s="47"/>
      <c r="B385" s="15" t="s">
        <v>2</v>
      </c>
      <c r="C385" s="15" t="s">
        <v>370</v>
      </c>
      <c r="D385" s="287" t="s">
        <v>591</v>
      </c>
      <c r="E385" s="15" t="s">
        <v>371</v>
      </c>
      <c r="F385" s="287" t="str">
        <f>F$11</f>
        <v>TBILLTDCS</v>
      </c>
      <c r="G385" s="242" t="s">
        <v>741</v>
      </c>
      <c r="H385" s="242" t="s">
        <v>376</v>
      </c>
      <c r="I385" s="15"/>
      <c r="J385" s="242" t="s">
        <v>730</v>
      </c>
      <c r="K385" s="242" t="s">
        <v>409</v>
      </c>
      <c r="L385" s="15" t="s">
        <v>409</v>
      </c>
      <c r="M385" s="242" t="s">
        <v>410</v>
      </c>
      <c r="N385" s="242" t="s">
        <v>410</v>
      </c>
      <c r="O385" s="242" t="s">
        <v>410</v>
      </c>
      <c r="P385" s="242" t="s">
        <v>411</v>
      </c>
      <c r="Q385" s="15" t="s">
        <v>412</v>
      </c>
      <c r="R385" s="396" t="str">
        <f>R$11</f>
        <v>Wholesale</v>
      </c>
      <c r="S385" s="13" t="str">
        <f>S$11</f>
        <v>Wholesale</v>
      </c>
      <c r="T385" s="242"/>
      <c r="U385" s="15" t="s">
        <v>10</v>
      </c>
      <c r="V385" s="67"/>
      <c r="W385" s="167"/>
    </row>
    <row r="386" spans="1:23" ht="15">
      <c r="A386" s="47"/>
      <c r="B386" s="15"/>
      <c r="C386" s="15"/>
      <c r="D386" s="15"/>
      <c r="E386" s="15"/>
      <c r="F386" s="15"/>
      <c r="G386" s="242" t="s">
        <v>742</v>
      </c>
      <c r="H386" s="242" t="s">
        <v>743</v>
      </c>
      <c r="I386" s="15"/>
      <c r="J386" s="242"/>
      <c r="K386" s="242" t="s">
        <v>731</v>
      </c>
      <c r="L386" s="15" t="s">
        <v>732</v>
      </c>
      <c r="M386" s="242" t="s">
        <v>731</v>
      </c>
      <c r="N386" s="242" t="s">
        <v>732</v>
      </c>
      <c r="O386" s="242" t="s">
        <v>414</v>
      </c>
      <c r="P386" s="242"/>
      <c r="Q386" s="15"/>
      <c r="R386" s="235" t="str">
        <f>R$12</f>
        <v>XFMR</v>
      </c>
      <c r="S386" s="15" t="str">
        <f>S$12</f>
        <v>DLS</v>
      </c>
      <c r="T386" s="242"/>
      <c r="U386" s="15"/>
      <c r="V386" s="67"/>
      <c r="W386" s="167"/>
    </row>
    <row r="387" spans="1:23" ht="15.75" thickBot="1">
      <c r="A387" s="47"/>
      <c r="B387" s="16"/>
      <c r="C387" s="16"/>
      <c r="D387" s="16"/>
      <c r="E387" s="16"/>
      <c r="F387" s="16" t="s">
        <v>13</v>
      </c>
      <c r="G387" s="16" t="s">
        <v>14</v>
      </c>
      <c r="H387" s="16" t="s">
        <v>15</v>
      </c>
      <c r="I387" s="16"/>
      <c r="J387" s="243" t="str">
        <f t="shared" si="136" ref="J387:Q387">J$13</f>
        <v>(d)</v>
      </c>
      <c r="K387" s="243" t="str">
        <f t="shared" si="136"/>
        <v>(e)</v>
      </c>
      <c r="L387" s="16" t="str">
        <f t="shared" si="136"/>
        <v>(f)</v>
      </c>
      <c r="M387" s="243" t="str">
        <f t="shared" si="136"/>
        <v>(g)</v>
      </c>
      <c r="N387" s="243" t="str">
        <f t="shared" si="136"/>
        <v>(h)</v>
      </c>
      <c r="O387" s="243" t="str">
        <f>O$13</f>
        <v>(i)</v>
      </c>
      <c r="P387" s="243" t="str">
        <f t="shared" si="136"/>
        <v>(j)</v>
      </c>
      <c r="Q387" s="243" t="str">
        <f t="shared" si="136"/>
        <v>(k)</v>
      </c>
      <c r="R387" s="243" t="str">
        <f>R$13</f>
        <v>(l)</v>
      </c>
      <c r="S387" s="16" t="str">
        <f>S$13</f>
        <v>(m)</v>
      </c>
      <c r="T387" s="16"/>
      <c r="U387" s="16" t="s">
        <v>734</v>
      </c>
      <c r="V387" s="67"/>
      <c r="W387" s="167"/>
    </row>
    <row r="388" spans="1:23" ht="15">
      <c r="A388" s="47"/>
      <c r="B388" s="67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43"/>
      <c r="V388" s="67"/>
      <c r="W388" s="167"/>
    </row>
    <row r="389" spans="1:23" ht="15.75">
      <c r="A389" s="47"/>
      <c r="B389" s="17">
        <f t="shared" si="137" ref="B389:B399">B388+1</f>
        <v>1</v>
      </c>
      <c r="C389" s="334" t="s">
        <v>115</v>
      </c>
      <c r="D389" s="36"/>
      <c r="E389" s="37"/>
      <c r="F389" s="338"/>
      <c r="G389" s="37"/>
      <c r="H389" s="37"/>
      <c r="I389" s="37"/>
      <c r="J389" s="37"/>
      <c r="K389" s="37"/>
      <c r="L389" s="897"/>
      <c r="M389" s="897"/>
      <c r="N389" s="37"/>
      <c r="O389" s="37"/>
      <c r="P389" s="37"/>
      <c r="Q389" s="37"/>
      <c r="R389" s="37"/>
      <c r="S389" s="37"/>
      <c r="T389" s="37"/>
      <c r="U389" s="44"/>
      <c r="V389" s="67"/>
      <c r="W389" s="167"/>
    </row>
    <row r="390" spans="1:23" ht="15.75">
      <c r="A390" s="47"/>
      <c r="B390" s="17">
        <f t="shared" si="137"/>
        <v>2</v>
      </c>
      <c r="C390" s="334"/>
      <c r="D390" s="43"/>
      <c r="E390" s="263"/>
      <c r="F390" s="339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340"/>
      <c r="V390" s="67"/>
      <c r="W390" s="167"/>
    </row>
    <row r="391" spans="1:23" ht="15.75">
      <c r="A391" s="47"/>
      <c r="B391" s="17">
        <f t="shared" si="137"/>
        <v>3</v>
      </c>
      <c r="C391" s="43"/>
      <c r="D391" s="43" t="s">
        <v>143</v>
      </c>
      <c r="E391" s="37" t="s">
        <v>523</v>
      </c>
      <c r="F391" s="118">
        <f>' WP II-I-1.4'!I391</f>
        <v>0</v>
      </c>
      <c r="G391" s="358">
        <v>2</v>
      </c>
      <c r="H391" s="47" t="str">
        <f>VLOOKUP(G391,FactorTable,2)</f>
        <v>N / A</v>
      </c>
      <c r="I391" s="897"/>
      <c r="J391" s="897"/>
      <c r="K391" s="897"/>
      <c r="L391" s="897"/>
      <c r="M391" s="897"/>
      <c r="N391" s="897"/>
      <c r="O391" s="897"/>
      <c r="P391" s="897"/>
      <c r="Q391" s="897"/>
      <c r="R391" s="897"/>
      <c r="S391" s="897"/>
      <c r="T391" s="897"/>
      <c r="U391" s="118">
        <f>SUM(I391:T391)</f>
        <v>0</v>
      </c>
      <c r="V391" s="67"/>
      <c r="W391" s="726">
        <f t="shared" si="138" ref="W391:W399">F391-U391</f>
        <v>0</v>
      </c>
    </row>
    <row r="392" spans="1:23" ht="15.75">
      <c r="A392" s="47"/>
      <c r="B392" s="17">
        <f t="shared" si="137"/>
        <v>4</v>
      </c>
      <c r="C392" s="43"/>
      <c r="D392" s="43" t="s">
        <v>592</v>
      </c>
      <c r="E392" s="37"/>
      <c r="F392" s="118">
        <f>' WP II-I-1.4'!I392</f>
        <v>0</v>
      </c>
      <c r="G392" s="358">
        <v>2</v>
      </c>
      <c r="H392" s="47" t="str">
        <f>VLOOKUP(G392,FactorTable,2)</f>
        <v>N / A</v>
      </c>
      <c r="I392" s="897"/>
      <c r="J392" s="897"/>
      <c r="K392" s="897"/>
      <c r="L392" s="897"/>
      <c r="M392" s="897"/>
      <c r="N392" s="897"/>
      <c r="O392" s="897"/>
      <c r="P392" s="897"/>
      <c r="Q392" s="897"/>
      <c r="R392" s="897"/>
      <c r="S392" s="897"/>
      <c r="T392" s="897"/>
      <c r="U392" s="118">
        <f>SUM(I392:T392)</f>
        <v>0</v>
      </c>
      <c r="V392" s="67"/>
      <c r="W392" s="726">
        <f t="shared" si="138"/>
        <v>0</v>
      </c>
    </row>
    <row r="393" spans="1:23" ht="15.75">
      <c r="A393" s="47"/>
      <c r="B393" s="17">
        <f t="shared" si="137"/>
        <v>5</v>
      </c>
      <c r="C393" s="43"/>
      <c r="D393" s="43" t="s">
        <v>593</v>
      </c>
      <c r="E393" s="37"/>
      <c r="F393" s="118">
        <f>' WP II-I-1.4'!I393</f>
        <v>0</v>
      </c>
      <c r="G393" s="358">
        <v>2</v>
      </c>
      <c r="H393" s="47" t="str">
        <f>VLOOKUP(G393,FactorTable,2)</f>
        <v>N / A</v>
      </c>
      <c r="I393" s="897"/>
      <c r="J393" s="897"/>
      <c r="K393" s="897"/>
      <c r="L393" s="897"/>
      <c r="M393" s="897"/>
      <c r="N393" s="897"/>
      <c r="O393" s="897"/>
      <c r="P393" s="897"/>
      <c r="Q393" s="897"/>
      <c r="R393" s="897"/>
      <c r="S393" s="897"/>
      <c r="T393" s="897"/>
      <c r="U393" s="118">
        <f>SUM(I393:T393)</f>
        <v>0</v>
      </c>
      <c r="V393" s="67"/>
      <c r="W393" s="726">
        <f t="shared" si="138"/>
        <v>0</v>
      </c>
    </row>
    <row r="394" spans="1:23" ht="16.5" thickBot="1">
      <c r="A394" s="47"/>
      <c r="B394" s="17">
        <f t="shared" si="137"/>
        <v>6</v>
      </c>
      <c r="C394" s="43"/>
      <c r="D394" s="43"/>
      <c r="E394" s="37"/>
      <c r="F394" s="27"/>
      <c r="G394" s="37"/>
      <c r="H394" s="37"/>
      <c r="I394" s="37"/>
      <c r="J394" s="37"/>
      <c r="K394" s="37"/>
      <c r="L394" s="897"/>
      <c r="M394" s="897"/>
      <c r="N394" s="37"/>
      <c r="O394" s="37"/>
      <c r="P394" s="37"/>
      <c r="Q394" s="37"/>
      <c r="R394" s="37"/>
      <c r="S394" s="37"/>
      <c r="T394" s="37"/>
      <c r="U394" s="118"/>
      <c r="V394" s="67"/>
      <c r="W394" s="726">
        <f t="shared" si="138"/>
        <v>0</v>
      </c>
    </row>
    <row r="395" spans="1:23" ht="16.5" thickBot="1">
      <c r="A395" s="47"/>
      <c r="B395" s="17">
        <f t="shared" si="137"/>
        <v>7</v>
      </c>
      <c r="C395" s="341" t="s">
        <v>594</v>
      </c>
      <c r="D395" s="336"/>
      <c r="E395" s="337" t="s">
        <v>523</v>
      </c>
      <c r="F395" s="342">
        <f>SUM(F391:F393)</f>
        <v>0</v>
      </c>
      <c r="G395" s="337"/>
      <c r="H395" s="457"/>
      <c r="I395" s="458"/>
      <c r="J395" s="460">
        <f t="shared" si="139" ref="J395:Q395">SUM(J391:J393)</f>
        <v>0</v>
      </c>
      <c r="K395" s="342">
        <f t="shared" si="139"/>
        <v>0</v>
      </c>
      <c r="L395" s="342">
        <f t="shared" si="139"/>
        <v>0</v>
      </c>
      <c r="M395" s="342">
        <f t="shared" si="139"/>
        <v>0</v>
      </c>
      <c r="N395" s="342">
        <f t="shared" si="139"/>
        <v>0</v>
      </c>
      <c r="O395" s="342">
        <f>SUM(O391:O393)</f>
        <v>0</v>
      </c>
      <c r="P395" s="342">
        <f t="shared" si="139"/>
        <v>0</v>
      </c>
      <c r="Q395" s="342">
        <f t="shared" si="139"/>
        <v>0</v>
      </c>
      <c r="R395" s="342">
        <f>SUM(R391:R393)</f>
        <v>0</v>
      </c>
      <c r="S395" s="461">
        <f>SUM(S391:S393)</f>
        <v>0</v>
      </c>
      <c r="T395" s="458"/>
      <c r="U395" s="256">
        <f>SUM(I395:T395)</f>
        <v>0</v>
      </c>
      <c r="V395" s="67"/>
      <c r="W395" s="726">
        <f t="shared" si="138"/>
        <v>0</v>
      </c>
    </row>
    <row r="396" spans="1:23" ht="15">
      <c r="A396" s="47"/>
      <c r="B396" s="17">
        <f t="shared" si="137"/>
        <v>8</v>
      </c>
      <c r="C396" s="43"/>
      <c r="D396" s="43"/>
      <c r="E396" s="263"/>
      <c r="F396" s="339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344"/>
      <c r="V396" s="67"/>
      <c r="W396" s="726">
        <f t="shared" si="138"/>
        <v>0</v>
      </c>
    </row>
    <row r="397" spans="1:23" ht="15.75">
      <c r="A397" s="147"/>
      <c r="B397" s="17">
        <f t="shared" si="137"/>
        <v>9</v>
      </c>
      <c r="C397" s="36" t="s">
        <v>595</v>
      </c>
      <c r="D397" s="44"/>
      <c r="E397" s="37" t="s">
        <v>130</v>
      </c>
      <c r="F397" s="118">
        <f>' WP II-I-1.4'!$I$397</f>
        <v>-85810289.089999706</v>
      </c>
      <c r="G397" s="358">
        <v>64</v>
      </c>
      <c r="H397" s="47" t="str">
        <f>VLOOKUP(G397,FactorTable,2)</f>
        <v>PLANT</v>
      </c>
      <c r="I397" s="897"/>
      <c r="J397" s="434">
        <f t="shared" si="140" ref="J397:S397">$F397*HLOOKUP(J$1318,FactorTable,$G397+1)</f>
        <v>-47810448.332887694</v>
      </c>
      <c r="K397" s="434">
        <f t="shared" si="140"/>
        <v>-7371139.8790871026</v>
      </c>
      <c r="L397" s="434">
        <f t="shared" si="140"/>
        <v>-22736535.948726233</v>
      </c>
      <c r="M397" s="434">
        <f t="shared" si="140"/>
        <v>-319255.48672271176</v>
      </c>
      <c r="N397" s="434">
        <f t="shared" si="140"/>
        <v>-6662001.998003562</v>
      </c>
      <c r="O397" s="434">
        <f t="shared" si="140"/>
        <v>-227660.63384249574</v>
      </c>
      <c r="P397" s="434">
        <f t="shared" si="140"/>
        <v>-495599.68751866359</v>
      </c>
      <c r="Q397" s="434">
        <f t="shared" si="140"/>
        <v>-100036.51376285068</v>
      </c>
      <c r="R397" s="434">
        <f t="shared" si="140"/>
        <v>-26268.534674134124</v>
      </c>
      <c r="S397" s="434">
        <f t="shared" si="140"/>
        <v>-61342.074774270288</v>
      </c>
      <c r="T397" s="897"/>
      <c r="U397" s="299">
        <f>SUM(I397:T397)</f>
        <v>-85810289.089999706</v>
      </c>
      <c r="V397" s="133"/>
      <c r="W397" s="726">
        <f t="shared" si="138"/>
        <v>0</v>
      </c>
    </row>
    <row r="398" spans="1:23" ht="15.75" thickBot="1">
      <c r="A398" s="47"/>
      <c r="B398" s="17">
        <f t="shared" si="137"/>
        <v>10</v>
      </c>
      <c r="C398" s="43"/>
      <c r="D398" s="43"/>
      <c r="E398" s="263"/>
      <c r="F398" s="339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340"/>
      <c r="V398" s="67"/>
      <c r="W398" s="726">
        <f t="shared" si="138"/>
        <v>0</v>
      </c>
    </row>
    <row r="399" spans="1:23" ht="16.5" thickBot="1">
      <c r="A399" s="47"/>
      <c r="B399" s="17">
        <f t="shared" si="137"/>
        <v>11</v>
      </c>
      <c r="C399" s="341" t="s">
        <v>596</v>
      </c>
      <c r="D399" s="336"/>
      <c r="E399" s="337"/>
      <c r="F399" s="342">
        <f>+F397+F395</f>
        <v>-85810289.089999706</v>
      </c>
      <c r="G399" s="337"/>
      <c r="H399" s="457"/>
      <c r="I399" s="458"/>
      <c r="J399" s="460">
        <f t="shared" si="141" ref="J399:Q399">+J397+J395</f>
        <v>-47810448.332887694</v>
      </c>
      <c r="K399" s="342">
        <f t="shared" si="141"/>
        <v>-7371139.8790871026</v>
      </c>
      <c r="L399" s="342">
        <f t="shared" si="141"/>
        <v>-22736535.948726233</v>
      </c>
      <c r="M399" s="342">
        <f t="shared" si="141"/>
        <v>-319255.48672271176</v>
      </c>
      <c r="N399" s="342">
        <f t="shared" si="141"/>
        <v>-6662001.998003562</v>
      </c>
      <c r="O399" s="342">
        <f>+O397+O395</f>
        <v>-227660.63384249574</v>
      </c>
      <c r="P399" s="342">
        <f t="shared" si="141"/>
        <v>-495599.68751866359</v>
      </c>
      <c r="Q399" s="342">
        <f t="shared" si="141"/>
        <v>-100036.51376285068</v>
      </c>
      <c r="R399" s="342">
        <f>+R397+R395</f>
        <v>-26268.534674134124</v>
      </c>
      <c r="S399" s="461">
        <f>+S397+S395</f>
        <v>-61342.074774270288</v>
      </c>
      <c r="T399" s="458"/>
      <c r="U399" s="256">
        <f>SUM(I399:T399)</f>
        <v>-85810289.089999706</v>
      </c>
      <c r="V399" s="67"/>
      <c r="W399" s="726">
        <f t="shared" si="138"/>
        <v>0</v>
      </c>
    </row>
    <row r="400" spans="1:23" ht="15">
      <c r="A400" s="47"/>
      <c r="B400" s="67"/>
      <c r="C400" s="67"/>
      <c r="D400" s="67"/>
      <c r="E400" s="67"/>
      <c r="F400" s="283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167"/>
    </row>
    <row r="401" spans="1:23" ht="15">
      <c r="A401" s="47"/>
      <c r="B401" s="67"/>
      <c r="C401" s="67"/>
      <c r="D401" s="67"/>
      <c r="E401" s="67"/>
      <c r="F401" s="283"/>
      <c r="G401" s="67"/>
      <c r="H401" s="134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134"/>
      <c r="V401" s="134">
        <f>$H$2</f>
        <v>0</v>
      </c>
      <c r="W401" s="167"/>
    </row>
    <row r="402" spans="1:23" ht="15.75" thickBot="1">
      <c r="A402" s="47"/>
      <c r="B402" s="67"/>
      <c r="C402" s="67"/>
      <c r="D402" s="67"/>
      <c r="E402" s="67"/>
      <c r="F402" s="283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167"/>
    </row>
    <row r="403" spans="1:23" ht="15.75">
      <c r="A403" s="47"/>
      <c r="B403" s="920" t="str">
        <f>+$B$4</f>
        <v>2022 RATE CASE</v>
      </c>
      <c r="C403" s="935"/>
      <c r="D403" s="969"/>
      <c r="F403" s="332"/>
      <c r="U403" s="134"/>
      <c r="W403" s="167"/>
    </row>
    <row r="404" spans="1:23" ht="15.75">
      <c r="A404" s="47"/>
      <c r="B404" s="917" t="str">
        <f>+$B$5</f>
        <v>ONCOR ELECTRIC DELIVERY COMPANY LLC</v>
      </c>
      <c r="C404" s="8"/>
      <c r="D404" s="970"/>
      <c r="F404" s="332"/>
      <c r="U404" s="134"/>
      <c r="V404" s="67"/>
      <c r="W404" s="167"/>
    </row>
    <row r="405" spans="1:23" ht="15.75">
      <c r="A405" s="47"/>
      <c r="B405" s="917" t="str">
        <f>+$B$6</f>
        <v>II-I-1-TBILLTDCS:  CLASS REVENUE REQUIREMENT</v>
      </c>
      <c r="C405" s="85"/>
      <c r="D405" s="970"/>
      <c r="F405" s="332"/>
      <c r="U405" s="332"/>
      <c r="V405" s="67"/>
      <c r="W405" s="167"/>
    </row>
    <row r="406" spans="1:23" ht="15.75">
      <c r="A406" s="47"/>
      <c r="B406" s="406" t="str">
        <f>+$B$7</f>
        <v>TEST YEAR ENDING 12/31/2021</v>
      </c>
      <c r="C406" s="85"/>
      <c r="D406" s="970"/>
      <c r="F406" s="332"/>
      <c r="U406" s="332"/>
      <c r="V406" s="67"/>
      <c r="W406" s="167"/>
    </row>
    <row r="407" spans="1:23" ht="15.75">
      <c r="A407" s="47"/>
      <c r="B407" s="406" t="str">
        <f>+$B$8</f>
        <v>SPONSOR:  MATTHEW A. TROXLE</v>
      </c>
      <c r="C407" s="85"/>
      <c r="D407" s="970"/>
      <c r="F407" s="332"/>
      <c r="U407" s="332"/>
      <c r="V407" s="67"/>
      <c r="W407" s="167"/>
    </row>
    <row r="408" spans="1:23" ht="16.5" thickBot="1">
      <c r="A408" s="47"/>
      <c r="B408" s="410"/>
      <c r="C408" s="934"/>
      <c r="D408" s="936"/>
      <c r="F408" s="332"/>
      <c r="U408" s="332"/>
      <c r="V408" s="67"/>
      <c r="W408" s="167"/>
    </row>
    <row r="409" spans="1:23" ht="15.75" thickBot="1">
      <c r="A409" s="47"/>
      <c r="B409" s="13"/>
      <c r="C409" s="14"/>
      <c r="D409" s="14"/>
      <c r="E409" s="14"/>
      <c r="F409" s="13"/>
      <c r="G409" s="14"/>
      <c r="H409" s="14"/>
      <c r="I409" s="14"/>
      <c r="J409" s="238"/>
      <c r="K409" s="238"/>
      <c r="L409" s="14"/>
      <c r="M409" s="238"/>
      <c r="N409" s="238"/>
      <c r="O409" s="238"/>
      <c r="P409" s="238"/>
      <c r="Q409" s="14"/>
      <c r="R409" s="393" t="str">
        <f>R$10</f>
        <v xml:space="preserve"> </v>
      </c>
      <c r="S409" s="394"/>
      <c r="T409" s="238"/>
      <c r="U409" s="13"/>
      <c r="V409" s="67"/>
      <c r="W409" s="167"/>
    </row>
    <row r="410" spans="1:23" ht="15.75">
      <c r="A410" s="47"/>
      <c r="B410" s="15" t="s">
        <v>2</v>
      </c>
      <c r="C410" s="15" t="s">
        <v>370</v>
      </c>
      <c r="D410" s="287" t="s">
        <v>597</v>
      </c>
      <c r="E410" s="15" t="s">
        <v>371</v>
      </c>
      <c r="F410" s="287" t="str">
        <f>F$11</f>
        <v>TBILLTDCS</v>
      </c>
      <c r="G410" s="242" t="s">
        <v>741</v>
      </c>
      <c r="H410" s="242" t="s">
        <v>376</v>
      </c>
      <c r="I410" s="15"/>
      <c r="J410" s="242" t="s">
        <v>730</v>
      </c>
      <c r="K410" s="242" t="s">
        <v>409</v>
      </c>
      <c r="L410" s="15" t="s">
        <v>409</v>
      </c>
      <c r="M410" s="242" t="s">
        <v>410</v>
      </c>
      <c r="N410" s="242" t="s">
        <v>410</v>
      </c>
      <c r="O410" s="242" t="s">
        <v>410</v>
      </c>
      <c r="P410" s="242" t="s">
        <v>411</v>
      </c>
      <c r="Q410" s="15" t="s">
        <v>412</v>
      </c>
      <c r="R410" s="396" t="str">
        <f>R$11</f>
        <v>Wholesale</v>
      </c>
      <c r="S410" s="13" t="str">
        <f>S$11</f>
        <v>Wholesale</v>
      </c>
      <c r="T410" s="242"/>
      <c r="U410" s="15" t="s">
        <v>10</v>
      </c>
      <c r="V410" s="67"/>
      <c r="W410" s="167"/>
    </row>
    <row r="411" spans="1:23" ht="15">
      <c r="A411" s="47"/>
      <c r="B411" s="15"/>
      <c r="C411" s="15"/>
      <c r="D411" s="15"/>
      <c r="E411" s="15"/>
      <c r="F411" s="15"/>
      <c r="G411" s="242" t="s">
        <v>742</v>
      </c>
      <c r="H411" s="242" t="s">
        <v>743</v>
      </c>
      <c r="I411" s="15"/>
      <c r="J411" s="242"/>
      <c r="K411" s="242" t="s">
        <v>731</v>
      </c>
      <c r="L411" s="15" t="s">
        <v>732</v>
      </c>
      <c r="M411" s="242" t="s">
        <v>731</v>
      </c>
      <c r="N411" s="242" t="s">
        <v>732</v>
      </c>
      <c r="O411" s="242" t="s">
        <v>414</v>
      </c>
      <c r="P411" s="242"/>
      <c r="Q411" s="15"/>
      <c r="R411" s="235" t="str">
        <f>R$12</f>
        <v>XFMR</v>
      </c>
      <c r="S411" s="15" t="str">
        <f>S$12</f>
        <v>DLS</v>
      </c>
      <c r="T411" s="242"/>
      <c r="U411" s="15"/>
      <c r="V411" s="67"/>
      <c r="W411" s="167"/>
    </row>
    <row r="412" spans="1:23" ht="15.75" thickBot="1">
      <c r="A412" s="47"/>
      <c r="B412" s="16"/>
      <c r="C412" s="16"/>
      <c r="D412" s="16"/>
      <c r="E412" s="16"/>
      <c r="F412" s="16" t="s">
        <v>13</v>
      </c>
      <c r="G412" s="16" t="s">
        <v>14</v>
      </c>
      <c r="H412" s="16" t="s">
        <v>15</v>
      </c>
      <c r="I412" s="16"/>
      <c r="J412" s="243" t="str">
        <f t="shared" si="142" ref="J412:Q412">J$13</f>
        <v>(d)</v>
      </c>
      <c r="K412" s="243" t="str">
        <f t="shared" si="142"/>
        <v>(e)</v>
      </c>
      <c r="L412" s="16" t="str">
        <f t="shared" si="142"/>
        <v>(f)</v>
      </c>
      <c r="M412" s="243" t="str">
        <f t="shared" si="142"/>
        <v>(g)</v>
      </c>
      <c r="N412" s="243" t="str">
        <f t="shared" si="142"/>
        <v>(h)</v>
      </c>
      <c r="O412" s="243" t="str">
        <f>O$13</f>
        <v>(i)</v>
      </c>
      <c r="P412" s="243" t="str">
        <f t="shared" si="142"/>
        <v>(j)</v>
      </c>
      <c r="Q412" s="243" t="str">
        <f t="shared" si="142"/>
        <v>(k)</v>
      </c>
      <c r="R412" s="243" t="str">
        <f>R$13</f>
        <v>(l)</v>
      </c>
      <c r="S412" s="16" t="str">
        <f>S$13</f>
        <v>(m)</v>
      </c>
      <c r="T412" s="16"/>
      <c r="U412" s="16" t="s">
        <v>734</v>
      </c>
      <c r="V412" s="67"/>
      <c r="W412" s="167"/>
    </row>
    <row r="413" spans="1:23" ht="15.75">
      <c r="A413" s="47"/>
      <c r="B413" s="67"/>
      <c r="C413" s="35"/>
      <c r="D413" s="43"/>
      <c r="E413" s="263"/>
      <c r="F413" s="346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43"/>
      <c r="V413" s="67"/>
      <c r="W413" s="167"/>
    </row>
    <row r="414" spans="1:23" ht="15.75">
      <c r="A414" s="47"/>
      <c r="B414" s="17">
        <f t="shared" si="143" ref="B414:B421">B413+1</f>
        <v>1</v>
      </c>
      <c r="C414" s="334" t="s">
        <v>115</v>
      </c>
      <c r="D414" s="43"/>
      <c r="E414" s="263"/>
      <c r="F414" s="346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43"/>
      <c r="V414" s="67"/>
      <c r="W414" s="167"/>
    </row>
    <row r="415" spans="1:23" ht="15.75">
      <c r="A415" s="47"/>
      <c r="B415" s="17">
        <f t="shared" si="143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67"/>
      <c r="W415" s="167"/>
    </row>
    <row r="416" spans="1:23" ht="15.75">
      <c r="A416" s="47"/>
      <c r="B416" s="17">
        <f t="shared" si="143"/>
        <v>3</v>
      </c>
      <c r="C416" s="43"/>
      <c r="D416" s="36" t="s">
        <v>597</v>
      </c>
      <c r="E416" s="37" t="s">
        <v>121</v>
      </c>
      <c r="F416" s="43"/>
      <c r="G416" s="37"/>
      <c r="H416" s="37"/>
      <c r="I416" s="37"/>
      <c r="J416" s="897"/>
      <c r="K416" s="897"/>
      <c r="L416" s="897"/>
      <c r="M416" s="897"/>
      <c r="N416" s="897"/>
      <c r="O416" s="897"/>
      <c r="P416" s="897"/>
      <c r="Q416" s="897"/>
      <c r="R416" s="897"/>
      <c r="S416" s="897"/>
      <c r="T416" s="37"/>
      <c r="U416" s="43"/>
      <c r="V416" s="67"/>
      <c r="W416" s="167"/>
    </row>
    <row r="417" spans="1:23" ht="15">
      <c r="A417" s="47"/>
      <c r="B417" s="17">
        <f t="shared" si="143"/>
        <v>4</v>
      </c>
      <c r="C417" s="43">
        <v>154</v>
      </c>
      <c r="D417" s="43" t="s">
        <v>599</v>
      </c>
      <c r="E417" s="43"/>
      <c r="F417" s="118">
        <f>' WP II-I-1.4'!I417</f>
        <v>0</v>
      </c>
      <c r="G417" s="40">
        <v>64</v>
      </c>
      <c r="H417" s="47" t="str">
        <f>VLOOKUP(G417,FactorTable,2)</f>
        <v>PLANT</v>
      </c>
      <c r="I417" s="43"/>
      <c r="J417" s="434">
        <f t="shared" si="144" ref="J417:S418">$F417*HLOOKUP(J$1318,FactorTable,$G417+1)</f>
        <v>0</v>
      </c>
      <c r="K417" s="434">
        <f t="shared" si="144"/>
        <v>0</v>
      </c>
      <c r="L417" s="434">
        <f t="shared" si="144"/>
        <v>0</v>
      </c>
      <c r="M417" s="434">
        <f t="shared" si="144"/>
        <v>0</v>
      </c>
      <c r="N417" s="434">
        <f t="shared" si="144"/>
        <v>0</v>
      </c>
      <c r="O417" s="434">
        <f t="shared" si="144"/>
        <v>0</v>
      </c>
      <c r="P417" s="434">
        <f t="shared" si="144"/>
        <v>0</v>
      </c>
      <c r="Q417" s="434">
        <f t="shared" si="144"/>
        <v>0</v>
      </c>
      <c r="R417" s="434">
        <f t="shared" si="144"/>
        <v>0</v>
      </c>
      <c r="S417" s="434">
        <f t="shared" si="144"/>
        <v>0</v>
      </c>
      <c r="T417" s="43"/>
      <c r="U417" s="118">
        <f>SUM(I417:T417)</f>
        <v>0</v>
      </c>
      <c r="V417" s="67"/>
      <c r="W417" s="726">
        <f>F417-U417</f>
        <v>0</v>
      </c>
    </row>
    <row r="418" spans="1:23" ht="15">
      <c r="A418" s="47"/>
      <c r="B418" s="17">
        <f t="shared" si="143"/>
        <v>5</v>
      </c>
      <c r="C418" s="43">
        <v>163</v>
      </c>
      <c r="D418" s="43" t="s">
        <v>600</v>
      </c>
      <c r="E418" s="263"/>
      <c r="F418" s="118">
        <f>' WP II-I-1.4'!I418</f>
        <v>0</v>
      </c>
      <c r="G418" s="40">
        <v>64</v>
      </c>
      <c r="H418" s="47" t="str">
        <f>VLOOKUP(G418,FactorTable,2)</f>
        <v>PLANT</v>
      </c>
      <c r="I418" s="263"/>
      <c r="J418" s="435">
        <f t="shared" si="144"/>
        <v>0</v>
      </c>
      <c r="K418" s="435">
        <f t="shared" si="144"/>
        <v>0</v>
      </c>
      <c r="L418" s="435">
        <f t="shared" si="144"/>
        <v>0</v>
      </c>
      <c r="M418" s="435">
        <f t="shared" si="144"/>
        <v>0</v>
      </c>
      <c r="N418" s="435">
        <f t="shared" si="144"/>
        <v>0</v>
      </c>
      <c r="O418" s="435">
        <f t="shared" si="144"/>
        <v>0</v>
      </c>
      <c r="P418" s="435">
        <f t="shared" si="144"/>
        <v>0</v>
      </c>
      <c r="Q418" s="435">
        <f t="shared" si="144"/>
        <v>0</v>
      </c>
      <c r="R418" s="435">
        <f t="shared" si="144"/>
        <v>0</v>
      </c>
      <c r="S418" s="435">
        <f t="shared" si="144"/>
        <v>0</v>
      </c>
      <c r="T418" s="263"/>
      <c r="U418" s="118">
        <f>SUM(I418:T418)</f>
        <v>0</v>
      </c>
      <c r="V418" s="67"/>
      <c r="W418" s="726">
        <f>F418-U418</f>
        <v>0</v>
      </c>
    </row>
    <row r="419" spans="1:23" ht="15.75">
      <c r="A419" s="47"/>
      <c r="B419" s="17">
        <f t="shared" si="143"/>
        <v>6</v>
      </c>
      <c r="C419" s="36"/>
      <c r="D419" s="44" t="s">
        <v>491</v>
      </c>
      <c r="E419" s="39"/>
      <c r="F419" s="39">
        <f>SUM(F417:F418)</f>
        <v>0</v>
      </c>
      <c r="G419" s="39"/>
      <c r="H419" s="39"/>
      <c r="I419" s="39"/>
      <c r="J419" s="898">
        <f t="shared" si="145" ref="J419:Q419">SUM(J417:J418)</f>
        <v>0</v>
      </c>
      <c r="K419" s="898">
        <f t="shared" si="145"/>
        <v>0</v>
      </c>
      <c r="L419" s="898">
        <f t="shared" si="145"/>
        <v>0</v>
      </c>
      <c r="M419" s="898">
        <f t="shared" si="145"/>
        <v>0</v>
      </c>
      <c r="N419" s="898">
        <f t="shared" si="145"/>
        <v>0</v>
      </c>
      <c r="O419" s="898">
        <f>SUM(O417:O418)</f>
        <v>0</v>
      </c>
      <c r="P419" s="898">
        <f t="shared" si="145"/>
        <v>0</v>
      </c>
      <c r="Q419" s="898">
        <f t="shared" si="145"/>
        <v>0</v>
      </c>
      <c r="R419" s="898">
        <f>SUM(R417:R418)</f>
        <v>0</v>
      </c>
      <c r="S419" s="898">
        <f>SUM(S417:S418)</f>
        <v>0</v>
      </c>
      <c r="T419" s="39"/>
      <c r="U419" s="299">
        <f>SUM(I419:T419)</f>
        <v>0</v>
      </c>
      <c r="V419" s="67"/>
      <c r="W419" s="726">
        <f>F419-U419</f>
        <v>0</v>
      </c>
    </row>
    <row r="420" spans="1:23" ht="15.75" thickBot="1">
      <c r="A420" s="47"/>
      <c r="B420" s="17">
        <f t="shared" si="143"/>
        <v>7</v>
      </c>
      <c r="C420" s="43"/>
      <c r="D420" s="340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43"/>
      <c r="V420" s="67"/>
      <c r="W420" s="726">
        <f>F420-U420</f>
        <v>0</v>
      </c>
    </row>
    <row r="421" spans="1:23" ht="16.5" thickBot="1">
      <c r="A421" s="47"/>
      <c r="B421" s="17">
        <f t="shared" si="143"/>
        <v>8</v>
      </c>
      <c r="C421" s="335" t="s">
        <v>601</v>
      </c>
      <c r="D421" s="336"/>
      <c r="E421" s="337" t="s">
        <v>121</v>
      </c>
      <c r="F421" s="278">
        <f>F419</f>
        <v>0</v>
      </c>
      <c r="G421" s="337"/>
      <c r="H421" s="457"/>
      <c r="I421" s="458"/>
      <c r="J421" s="356">
        <f t="shared" si="146" ref="J421:Q421">J419</f>
        <v>0</v>
      </c>
      <c r="K421" s="905">
        <f t="shared" si="146"/>
        <v>0</v>
      </c>
      <c r="L421" s="905">
        <f t="shared" si="146"/>
        <v>0</v>
      </c>
      <c r="M421" s="905">
        <f t="shared" si="146"/>
        <v>0</v>
      </c>
      <c r="N421" s="905">
        <f t="shared" si="146"/>
        <v>0</v>
      </c>
      <c r="O421" s="905">
        <f>O419</f>
        <v>0</v>
      </c>
      <c r="P421" s="905">
        <f t="shared" si="146"/>
        <v>0</v>
      </c>
      <c r="Q421" s="905">
        <f t="shared" si="146"/>
        <v>0</v>
      </c>
      <c r="R421" s="905">
        <f>R419</f>
        <v>0</v>
      </c>
      <c r="S421" s="279">
        <f>S419</f>
        <v>0</v>
      </c>
      <c r="T421" s="458"/>
      <c r="U421" s="256">
        <f>SUM(I421:T421)</f>
        <v>0</v>
      </c>
      <c r="V421" s="67"/>
      <c r="W421" s="726">
        <f>F421-U421</f>
        <v>0</v>
      </c>
    </row>
    <row r="422" spans="1:23" ht="15">
      <c r="A422" s="4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167"/>
    </row>
    <row r="423" spans="1:23" ht="15">
      <c r="A423" s="47"/>
      <c r="B423" s="67"/>
      <c r="C423" s="67"/>
      <c r="D423" s="67"/>
      <c r="E423" s="67"/>
      <c r="F423" s="67"/>
      <c r="G423" s="67"/>
      <c r="H423" s="134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134"/>
      <c r="V423" s="134">
        <f>$H$2</f>
        <v>0</v>
      </c>
      <c r="W423" s="167"/>
    </row>
    <row r="424" spans="1:23" ht="15.75" thickBot="1">
      <c r="A424" s="4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167"/>
    </row>
    <row r="425" spans="1:23" ht="15.75">
      <c r="A425" s="47"/>
      <c r="B425" s="920" t="str">
        <f>+$B$4</f>
        <v>2022 RATE CASE</v>
      </c>
      <c r="C425" s="935"/>
      <c r="D425" s="969"/>
      <c r="F425" s="332"/>
      <c r="U425" s="134"/>
      <c r="W425" s="167"/>
    </row>
    <row r="426" spans="1:23" ht="15.75">
      <c r="A426" s="47"/>
      <c r="B426" s="917" t="str">
        <f>+$B$5</f>
        <v>ONCOR ELECTRIC DELIVERY COMPANY LLC</v>
      </c>
      <c r="C426" s="8"/>
      <c r="D426" s="970"/>
      <c r="F426" s="332"/>
      <c r="U426" s="134"/>
      <c r="V426" s="67"/>
      <c r="W426" s="167"/>
    </row>
    <row r="427" spans="1:23" ht="15.75">
      <c r="A427" s="47"/>
      <c r="B427" s="917" t="str">
        <f>+$B$6</f>
        <v>II-I-1-TBILLTDCS:  CLASS REVENUE REQUIREMENT</v>
      </c>
      <c r="C427" s="85"/>
      <c r="D427" s="970"/>
      <c r="F427" s="332"/>
      <c r="U427" s="332"/>
      <c r="V427" s="67"/>
      <c r="W427" s="167"/>
    </row>
    <row r="428" spans="1:23" ht="15.75">
      <c r="A428" s="47"/>
      <c r="B428" s="406" t="str">
        <f>+$B$7</f>
        <v>TEST YEAR ENDING 12/31/2021</v>
      </c>
      <c r="C428" s="85"/>
      <c r="D428" s="970"/>
      <c r="F428" s="332"/>
      <c r="U428" s="332"/>
      <c r="V428" s="67"/>
      <c r="W428" s="167"/>
    </row>
    <row r="429" spans="1:23" ht="15.75">
      <c r="A429" s="47"/>
      <c r="B429" s="406" t="str">
        <f>+$B$8</f>
        <v>SPONSOR:  MATTHEW A. TROXLE</v>
      </c>
      <c r="C429" s="85"/>
      <c r="D429" s="970"/>
      <c r="F429" s="332"/>
      <c r="U429" s="332"/>
      <c r="V429" s="67"/>
      <c r="W429" s="167"/>
    </row>
    <row r="430" spans="1:23" ht="16.5" thickBot="1">
      <c r="A430" s="47"/>
      <c r="B430" s="410"/>
      <c r="C430" s="934"/>
      <c r="D430" s="936"/>
      <c r="F430" s="332"/>
      <c r="U430" s="332"/>
      <c r="V430" s="67"/>
      <c r="W430" s="167"/>
    </row>
    <row r="431" spans="1:23" ht="15.75" thickBot="1">
      <c r="A431" s="47"/>
      <c r="B431" s="13"/>
      <c r="C431" s="14"/>
      <c r="D431" s="14"/>
      <c r="E431" s="14"/>
      <c r="F431" s="13"/>
      <c r="G431" s="14"/>
      <c r="H431" s="14"/>
      <c r="I431" s="14"/>
      <c r="J431" s="238"/>
      <c r="K431" s="238"/>
      <c r="L431" s="14"/>
      <c r="M431" s="238"/>
      <c r="N431" s="238"/>
      <c r="O431" s="238"/>
      <c r="P431" s="238"/>
      <c r="Q431" s="14"/>
      <c r="R431" s="393" t="str">
        <f>R$10</f>
        <v xml:space="preserve"> </v>
      </c>
      <c r="S431" s="394"/>
      <c r="T431" s="238"/>
      <c r="U431" s="13"/>
      <c r="V431" s="67"/>
      <c r="W431" s="167"/>
    </row>
    <row r="432" spans="1:23" ht="15.75">
      <c r="A432" s="47"/>
      <c r="B432" s="15" t="s">
        <v>2</v>
      </c>
      <c r="C432" s="15" t="s">
        <v>370</v>
      </c>
      <c r="D432" s="287" t="s">
        <v>123</v>
      </c>
      <c r="E432" s="15" t="s">
        <v>371</v>
      </c>
      <c r="F432" s="287" t="str">
        <f>F$11</f>
        <v>TBILLTDCS</v>
      </c>
      <c r="G432" s="242" t="s">
        <v>741</v>
      </c>
      <c r="H432" s="242" t="s">
        <v>376</v>
      </c>
      <c r="I432" s="15"/>
      <c r="J432" s="242" t="s">
        <v>730</v>
      </c>
      <c r="K432" s="242" t="s">
        <v>409</v>
      </c>
      <c r="L432" s="15" t="s">
        <v>409</v>
      </c>
      <c r="M432" s="242" t="s">
        <v>410</v>
      </c>
      <c r="N432" s="242" t="s">
        <v>410</v>
      </c>
      <c r="O432" s="242" t="s">
        <v>410</v>
      </c>
      <c r="P432" s="242" t="s">
        <v>411</v>
      </c>
      <c r="Q432" s="15" t="s">
        <v>412</v>
      </c>
      <c r="R432" s="396" t="str">
        <f>R$11</f>
        <v>Wholesale</v>
      </c>
      <c r="S432" s="13" t="str">
        <f>S$11</f>
        <v>Wholesale</v>
      </c>
      <c r="T432" s="242"/>
      <c r="U432" s="15" t="s">
        <v>10</v>
      </c>
      <c r="V432" s="67"/>
      <c r="W432" s="167"/>
    </row>
    <row r="433" spans="1:23" ht="15">
      <c r="A433" s="47"/>
      <c r="B433" s="15"/>
      <c r="C433" s="15"/>
      <c r="D433" s="15"/>
      <c r="E433" s="15"/>
      <c r="F433" s="15"/>
      <c r="G433" s="242" t="s">
        <v>742</v>
      </c>
      <c r="H433" s="242" t="s">
        <v>743</v>
      </c>
      <c r="I433" s="15"/>
      <c r="J433" s="242"/>
      <c r="K433" s="242" t="s">
        <v>731</v>
      </c>
      <c r="L433" s="15" t="s">
        <v>732</v>
      </c>
      <c r="M433" s="242" t="s">
        <v>731</v>
      </c>
      <c r="N433" s="242" t="s">
        <v>732</v>
      </c>
      <c r="O433" s="242" t="s">
        <v>414</v>
      </c>
      <c r="P433" s="242"/>
      <c r="Q433" s="15"/>
      <c r="R433" s="235" t="str">
        <f>R$12</f>
        <v>XFMR</v>
      </c>
      <c r="S433" s="15" t="str">
        <f>S$12</f>
        <v>DLS</v>
      </c>
      <c r="T433" s="242"/>
      <c r="U433" s="15"/>
      <c r="V433" s="67"/>
      <c r="W433" s="167"/>
    </row>
    <row r="434" spans="1:23" ht="15.75" thickBot="1">
      <c r="A434" s="47"/>
      <c r="B434" s="16"/>
      <c r="C434" s="16"/>
      <c r="D434" s="16"/>
      <c r="E434" s="16"/>
      <c r="F434" s="16" t="s">
        <v>13</v>
      </c>
      <c r="G434" s="16" t="s">
        <v>14</v>
      </c>
      <c r="H434" s="16" t="s">
        <v>15</v>
      </c>
      <c r="I434" s="16"/>
      <c r="J434" s="243" t="str">
        <f t="shared" si="147" ref="J434:Q434">J$13</f>
        <v>(d)</v>
      </c>
      <c r="K434" s="243" t="str">
        <f t="shared" si="147"/>
        <v>(e)</v>
      </c>
      <c r="L434" s="16" t="str">
        <f t="shared" si="147"/>
        <v>(f)</v>
      </c>
      <c r="M434" s="243" t="str">
        <f t="shared" si="147"/>
        <v>(g)</v>
      </c>
      <c r="N434" s="243" t="str">
        <f t="shared" si="147"/>
        <v>(h)</v>
      </c>
      <c r="O434" s="243" t="str">
        <f>O$13</f>
        <v>(i)</v>
      </c>
      <c r="P434" s="243" t="str">
        <f t="shared" si="147"/>
        <v>(j)</v>
      </c>
      <c r="Q434" s="243" t="str">
        <f t="shared" si="147"/>
        <v>(k)</v>
      </c>
      <c r="R434" s="243" t="str">
        <f>R$13</f>
        <v>(l)</v>
      </c>
      <c r="S434" s="16" t="str">
        <f>S$13</f>
        <v>(m)</v>
      </c>
      <c r="T434" s="16"/>
      <c r="U434" s="16" t="s">
        <v>734</v>
      </c>
      <c r="V434" s="67"/>
      <c r="W434" s="167"/>
    </row>
    <row r="435" spans="1:23" ht="15">
      <c r="A435" s="47"/>
      <c r="B435" s="67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43"/>
      <c r="V435" s="67"/>
      <c r="W435" s="167"/>
    </row>
    <row r="436" spans="1:23" ht="15.75">
      <c r="A436" s="47"/>
      <c r="B436" s="17">
        <f t="shared" si="148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67"/>
      <c r="W436" s="167"/>
    </row>
    <row r="437" spans="1:23" ht="15.75">
      <c r="A437" s="47"/>
      <c r="B437" s="17">
        <f t="shared" si="148"/>
        <v>2</v>
      </c>
      <c r="C437" s="348" t="s">
        <v>598</v>
      </c>
      <c r="D437" s="36"/>
      <c r="E437" s="37" t="s">
        <v>124</v>
      </c>
      <c r="F437" s="349"/>
      <c r="G437" s="37"/>
      <c r="H437" s="37"/>
      <c r="I437" s="37"/>
      <c r="J437" s="897"/>
      <c r="K437" s="897"/>
      <c r="L437" s="897"/>
      <c r="M437" s="897"/>
      <c r="N437" s="897"/>
      <c r="O437" s="897"/>
      <c r="P437" s="897"/>
      <c r="Q437" s="897"/>
      <c r="R437" s="897"/>
      <c r="S437" s="897"/>
      <c r="T437" s="37"/>
      <c r="U437" s="36"/>
      <c r="V437" s="67"/>
      <c r="W437" s="167"/>
    </row>
    <row r="438" spans="1:23" ht="15">
      <c r="A438" s="47"/>
      <c r="B438" s="17">
        <f t="shared" si="148"/>
        <v>3</v>
      </c>
      <c r="C438" s="43"/>
      <c r="D438" s="43" t="s">
        <v>123</v>
      </c>
      <c r="E438" s="43"/>
      <c r="F438" s="118">
        <f>' WP II-I-1.4'!$I$438</f>
        <v>141339.77999998356</v>
      </c>
      <c r="G438" s="40">
        <v>76</v>
      </c>
      <c r="H438" s="47" t="str">
        <f>VLOOKUP(G438,FactorTable,2)</f>
        <v>O&amp;M</v>
      </c>
      <c r="I438" s="43"/>
      <c r="J438" s="435">
        <f t="shared" si="149" ref="J438:S438">$F438*HLOOKUP(J$1318,FactorTable,$G438+1)</f>
        <v>76146.776584158681</v>
      </c>
      <c r="K438" s="435">
        <f t="shared" si="149"/>
        <v>10714.864714453935</v>
      </c>
      <c r="L438" s="435">
        <f t="shared" si="149"/>
        <v>37949.621139888186</v>
      </c>
      <c r="M438" s="435">
        <f t="shared" si="149"/>
        <v>444.57090451901672</v>
      </c>
      <c r="N438" s="435">
        <f t="shared" si="149"/>
        <v>10343.517416658202</v>
      </c>
      <c r="O438" s="435">
        <f t="shared" si="149"/>
        <v>452.93994362985853</v>
      </c>
      <c r="P438" s="435">
        <f t="shared" si="149"/>
        <v>1191.2695436745678</v>
      </c>
      <c r="Q438" s="435">
        <f t="shared" si="149"/>
        <v>3976.2408109029993</v>
      </c>
      <c r="R438" s="435">
        <f t="shared" si="149"/>
        <v>35.971112721884623</v>
      </c>
      <c r="S438" s="435">
        <f t="shared" si="149"/>
        <v>84.007829376224649</v>
      </c>
      <c r="T438" s="43"/>
      <c r="U438" s="118">
        <f>SUM(I438:T438)</f>
        <v>141339.77999998358</v>
      </c>
      <c r="V438" s="67"/>
      <c r="W438" s="726">
        <f>F438-U438</f>
        <v>0</v>
      </c>
    </row>
    <row r="439" spans="1:23" ht="15.75">
      <c r="A439" s="47"/>
      <c r="B439" s="17">
        <f t="shared" si="148"/>
        <v>4</v>
      </c>
      <c r="C439" s="36"/>
      <c r="D439" s="44" t="s">
        <v>491</v>
      </c>
      <c r="E439" s="39"/>
      <c r="F439" s="39">
        <f>+F438</f>
        <v>141339.77999998356</v>
      </c>
      <c r="G439" s="39"/>
      <c r="H439" s="39"/>
      <c r="I439" s="39"/>
      <c r="J439" s="898">
        <f t="shared" si="150" ref="J439:Q439">+J438</f>
        <v>76146.776584158681</v>
      </c>
      <c r="K439" s="898">
        <f t="shared" si="150"/>
        <v>10714.864714453935</v>
      </c>
      <c r="L439" s="898">
        <f t="shared" si="150"/>
        <v>37949.621139888186</v>
      </c>
      <c r="M439" s="898">
        <f t="shared" si="150"/>
        <v>444.57090451901672</v>
      </c>
      <c r="N439" s="898">
        <f t="shared" si="150"/>
        <v>10343.517416658202</v>
      </c>
      <c r="O439" s="898">
        <f>+O438</f>
        <v>452.93994362985853</v>
      </c>
      <c r="P439" s="898">
        <f t="shared" si="150"/>
        <v>1191.2695436745678</v>
      </c>
      <c r="Q439" s="898">
        <f t="shared" si="150"/>
        <v>3976.2408109029993</v>
      </c>
      <c r="R439" s="898">
        <f>+R438</f>
        <v>35.971112721884623</v>
      </c>
      <c r="S439" s="898">
        <f>+S438</f>
        <v>84.007829376224649</v>
      </c>
      <c r="T439" s="39"/>
      <c r="U439" s="299">
        <f>SUM(I439:T439)</f>
        <v>141339.77999998358</v>
      </c>
      <c r="V439" s="67"/>
      <c r="W439" s="726">
        <f>F439-U439</f>
        <v>0</v>
      </c>
    </row>
    <row r="440" spans="1:23" ht="15.75" thickBot="1">
      <c r="A440" s="47"/>
      <c r="B440" s="17">
        <f t="shared" si="148"/>
        <v>5</v>
      </c>
      <c r="C440" s="43"/>
      <c r="D440" s="340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43"/>
      <c r="V440" s="67"/>
      <c r="W440" s="726">
        <f>F440-U440</f>
        <v>0</v>
      </c>
    </row>
    <row r="441" spans="1:23" ht="16.5" thickBot="1">
      <c r="A441" s="47"/>
      <c r="B441" s="17">
        <f t="shared" si="148"/>
        <v>6</v>
      </c>
      <c r="C441" s="335" t="s">
        <v>602</v>
      </c>
      <c r="D441" s="336"/>
      <c r="E441" s="337" t="s">
        <v>124</v>
      </c>
      <c r="F441" s="278">
        <f>+F439</f>
        <v>141339.77999998356</v>
      </c>
      <c r="G441" s="337"/>
      <c r="H441" s="457"/>
      <c r="I441" s="643"/>
      <c r="J441" s="356">
        <f t="shared" si="151" ref="J441:Q441">+J439</f>
        <v>76146.776584158681</v>
      </c>
      <c r="K441" s="905">
        <f t="shared" si="151"/>
        <v>10714.864714453935</v>
      </c>
      <c r="L441" s="905">
        <f t="shared" si="151"/>
        <v>37949.621139888186</v>
      </c>
      <c r="M441" s="905">
        <f t="shared" si="151"/>
        <v>444.57090451901672</v>
      </c>
      <c r="N441" s="905">
        <f t="shared" si="151"/>
        <v>10343.517416658202</v>
      </c>
      <c r="O441" s="905">
        <f>+O439</f>
        <v>452.93994362985853</v>
      </c>
      <c r="P441" s="905">
        <f t="shared" si="151"/>
        <v>1191.2695436745678</v>
      </c>
      <c r="Q441" s="905">
        <f t="shared" si="151"/>
        <v>3976.2408109029993</v>
      </c>
      <c r="R441" s="905">
        <f>+R439</f>
        <v>35.971112721884623</v>
      </c>
      <c r="S441" s="279">
        <f>+S439</f>
        <v>84.007829376224649</v>
      </c>
      <c r="T441" s="457"/>
      <c r="U441" s="256">
        <f>SUM(I441:T441)</f>
        <v>141339.77999998358</v>
      </c>
      <c r="V441" s="67"/>
      <c r="W441" s="726">
        <f>F441-U441</f>
        <v>0</v>
      </c>
    </row>
    <row r="442" spans="1:23" ht="15">
      <c r="A442" s="4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167"/>
    </row>
    <row r="443" spans="1:23" ht="15">
      <c r="A443" s="47"/>
      <c r="B443" s="67"/>
      <c r="C443" s="67"/>
      <c r="D443" s="67"/>
      <c r="E443" s="67"/>
      <c r="F443" s="67"/>
      <c r="G443" s="67"/>
      <c r="H443" s="134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134"/>
      <c r="V443" s="134">
        <f>$H$2</f>
        <v>0</v>
      </c>
      <c r="W443" s="167"/>
    </row>
    <row r="444" spans="1:23" ht="15.75" thickBot="1">
      <c r="A444" s="4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167"/>
    </row>
    <row r="445" spans="1:23" ht="15.75">
      <c r="A445" s="47"/>
      <c r="B445" s="920" t="str">
        <f>+$B$4</f>
        <v>2022 RATE CASE</v>
      </c>
      <c r="C445" s="935"/>
      <c r="D445" s="969"/>
      <c r="F445" s="332"/>
      <c r="U445" s="134"/>
      <c r="W445" s="167"/>
    </row>
    <row r="446" spans="1:23" ht="15.75">
      <c r="A446" s="47"/>
      <c r="B446" s="917" t="str">
        <f>+$B$5</f>
        <v>ONCOR ELECTRIC DELIVERY COMPANY LLC</v>
      </c>
      <c r="C446" s="8"/>
      <c r="D446" s="970"/>
      <c r="F446" s="332"/>
      <c r="U446" s="134"/>
      <c r="V446" s="67"/>
      <c r="W446" s="167"/>
    </row>
    <row r="447" spans="1:23" ht="15.75">
      <c r="A447" s="47"/>
      <c r="B447" s="917" t="str">
        <f>+$B$6</f>
        <v>II-I-1-TBILLTDCS:  CLASS REVENUE REQUIREMENT</v>
      </c>
      <c r="C447" s="85"/>
      <c r="D447" s="970"/>
      <c r="F447" s="332"/>
      <c r="U447" s="332"/>
      <c r="V447" s="67"/>
      <c r="W447" s="167"/>
    </row>
    <row r="448" spans="1:23" ht="15.75">
      <c r="A448" s="47"/>
      <c r="B448" s="406" t="str">
        <f>+$B$7</f>
        <v>TEST YEAR ENDING 12/31/2021</v>
      </c>
      <c r="C448" s="85"/>
      <c r="D448" s="970"/>
      <c r="F448" s="332"/>
      <c r="U448" s="332"/>
      <c r="V448" s="67"/>
      <c r="W448" s="167"/>
    </row>
    <row r="449" spans="1:23" ht="15.75">
      <c r="A449" s="47"/>
      <c r="B449" s="406" t="str">
        <f>+$B$8</f>
        <v>SPONSOR:  MATTHEW A. TROXLE</v>
      </c>
      <c r="C449" s="85"/>
      <c r="D449" s="970"/>
      <c r="F449" s="332"/>
      <c r="U449" s="332"/>
      <c r="V449" s="67"/>
      <c r="W449" s="167"/>
    </row>
    <row r="450" spans="1:23" ht="16.5" thickBot="1">
      <c r="A450" s="47"/>
      <c r="B450" s="410"/>
      <c r="C450" s="934"/>
      <c r="D450" s="936"/>
      <c r="F450" s="332"/>
      <c r="U450" s="332"/>
      <c r="V450" s="67"/>
      <c r="W450" s="167"/>
    </row>
    <row r="451" spans="1:23" ht="15.75" thickBot="1">
      <c r="A451" s="47"/>
      <c r="B451" s="13"/>
      <c r="C451" s="14"/>
      <c r="D451" s="14"/>
      <c r="E451" s="14"/>
      <c r="F451" s="13"/>
      <c r="G451" s="14"/>
      <c r="H451" s="14"/>
      <c r="I451" s="14"/>
      <c r="J451" s="238"/>
      <c r="K451" s="238"/>
      <c r="L451" s="14"/>
      <c r="M451" s="238"/>
      <c r="N451" s="238"/>
      <c r="O451" s="238"/>
      <c r="P451" s="238"/>
      <c r="Q451" s="14"/>
      <c r="R451" s="393" t="str">
        <f>R$10</f>
        <v xml:space="preserve"> </v>
      </c>
      <c r="S451" s="394"/>
      <c r="T451" s="238"/>
      <c r="U451" s="13"/>
      <c r="V451" s="67"/>
      <c r="W451" s="167"/>
    </row>
    <row r="452" spans="1:23" ht="15.75">
      <c r="A452" s="47"/>
      <c r="B452" s="15" t="s">
        <v>2</v>
      </c>
      <c r="C452" s="15" t="s">
        <v>370</v>
      </c>
      <c r="D452" s="287" t="s">
        <v>125</v>
      </c>
      <c r="E452" s="15" t="s">
        <v>371</v>
      </c>
      <c r="F452" s="287" t="str">
        <f>F$11</f>
        <v>TBILLTDCS</v>
      </c>
      <c r="G452" s="242" t="s">
        <v>741</v>
      </c>
      <c r="H452" s="242" t="s">
        <v>376</v>
      </c>
      <c r="I452" s="15"/>
      <c r="J452" s="242" t="s">
        <v>730</v>
      </c>
      <c r="K452" s="242" t="s">
        <v>409</v>
      </c>
      <c r="L452" s="15" t="s">
        <v>409</v>
      </c>
      <c r="M452" s="242" t="s">
        <v>410</v>
      </c>
      <c r="N452" s="242" t="s">
        <v>410</v>
      </c>
      <c r="O452" s="242" t="s">
        <v>410</v>
      </c>
      <c r="P452" s="242" t="s">
        <v>411</v>
      </c>
      <c r="Q452" s="15" t="s">
        <v>412</v>
      </c>
      <c r="R452" s="396" t="str">
        <f>R$11</f>
        <v>Wholesale</v>
      </c>
      <c r="S452" s="13" t="str">
        <f>S$11</f>
        <v>Wholesale</v>
      </c>
      <c r="T452" s="242"/>
      <c r="U452" s="15" t="s">
        <v>10</v>
      </c>
      <c r="V452" s="67"/>
      <c r="W452" s="167"/>
    </row>
    <row r="453" spans="1:23" ht="15">
      <c r="A453" s="47"/>
      <c r="B453" s="15"/>
      <c r="C453" s="15"/>
      <c r="D453" s="15"/>
      <c r="E453" s="15"/>
      <c r="F453" s="15"/>
      <c r="G453" s="242" t="s">
        <v>742</v>
      </c>
      <c r="H453" s="242" t="s">
        <v>743</v>
      </c>
      <c r="I453" s="15"/>
      <c r="J453" s="242"/>
      <c r="K453" s="242" t="s">
        <v>731</v>
      </c>
      <c r="L453" s="15" t="s">
        <v>732</v>
      </c>
      <c r="M453" s="242" t="s">
        <v>731</v>
      </c>
      <c r="N453" s="242" t="s">
        <v>732</v>
      </c>
      <c r="O453" s="242" t="s">
        <v>414</v>
      </c>
      <c r="P453" s="242"/>
      <c r="Q453" s="15"/>
      <c r="R453" s="235" t="str">
        <f>R$12</f>
        <v>XFMR</v>
      </c>
      <c r="S453" s="15" t="str">
        <f>S$12</f>
        <v>DLS</v>
      </c>
      <c r="T453" s="242"/>
      <c r="U453" s="15"/>
      <c r="V453" s="67"/>
      <c r="W453" s="167"/>
    </row>
    <row r="454" spans="1:23" ht="15.75" thickBot="1">
      <c r="A454" s="47"/>
      <c r="B454" s="16"/>
      <c r="C454" s="16"/>
      <c r="D454" s="16"/>
      <c r="E454" s="16"/>
      <c r="F454" s="16" t="s">
        <v>13</v>
      </c>
      <c r="G454" s="16" t="s">
        <v>14</v>
      </c>
      <c r="H454" s="16" t="s">
        <v>15</v>
      </c>
      <c r="I454" s="16"/>
      <c r="J454" s="243" t="str">
        <f t="shared" si="152" ref="J454:Q454">J$13</f>
        <v>(d)</v>
      </c>
      <c r="K454" s="243" t="str">
        <f t="shared" si="152"/>
        <v>(e)</v>
      </c>
      <c r="L454" s="16" t="str">
        <f t="shared" si="152"/>
        <v>(f)</v>
      </c>
      <c r="M454" s="243" t="str">
        <f t="shared" si="152"/>
        <v>(g)</v>
      </c>
      <c r="N454" s="243" t="str">
        <f t="shared" si="152"/>
        <v>(h)</v>
      </c>
      <c r="O454" s="243" t="str">
        <f>O$13</f>
        <v>(i)</v>
      </c>
      <c r="P454" s="243" t="str">
        <f t="shared" si="152"/>
        <v>(j)</v>
      </c>
      <c r="Q454" s="243" t="str">
        <f t="shared" si="152"/>
        <v>(k)</v>
      </c>
      <c r="R454" s="243" t="str">
        <f>R$13</f>
        <v>(l)</v>
      </c>
      <c r="S454" s="16" t="str">
        <f>S$13</f>
        <v>(m)</v>
      </c>
      <c r="T454" s="16"/>
      <c r="U454" s="16" t="s">
        <v>734</v>
      </c>
      <c r="V454" s="67"/>
      <c r="W454" s="167"/>
    </row>
    <row r="455" spans="1:23" ht="15">
      <c r="A455" s="47"/>
      <c r="B455" s="67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43"/>
      <c r="V455" s="67"/>
      <c r="W455" s="167"/>
    </row>
    <row r="456" spans="1:23" ht="15.75">
      <c r="A456" s="47"/>
      <c r="B456" s="17">
        <f t="shared" si="153" ref="B456:B464">B455+1</f>
        <v>1</v>
      </c>
      <c r="C456" s="334" t="s">
        <v>115</v>
      </c>
      <c r="D456" s="36"/>
      <c r="E456" s="37"/>
      <c r="F456" s="39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6"/>
      <c r="V456" s="67"/>
      <c r="W456" s="726"/>
    </row>
    <row r="457" spans="1:23" ht="15.75">
      <c r="A457" s="47"/>
      <c r="B457" s="17">
        <f t="shared" si="153"/>
        <v>2</v>
      </c>
      <c r="C457" s="348" t="s">
        <v>598</v>
      </c>
      <c r="D457" s="44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43"/>
      <c r="V457" s="67"/>
      <c r="W457" s="726">
        <f t="shared" si="154" ref="W457:W464">F457-U457</f>
        <v>0</v>
      </c>
    </row>
    <row r="458" spans="1:23" ht="15.75">
      <c r="A458" s="47"/>
      <c r="B458" s="17">
        <f t="shared" si="153"/>
        <v>3</v>
      </c>
      <c r="C458" s="36">
        <v>165</v>
      </c>
      <c r="D458" s="348" t="s">
        <v>125</v>
      </c>
      <c r="E458" s="37" t="s">
        <v>126</v>
      </c>
      <c r="F458" s="39"/>
      <c r="G458" s="37"/>
      <c r="H458" s="37"/>
      <c r="I458" s="37"/>
      <c r="J458" s="897"/>
      <c r="K458" s="897"/>
      <c r="L458" s="897"/>
      <c r="M458" s="897"/>
      <c r="N458" s="897"/>
      <c r="O458" s="897"/>
      <c r="P458" s="897"/>
      <c r="Q458" s="897"/>
      <c r="R458" s="897"/>
      <c r="S458" s="897"/>
      <c r="T458" s="37"/>
      <c r="U458" s="36"/>
      <c r="V458" s="67"/>
      <c r="W458" s="726">
        <f t="shared" si="154"/>
        <v>0</v>
      </c>
    </row>
    <row r="459" spans="1:23" ht="15">
      <c r="A459" s="47"/>
      <c r="B459" s="17">
        <f t="shared" si="153"/>
        <v>4</v>
      </c>
      <c r="C459" s="43"/>
      <c r="D459" s="43" t="s">
        <v>125</v>
      </c>
      <c r="E459" s="351"/>
      <c r="F459" s="118">
        <f>' WP II-I-1.4'!$I$459</f>
        <v>930191.56999999855</v>
      </c>
      <c r="G459" s="358">
        <v>19</v>
      </c>
      <c r="H459" s="47" t="str">
        <f>VLOOKUP(G459,FactorTable,2)</f>
        <v>ENERGY ICL</v>
      </c>
      <c r="I459" s="912"/>
      <c r="J459" s="435">
        <f t="shared" si="155" ref="J459:S459">$F459*HLOOKUP(J$1318,FactorTable,$G459+1)</f>
        <v>373551.41667948826</v>
      </c>
      <c r="K459" s="435">
        <f t="shared" si="155"/>
        <v>13343.979319699176</v>
      </c>
      <c r="L459" s="435">
        <f t="shared" si="155"/>
        <v>391104.53122019512</v>
      </c>
      <c r="M459" s="435">
        <f t="shared" si="155"/>
        <v>6.7505763405828434</v>
      </c>
      <c r="N459" s="435">
        <f t="shared" si="155"/>
        <v>62886.704634140835</v>
      </c>
      <c r="O459" s="435">
        <f t="shared" si="155"/>
        <v>9894.8003110788559</v>
      </c>
      <c r="P459" s="435">
        <f t="shared" si="155"/>
        <v>74118.934259980815</v>
      </c>
      <c r="Q459" s="435">
        <f t="shared" si="155"/>
        <v>3405.0410718991493</v>
      </c>
      <c r="R459" s="435">
        <f t="shared" si="155"/>
        <v>754.99600350797471</v>
      </c>
      <c r="S459" s="435">
        <f t="shared" si="155"/>
        <v>1124.4159236675462</v>
      </c>
      <c r="T459" s="912"/>
      <c r="U459" s="118">
        <f>SUM(I459:T459)</f>
        <v>930191.5699999982</v>
      </c>
      <c r="V459" s="67"/>
      <c r="W459" s="726">
        <f t="shared" si="154"/>
        <v>0</v>
      </c>
    </row>
    <row r="460" spans="1:23" ht="15.75">
      <c r="A460" s="47"/>
      <c r="B460" s="17">
        <f t="shared" si="153"/>
        <v>5</v>
      </c>
      <c r="C460" s="36"/>
      <c r="D460" s="44" t="s">
        <v>491</v>
      </c>
      <c r="E460" s="352"/>
      <c r="F460" s="39">
        <f>SUM(F459:F459)</f>
        <v>930191.56999999855</v>
      </c>
      <c r="G460" s="352"/>
      <c r="H460" s="352"/>
      <c r="I460" s="352"/>
      <c r="J460" s="898">
        <f t="shared" si="156" ref="J460:Q460">SUM(J459:J459)</f>
        <v>373551.41667948826</v>
      </c>
      <c r="K460" s="898">
        <f t="shared" si="156"/>
        <v>13343.979319699176</v>
      </c>
      <c r="L460" s="898">
        <f t="shared" si="156"/>
        <v>391104.53122019512</v>
      </c>
      <c r="M460" s="898">
        <f t="shared" si="156"/>
        <v>6.7505763405828434</v>
      </c>
      <c r="N460" s="898">
        <f t="shared" si="156"/>
        <v>62886.704634140835</v>
      </c>
      <c r="O460" s="898">
        <f>SUM(O459:O459)</f>
        <v>9894.8003110788559</v>
      </c>
      <c r="P460" s="898">
        <f t="shared" si="156"/>
        <v>74118.934259980815</v>
      </c>
      <c r="Q460" s="898">
        <f t="shared" si="156"/>
        <v>3405.0410718991493</v>
      </c>
      <c r="R460" s="898">
        <f>SUM(R459:R459)</f>
        <v>754.99600350797471</v>
      </c>
      <c r="S460" s="898">
        <f>SUM(S459:S459)</f>
        <v>1124.4159236675462</v>
      </c>
      <c r="T460" s="352"/>
      <c r="U460" s="299">
        <f>SUM(I460:T460)</f>
        <v>930191.5699999982</v>
      </c>
      <c r="V460" s="67"/>
      <c r="W460" s="726">
        <f t="shared" si="154"/>
        <v>0</v>
      </c>
    </row>
    <row r="461" spans="1:23" ht="16.5" thickBot="1">
      <c r="A461" s="47"/>
      <c r="B461" s="17">
        <f t="shared" si="153"/>
        <v>6</v>
      </c>
      <c r="C461" s="36"/>
      <c r="D461" s="44"/>
      <c r="E461" s="352"/>
      <c r="F461" s="353"/>
      <c r="G461" s="352"/>
      <c r="H461" s="352"/>
      <c r="I461" s="352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2"/>
      <c r="U461" s="353"/>
      <c r="V461" s="67"/>
      <c r="W461" s="726">
        <f t="shared" si="154"/>
        <v>0</v>
      </c>
    </row>
    <row r="462" spans="1:23" ht="16.5" thickBot="1">
      <c r="A462" s="47"/>
      <c r="B462" s="17">
        <f t="shared" si="153"/>
        <v>7</v>
      </c>
      <c r="C462" s="341" t="s">
        <v>603</v>
      </c>
      <c r="D462" s="336"/>
      <c r="E462" s="337" t="s">
        <v>126</v>
      </c>
      <c r="F462" s="278">
        <f>+F460</f>
        <v>930191.56999999855</v>
      </c>
      <c r="G462" s="337"/>
      <c r="H462" s="457"/>
      <c r="I462" s="643"/>
      <c r="J462" s="356">
        <f t="shared" si="157" ref="J462:Q462">+J460</f>
        <v>373551.41667948826</v>
      </c>
      <c r="K462" s="905">
        <f t="shared" si="157"/>
        <v>13343.979319699176</v>
      </c>
      <c r="L462" s="905">
        <f t="shared" si="157"/>
        <v>391104.53122019512</v>
      </c>
      <c r="M462" s="905">
        <f t="shared" si="157"/>
        <v>6.7505763405828434</v>
      </c>
      <c r="N462" s="905">
        <f t="shared" si="157"/>
        <v>62886.704634140835</v>
      </c>
      <c r="O462" s="905">
        <f>+O460</f>
        <v>9894.8003110788559</v>
      </c>
      <c r="P462" s="905">
        <f t="shared" si="157"/>
        <v>74118.934259980815</v>
      </c>
      <c r="Q462" s="905">
        <f t="shared" si="157"/>
        <v>3405.0410718991493</v>
      </c>
      <c r="R462" s="905">
        <f>+R460</f>
        <v>754.99600350797471</v>
      </c>
      <c r="S462" s="279">
        <f>+S460</f>
        <v>1124.4159236675462</v>
      </c>
      <c r="T462" s="457"/>
      <c r="U462" s="256">
        <f>SUM(I462:T462)</f>
        <v>930191.5699999982</v>
      </c>
      <c r="V462" s="67"/>
      <c r="W462" s="726">
        <f t="shared" si="154"/>
        <v>0</v>
      </c>
    </row>
    <row r="463" spans="1:23" ht="15.75" thickBot="1">
      <c r="A463" s="47"/>
      <c r="B463" s="17">
        <f t="shared" si="153"/>
        <v>8</v>
      </c>
      <c r="C463" s="43"/>
      <c r="D463" s="340"/>
      <c r="E463" s="351"/>
      <c r="F463" s="263"/>
      <c r="G463" s="351"/>
      <c r="H463" s="351"/>
      <c r="I463" s="351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351"/>
      <c r="U463" s="263"/>
      <c r="V463" s="67"/>
      <c r="W463" s="726">
        <f t="shared" si="154"/>
        <v>0</v>
      </c>
    </row>
    <row r="464" spans="1:23" ht="16.5" thickBot="1">
      <c r="A464" s="47"/>
      <c r="B464" s="17">
        <f t="shared" si="153"/>
        <v>9</v>
      </c>
      <c r="C464" s="341" t="s">
        <v>604</v>
      </c>
      <c r="D464" s="336"/>
      <c r="E464" s="337" t="s">
        <v>605</v>
      </c>
      <c r="F464" s="278">
        <f>+F462+F441+F421</f>
        <v>1071531.3499999822</v>
      </c>
      <c r="G464" s="337"/>
      <c r="H464" s="457"/>
      <c r="I464" s="643"/>
      <c r="J464" s="356">
        <f t="shared" si="158" ref="J464:Q464">+J462+J441+J421</f>
        <v>449698.19326364691</v>
      </c>
      <c r="K464" s="905">
        <f t="shared" si="158"/>
        <v>24058.84403415311</v>
      </c>
      <c r="L464" s="905">
        <f t="shared" si="158"/>
        <v>429054.1523600833</v>
      </c>
      <c r="M464" s="905">
        <f t="shared" si="158"/>
        <v>451.32148085959955</v>
      </c>
      <c r="N464" s="905">
        <f t="shared" si="158"/>
        <v>73230.222050799042</v>
      </c>
      <c r="O464" s="905">
        <f>+O462+O441+O421</f>
        <v>10347.740254708715</v>
      </c>
      <c r="P464" s="905">
        <f t="shared" si="158"/>
        <v>75310.203803655386</v>
      </c>
      <c r="Q464" s="905">
        <f t="shared" si="158"/>
        <v>7381.2818828021482</v>
      </c>
      <c r="R464" s="905">
        <f>+R462+R441+R421</f>
        <v>790.96711622985936</v>
      </c>
      <c r="S464" s="279">
        <f>+S462+S441+S421</f>
        <v>1208.4237530437708</v>
      </c>
      <c r="T464" s="457"/>
      <c r="U464" s="256">
        <f>SUM(I464:T464)</f>
        <v>1071531.3499999822</v>
      </c>
      <c r="V464" s="67"/>
      <c r="W464" s="726">
        <f t="shared" si="154"/>
        <v>0</v>
      </c>
    </row>
    <row r="465" spans="1:23" ht="15">
      <c r="A465" s="4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167"/>
    </row>
    <row r="466" spans="1:23" ht="15">
      <c r="A466" s="47"/>
      <c r="B466" s="67"/>
      <c r="C466" s="67"/>
      <c r="D466" s="67"/>
      <c r="E466" s="67"/>
      <c r="F466" s="67"/>
      <c r="G466" s="67"/>
      <c r="H466" s="134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134"/>
      <c r="V466" s="134">
        <f>$H$2</f>
        <v>0</v>
      </c>
      <c r="W466" s="167"/>
    </row>
    <row r="467" spans="1:23" ht="15.75" thickBot="1">
      <c r="A467" s="4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167"/>
    </row>
    <row r="468" spans="1:23" ht="15.75">
      <c r="A468" s="47"/>
      <c r="B468" s="920" t="str">
        <f>+$B$4</f>
        <v>2022 RATE CASE</v>
      </c>
      <c r="C468" s="935"/>
      <c r="D468" s="969"/>
      <c r="F468" s="332"/>
      <c r="U468" s="134"/>
      <c r="W468" s="167"/>
    </row>
    <row r="469" spans="1:23" ht="15.75">
      <c r="A469" s="47"/>
      <c r="B469" s="917" t="str">
        <f>+$B$5</f>
        <v>ONCOR ELECTRIC DELIVERY COMPANY LLC</v>
      </c>
      <c r="C469" s="8"/>
      <c r="D469" s="970"/>
      <c r="F469" s="332"/>
      <c r="U469" s="134"/>
      <c r="V469" s="67"/>
      <c r="W469" s="167"/>
    </row>
    <row r="470" spans="1:23" ht="15.75">
      <c r="A470" s="47"/>
      <c r="B470" s="917" t="str">
        <f>+$B$6</f>
        <v>II-I-1-TBILLTDCS:  CLASS REVENUE REQUIREMENT</v>
      </c>
      <c r="C470" s="85"/>
      <c r="D470" s="970"/>
      <c r="F470" s="332"/>
      <c r="U470" s="332"/>
      <c r="V470" s="67"/>
      <c r="W470" s="167"/>
    </row>
    <row r="471" spans="1:23" ht="15.75">
      <c r="A471" s="47"/>
      <c r="B471" s="406" t="str">
        <f>+$B$7</f>
        <v>TEST YEAR ENDING 12/31/2021</v>
      </c>
      <c r="C471" s="85"/>
      <c r="D471" s="970"/>
      <c r="F471" s="332"/>
      <c r="U471" s="332"/>
      <c r="V471" s="67"/>
      <c r="W471" s="167"/>
    </row>
    <row r="472" spans="1:23" ht="15.75">
      <c r="A472" s="47"/>
      <c r="B472" s="406" t="str">
        <f>+$B$8</f>
        <v>SPONSOR:  MATTHEW A. TROXLE</v>
      </c>
      <c r="C472" s="85"/>
      <c r="D472" s="970"/>
      <c r="F472" s="332"/>
      <c r="U472" s="332"/>
      <c r="V472" s="67"/>
      <c r="W472" s="167"/>
    </row>
    <row r="473" spans="1:23" ht="16.5" thickBot="1">
      <c r="A473" s="47"/>
      <c r="B473" s="410"/>
      <c r="C473" s="934"/>
      <c r="D473" s="936"/>
      <c r="F473" s="332"/>
      <c r="U473" s="332"/>
      <c r="V473" s="67"/>
      <c r="W473" s="167"/>
    </row>
    <row r="474" spans="1:23" ht="15.75" thickBot="1">
      <c r="A474" s="47"/>
      <c r="B474" s="13"/>
      <c r="C474" s="14"/>
      <c r="D474" s="14"/>
      <c r="E474" s="14"/>
      <c r="F474" s="13"/>
      <c r="G474" s="14"/>
      <c r="H474" s="14"/>
      <c r="I474" s="14"/>
      <c r="J474" s="238"/>
      <c r="K474" s="238"/>
      <c r="L474" s="14"/>
      <c r="M474" s="238"/>
      <c r="N474" s="238"/>
      <c r="O474" s="238"/>
      <c r="P474" s="238"/>
      <c r="Q474" s="14"/>
      <c r="R474" s="393" t="str">
        <f>R$10</f>
        <v xml:space="preserve"> </v>
      </c>
      <c r="S474" s="394"/>
      <c r="T474" s="238"/>
      <c r="U474" s="13"/>
      <c r="V474" s="67"/>
      <c r="W474" s="167"/>
    </row>
    <row r="475" spans="1:23" ht="15.75">
      <c r="A475" s="47"/>
      <c r="B475" s="15" t="s">
        <v>2</v>
      </c>
      <c r="C475" s="15" t="s">
        <v>370</v>
      </c>
      <c r="D475" s="287" t="s">
        <v>127</v>
      </c>
      <c r="E475" s="15" t="s">
        <v>371</v>
      </c>
      <c r="F475" s="287" t="str">
        <f>F$11</f>
        <v>TBILLTDCS</v>
      </c>
      <c r="G475" s="242" t="s">
        <v>741</v>
      </c>
      <c r="H475" s="242" t="s">
        <v>376</v>
      </c>
      <c r="I475" s="15"/>
      <c r="J475" s="242" t="s">
        <v>730</v>
      </c>
      <c r="K475" s="242" t="s">
        <v>409</v>
      </c>
      <c r="L475" s="15" t="s">
        <v>409</v>
      </c>
      <c r="M475" s="242" t="s">
        <v>410</v>
      </c>
      <c r="N475" s="242" t="s">
        <v>410</v>
      </c>
      <c r="O475" s="242" t="s">
        <v>410</v>
      </c>
      <c r="P475" s="242" t="s">
        <v>411</v>
      </c>
      <c r="Q475" s="15" t="s">
        <v>412</v>
      </c>
      <c r="R475" s="396" t="str">
        <f>R$11</f>
        <v>Wholesale</v>
      </c>
      <c r="S475" s="13" t="str">
        <f>S$11</f>
        <v>Wholesale</v>
      </c>
      <c r="T475" s="242"/>
      <c r="U475" s="15" t="s">
        <v>10</v>
      </c>
      <c r="V475" s="67"/>
      <c r="W475" s="167"/>
    </row>
    <row r="476" spans="1:23" ht="15">
      <c r="A476" s="47"/>
      <c r="B476" s="15"/>
      <c r="C476" s="15"/>
      <c r="D476" s="15"/>
      <c r="E476" s="15"/>
      <c r="F476" s="15"/>
      <c r="G476" s="242" t="s">
        <v>742</v>
      </c>
      <c r="H476" s="242" t="s">
        <v>743</v>
      </c>
      <c r="I476" s="15"/>
      <c r="J476" s="242"/>
      <c r="K476" s="242" t="s">
        <v>731</v>
      </c>
      <c r="L476" s="15" t="s">
        <v>732</v>
      </c>
      <c r="M476" s="242" t="s">
        <v>731</v>
      </c>
      <c r="N476" s="242" t="s">
        <v>732</v>
      </c>
      <c r="O476" s="242" t="s">
        <v>414</v>
      </c>
      <c r="P476" s="242"/>
      <c r="Q476" s="15"/>
      <c r="R476" s="235" t="str">
        <f>R$12</f>
        <v>XFMR</v>
      </c>
      <c r="S476" s="15" t="str">
        <f>S$12</f>
        <v>DLS</v>
      </c>
      <c r="T476" s="242"/>
      <c r="U476" s="15"/>
      <c r="V476" s="67"/>
      <c r="W476" s="167"/>
    </row>
    <row r="477" spans="1:23" ht="15.75" thickBot="1">
      <c r="A477" s="47"/>
      <c r="B477" s="16"/>
      <c r="C477" s="16"/>
      <c r="D477" s="16"/>
      <c r="E477" s="16"/>
      <c r="F477" s="16" t="s">
        <v>13</v>
      </c>
      <c r="G477" s="16" t="s">
        <v>14</v>
      </c>
      <c r="H477" s="16" t="s">
        <v>15</v>
      </c>
      <c r="I477" s="16"/>
      <c r="J477" s="243" t="str">
        <f t="shared" si="159" ref="J477:Q477">J$13</f>
        <v>(d)</v>
      </c>
      <c r="K477" s="243" t="str">
        <f t="shared" si="159"/>
        <v>(e)</v>
      </c>
      <c r="L477" s="16" t="str">
        <f t="shared" si="159"/>
        <v>(f)</v>
      </c>
      <c r="M477" s="243" t="str">
        <f t="shared" si="159"/>
        <v>(g)</v>
      </c>
      <c r="N477" s="243" t="str">
        <f t="shared" si="159"/>
        <v>(h)</v>
      </c>
      <c r="O477" s="243" t="str">
        <f>O$13</f>
        <v>(i)</v>
      </c>
      <c r="P477" s="243" t="str">
        <f t="shared" si="159"/>
        <v>(j)</v>
      </c>
      <c r="Q477" s="243" t="str">
        <f t="shared" si="159"/>
        <v>(k)</v>
      </c>
      <c r="R477" s="243" t="str">
        <f>R$13</f>
        <v>(l)</v>
      </c>
      <c r="S477" s="16" t="str">
        <f>S$13</f>
        <v>(m)</v>
      </c>
      <c r="T477" s="16"/>
      <c r="U477" s="16" t="s">
        <v>734</v>
      </c>
      <c r="V477" s="67"/>
      <c r="W477" s="167"/>
    </row>
    <row r="478" spans="1:23" ht="15">
      <c r="A478" s="47"/>
      <c r="B478" s="67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43"/>
      <c r="V478" s="67"/>
      <c r="W478" s="167"/>
    </row>
    <row r="479" spans="1:23" ht="15.75">
      <c r="A479" s="47"/>
      <c r="B479" s="17">
        <f t="shared" si="160" ref="B479:B485">B478+1</f>
        <v>1</v>
      </c>
      <c r="C479" s="334" t="s">
        <v>606</v>
      </c>
      <c r="D479" s="36"/>
      <c r="E479" s="37" t="s">
        <v>128</v>
      </c>
      <c r="F479" s="39"/>
      <c r="G479" s="37"/>
      <c r="H479" s="37"/>
      <c r="I479" s="897"/>
      <c r="J479" s="897"/>
      <c r="K479" s="897"/>
      <c r="L479" s="897"/>
      <c r="M479" s="897"/>
      <c r="N479" s="897"/>
      <c r="O479" s="897"/>
      <c r="P479" s="897"/>
      <c r="Q479" s="897"/>
      <c r="R479" s="897"/>
      <c r="S479" s="897"/>
      <c r="T479" s="37"/>
      <c r="U479" s="36"/>
      <c r="V479" s="67"/>
      <c r="W479" s="726">
        <f t="shared" si="161" ref="W479:W485">F479-U479</f>
        <v>0</v>
      </c>
    </row>
    <row r="480" spans="1:23" ht="15.75">
      <c r="A480" s="47"/>
      <c r="B480" s="17">
        <f t="shared" si="160"/>
        <v>2</v>
      </c>
      <c r="C480" s="334"/>
      <c r="D480" s="691" t="s">
        <v>999</v>
      </c>
      <c r="E480" s="37"/>
      <c r="F480" s="118">
        <f>' WP II-I-1.4'!I480</f>
        <v>0</v>
      </c>
      <c r="G480" s="358">
        <v>26</v>
      </c>
      <c r="H480" s="47" t="str">
        <f>VLOOKUP(G480,FactorTable,2)</f>
        <v>NCP ALL</v>
      </c>
      <c r="I480" s="263"/>
      <c r="J480" s="434">
        <f t="shared" si="162" ref="J480:S482">$F480*HLOOKUP(J$1318,FactorTable,$G480+1)</f>
        <v>0</v>
      </c>
      <c r="K480" s="434">
        <f t="shared" si="162"/>
        <v>0</v>
      </c>
      <c r="L480" s="434">
        <f t="shared" si="162"/>
        <v>0</v>
      </c>
      <c r="M480" s="434">
        <f t="shared" si="162"/>
        <v>0</v>
      </c>
      <c r="N480" s="434">
        <f t="shared" si="162"/>
        <v>0</v>
      </c>
      <c r="O480" s="434">
        <f t="shared" si="162"/>
        <v>0</v>
      </c>
      <c r="P480" s="434">
        <f t="shared" si="162"/>
        <v>0</v>
      </c>
      <c r="Q480" s="434">
        <f t="shared" si="162"/>
        <v>0</v>
      </c>
      <c r="R480" s="434">
        <f t="shared" si="162"/>
        <v>0</v>
      </c>
      <c r="S480" s="434">
        <f t="shared" si="162"/>
        <v>0</v>
      </c>
      <c r="T480" s="263"/>
      <c r="U480" s="252">
        <f>SUM(I480:T480)</f>
        <v>0</v>
      </c>
      <c r="V480" s="67"/>
      <c r="W480" s="726">
        <f t="shared" si="161"/>
        <v>0</v>
      </c>
    </row>
    <row r="481" spans="1:23" ht="15.75">
      <c r="A481" s="47"/>
      <c r="B481" s="17">
        <f t="shared" si="160"/>
        <v>3</v>
      </c>
      <c r="C481" s="43"/>
      <c r="D481" s="43" t="s">
        <v>607</v>
      </c>
      <c r="E481" s="37"/>
      <c r="F481" s="118">
        <f>' WP II-I-1.4'!I481</f>
        <v>0</v>
      </c>
      <c r="G481" s="358">
        <v>26</v>
      </c>
      <c r="H481" s="47" t="str">
        <f>VLOOKUP(G481,FactorTable,2)</f>
        <v>NCP ALL</v>
      </c>
      <c r="I481" s="897"/>
      <c r="J481" s="434">
        <f t="shared" si="162"/>
        <v>0</v>
      </c>
      <c r="K481" s="434">
        <f t="shared" si="162"/>
        <v>0</v>
      </c>
      <c r="L481" s="434">
        <f t="shared" si="162"/>
        <v>0</v>
      </c>
      <c r="M481" s="434">
        <f t="shared" si="162"/>
        <v>0</v>
      </c>
      <c r="N481" s="434">
        <f t="shared" si="162"/>
        <v>0</v>
      </c>
      <c r="O481" s="434">
        <f t="shared" si="162"/>
        <v>0</v>
      </c>
      <c r="P481" s="434">
        <f t="shared" si="162"/>
        <v>0</v>
      </c>
      <c r="Q481" s="434">
        <f t="shared" si="162"/>
        <v>0</v>
      </c>
      <c r="R481" s="434">
        <f t="shared" si="162"/>
        <v>0</v>
      </c>
      <c r="S481" s="434">
        <f t="shared" si="162"/>
        <v>0</v>
      </c>
      <c r="T481" s="897"/>
      <c r="U481" s="252">
        <f>SUM(I481:T481)</f>
        <v>0</v>
      </c>
      <c r="V481" s="67"/>
      <c r="W481" s="726">
        <f t="shared" si="161"/>
        <v>0</v>
      </c>
    </row>
    <row r="482" spans="1:23" ht="15.75">
      <c r="A482" s="47"/>
      <c r="B482" s="17">
        <f t="shared" si="160"/>
        <v>4</v>
      </c>
      <c r="C482" s="43"/>
      <c r="D482" s="691" t="s">
        <v>1257</v>
      </c>
      <c r="E482" s="37"/>
      <c r="F482" s="118">
        <f>' WP II-I-1.4'!I482</f>
        <v>0</v>
      </c>
      <c r="G482" s="358">
        <v>26</v>
      </c>
      <c r="H482" s="47" t="str">
        <f>VLOOKUP(G482,FactorTable,2)</f>
        <v>NCP ALL</v>
      </c>
      <c r="I482" s="897"/>
      <c r="J482" s="435">
        <f t="shared" si="162"/>
        <v>0</v>
      </c>
      <c r="K482" s="435">
        <f t="shared" si="162"/>
        <v>0</v>
      </c>
      <c r="L482" s="435">
        <f t="shared" si="162"/>
        <v>0</v>
      </c>
      <c r="M482" s="435">
        <f t="shared" si="162"/>
        <v>0</v>
      </c>
      <c r="N482" s="435">
        <f t="shared" si="162"/>
        <v>0</v>
      </c>
      <c r="O482" s="435">
        <f t="shared" si="162"/>
        <v>0</v>
      </c>
      <c r="P482" s="435">
        <f t="shared" si="162"/>
        <v>0</v>
      </c>
      <c r="Q482" s="435">
        <f t="shared" si="162"/>
        <v>0</v>
      </c>
      <c r="R482" s="435">
        <f t="shared" si="162"/>
        <v>0</v>
      </c>
      <c r="S482" s="435">
        <f t="shared" si="162"/>
        <v>0</v>
      </c>
      <c r="T482" s="37"/>
      <c r="U482" s="252">
        <f>SUM(I482:T482)</f>
        <v>0</v>
      </c>
      <c r="V482" s="67"/>
      <c r="W482" s="726">
        <f t="shared" si="161"/>
        <v>0</v>
      </c>
    </row>
    <row r="483" spans="1:23" ht="15.75">
      <c r="A483" s="47"/>
      <c r="B483" s="17">
        <f t="shared" si="160"/>
        <v>5</v>
      </c>
      <c r="C483" s="36"/>
      <c r="D483" s="44" t="s">
        <v>491</v>
      </c>
      <c r="E483" s="352"/>
      <c r="F483" s="39">
        <f>SUM(F480:F482)</f>
        <v>0</v>
      </c>
      <c r="G483" s="352"/>
      <c r="H483" s="352"/>
      <c r="I483" s="352"/>
      <c r="J483" s="898">
        <f>SUM(J480:J482)</f>
        <v>0</v>
      </c>
      <c r="K483" s="898">
        <f t="shared" si="163" ref="K483:S483">SUM(K480:K481)</f>
        <v>0</v>
      </c>
      <c r="L483" s="898">
        <f t="shared" si="163"/>
        <v>0</v>
      </c>
      <c r="M483" s="898">
        <f t="shared" si="163"/>
        <v>0</v>
      </c>
      <c r="N483" s="898">
        <f t="shared" si="163"/>
        <v>0</v>
      </c>
      <c r="O483" s="898">
        <f t="shared" si="163"/>
        <v>0</v>
      </c>
      <c r="P483" s="898">
        <f t="shared" si="163"/>
        <v>0</v>
      </c>
      <c r="Q483" s="898">
        <f t="shared" si="163"/>
        <v>0</v>
      </c>
      <c r="R483" s="898">
        <f t="shared" si="163"/>
        <v>0</v>
      </c>
      <c r="S483" s="898">
        <f t="shared" si="163"/>
        <v>0</v>
      </c>
      <c r="T483" s="352"/>
      <c r="U483" s="252">
        <f>SUM(I483:T483)</f>
        <v>0</v>
      </c>
      <c r="V483" s="67"/>
      <c r="W483" s="726">
        <f t="shared" si="161"/>
        <v>0</v>
      </c>
    </row>
    <row r="484" spans="1:23" ht="16.5" thickBot="1">
      <c r="A484" s="47"/>
      <c r="B484" s="17">
        <f t="shared" si="160"/>
        <v>6</v>
      </c>
      <c r="C484" s="36"/>
      <c r="D484" s="44"/>
      <c r="E484" s="37"/>
      <c r="F484" s="39"/>
      <c r="G484" s="37"/>
      <c r="H484" s="37"/>
      <c r="I484" s="37"/>
      <c r="J484" s="898"/>
      <c r="K484" s="898"/>
      <c r="L484" s="898"/>
      <c r="M484" s="898"/>
      <c r="N484" s="898"/>
      <c r="O484" s="898"/>
      <c r="P484" s="898"/>
      <c r="Q484" s="898"/>
      <c r="R484" s="898"/>
      <c r="S484" s="898"/>
      <c r="T484" s="37"/>
      <c r="U484" s="36"/>
      <c r="V484" s="67"/>
      <c r="W484" s="726">
        <f t="shared" si="161"/>
        <v>0</v>
      </c>
    </row>
    <row r="485" spans="1:23" ht="16.5" thickBot="1">
      <c r="A485" s="47"/>
      <c r="B485" s="17">
        <f t="shared" si="160"/>
        <v>7</v>
      </c>
      <c r="C485" s="341" t="s">
        <v>608</v>
      </c>
      <c r="D485" s="336"/>
      <c r="E485" s="337"/>
      <c r="F485" s="278">
        <f>+F483+F464+F421+F399+F374</f>
        <v>-84738757.739999726</v>
      </c>
      <c r="G485" s="337"/>
      <c r="H485" s="457"/>
      <c r="I485" s="643"/>
      <c r="J485" s="356">
        <f t="shared" si="164" ref="J485:Q485">+J483+J464+J421+J399+J374</f>
        <v>-47360750.139624044</v>
      </c>
      <c r="K485" s="905">
        <f t="shared" si="164"/>
        <v>-7347081.0350529496</v>
      </c>
      <c r="L485" s="905">
        <f t="shared" si="164"/>
        <v>-22307481.796366151</v>
      </c>
      <c r="M485" s="905">
        <f t="shared" si="164"/>
        <v>-318804.16524185217</v>
      </c>
      <c r="N485" s="905">
        <f t="shared" si="164"/>
        <v>-6588771.7759527629</v>
      </c>
      <c r="O485" s="905">
        <f>+O483+O464+O421+O399+O374</f>
        <v>-217312.89358778702</v>
      </c>
      <c r="P485" s="905">
        <f t="shared" si="164"/>
        <v>-420289.48371500819</v>
      </c>
      <c r="Q485" s="905">
        <f t="shared" si="164"/>
        <v>-92655.231880048523</v>
      </c>
      <c r="R485" s="905">
        <f>+R483+R464+R421+R399+R374</f>
        <v>-25477.567557904265</v>
      </c>
      <c r="S485" s="279">
        <f>+S483+S464+S421+S399+S374</f>
        <v>-60133.65102122652</v>
      </c>
      <c r="T485" s="457"/>
      <c r="U485" s="256">
        <f>SUM(I485:T485)</f>
        <v>-84738757.739999726</v>
      </c>
      <c r="V485" s="67"/>
      <c r="W485" s="726">
        <f t="shared" si="161"/>
        <v>0</v>
      </c>
    </row>
    <row r="486" spans="1:23" ht="15">
      <c r="A486" s="4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167"/>
    </row>
    <row r="487" spans="1:23" ht="15">
      <c r="A487" s="47"/>
      <c r="B487" s="67"/>
      <c r="C487" s="67"/>
      <c r="D487" s="67"/>
      <c r="E487" s="67"/>
      <c r="F487" s="67"/>
      <c r="G487" s="67"/>
      <c r="H487" s="134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134"/>
      <c r="V487" s="134">
        <f>$H$2</f>
        <v>0</v>
      </c>
      <c r="W487" s="167"/>
    </row>
    <row r="488" spans="1:23" ht="15.75" thickBot="1">
      <c r="A488" s="4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167"/>
    </row>
    <row r="489" spans="1:23" ht="15.75">
      <c r="A489" s="47"/>
      <c r="B489" s="920" t="str">
        <f>+$B$4</f>
        <v>2022 RATE CASE</v>
      </c>
      <c r="C489" s="935"/>
      <c r="D489" s="969"/>
      <c r="F489" s="332"/>
      <c r="U489" s="134"/>
      <c r="W489" s="167"/>
    </row>
    <row r="490" spans="1:23" ht="15.75">
      <c r="A490" s="47"/>
      <c r="B490" s="917" t="str">
        <f>+$B$5</f>
        <v>ONCOR ELECTRIC DELIVERY COMPANY LLC</v>
      </c>
      <c r="C490" s="8"/>
      <c r="D490" s="970"/>
      <c r="F490" s="332"/>
      <c r="U490" s="134"/>
      <c r="V490" s="67"/>
      <c r="W490" s="167"/>
    </row>
    <row r="491" spans="1:23" ht="15.75">
      <c r="A491" s="47"/>
      <c r="B491" s="917" t="str">
        <f>+$B$6</f>
        <v>II-I-1-TBILLTDCS:  CLASS REVENUE REQUIREMENT</v>
      </c>
      <c r="C491" s="85"/>
      <c r="D491" s="970"/>
      <c r="F491" s="332"/>
      <c r="U491" s="332"/>
      <c r="V491" s="67"/>
      <c r="W491" s="167"/>
    </row>
    <row r="492" spans="1:23" ht="15.75">
      <c r="A492" s="47"/>
      <c r="B492" s="406" t="str">
        <f>+$B$7</f>
        <v>TEST YEAR ENDING 12/31/2021</v>
      </c>
      <c r="C492" s="85"/>
      <c r="D492" s="970"/>
      <c r="F492" s="332"/>
      <c r="U492" s="332"/>
      <c r="V492" s="67"/>
      <c r="W492" s="167"/>
    </row>
    <row r="493" spans="1:23" ht="15.75">
      <c r="A493" s="47"/>
      <c r="B493" s="406" t="str">
        <f>+$B$8</f>
        <v>SPONSOR:  MATTHEW A. TROXLE</v>
      </c>
      <c r="C493" s="85"/>
      <c r="D493" s="970"/>
      <c r="F493" s="332"/>
      <c r="U493" s="332"/>
      <c r="V493" s="67"/>
      <c r="W493" s="167"/>
    </row>
    <row r="494" spans="1:23" ht="16.5" thickBot="1">
      <c r="A494" s="47"/>
      <c r="B494" s="410"/>
      <c r="C494" s="934"/>
      <c r="D494" s="936"/>
      <c r="F494" s="332"/>
      <c r="U494" s="332"/>
      <c r="V494" s="67"/>
      <c r="W494" s="167"/>
    </row>
    <row r="495" spans="1:23" ht="15.75" thickBot="1">
      <c r="A495" s="47"/>
      <c r="B495" s="13"/>
      <c r="C495" s="14"/>
      <c r="D495" s="14"/>
      <c r="E495" s="14"/>
      <c r="F495" s="13"/>
      <c r="G495" s="14"/>
      <c r="H495" s="14"/>
      <c r="I495" s="14"/>
      <c r="J495" s="238"/>
      <c r="K495" s="238"/>
      <c r="L495" s="14"/>
      <c r="M495" s="238"/>
      <c r="N495" s="238"/>
      <c r="O495" s="238"/>
      <c r="P495" s="238"/>
      <c r="Q495" s="14"/>
      <c r="R495" s="393" t="str">
        <f>R$10</f>
        <v xml:space="preserve"> </v>
      </c>
      <c r="S495" s="394"/>
      <c r="T495" s="238"/>
      <c r="U495" s="13"/>
      <c r="V495" s="67"/>
      <c r="W495" s="167"/>
    </row>
    <row r="496" spans="1:23" ht="15.75">
      <c r="A496" s="47"/>
      <c r="B496" s="15" t="s">
        <v>2</v>
      </c>
      <c r="C496" s="15" t="s">
        <v>370</v>
      </c>
      <c r="D496" s="287" t="s">
        <v>609</v>
      </c>
      <c r="E496" s="15" t="s">
        <v>371</v>
      </c>
      <c r="F496" s="287" t="str">
        <f>F$11</f>
        <v>TBILLTDCS</v>
      </c>
      <c r="G496" s="242" t="s">
        <v>741</v>
      </c>
      <c r="H496" s="242" t="s">
        <v>376</v>
      </c>
      <c r="I496" s="15"/>
      <c r="J496" s="242" t="s">
        <v>730</v>
      </c>
      <c r="K496" s="242" t="s">
        <v>409</v>
      </c>
      <c r="L496" s="15" t="s">
        <v>409</v>
      </c>
      <c r="M496" s="242" t="s">
        <v>410</v>
      </c>
      <c r="N496" s="242" t="s">
        <v>410</v>
      </c>
      <c r="O496" s="242" t="s">
        <v>410</v>
      </c>
      <c r="P496" s="242" t="s">
        <v>411</v>
      </c>
      <c r="Q496" s="15" t="s">
        <v>412</v>
      </c>
      <c r="R496" s="396" t="str">
        <f>R$11</f>
        <v>Wholesale</v>
      </c>
      <c r="S496" s="13" t="str">
        <f>S$11</f>
        <v>Wholesale</v>
      </c>
      <c r="T496" s="242"/>
      <c r="U496" s="15" t="s">
        <v>10</v>
      </c>
      <c r="V496" s="67"/>
      <c r="W496" s="167"/>
    </row>
    <row r="497" spans="1:23" ht="15">
      <c r="A497" s="47"/>
      <c r="B497" s="15"/>
      <c r="C497" s="15"/>
      <c r="D497" s="15"/>
      <c r="E497" s="15"/>
      <c r="F497" s="15"/>
      <c r="G497" s="242" t="s">
        <v>742</v>
      </c>
      <c r="H497" s="242" t="s">
        <v>743</v>
      </c>
      <c r="I497" s="15"/>
      <c r="J497" s="242"/>
      <c r="K497" s="242" t="s">
        <v>731</v>
      </c>
      <c r="L497" s="15" t="s">
        <v>732</v>
      </c>
      <c r="M497" s="242" t="s">
        <v>731</v>
      </c>
      <c r="N497" s="242" t="s">
        <v>732</v>
      </c>
      <c r="O497" s="242" t="s">
        <v>414</v>
      </c>
      <c r="P497" s="242"/>
      <c r="Q497" s="15"/>
      <c r="R497" s="235" t="str">
        <f>R$12</f>
        <v>XFMR</v>
      </c>
      <c r="S497" s="15" t="str">
        <f>S$12</f>
        <v>DLS</v>
      </c>
      <c r="T497" s="242"/>
      <c r="U497" s="15"/>
      <c r="V497" s="67"/>
      <c r="W497" s="167"/>
    </row>
    <row r="498" spans="1:23" ht="15.75" thickBot="1">
      <c r="A498" s="47"/>
      <c r="B498" s="16"/>
      <c r="C498" s="16"/>
      <c r="D498" s="16"/>
      <c r="E498" s="16"/>
      <c r="F498" s="16" t="s">
        <v>13</v>
      </c>
      <c r="G498" s="16" t="s">
        <v>14</v>
      </c>
      <c r="H498" s="16" t="s">
        <v>15</v>
      </c>
      <c r="I498" s="16"/>
      <c r="J498" s="243" t="str">
        <f t="shared" si="165" ref="J498:Q498">J$13</f>
        <v>(d)</v>
      </c>
      <c r="K498" s="243" t="str">
        <f t="shared" si="165"/>
        <v>(e)</v>
      </c>
      <c r="L498" s="16" t="str">
        <f t="shared" si="165"/>
        <v>(f)</v>
      </c>
      <c r="M498" s="243" t="str">
        <f t="shared" si="165"/>
        <v>(g)</v>
      </c>
      <c r="N498" s="243" t="str">
        <f t="shared" si="165"/>
        <v>(h)</v>
      </c>
      <c r="O498" s="243" t="str">
        <f>O$13</f>
        <v>(i)</v>
      </c>
      <c r="P498" s="243" t="str">
        <f t="shared" si="165"/>
        <v>(j)</v>
      </c>
      <c r="Q498" s="243" t="str">
        <f t="shared" si="165"/>
        <v>(k)</v>
      </c>
      <c r="R498" s="243" t="str">
        <f>R$13</f>
        <v>(l)</v>
      </c>
      <c r="S498" s="16" t="str">
        <f>S$13</f>
        <v>(m)</v>
      </c>
      <c r="T498" s="16"/>
      <c r="U498" s="16" t="s">
        <v>734</v>
      </c>
      <c r="V498" s="67"/>
      <c r="W498" s="167"/>
    </row>
    <row r="499" spans="1:23" ht="15">
      <c r="A499" s="47"/>
      <c r="B499" s="67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43"/>
      <c r="V499" s="67"/>
      <c r="W499" s="167"/>
    </row>
    <row r="500" spans="1:23" ht="15.75">
      <c r="A500" s="47"/>
      <c r="B500" s="17">
        <f t="shared" si="166" ref="B500:B521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67"/>
      <c r="W500" s="167"/>
    </row>
    <row r="501" spans="1:23" ht="15.75">
      <c r="A501" s="47"/>
      <c r="B501" s="17">
        <f t="shared" si="166"/>
        <v>2</v>
      </c>
      <c r="C501" s="36" t="s">
        <v>610</v>
      </c>
      <c r="D501" s="44"/>
      <c r="E501" s="37" t="s">
        <v>132</v>
      </c>
      <c r="F501" s="35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6"/>
      <c r="V501" s="67"/>
      <c r="W501" s="167"/>
    </row>
    <row r="502" spans="1:23" ht="15.75">
      <c r="A502" s="47"/>
      <c r="B502" s="17">
        <f t="shared" si="166"/>
        <v>3</v>
      </c>
      <c r="C502" s="36" t="s">
        <v>611</v>
      </c>
      <c r="D502" s="44"/>
      <c r="E502" s="37"/>
      <c r="F502" s="355"/>
      <c r="G502" s="37"/>
      <c r="H502" s="37"/>
      <c r="I502" s="897"/>
      <c r="J502" s="897"/>
      <c r="K502" s="897"/>
      <c r="L502" s="897"/>
      <c r="M502" s="897"/>
      <c r="N502" s="897"/>
      <c r="O502" s="897"/>
      <c r="P502" s="897"/>
      <c r="Q502" s="897"/>
      <c r="R502" s="897"/>
      <c r="S502" s="897"/>
      <c r="T502" s="897"/>
      <c r="U502" s="36"/>
      <c r="V502" s="67"/>
      <c r="W502" s="167"/>
    </row>
    <row r="503" spans="1:23" ht="15">
      <c r="A503" s="47"/>
      <c r="B503" s="17">
        <f t="shared" si="166"/>
        <v>4</v>
      </c>
      <c r="C503" s="43">
        <v>189</v>
      </c>
      <c r="D503" s="43" t="s">
        <v>1210</v>
      </c>
      <c r="E503" s="263"/>
      <c r="F503" s="290">
        <f>' WP II-I-1.4'!I503</f>
        <v>0</v>
      </c>
      <c r="G503" s="358">
        <v>64</v>
      </c>
      <c r="H503" s="47" t="str">
        <f t="shared" si="167" ref="H503:H534">VLOOKUP(G503,FactorTable,2)</f>
        <v>PLANT</v>
      </c>
      <c r="I503" s="263"/>
      <c r="J503" s="434">
        <f t="shared" si="168" ref="J503:S512">$F503*HLOOKUP(J$1318,FactorTable,$G503+1)</f>
        <v>0</v>
      </c>
      <c r="K503" s="434">
        <f t="shared" si="168"/>
        <v>0</v>
      </c>
      <c r="L503" s="434">
        <f t="shared" si="168"/>
        <v>0</v>
      </c>
      <c r="M503" s="434">
        <f t="shared" si="168"/>
        <v>0</v>
      </c>
      <c r="N503" s="434">
        <f t="shared" si="168"/>
        <v>0</v>
      </c>
      <c r="O503" s="434">
        <f t="shared" si="168"/>
        <v>0</v>
      </c>
      <c r="P503" s="434">
        <f t="shared" si="168"/>
        <v>0</v>
      </c>
      <c r="Q503" s="434">
        <f t="shared" si="168"/>
        <v>0</v>
      </c>
      <c r="R503" s="434">
        <f t="shared" si="168"/>
        <v>0</v>
      </c>
      <c r="S503" s="434">
        <f t="shared" si="168"/>
        <v>0</v>
      </c>
      <c r="T503" s="263"/>
      <c r="U503" s="118">
        <f t="shared" si="169" ref="U503:U508">SUM(J503:S503)</f>
        <v>0</v>
      </c>
      <c r="V503" s="67"/>
      <c r="W503" s="726">
        <f t="shared" si="170" ref="W503:W552">F503-U503</f>
        <v>0</v>
      </c>
    </row>
    <row r="504" spans="1:23" ht="15.75">
      <c r="A504" s="47"/>
      <c r="B504" s="17">
        <f t="shared" si="166"/>
        <v>5</v>
      </c>
      <c r="C504" s="43">
        <v>182</v>
      </c>
      <c r="D504" s="43" t="s">
        <v>1211</v>
      </c>
      <c r="E504" s="897"/>
      <c r="F504" s="290">
        <f>' WP II-I-1.4'!I504</f>
        <v>0</v>
      </c>
      <c r="G504" s="358">
        <v>64</v>
      </c>
      <c r="H504" s="47" t="str">
        <f t="shared" si="167"/>
        <v>PLANT</v>
      </c>
      <c r="I504" s="897"/>
      <c r="J504" s="434">
        <f t="shared" si="168"/>
        <v>0</v>
      </c>
      <c r="K504" s="434">
        <f t="shared" si="168"/>
        <v>0</v>
      </c>
      <c r="L504" s="434">
        <f t="shared" si="168"/>
        <v>0</v>
      </c>
      <c r="M504" s="434">
        <f t="shared" si="168"/>
        <v>0</v>
      </c>
      <c r="N504" s="434">
        <f t="shared" si="168"/>
        <v>0</v>
      </c>
      <c r="O504" s="434">
        <f t="shared" si="168"/>
        <v>0</v>
      </c>
      <c r="P504" s="434">
        <f t="shared" si="168"/>
        <v>0</v>
      </c>
      <c r="Q504" s="434">
        <f t="shared" si="168"/>
        <v>0</v>
      </c>
      <c r="R504" s="434">
        <f t="shared" si="168"/>
        <v>0</v>
      </c>
      <c r="S504" s="434">
        <f t="shared" si="168"/>
        <v>0</v>
      </c>
      <c r="T504" s="897"/>
      <c r="U504" s="118">
        <f t="shared" si="169"/>
        <v>0</v>
      </c>
      <c r="V504" s="67"/>
      <c r="W504" s="726">
        <f t="shared" si="170"/>
        <v>0</v>
      </c>
    </row>
    <row r="505" spans="1:23" ht="15.75">
      <c r="A505" s="47"/>
      <c r="B505" s="17">
        <f t="shared" si="166"/>
        <v>6</v>
      </c>
      <c r="C505" s="43">
        <v>182</v>
      </c>
      <c r="D505" s="43" t="s">
        <v>1359</v>
      </c>
      <c r="E505" s="897"/>
      <c r="F505" s="290">
        <f>' WP II-I-1.4'!I505</f>
        <v>0</v>
      </c>
      <c r="G505" s="358">
        <v>69</v>
      </c>
      <c r="H505" s="47" t="str">
        <f t="shared" si="167"/>
        <v>PLANT_xWHL</v>
      </c>
      <c r="I505" s="897"/>
      <c r="J505" s="434">
        <f t="shared" si="168"/>
        <v>0</v>
      </c>
      <c r="K505" s="434">
        <f t="shared" si="168"/>
        <v>0</v>
      </c>
      <c r="L505" s="434">
        <f t="shared" si="168"/>
        <v>0</v>
      </c>
      <c r="M505" s="434">
        <f t="shared" si="168"/>
        <v>0</v>
      </c>
      <c r="N505" s="434">
        <f t="shared" si="168"/>
        <v>0</v>
      </c>
      <c r="O505" s="434">
        <f t="shared" si="168"/>
        <v>0</v>
      </c>
      <c r="P505" s="434">
        <f t="shared" si="168"/>
        <v>0</v>
      </c>
      <c r="Q505" s="434">
        <f t="shared" si="168"/>
        <v>0</v>
      </c>
      <c r="R505" s="434">
        <f t="shared" si="168"/>
        <v>0</v>
      </c>
      <c r="S505" s="434">
        <f t="shared" si="168"/>
        <v>0</v>
      </c>
      <c r="T505" s="897"/>
      <c r="U505" s="118">
        <f t="shared" si="169"/>
        <v>0</v>
      </c>
      <c r="V505" s="67"/>
      <c r="W505" s="726">
        <f t="shared" si="170"/>
        <v>0</v>
      </c>
    </row>
    <row r="506" spans="1:23" ht="15.75">
      <c r="A506" s="47"/>
      <c r="B506" s="17">
        <f t="shared" si="166"/>
        <v>7</v>
      </c>
      <c r="C506" s="43">
        <v>182</v>
      </c>
      <c r="D506" s="43" t="s">
        <v>1213</v>
      </c>
      <c r="E506" s="897"/>
      <c r="F506" s="290">
        <f>' WP II-I-1.4'!I506</f>
        <v>1280747.8899999992</v>
      </c>
      <c r="G506" s="358">
        <v>69</v>
      </c>
      <c r="H506" s="47" t="str">
        <f t="shared" si="167"/>
        <v>PLANT_xWHL</v>
      </c>
      <c r="I506" s="897"/>
      <c r="J506" s="434">
        <f t="shared" si="168"/>
        <v>714316.58351870591</v>
      </c>
      <c r="K506" s="434">
        <f t="shared" si="168"/>
        <v>110129.22151257239</v>
      </c>
      <c r="L506" s="434">
        <f t="shared" si="168"/>
        <v>339697.3934831834</v>
      </c>
      <c r="M506" s="434">
        <f t="shared" si="168"/>
        <v>4769.8671837908523</v>
      </c>
      <c r="N506" s="434">
        <f t="shared" si="168"/>
        <v>99534.279065424373</v>
      </c>
      <c r="O506" s="434">
        <f t="shared" si="168"/>
        <v>3401.3855096232364</v>
      </c>
      <c r="P506" s="434">
        <f t="shared" si="168"/>
        <v>7404.5546094105803</v>
      </c>
      <c r="Q506" s="434">
        <f t="shared" si="168"/>
        <v>1494.6051172887114</v>
      </c>
      <c r="R506" s="434">
        <f t="shared" si="168"/>
        <v>0</v>
      </c>
      <c r="S506" s="434">
        <f t="shared" si="168"/>
        <v>0</v>
      </c>
      <c r="T506" s="897"/>
      <c r="U506" s="118">
        <f t="shared" si="169"/>
        <v>1280747.8899999992</v>
      </c>
      <c r="V506" s="67"/>
      <c r="W506" s="726">
        <f t="shared" si="170"/>
        <v>0</v>
      </c>
    </row>
    <row r="507" spans="1:23" ht="15.75">
      <c r="A507" s="47"/>
      <c r="B507" s="17">
        <f t="shared" si="166"/>
        <v>8</v>
      </c>
      <c r="C507" s="43">
        <v>182</v>
      </c>
      <c r="D507" s="43" t="s">
        <v>135</v>
      </c>
      <c r="E507" s="897"/>
      <c r="F507" s="290">
        <f>' WP II-I-1.4'!I507</f>
        <v>6400179.7299999967</v>
      </c>
      <c r="G507" s="358">
        <v>88</v>
      </c>
      <c r="H507" s="47" t="str">
        <f t="shared" si="167"/>
        <v>PAYROLL</v>
      </c>
      <c r="I507" s="897"/>
      <c r="J507" s="434">
        <f t="shared" si="168"/>
        <v>3455826.5556622013</v>
      </c>
      <c r="K507" s="434">
        <f t="shared" si="168"/>
        <v>489429.49874320166</v>
      </c>
      <c r="L507" s="434">
        <f t="shared" si="168"/>
        <v>1716958.5920680873</v>
      </c>
      <c r="M507" s="434">
        <f t="shared" si="168"/>
        <v>20372.594193544031</v>
      </c>
      <c r="N507" s="434">
        <f t="shared" si="168"/>
        <v>470247.61138745176</v>
      </c>
      <c r="O507" s="434">
        <f t="shared" si="168"/>
        <v>20278.571195080294</v>
      </c>
      <c r="P507" s="434">
        <f t="shared" si="168"/>
        <v>52829.572725432285</v>
      </c>
      <c r="Q507" s="434">
        <f t="shared" si="168"/>
        <v>168731.56283348415</v>
      </c>
      <c r="R507" s="434">
        <f t="shared" si="168"/>
        <v>1650.5247158882651</v>
      </c>
      <c r="S507" s="434">
        <f t="shared" si="168"/>
        <v>3854.646475626213</v>
      </c>
      <c r="T507" s="897"/>
      <c r="U507" s="118">
        <f t="shared" si="169"/>
        <v>6400179.7299999967</v>
      </c>
      <c r="V507" s="67"/>
      <c r="W507" s="726">
        <f t="shared" si="170"/>
        <v>0</v>
      </c>
    </row>
    <row r="508" spans="1:23" ht="15.75">
      <c r="A508" s="47"/>
      <c r="B508" s="17">
        <f t="shared" si="166"/>
        <v>9</v>
      </c>
      <c r="C508" s="43">
        <v>182</v>
      </c>
      <c r="D508" s="43" t="s">
        <v>136</v>
      </c>
      <c r="E508" s="897"/>
      <c r="F508" s="290">
        <f>' WP II-I-1.4'!I508</f>
        <v>-116244.11999999825</v>
      </c>
      <c r="G508" s="358">
        <v>88</v>
      </c>
      <c r="H508" s="47" t="str">
        <f t="shared" si="167"/>
        <v>PAYROLL</v>
      </c>
      <c r="I508" s="897"/>
      <c r="J508" s="434">
        <f t="shared" si="168"/>
        <v>-62766.911834142782</v>
      </c>
      <c r="K508" s="434">
        <f t="shared" si="168"/>
        <v>-8889.3287038118469</v>
      </c>
      <c r="L508" s="434">
        <f t="shared" si="168"/>
        <v>-31184.489972345025</v>
      </c>
      <c r="M508" s="434">
        <f t="shared" si="168"/>
        <v>-370.01996569643228</v>
      </c>
      <c r="N508" s="434">
        <f t="shared" si="168"/>
        <v>-8540.9351102450237</v>
      </c>
      <c r="O508" s="434">
        <f t="shared" si="168"/>
        <v>-368.31226041669663</v>
      </c>
      <c r="P508" s="434">
        <f t="shared" si="168"/>
        <v>-959.52417752552526</v>
      </c>
      <c r="Q508" s="434">
        <f t="shared" si="168"/>
        <v>-3064.6095680507997</v>
      </c>
      <c r="R508" s="434">
        <f t="shared" si="168"/>
        <v>-29.977875814540383</v>
      </c>
      <c r="S508" s="434">
        <f t="shared" si="168"/>
        <v>-70.010531949587005</v>
      </c>
      <c r="T508" s="897"/>
      <c r="U508" s="118">
        <f t="shared" si="169"/>
        <v>-116244.11999999826</v>
      </c>
      <c r="V508" s="67"/>
      <c r="W508" s="726">
        <f t="shared" si="170"/>
        <v>0</v>
      </c>
    </row>
    <row r="509" spans="1:23" ht="15.75">
      <c r="A509" s="47"/>
      <c r="B509" s="17">
        <f t="shared" si="166"/>
        <v>10</v>
      </c>
      <c r="C509" s="43">
        <v>182</v>
      </c>
      <c r="D509" s="43" t="s">
        <v>137</v>
      </c>
      <c r="E509" s="897"/>
      <c r="F509" s="290">
        <f>' WP II-I-1.4'!I509</f>
        <v>696188.65999999922</v>
      </c>
      <c r="G509" s="358">
        <v>37</v>
      </c>
      <c r="H509" s="47" t="str">
        <f t="shared" si="167"/>
        <v>OPEB TOTAL</v>
      </c>
      <c r="I509" s="897"/>
      <c r="J509" s="434">
        <f t="shared" si="168"/>
        <v>375912.45253652928</v>
      </c>
      <c r="K509" s="434">
        <f t="shared" si="168"/>
        <v>53238.390368531269</v>
      </c>
      <c r="L509" s="434">
        <f t="shared" si="168"/>
        <v>186764.61473174405</v>
      </c>
      <c r="M509" s="434">
        <f t="shared" si="168"/>
        <v>2216.0579312867503</v>
      </c>
      <c r="N509" s="434">
        <f t="shared" si="168"/>
        <v>51151.853268350416</v>
      </c>
      <c r="O509" s="434">
        <f t="shared" si="168"/>
        <v>2205.8304457986746</v>
      </c>
      <c r="P509" s="434">
        <f t="shared" si="168"/>
        <v>5746.6119696128017</v>
      </c>
      <c r="Q509" s="434">
        <f t="shared" si="168"/>
        <v>18354.015915854452</v>
      </c>
      <c r="R509" s="434">
        <f t="shared" si="168"/>
        <v>179.538175289826</v>
      </c>
      <c r="S509" s="434">
        <f t="shared" si="168"/>
        <v>419.2946570017549</v>
      </c>
      <c r="T509" s="897"/>
      <c r="U509" s="118">
        <f t="shared" si="171" ref="U509:U535">SUM(I509:T509)</f>
        <v>696188.65999999933</v>
      </c>
      <c r="V509" s="67"/>
      <c r="W509" s="726">
        <f t="shared" si="170"/>
        <v>0</v>
      </c>
    </row>
    <row r="510" spans="1:23" ht="15">
      <c r="A510" s="47"/>
      <c r="B510" s="17">
        <f t="shared" si="166"/>
        <v>11</v>
      </c>
      <c r="C510" s="43">
        <v>182</v>
      </c>
      <c r="D510" s="43" t="s">
        <v>1360</v>
      </c>
      <c r="E510" s="263"/>
      <c r="F510" s="290">
        <f>' WP II-I-1.4'!I510</f>
        <v>0</v>
      </c>
      <c r="G510" s="358">
        <v>37</v>
      </c>
      <c r="H510" s="47" t="str">
        <f t="shared" si="167"/>
        <v>OPEB TOTAL</v>
      </c>
      <c r="I510" s="263"/>
      <c r="J510" s="434">
        <f t="shared" si="168"/>
        <v>0</v>
      </c>
      <c r="K510" s="434">
        <f t="shared" si="168"/>
        <v>0</v>
      </c>
      <c r="L510" s="434">
        <f t="shared" si="168"/>
        <v>0</v>
      </c>
      <c r="M510" s="434">
        <f t="shared" si="168"/>
        <v>0</v>
      </c>
      <c r="N510" s="434">
        <f t="shared" si="168"/>
        <v>0</v>
      </c>
      <c r="O510" s="434">
        <f t="shared" si="168"/>
        <v>0</v>
      </c>
      <c r="P510" s="434">
        <f t="shared" si="168"/>
        <v>0</v>
      </c>
      <c r="Q510" s="434">
        <f t="shared" si="168"/>
        <v>0</v>
      </c>
      <c r="R510" s="434">
        <f t="shared" si="168"/>
        <v>0</v>
      </c>
      <c r="S510" s="434">
        <f t="shared" si="168"/>
        <v>0</v>
      </c>
      <c r="T510" s="263"/>
      <c r="U510" s="118">
        <f t="shared" si="171"/>
        <v>0</v>
      </c>
      <c r="V510" s="67"/>
      <c r="W510" s="726">
        <f t="shared" si="170"/>
        <v>0</v>
      </c>
    </row>
    <row r="511" spans="1:23" ht="15.75">
      <c r="A511" s="47"/>
      <c r="B511" s="17">
        <f t="shared" si="166"/>
        <v>12</v>
      </c>
      <c r="C511" s="43">
        <v>182</v>
      </c>
      <c r="D511" s="43" t="s">
        <v>1361</v>
      </c>
      <c r="E511" s="897"/>
      <c r="F511" s="290">
        <f>' WP II-I-1.4'!I511</f>
        <v>0</v>
      </c>
      <c r="G511" s="358">
        <v>64</v>
      </c>
      <c r="H511" s="47" t="str">
        <f t="shared" si="167"/>
        <v>PLANT</v>
      </c>
      <c r="I511" s="897"/>
      <c r="J511" s="434">
        <f t="shared" si="168"/>
        <v>0</v>
      </c>
      <c r="K511" s="434">
        <f t="shared" si="168"/>
        <v>0</v>
      </c>
      <c r="L511" s="434">
        <f t="shared" si="168"/>
        <v>0</v>
      </c>
      <c r="M511" s="434">
        <f t="shared" si="168"/>
        <v>0</v>
      </c>
      <c r="N511" s="434">
        <f t="shared" si="168"/>
        <v>0</v>
      </c>
      <c r="O511" s="434">
        <f t="shared" si="168"/>
        <v>0</v>
      </c>
      <c r="P511" s="434">
        <f t="shared" si="168"/>
        <v>0</v>
      </c>
      <c r="Q511" s="434">
        <f t="shared" si="168"/>
        <v>0</v>
      </c>
      <c r="R511" s="434">
        <f t="shared" si="168"/>
        <v>0</v>
      </c>
      <c r="S511" s="434">
        <f t="shared" si="168"/>
        <v>0</v>
      </c>
      <c r="T511" s="897"/>
      <c r="U511" s="118">
        <f t="shared" si="171"/>
        <v>0</v>
      </c>
      <c r="V511" s="67"/>
      <c r="W511" s="726">
        <f t="shared" si="170"/>
        <v>0</v>
      </c>
    </row>
    <row r="512" spans="1:23" ht="15.75">
      <c r="A512" s="47"/>
      <c r="B512" s="17">
        <f t="shared" si="166"/>
        <v>13</v>
      </c>
      <c r="C512" s="691">
        <v>182</v>
      </c>
      <c r="D512" s="691" t="s">
        <v>1362</v>
      </c>
      <c r="E512" s="897"/>
      <c r="F512" s="290">
        <f>' WP II-I-1.4'!I512</f>
        <v>0</v>
      </c>
      <c r="G512" s="1137">
        <v>37</v>
      </c>
      <c r="H512" s="703" t="str">
        <f t="shared" si="167"/>
        <v>OPEB TOTAL</v>
      </c>
      <c r="I512" s="897"/>
      <c r="J512" s="434">
        <f t="shared" si="168"/>
        <v>0</v>
      </c>
      <c r="K512" s="434">
        <f t="shared" si="168"/>
        <v>0</v>
      </c>
      <c r="L512" s="434">
        <f t="shared" si="168"/>
        <v>0</v>
      </c>
      <c r="M512" s="434">
        <f t="shared" si="168"/>
        <v>0</v>
      </c>
      <c r="N512" s="434">
        <f t="shared" si="168"/>
        <v>0</v>
      </c>
      <c r="O512" s="434">
        <f t="shared" si="168"/>
        <v>0</v>
      </c>
      <c r="P512" s="434">
        <f t="shared" si="168"/>
        <v>0</v>
      </c>
      <c r="Q512" s="434">
        <f t="shared" si="168"/>
        <v>0</v>
      </c>
      <c r="R512" s="434">
        <f t="shared" si="168"/>
        <v>0</v>
      </c>
      <c r="S512" s="434">
        <f t="shared" si="168"/>
        <v>0</v>
      </c>
      <c r="T512" s="897"/>
      <c r="U512" s="118">
        <f t="shared" si="171"/>
        <v>0</v>
      </c>
      <c r="V512" s="67"/>
      <c r="W512" s="726">
        <f t="shared" si="170"/>
        <v>0</v>
      </c>
    </row>
    <row r="513" spans="1:23" ht="15.75">
      <c r="A513" s="47"/>
      <c r="B513" s="17">
        <f t="shared" si="166"/>
        <v>14</v>
      </c>
      <c r="C513" s="43">
        <v>186</v>
      </c>
      <c r="D513" s="43" t="s">
        <v>1335</v>
      </c>
      <c r="E513" s="897"/>
      <c r="F513" s="290">
        <f>' WP II-I-1.4'!I513</f>
        <v>0</v>
      </c>
      <c r="G513" s="358">
        <v>51</v>
      </c>
      <c r="H513" s="47" t="str">
        <f t="shared" si="167"/>
        <v>PLT 370</v>
      </c>
      <c r="I513" s="897"/>
      <c r="J513" s="434">
        <f t="shared" si="172" ref="J513:S522">$F513*HLOOKUP(J$1318,FactorTable,$G513+1)</f>
        <v>0</v>
      </c>
      <c r="K513" s="434">
        <f t="shared" si="172"/>
        <v>0</v>
      </c>
      <c r="L513" s="434">
        <f t="shared" si="172"/>
        <v>0</v>
      </c>
      <c r="M513" s="434">
        <f t="shared" si="172"/>
        <v>0</v>
      </c>
      <c r="N513" s="434">
        <f t="shared" si="172"/>
        <v>0</v>
      </c>
      <c r="O513" s="434">
        <f t="shared" si="172"/>
        <v>0</v>
      </c>
      <c r="P513" s="434">
        <f t="shared" si="172"/>
        <v>0</v>
      </c>
      <c r="Q513" s="434">
        <f t="shared" si="172"/>
        <v>0</v>
      </c>
      <c r="R513" s="434">
        <f t="shared" si="172"/>
        <v>0</v>
      </c>
      <c r="S513" s="434">
        <f t="shared" si="172"/>
        <v>0</v>
      </c>
      <c r="T513" s="897"/>
      <c r="U513" s="118">
        <f t="shared" si="171"/>
        <v>0</v>
      </c>
      <c r="V513" s="67"/>
      <c r="W513" s="726">
        <f t="shared" si="170"/>
        <v>0</v>
      </c>
    </row>
    <row r="514" spans="1:23" s="386" customFormat="1" ht="15.75">
      <c r="A514" s="47"/>
      <c r="B514" s="17">
        <f t="shared" si="166"/>
        <v>15</v>
      </c>
      <c r="C514" s="43">
        <v>186</v>
      </c>
      <c r="D514" s="43" t="s">
        <v>1216</v>
      </c>
      <c r="E514" s="897"/>
      <c r="F514" s="290">
        <f>' WP II-I-1.4'!I514</f>
        <v>0</v>
      </c>
      <c r="G514" s="358">
        <v>51</v>
      </c>
      <c r="H514" s="47" t="str">
        <f t="shared" si="167"/>
        <v>PLT 370</v>
      </c>
      <c r="I514" s="897"/>
      <c r="J514" s="434">
        <f t="shared" si="172"/>
        <v>0</v>
      </c>
      <c r="K514" s="434">
        <f t="shared" si="172"/>
        <v>0</v>
      </c>
      <c r="L514" s="434">
        <f t="shared" si="172"/>
        <v>0</v>
      </c>
      <c r="M514" s="434">
        <f t="shared" si="172"/>
        <v>0</v>
      </c>
      <c r="N514" s="434">
        <f t="shared" si="172"/>
        <v>0</v>
      </c>
      <c r="O514" s="434">
        <f t="shared" si="172"/>
        <v>0</v>
      </c>
      <c r="P514" s="434">
        <f t="shared" si="172"/>
        <v>0</v>
      </c>
      <c r="Q514" s="434">
        <f t="shared" si="172"/>
        <v>0</v>
      </c>
      <c r="R514" s="434">
        <f t="shared" si="172"/>
        <v>0</v>
      </c>
      <c r="S514" s="434">
        <f t="shared" si="172"/>
        <v>0</v>
      </c>
      <c r="T514" s="897"/>
      <c r="U514" s="290">
        <f t="shared" si="171"/>
        <v>0</v>
      </c>
      <c r="V514" s="47"/>
      <c r="W514" s="1341">
        <f t="shared" si="170"/>
        <v>0</v>
      </c>
    </row>
    <row r="515" spans="1:23" s="386" customFormat="1" ht="15.75">
      <c r="A515" s="47"/>
      <c r="B515" s="17">
        <f t="shared" si="166"/>
        <v>16</v>
      </c>
      <c r="C515" s="43">
        <v>186</v>
      </c>
      <c r="D515" s="43" t="s">
        <v>1217</v>
      </c>
      <c r="E515" s="897"/>
      <c r="F515" s="290">
        <f>' WP II-I-1.4'!I515</f>
        <v>0</v>
      </c>
      <c r="G515" s="358">
        <v>64</v>
      </c>
      <c r="H515" s="47" t="str">
        <f t="shared" si="167"/>
        <v>PLANT</v>
      </c>
      <c r="I515" s="897"/>
      <c r="J515" s="434">
        <f t="shared" si="172"/>
        <v>0</v>
      </c>
      <c r="K515" s="434">
        <f t="shared" si="172"/>
        <v>0</v>
      </c>
      <c r="L515" s="434">
        <f t="shared" si="172"/>
        <v>0</v>
      </c>
      <c r="M515" s="434">
        <f t="shared" si="172"/>
        <v>0</v>
      </c>
      <c r="N515" s="434">
        <f t="shared" si="172"/>
        <v>0</v>
      </c>
      <c r="O515" s="434">
        <f t="shared" si="172"/>
        <v>0</v>
      </c>
      <c r="P515" s="434">
        <f t="shared" si="172"/>
        <v>0</v>
      </c>
      <c r="Q515" s="434">
        <f t="shared" si="172"/>
        <v>0</v>
      </c>
      <c r="R515" s="434">
        <f t="shared" si="172"/>
        <v>0</v>
      </c>
      <c r="S515" s="434">
        <f t="shared" si="172"/>
        <v>0</v>
      </c>
      <c r="T515" s="897"/>
      <c r="U515" s="290">
        <f>SUM(J515:S515)</f>
        <v>0</v>
      </c>
      <c r="V515" s="47"/>
      <c r="W515" s="1341">
        <f t="shared" si="170"/>
        <v>0</v>
      </c>
    </row>
    <row r="516" spans="1:23" s="386" customFormat="1" ht="15.75">
      <c r="A516" s="47"/>
      <c r="B516" s="17">
        <f t="shared" si="166"/>
        <v>17</v>
      </c>
      <c r="C516" s="43">
        <v>186</v>
      </c>
      <c r="D516" s="43" t="s">
        <v>1218</v>
      </c>
      <c r="E516" s="897"/>
      <c r="F516" s="290">
        <f>' WP II-I-1.4'!I516</f>
        <v>0</v>
      </c>
      <c r="G516" s="358">
        <v>64</v>
      </c>
      <c r="H516" s="47" t="str">
        <f t="shared" si="167"/>
        <v>PLANT</v>
      </c>
      <c r="I516" s="897"/>
      <c r="J516" s="434">
        <f t="shared" si="172"/>
        <v>0</v>
      </c>
      <c r="K516" s="434">
        <f t="shared" si="172"/>
        <v>0</v>
      </c>
      <c r="L516" s="434">
        <f t="shared" si="172"/>
        <v>0</v>
      </c>
      <c r="M516" s="434">
        <f t="shared" si="172"/>
        <v>0</v>
      </c>
      <c r="N516" s="434">
        <f t="shared" si="172"/>
        <v>0</v>
      </c>
      <c r="O516" s="434">
        <f t="shared" si="172"/>
        <v>0</v>
      </c>
      <c r="P516" s="434">
        <f t="shared" si="172"/>
        <v>0</v>
      </c>
      <c r="Q516" s="434">
        <f t="shared" si="172"/>
        <v>0</v>
      </c>
      <c r="R516" s="434">
        <f t="shared" si="172"/>
        <v>0</v>
      </c>
      <c r="S516" s="434">
        <f t="shared" si="172"/>
        <v>0</v>
      </c>
      <c r="T516" s="897"/>
      <c r="U516" s="290">
        <f>SUM(J516:S516)</f>
        <v>0</v>
      </c>
      <c r="V516" s="47"/>
      <c r="W516" s="1341">
        <f t="shared" si="170"/>
        <v>0</v>
      </c>
    </row>
    <row r="517" spans="1:23" ht="15.75">
      <c r="A517" s="47"/>
      <c r="B517" s="17">
        <f t="shared" si="166"/>
        <v>18</v>
      </c>
      <c r="C517" s="43">
        <v>186</v>
      </c>
      <c r="D517" s="43" t="s">
        <v>1219</v>
      </c>
      <c r="E517" s="897"/>
      <c r="F517" s="290">
        <f>' WP II-I-1.4'!I517</f>
        <v>0</v>
      </c>
      <c r="G517" s="358">
        <v>64</v>
      </c>
      <c r="H517" s="47" t="str">
        <f t="shared" si="167"/>
        <v>PLANT</v>
      </c>
      <c r="I517" s="897"/>
      <c r="J517" s="434">
        <f t="shared" si="172"/>
        <v>0</v>
      </c>
      <c r="K517" s="434">
        <f t="shared" si="172"/>
        <v>0</v>
      </c>
      <c r="L517" s="434">
        <f t="shared" si="172"/>
        <v>0</v>
      </c>
      <c r="M517" s="434">
        <f t="shared" si="172"/>
        <v>0</v>
      </c>
      <c r="N517" s="434">
        <f t="shared" si="172"/>
        <v>0</v>
      </c>
      <c r="O517" s="434">
        <f t="shared" si="172"/>
        <v>0</v>
      </c>
      <c r="P517" s="434">
        <f t="shared" si="172"/>
        <v>0</v>
      </c>
      <c r="Q517" s="434">
        <f t="shared" si="172"/>
        <v>0</v>
      </c>
      <c r="R517" s="434">
        <f t="shared" si="172"/>
        <v>0</v>
      </c>
      <c r="S517" s="434">
        <f t="shared" si="172"/>
        <v>0</v>
      </c>
      <c r="T517" s="897"/>
      <c r="U517" s="118">
        <f>SUM(J517:S517)</f>
        <v>0</v>
      </c>
      <c r="V517" s="67"/>
      <c r="W517" s="726">
        <f t="shared" si="170"/>
        <v>0</v>
      </c>
    </row>
    <row r="518" spans="1:23" ht="15">
      <c r="A518" s="47"/>
      <c r="B518" s="17">
        <f t="shared" si="166"/>
        <v>19</v>
      </c>
      <c r="C518" s="43">
        <v>186</v>
      </c>
      <c r="D518" s="43" t="s">
        <v>1363</v>
      </c>
      <c r="E518" s="263"/>
      <c r="F518" s="290">
        <f>' WP II-I-1.4'!I518</f>
        <v>0</v>
      </c>
      <c r="G518" s="358">
        <v>64</v>
      </c>
      <c r="H518" s="47" t="str">
        <f t="shared" si="167"/>
        <v>PLANT</v>
      </c>
      <c r="I518" s="263"/>
      <c r="J518" s="434">
        <f t="shared" si="172"/>
        <v>0</v>
      </c>
      <c r="K518" s="434">
        <f t="shared" si="172"/>
        <v>0</v>
      </c>
      <c r="L518" s="434">
        <f t="shared" si="172"/>
        <v>0</v>
      </c>
      <c r="M518" s="434">
        <f t="shared" si="172"/>
        <v>0</v>
      </c>
      <c r="N518" s="434">
        <f t="shared" si="172"/>
        <v>0</v>
      </c>
      <c r="O518" s="434">
        <f t="shared" si="172"/>
        <v>0</v>
      </c>
      <c r="P518" s="434">
        <f t="shared" si="172"/>
        <v>0</v>
      </c>
      <c r="Q518" s="434">
        <f t="shared" si="172"/>
        <v>0</v>
      </c>
      <c r="R518" s="434">
        <f t="shared" si="172"/>
        <v>0</v>
      </c>
      <c r="S518" s="434">
        <f t="shared" si="172"/>
        <v>0</v>
      </c>
      <c r="T518" s="263"/>
      <c r="U518" s="118">
        <f t="shared" si="171"/>
        <v>0</v>
      </c>
      <c r="V518" s="67"/>
      <c r="W518" s="726">
        <f t="shared" si="170"/>
        <v>0</v>
      </c>
    </row>
    <row r="519" spans="1:23" ht="15">
      <c r="A519" s="47"/>
      <c r="B519" s="17">
        <f t="shared" si="166"/>
        <v>20</v>
      </c>
      <c r="C519" s="702">
        <v>186</v>
      </c>
      <c r="D519" s="691" t="s">
        <v>1364</v>
      </c>
      <c r="E519" s="263"/>
      <c r="F519" s="290">
        <f>' WP II-I-1.4'!I519</f>
        <v>0</v>
      </c>
      <c r="G519" s="358">
        <v>64</v>
      </c>
      <c r="H519" s="47" t="str">
        <f t="shared" si="167"/>
        <v>PLANT</v>
      </c>
      <c r="I519" s="263"/>
      <c r="J519" s="434">
        <f t="shared" si="172"/>
        <v>0</v>
      </c>
      <c r="K519" s="434">
        <f t="shared" si="172"/>
        <v>0</v>
      </c>
      <c r="L519" s="434">
        <f t="shared" si="172"/>
        <v>0</v>
      </c>
      <c r="M519" s="434">
        <f t="shared" si="172"/>
        <v>0</v>
      </c>
      <c r="N519" s="434">
        <f t="shared" si="172"/>
        <v>0</v>
      </c>
      <c r="O519" s="434">
        <f t="shared" si="172"/>
        <v>0</v>
      </c>
      <c r="P519" s="434">
        <f t="shared" si="172"/>
        <v>0</v>
      </c>
      <c r="Q519" s="434">
        <f t="shared" si="172"/>
        <v>0</v>
      </c>
      <c r="R519" s="434">
        <f t="shared" si="172"/>
        <v>0</v>
      </c>
      <c r="S519" s="434">
        <f t="shared" si="172"/>
        <v>0</v>
      </c>
      <c r="T519" s="263"/>
      <c r="U519" s="118">
        <f>SUM(J519:S519)</f>
        <v>0</v>
      </c>
      <c r="V519" s="67"/>
      <c r="W519" s="726">
        <f t="shared" si="170"/>
        <v>0</v>
      </c>
    </row>
    <row r="520" spans="1:23" ht="15.75">
      <c r="A520" s="47"/>
      <c r="B520" s="17">
        <f t="shared" si="166"/>
        <v>21</v>
      </c>
      <c r="C520" s="43">
        <v>186</v>
      </c>
      <c r="D520" s="43" t="s">
        <v>1221</v>
      </c>
      <c r="E520" s="897"/>
      <c r="F520" s="290">
        <f>' WP II-I-1.4'!I520</f>
        <v>0</v>
      </c>
      <c r="G520" s="358">
        <v>64</v>
      </c>
      <c r="H520" s="47" t="str">
        <f t="shared" si="167"/>
        <v>PLANT</v>
      </c>
      <c r="I520" s="897"/>
      <c r="J520" s="434">
        <f t="shared" si="172"/>
        <v>0</v>
      </c>
      <c r="K520" s="434">
        <f t="shared" si="172"/>
        <v>0</v>
      </c>
      <c r="L520" s="434">
        <f t="shared" si="172"/>
        <v>0</v>
      </c>
      <c r="M520" s="434">
        <f t="shared" si="172"/>
        <v>0</v>
      </c>
      <c r="N520" s="434">
        <f t="shared" si="172"/>
        <v>0</v>
      </c>
      <c r="O520" s="434">
        <f t="shared" si="172"/>
        <v>0</v>
      </c>
      <c r="P520" s="434">
        <f t="shared" si="172"/>
        <v>0</v>
      </c>
      <c r="Q520" s="434">
        <f t="shared" si="172"/>
        <v>0</v>
      </c>
      <c r="R520" s="434">
        <f t="shared" si="172"/>
        <v>0</v>
      </c>
      <c r="S520" s="434">
        <f t="shared" si="172"/>
        <v>0</v>
      </c>
      <c r="T520" s="897"/>
      <c r="U520" s="118">
        <f t="shared" si="171"/>
        <v>0</v>
      </c>
      <c r="V520" s="67"/>
      <c r="W520" s="726">
        <f t="shared" si="170"/>
        <v>0</v>
      </c>
    </row>
    <row r="521" spans="1:23" ht="15.75">
      <c r="A521" s="47"/>
      <c r="B521" s="17">
        <f t="shared" si="166"/>
        <v>22</v>
      </c>
      <c r="C521" s="43">
        <v>186</v>
      </c>
      <c r="D521" s="43" t="s">
        <v>1222</v>
      </c>
      <c r="E521" s="897"/>
      <c r="F521" s="290">
        <f>' WP II-I-1.4'!I521</f>
        <v>0</v>
      </c>
      <c r="G521" s="358">
        <v>64</v>
      </c>
      <c r="H521" s="47" t="str">
        <f t="shared" si="167"/>
        <v>PLANT</v>
      </c>
      <c r="I521" s="897"/>
      <c r="J521" s="434">
        <f t="shared" si="172"/>
        <v>0</v>
      </c>
      <c r="K521" s="434">
        <f t="shared" si="172"/>
        <v>0</v>
      </c>
      <c r="L521" s="434">
        <f t="shared" si="172"/>
        <v>0</v>
      </c>
      <c r="M521" s="434">
        <f t="shared" si="172"/>
        <v>0</v>
      </c>
      <c r="N521" s="434">
        <f t="shared" si="172"/>
        <v>0</v>
      </c>
      <c r="O521" s="434">
        <f t="shared" si="172"/>
        <v>0</v>
      </c>
      <c r="P521" s="434">
        <f t="shared" si="172"/>
        <v>0</v>
      </c>
      <c r="Q521" s="434">
        <f t="shared" si="172"/>
        <v>0</v>
      </c>
      <c r="R521" s="434">
        <f t="shared" si="172"/>
        <v>0</v>
      </c>
      <c r="S521" s="434">
        <f t="shared" si="172"/>
        <v>0</v>
      </c>
      <c r="T521" s="897"/>
      <c r="U521" s="118">
        <f t="shared" si="171"/>
        <v>0</v>
      </c>
      <c r="V521" s="67"/>
      <c r="W521" s="726">
        <f t="shared" si="170"/>
        <v>0</v>
      </c>
    </row>
    <row r="522" spans="1:23" ht="15">
      <c r="A522" s="47"/>
      <c r="B522" s="17">
        <f>B521+1</f>
        <v>23</v>
      </c>
      <c r="C522" s="43">
        <v>182</v>
      </c>
      <c r="D522" s="43" t="s">
        <v>1223</v>
      </c>
      <c r="E522" s="897"/>
      <c r="F522" s="290">
        <f>' WP II-I-1.4'!I522</f>
        <v>0</v>
      </c>
      <c r="G522" s="358">
        <v>64</v>
      </c>
      <c r="H522" s="47" t="str">
        <f t="shared" si="167"/>
        <v>PLANT</v>
      </c>
      <c r="I522" s="897"/>
      <c r="J522" s="434">
        <f t="shared" si="172"/>
        <v>0</v>
      </c>
      <c r="K522" s="434">
        <f t="shared" si="172"/>
        <v>0</v>
      </c>
      <c r="L522" s="434">
        <f t="shared" si="172"/>
        <v>0</v>
      </c>
      <c r="M522" s="434">
        <f t="shared" si="172"/>
        <v>0</v>
      </c>
      <c r="N522" s="434">
        <f t="shared" si="172"/>
        <v>0</v>
      </c>
      <c r="O522" s="434">
        <f t="shared" si="172"/>
        <v>0</v>
      </c>
      <c r="P522" s="434">
        <f t="shared" si="172"/>
        <v>0</v>
      </c>
      <c r="Q522" s="434">
        <f t="shared" si="172"/>
        <v>0</v>
      </c>
      <c r="R522" s="434">
        <f t="shared" si="172"/>
        <v>0</v>
      </c>
      <c r="S522" s="434">
        <f t="shared" si="172"/>
        <v>0</v>
      </c>
      <c r="T522" s="897"/>
      <c r="U522" s="118">
        <f t="shared" si="173" ref="U522:U532">SUM(I522:T522)</f>
        <v>0</v>
      </c>
      <c r="V522" s="67"/>
      <c r="W522" s="370">
        <f t="shared" si="174" ref="W522:W532">U522-F522</f>
        <v>0</v>
      </c>
    </row>
    <row r="523" spans="1:23" ht="15">
      <c r="A523" s="47"/>
      <c r="B523" s="17">
        <f t="shared" si="175" ref="B523:B552">B522+1</f>
        <v>24</v>
      </c>
      <c r="C523" s="43">
        <v>182</v>
      </c>
      <c r="D523" s="43" t="s">
        <v>1224</v>
      </c>
      <c r="E523" s="897"/>
      <c r="F523" s="290">
        <f>' WP II-I-1.4'!I523</f>
        <v>0</v>
      </c>
      <c r="G523" s="358">
        <v>64</v>
      </c>
      <c r="H523" s="47" t="str">
        <f t="shared" si="167"/>
        <v>PLANT</v>
      </c>
      <c r="I523" s="897"/>
      <c r="J523" s="434">
        <f t="shared" si="176" ref="J523:S534">$F523*HLOOKUP(J$1318,FactorTable,$G523+1)</f>
        <v>0</v>
      </c>
      <c r="K523" s="434">
        <f t="shared" si="176"/>
        <v>0</v>
      </c>
      <c r="L523" s="434">
        <f t="shared" si="176"/>
        <v>0</v>
      </c>
      <c r="M523" s="434">
        <f t="shared" si="176"/>
        <v>0</v>
      </c>
      <c r="N523" s="434">
        <f t="shared" si="176"/>
        <v>0</v>
      </c>
      <c r="O523" s="434">
        <f t="shared" si="176"/>
        <v>0</v>
      </c>
      <c r="P523" s="434">
        <f t="shared" si="176"/>
        <v>0</v>
      </c>
      <c r="Q523" s="434">
        <f t="shared" si="176"/>
        <v>0</v>
      </c>
      <c r="R523" s="434">
        <f t="shared" si="176"/>
        <v>0</v>
      </c>
      <c r="S523" s="434">
        <f t="shared" si="176"/>
        <v>0</v>
      </c>
      <c r="T523" s="897"/>
      <c r="U523" s="118">
        <f t="shared" si="173"/>
        <v>0</v>
      </c>
      <c r="V523" s="67"/>
      <c r="W523" s="370">
        <f t="shared" si="174"/>
        <v>0</v>
      </c>
    </row>
    <row r="524" spans="1:23" ht="15">
      <c r="A524" s="47"/>
      <c r="B524" s="17">
        <f t="shared" si="175"/>
        <v>25</v>
      </c>
      <c r="C524" s="43">
        <v>182</v>
      </c>
      <c r="D524" s="43" t="s">
        <v>1225</v>
      </c>
      <c r="E524" s="897"/>
      <c r="F524" s="290">
        <f>' WP II-I-1.4'!I524</f>
        <v>0</v>
      </c>
      <c r="G524" s="358">
        <v>64</v>
      </c>
      <c r="H524" s="47" t="str">
        <f t="shared" si="167"/>
        <v>PLANT</v>
      </c>
      <c r="I524" s="897"/>
      <c r="J524" s="434">
        <f t="shared" si="176"/>
        <v>0</v>
      </c>
      <c r="K524" s="434">
        <f t="shared" si="176"/>
        <v>0</v>
      </c>
      <c r="L524" s="434">
        <f t="shared" si="176"/>
        <v>0</v>
      </c>
      <c r="M524" s="434">
        <f t="shared" si="176"/>
        <v>0</v>
      </c>
      <c r="N524" s="434">
        <f t="shared" si="176"/>
        <v>0</v>
      </c>
      <c r="O524" s="434">
        <f t="shared" si="176"/>
        <v>0</v>
      </c>
      <c r="P524" s="434">
        <f t="shared" si="176"/>
        <v>0</v>
      </c>
      <c r="Q524" s="434">
        <f t="shared" si="176"/>
        <v>0</v>
      </c>
      <c r="R524" s="434">
        <f t="shared" si="176"/>
        <v>0</v>
      </c>
      <c r="S524" s="434">
        <f t="shared" si="176"/>
        <v>0</v>
      </c>
      <c r="T524" s="897"/>
      <c r="U524" s="118">
        <f t="shared" si="173"/>
        <v>0</v>
      </c>
      <c r="V524" s="67"/>
      <c r="W524" s="370">
        <f t="shared" si="174"/>
        <v>0</v>
      </c>
    </row>
    <row r="525" spans="1:23" ht="15">
      <c r="A525" s="47"/>
      <c r="B525" s="17">
        <f t="shared" si="175"/>
        <v>26</v>
      </c>
      <c r="C525" s="43">
        <v>182</v>
      </c>
      <c r="D525" s="43" t="s">
        <v>1226</v>
      </c>
      <c r="E525" s="897"/>
      <c r="F525" s="290">
        <f>' WP II-I-1.4'!I525</f>
        <v>0</v>
      </c>
      <c r="G525" s="358">
        <v>64</v>
      </c>
      <c r="H525" s="47" t="str">
        <f t="shared" si="167"/>
        <v>PLANT</v>
      </c>
      <c r="I525" s="897"/>
      <c r="J525" s="434">
        <f t="shared" si="176"/>
        <v>0</v>
      </c>
      <c r="K525" s="434">
        <f t="shared" si="176"/>
        <v>0</v>
      </c>
      <c r="L525" s="434">
        <f t="shared" si="176"/>
        <v>0</v>
      </c>
      <c r="M525" s="434">
        <f t="shared" si="176"/>
        <v>0</v>
      </c>
      <c r="N525" s="434">
        <f t="shared" si="176"/>
        <v>0</v>
      </c>
      <c r="O525" s="434">
        <f t="shared" si="176"/>
        <v>0</v>
      </c>
      <c r="P525" s="434">
        <f t="shared" si="176"/>
        <v>0</v>
      </c>
      <c r="Q525" s="434">
        <f t="shared" si="176"/>
        <v>0</v>
      </c>
      <c r="R525" s="434">
        <f t="shared" si="176"/>
        <v>0</v>
      </c>
      <c r="S525" s="434">
        <f t="shared" si="176"/>
        <v>0</v>
      </c>
      <c r="T525" s="897"/>
      <c r="U525" s="118">
        <f t="shared" si="173"/>
        <v>0</v>
      </c>
      <c r="V525" s="67"/>
      <c r="W525" s="370">
        <f t="shared" si="174"/>
        <v>0</v>
      </c>
    </row>
    <row r="526" spans="1:23" ht="15">
      <c r="A526" s="47"/>
      <c r="B526" s="17">
        <f t="shared" si="175"/>
        <v>27</v>
      </c>
      <c r="C526" s="43">
        <v>182</v>
      </c>
      <c r="D526" s="43" t="s">
        <v>992</v>
      </c>
      <c r="E526" s="897"/>
      <c r="F526" s="290">
        <f>' WP II-I-1.4'!I526</f>
        <v>8358753.9900000002</v>
      </c>
      <c r="G526" s="358">
        <v>64</v>
      </c>
      <c r="H526" s="47" t="str">
        <f t="shared" si="167"/>
        <v>PLANT</v>
      </c>
      <c r="I526" s="897"/>
      <c r="J526" s="434">
        <f t="shared" si="176"/>
        <v>4657201.135251591</v>
      </c>
      <c r="K526" s="434">
        <f t="shared" si="176"/>
        <v>718020.47899577406</v>
      </c>
      <c r="L526" s="434">
        <f t="shared" si="176"/>
        <v>2214759.0061241509</v>
      </c>
      <c r="M526" s="434">
        <f t="shared" si="176"/>
        <v>31098.579223687222</v>
      </c>
      <c r="N526" s="434">
        <f t="shared" si="176"/>
        <v>648943.57509733504</v>
      </c>
      <c r="O526" s="434">
        <f t="shared" si="176"/>
        <v>22176.352645788491</v>
      </c>
      <c r="P526" s="434">
        <f t="shared" si="176"/>
        <v>48276.213836601077</v>
      </c>
      <c r="Q526" s="434">
        <f t="shared" si="176"/>
        <v>9744.5261801170909</v>
      </c>
      <c r="R526" s="434">
        <f t="shared" si="176"/>
        <v>2558.8099206679026</v>
      </c>
      <c r="S526" s="434">
        <f t="shared" si="176"/>
        <v>5975.3127242880364</v>
      </c>
      <c r="T526" s="897"/>
      <c r="U526" s="118">
        <f t="shared" si="173"/>
        <v>8358753.9899999993</v>
      </c>
      <c r="V526" s="67"/>
      <c r="W526" s="370">
        <f t="shared" si="174"/>
        <v>0</v>
      </c>
    </row>
    <row r="527" spans="1:23" ht="15">
      <c r="A527" s="47"/>
      <c r="B527" s="17">
        <f t="shared" si="175"/>
        <v>28</v>
      </c>
      <c r="C527" s="43">
        <v>182</v>
      </c>
      <c r="D527" s="43" t="s">
        <v>993</v>
      </c>
      <c r="E527" s="897"/>
      <c r="F527" s="290">
        <f>' WP II-I-1.4'!I527</f>
        <v>0</v>
      </c>
      <c r="G527" s="358">
        <v>51</v>
      </c>
      <c r="H527" s="47" t="str">
        <f t="shared" si="167"/>
        <v>PLT 370</v>
      </c>
      <c r="I527" s="897"/>
      <c r="J527" s="434">
        <f t="shared" si="176"/>
        <v>0</v>
      </c>
      <c r="K527" s="434">
        <f t="shared" si="176"/>
        <v>0</v>
      </c>
      <c r="L527" s="434">
        <f t="shared" si="176"/>
        <v>0</v>
      </c>
      <c r="M527" s="434">
        <f t="shared" si="176"/>
        <v>0</v>
      </c>
      <c r="N527" s="434">
        <f t="shared" si="176"/>
        <v>0</v>
      </c>
      <c r="O527" s="434">
        <f t="shared" si="176"/>
        <v>0</v>
      </c>
      <c r="P527" s="434">
        <f t="shared" si="176"/>
        <v>0</v>
      </c>
      <c r="Q527" s="434">
        <f t="shared" si="176"/>
        <v>0</v>
      </c>
      <c r="R527" s="434">
        <f t="shared" si="176"/>
        <v>0</v>
      </c>
      <c r="S527" s="434">
        <f t="shared" si="176"/>
        <v>0</v>
      </c>
      <c r="T527" s="897"/>
      <c r="U527" s="118">
        <f t="shared" si="173"/>
        <v>0</v>
      </c>
      <c r="V527" s="67"/>
      <c r="W527" s="370">
        <f t="shared" si="174"/>
        <v>0</v>
      </c>
    </row>
    <row r="528" spans="1:23" ht="15">
      <c r="A528" s="47"/>
      <c r="B528" s="17">
        <f t="shared" si="175"/>
        <v>29</v>
      </c>
      <c r="C528" s="43">
        <v>182</v>
      </c>
      <c r="D528" s="43" t="s">
        <v>140</v>
      </c>
      <c r="E528" s="897"/>
      <c r="F528" s="290">
        <f>' WP II-I-1.4'!I528</f>
        <v>0</v>
      </c>
      <c r="G528" s="358">
        <v>51</v>
      </c>
      <c r="H528" s="47" t="str">
        <f t="shared" si="167"/>
        <v>PLT 370</v>
      </c>
      <c r="I528" s="897"/>
      <c r="J528" s="434">
        <f t="shared" si="176"/>
        <v>0</v>
      </c>
      <c r="K528" s="434">
        <f t="shared" si="176"/>
        <v>0</v>
      </c>
      <c r="L528" s="434">
        <f t="shared" si="176"/>
        <v>0</v>
      </c>
      <c r="M528" s="434">
        <f t="shared" si="176"/>
        <v>0</v>
      </c>
      <c r="N528" s="434">
        <f t="shared" si="176"/>
        <v>0</v>
      </c>
      <c r="O528" s="434">
        <f t="shared" si="176"/>
        <v>0</v>
      </c>
      <c r="P528" s="434">
        <f t="shared" si="176"/>
        <v>0</v>
      </c>
      <c r="Q528" s="434">
        <f t="shared" si="176"/>
        <v>0</v>
      </c>
      <c r="R528" s="434">
        <f t="shared" si="176"/>
        <v>0</v>
      </c>
      <c r="S528" s="434">
        <f t="shared" si="176"/>
        <v>0</v>
      </c>
      <c r="T528" s="897"/>
      <c r="U528" s="118">
        <f t="shared" si="173"/>
        <v>0</v>
      </c>
      <c r="V528" s="67"/>
      <c r="W528" s="370">
        <f t="shared" si="174"/>
        <v>0</v>
      </c>
    </row>
    <row r="529" spans="1:23" ht="15">
      <c r="A529" s="47"/>
      <c r="B529" s="17">
        <f t="shared" si="175"/>
        <v>30</v>
      </c>
      <c r="C529" s="43">
        <v>182</v>
      </c>
      <c r="D529" s="43" t="s">
        <v>994</v>
      </c>
      <c r="E529" s="897"/>
      <c r="F529" s="290">
        <f>' WP II-I-1.4'!I529</f>
        <v>0</v>
      </c>
      <c r="G529" s="358">
        <v>51</v>
      </c>
      <c r="H529" s="47" t="str">
        <f t="shared" si="167"/>
        <v>PLT 370</v>
      </c>
      <c r="I529" s="897"/>
      <c r="J529" s="434">
        <f t="shared" si="176"/>
        <v>0</v>
      </c>
      <c r="K529" s="434">
        <f t="shared" si="176"/>
        <v>0</v>
      </c>
      <c r="L529" s="434">
        <f t="shared" si="176"/>
        <v>0</v>
      </c>
      <c r="M529" s="434">
        <f t="shared" si="176"/>
        <v>0</v>
      </c>
      <c r="N529" s="434">
        <f t="shared" si="176"/>
        <v>0</v>
      </c>
      <c r="O529" s="434">
        <f t="shared" si="176"/>
        <v>0</v>
      </c>
      <c r="P529" s="434">
        <f t="shared" si="176"/>
        <v>0</v>
      </c>
      <c r="Q529" s="434">
        <f t="shared" si="176"/>
        <v>0</v>
      </c>
      <c r="R529" s="434">
        <f t="shared" si="176"/>
        <v>0</v>
      </c>
      <c r="S529" s="434">
        <f t="shared" si="176"/>
        <v>0</v>
      </c>
      <c r="T529" s="897"/>
      <c r="U529" s="118">
        <f t="shared" si="173"/>
        <v>0</v>
      </c>
      <c r="V529" s="67"/>
      <c r="W529" s="370">
        <f t="shared" si="174"/>
        <v>0</v>
      </c>
    </row>
    <row r="530" spans="1:23" ht="15">
      <c r="A530" s="47"/>
      <c r="B530" s="17">
        <f t="shared" si="175"/>
        <v>31</v>
      </c>
      <c r="C530" s="43">
        <v>182</v>
      </c>
      <c r="D530" s="43" t="s">
        <v>139</v>
      </c>
      <c r="E530" s="897"/>
      <c r="F530" s="290">
        <f>' WP II-I-1.4'!I530</f>
        <v>0</v>
      </c>
      <c r="G530" s="358">
        <v>69</v>
      </c>
      <c r="H530" s="47" t="str">
        <f t="shared" si="167"/>
        <v>PLANT_xWHL</v>
      </c>
      <c r="I530" s="897"/>
      <c r="J530" s="434">
        <f t="shared" si="176"/>
        <v>0</v>
      </c>
      <c r="K530" s="434">
        <f t="shared" si="176"/>
        <v>0</v>
      </c>
      <c r="L530" s="434">
        <f t="shared" si="176"/>
        <v>0</v>
      </c>
      <c r="M530" s="434">
        <f t="shared" si="176"/>
        <v>0</v>
      </c>
      <c r="N530" s="434">
        <f t="shared" si="176"/>
        <v>0</v>
      </c>
      <c r="O530" s="434">
        <f t="shared" si="176"/>
        <v>0</v>
      </c>
      <c r="P530" s="434">
        <f t="shared" si="176"/>
        <v>0</v>
      </c>
      <c r="Q530" s="434">
        <f t="shared" si="176"/>
        <v>0</v>
      </c>
      <c r="R530" s="434">
        <f t="shared" si="176"/>
        <v>0</v>
      </c>
      <c r="S530" s="434">
        <f t="shared" si="176"/>
        <v>0</v>
      </c>
      <c r="T530" s="897"/>
      <c r="U530" s="118">
        <f t="shared" si="173"/>
        <v>0</v>
      </c>
      <c r="V530" s="67"/>
      <c r="W530" s="370">
        <f t="shared" si="174"/>
        <v>0</v>
      </c>
    </row>
    <row r="531" spans="1:23" ht="15">
      <c r="A531" s="47"/>
      <c r="B531" s="17">
        <f t="shared" si="175"/>
        <v>32</v>
      </c>
      <c r="C531" s="43">
        <v>182</v>
      </c>
      <c r="D531" s="43" t="s">
        <v>1227</v>
      </c>
      <c r="E531" s="897"/>
      <c r="F531" s="290">
        <f>' WP II-I-1.4'!I531</f>
        <v>0</v>
      </c>
      <c r="G531" s="358">
        <v>64</v>
      </c>
      <c r="H531" s="47" t="str">
        <f t="shared" si="167"/>
        <v>PLANT</v>
      </c>
      <c r="I531" s="897"/>
      <c r="J531" s="434">
        <f t="shared" si="176"/>
        <v>0</v>
      </c>
      <c r="K531" s="434">
        <f t="shared" si="176"/>
        <v>0</v>
      </c>
      <c r="L531" s="434">
        <f t="shared" si="176"/>
        <v>0</v>
      </c>
      <c r="M531" s="434">
        <f t="shared" si="176"/>
        <v>0</v>
      </c>
      <c r="N531" s="434">
        <f t="shared" si="176"/>
        <v>0</v>
      </c>
      <c r="O531" s="434">
        <f t="shared" si="176"/>
        <v>0</v>
      </c>
      <c r="P531" s="434">
        <f t="shared" si="176"/>
        <v>0</v>
      </c>
      <c r="Q531" s="434">
        <f t="shared" si="176"/>
        <v>0</v>
      </c>
      <c r="R531" s="434">
        <f t="shared" si="176"/>
        <v>0</v>
      </c>
      <c r="S531" s="434">
        <f t="shared" si="176"/>
        <v>0</v>
      </c>
      <c r="T531" s="897"/>
      <c r="U531" s="118">
        <f t="shared" si="173"/>
        <v>0</v>
      </c>
      <c r="V531" s="67"/>
      <c r="W531" s="370">
        <f t="shared" si="174"/>
        <v>0</v>
      </c>
    </row>
    <row r="532" spans="1:23" ht="15">
      <c r="A532" s="47"/>
      <c r="B532" s="17">
        <f t="shared" si="175"/>
        <v>33</v>
      </c>
      <c r="C532" s="43">
        <v>186</v>
      </c>
      <c r="D532" s="43" t="s">
        <v>1228</v>
      </c>
      <c r="E532" s="897"/>
      <c r="F532" s="290">
        <f>' WP II-I-1.4'!I532</f>
        <v>0</v>
      </c>
      <c r="G532" s="358">
        <v>88</v>
      </c>
      <c r="H532" s="47" t="str">
        <f t="shared" si="167"/>
        <v>PAYROLL</v>
      </c>
      <c r="I532" s="897"/>
      <c r="J532" s="434">
        <f t="shared" si="176"/>
        <v>0</v>
      </c>
      <c r="K532" s="434">
        <f t="shared" si="176"/>
        <v>0</v>
      </c>
      <c r="L532" s="434">
        <f t="shared" si="176"/>
        <v>0</v>
      </c>
      <c r="M532" s="434">
        <f t="shared" si="176"/>
        <v>0</v>
      </c>
      <c r="N532" s="434">
        <f t="shared" si="176"/>
        <v>0</v>
      </c>
      <c r="O532" s="434">
        <f t="shared" si="176"/>
        <v>0</v>
      </c>
      <c r="P532" s="434">
        <f t="shared" si="176"/>
        <v>0</v>
      </c>
      <c r="Q532" s="434">
        <f t="shared" si="176"/>
        <v>0</v>
      </c>
      <c r="R532" s="434">
        <f t="shared" si="176"/>
        <v>0</v>
      </c>
      <c r="S532" s="434">
        <f t="shared" si="176"/>
        <v>0</v>
      </c>
      <c r="T532" s="897"/>
      <c r="U532" s="118">
        <f t="shared" si="173"/>
        <v>0</v>
      </c>
      <c r="V532" s="67"/>
      <c r="W532" s="370">
        <f t="shared" si="174"/>
        <v>0</v>
      </c>
    </row>
    <row r="533" spans="1:23" ht="15.75">
      <c r="A533" s="47"/>
      <c r="B533" s="17">
        <f t="shared" si="175"/>
        <v>34</v>
      </c>
      <c r="C533" s="43">
        <v>186</v>
      </c>
      <c r="D533" s="43" t="s">
        <v>995</v>
      </c>
      <c r="E533" s="897"/>
      <c r="F533" s="290">
        <f>' WP II-I-1.4'!I533</f>
        <v>0</v>
      </c>
      <c r="G533" s="358">
        <v>64</v>
      </c>
      <c r="H533" s="47" t="str">
        <f t="shared" si="167"/>
        <v>PLANT</v>
      </c>
      <c r="I533" s="897"/>
      <c r="J533" s="434">
        <f t="shared" si="176"/>
        <v>0</v>
      </c>
      <c r="K533" s="434">
        <f t="shared" si="176"/>
        <v>0</v>
      </c>
      <c r="L533" s="434">
        <f t="shared" si="176"/>
        <v>0</v>
      </c>
      <c r="M533" s="434">
        <f t="shared" si="176"/>
        <v>0</v>
      </c>
      <c r="N533" s="434">
        <f t="shared" si="176"/>
        <v>0</v>
      </c>
      <c r="O533" s="434">
        <f t="shared" si="176"/>
        <v>0</v>
      </c>
      <c r="P533" s="434">
        <f t="shared" si="176"/>
        <v>0</v>
      </c>
      <c r="Q533" s="434">
        <f t="shared" si="176"/>
        <v>0</v>
      </c>
      <c r="R533" s="434">
        <f t="shared" si="176"/>
        <v>0</v>
      </c>
      <c r="S533" s="434">
        <f t="shared" si="176"/>
        <v>0</v>
      </c>
      <c r="T533" s="897"/>
      <c r="U533" s="118">
        <f t="shared" si="171"/>
        <v>0</v>
      </c>
      <c r="V533" s="67"/>
      <c r="W533" s="726">
        <f t="shared" si="170"/>
        <v>0</v>
      </c>
    </row>
    <row r="534" spans="1:23" ht="15.75">
      <c r="A534" s="47"/>
      <c r="B534" s="17">
        <f t="shared" si="175"/>
        <v>35</v>
      </c>
      <c r="C534" s="43">
        <v>186</v>
      </c>
      <c r="D534" s="43" t="s">
        <v>996</v>
      </c>
      <c r="E534" s="897"/>
      <c r="F534" s="290">
        <f>' WP II-I-1.4'!I534</f>
        <v>0</v>
      </c>
      <c r="G534" s="358">
        <v>64</v>
      </c>
      <c r="H534" s="47" t="str">
        <f t="shared" si="167"/>
        <v>PLANT</v>
      </c>
      <c r="I534" s="897"/>
      <c r="J534" s="435">
        <f t="shared" si="176"/>
        <v>0</v>
      </c>
      <c r="K534" s="435">
        <f t="shared" si="176"/>
        <v>0</v>
      </c>
      <c r="L534" s="435">
        <f t="shared" si="176"/>
        <v>0</v>
      </c>
      <c r="M534" s="435">
        <f t="shared" si="176"/>
        <v>0</v>
      </c>
      <c r="N534" s="435">
        <f t="shared" si="176"/>
        <v>0</v>
      </c>
      <c r="O534" s="435">
        <f t="shared" si="176"/>
        <v>0</v>
      </c>
      <c r="P534" s="435">
        <f t="shared" si="176"/>
        <v>0</v>
      </c>
      <c r="Q534" s="435">
        <f t="shared" si="176"/>
        <v>0</v>
      </c>
      <c r="R534" s="435">
        <f t="shared" si="176"/>
        <v>0</v>
      </c>
      <c r="S534" s="435">
        <f t="shared" si="176"/>
        <v>0</v>
      </c>
      <c r="T534" s="897"/>
      <c r="U534" s="118">
        <f t="shared" si="171"/>
        <v>0</v>
      </c>
      <c r="V534" s="67"/>
      <c r="W534" s="726">
        <f t="shared" si="170"/>
        <v>0</v>
      </c>
    </row>
    <row r="535" spans="1:23" ht="15.75">
      <c r="A535" s="147"/>
      <c r="B535" s="17">
        <f t="shared" si="175"/>
        <v>36</v>
      </c>
      <c r="C535" s="36"/>
      <c r="D535" s="44" t="s">
        <v>612</v>
      </c>
      <c r="E535" s="897"/>
      <c r="F535" s="898">
        <f>SUM(F503:F534)</f>
        <v>16619626.149999997</v>
      </c>
      <c r="G535" s="897"/>
      <c r="H535" s="897"/>
      <c r="I535" s="897"/>
      <c r="J535" s="898">
        <f t="shared" si="177" ref="J535:S535">SUM(J503:J534)</f>
        <v>9140489.8151348848</v>
      </c>
      <c r="K535" s="898">
        <f t="shared" si="177"/>
        <v>1361928.2609162675</v>
      </c>
      <c r="L535" s="898">
        <f t="shared" si="177"/>
        <v>4426995.11643482</v>
      </c>
      <c r="M535" s="898">
        <f t="shared" si="177"/>
        <v>58087.078566612421</v>
      </c>
      <c r="N535" s="898">
        <f t="shared" si="177"/>
        <v>1261336.3837083166</v>
      </c>
      <c r="O535" s="898">
        <f t="shared" si="177"/>
        <v>47693.827535873999</v>
      </c>
      <c r="P535" s="898">
        <f t="shared" si="177"/>
        <v>113297.42896353122</v>
      </c>
      <c r="Q535" s="898">
        <f t="shared" si="177"/>
        <v>195260.10047869361</v>
      </c>
      <c r="R535" s="898">
        <f t="shared" si="177"/>
        <v>4358.8949360314537</v>
      </c>
      <c r="S535" s="898">
        <f t="shared" si="177"/>
        <v>10179.243324966417</v>
      </c>
      <c r="T535" s="897"/>
      <c r="U535" s="39">
        <f t="shared" si="171"/>
        <v>16619626.149999999</v>
      </c>
      <c r="V535" s="133"/>
      <c r="W535" s="726">
        <f t="shared" si="170"/>
        <v>0</v>
      </c>
    </row>
    <row r="536" spans="1:23" ht="15.75">
      <c r="A536" s="47"/>
      <c r="B536" s="17">
        <f t="shared" si="175"/>
        <v>37</v>
      </c>
      <c r="C536" s="43"/>
      <c r="D536" s="44"/>
      <c r="E536" s="897"/>
      <c r="F536" s="263"/>
      <c r="G536" s="897"/>
      <c r="H536" s="897"/>
      <c r="I536" s="897"/>
      <c r="J536" s="897"/>
      <c r="K536" s="897"/>
      <c r="L536" s="897"/>
      <c r="M536" s="897"/>
      <c r="N536" s="897"/>
      <c r="O536" s="897"/>
      <c r="P536" s="897"/>
      <c r="Q536" s="897"/>
      <c r="R536" s="897"/>
      <c r="S536" s="897"/>
      <c r="T536" s="897"/>
      <c r="U536" s="118"/>
      <c r="V536" s="67"/>
      <c r="W536" s="726">
        <f t="shared" si="170"/>
        <v>0</v>
      </c>
    </row>
    <row r="537" spans="1:23" ht="15.75">
      <c r="A537" s="47"/>
      <c r="B537" s="17">
        <f t="shared" si="175"/>
        <v>38</v>
      </c>
      <c r="C537" s="36" t="s">
        <v>141</v>
      </c>
      <c r="D537" s="43"/>
      <c r="E537" s="897"/>
      <c r="F537" s="18"/>
      <c r="G537" s="897"/>
      <c r="H537" s="897"/>
      <c r="I537" s="897"/>
      <c r="J537" s="897"/>
      <c r="K537" s="897"/>
      <c r="L537" s="897"/>
      <c r="M537" s="897"/>
      <c r="N537" s="897"/>
      <c r="O537" s="897"/>
      <c r="P537" s="897"/>
      <c r="Q537" s="897"/>
      <c r="R537" s="897"/>
      <c r="S537" s="897"/>
      <c r="T537" s="897"/>
      <c r="U537" s="118"/>
      <c r="V537" s="67"/>
      <c r="W537" s="726">
        <f t="shared" si="170"/>
        <v>0</v>
      </c>
    </row>
    <row r="538" spans="1:23" ht="15.75">
      <c r="A538" s="47"/>
      <c r="B538" s="17">
        <f t="shared" si="175"/>
        <v>39</v>
      </c>
      <c r="C538" s="691">
        <v>254</v>
      </c>
      <c r="D538" s="43" t="s">
        <v>1367</v>
      </c>
      <c r="E538" s="897"/>
      <c r="F538" s="290">
        <f>' WP II-I-1.4'!I538</f>
        <v>0</v>
      </c>
      <c r="G538" s="358">
        <v>64</v>
      </c>
      <c r="H538" s="47" t="str">
        <f t="shared" si="178" ref="H538:H542">VLOOKUP(G538,FactorTable,2)</f>
        <v>PLANT</v>
      </c>
      <c r="I538" s="897"/>
      <c r="J538" s="434">
        <f t="shared" si="179" ref="J538:S548">$F538*HLOOKUP(J$1318,FactorTable,$G538+1)</f>
        <v>0</v>
      </c>
      <c r="K538" s="434">
        <f t="shared" si="179"/>
        <v>0</v>
      </c>
      <c r="L538" s="434">
        <f t="shared" si="179"/>
        <v>0</v>
      </c>
      <c r="M538" s="434">
        <f t="shared" si="179"/>
        <v>0</v>
      </c>
      <c r="N538" s="434">
        <f t="shared" si="179"/>
        <v>0</v>
      </c>
      <c r="O538" s="434">
        <f t="shared" si="179"/>
        <v>0</v>
      </c>
      <c r="P538" s="434">
        <f t="shared" si="179"/>
        <v>0</v>
      </c>
      <c r="Q538" s="434">
        <f t="shared" si="179"/>
        <v>0</v>
      </c>
      <c r="R538" s="434">
        <f t="shared" si="179"/>
        <v>0</v>
      </c>
      <c r="S538" s="434">
        <f t="shared" si="179"/>
        <v>0</v>
      </c>
      <c r="T538" s="897"/>
      <c r="U538" s="118">
        <f t="shared" si="180" ref="U538:U542">SUM(I538:T538)</f>
        <v>0</v>
      </c>
      <c r="V538" s="67"/>
      <c r="W538" s="726">
        <f t="shared" si="170"/>
        <v>0</v>
      </c>
    </row>
    <row r="539" spans="1:23" ht="15">
      <c r="A539" s="47"/>
      <c r="B539" s="17">
        <f t="shared" si="175"/>
        <v>40</v>
      </c>
      <c r="C539" s="691" t="s">
        <v>1229</v>
      </c>
      <c r="D539" s="43" t="s">
        <v>997</v>
      </c>
      <c r="E539" s="263"/>
      <c r="F539" s="290">
        <f>' WP II-I-1.4'!I539</f>
        <v>0</v>
      </c>
      <c r="G539" s="358">
        <v>69</v>
      </c>
      <c r="H539" s="47" t="str">
        <f t="shared" si="178"/>
        <v>PLANT_xWHL</v>
      </c>
      <c r="I539" s="263"/>
      <c r="J539" s="434">
        <f t="shared" si="179"/>
        <v>0</v>
      </c>
      <c r="K539" s="434">
        <f t="shared" si="179"/>
        <v>0</v>
      </c>
      <c r="L539" s="434">
        <f t="shared" si="179"/>
        <v>0</v>
      </c>
      <c r="M539" s="434">
        <f t="shared" si="179"/>
        <v>0</v>
      </c>
      <c r="N539" s="434">
        <f t="shared" si="179"/>
        <v>0</v>
      </c>
      <c r="O539" s="434">
        <f t="shared" si="179"/>
        <v>0</v>
      </c>
      <c r="P539" s="434">
        <f t="shared" si="179"/>
        <v>0</v>
      </c>
      <c r="Q539" s="434">
        <f t="shared" si="179"/>
        <v>0</v>
      </c>
      <c r="R539" s="434">
        <f t="shared" si="179"/>
        <v>0</v>
      </c>
      <c r="S539" s="434">
        <f t="shared" si="179"/>
        <v>0</v>
      </c>
      <c r="T539" s="263"/>
      <c r="U539" s="118">
        <f t="shared" si="180"/>
        <v>0</v>
      </c>
      <c r="V539" s="67"/>
      <c r="W539" s="726">
        <f t="shared" si="170"/>
        <v>0</v>
      </c>
    </row>
    <row r="540" spans="1:23" ht="15.75">
      <c r="A540" s="47"/>
      <c r="B540" s="17">
        <f t="shared" si="175"/>
        <v>41</v>
      </c>
      <c r="C540" s="691">
        <v>254</v>
      </c>
      <c r="D540" s="43" t="s">
        <v>1368</v>
      </c>
      <c r="E540" s="897"/>
      <c r="F540" s="290">
        <f>' WP II-I-1.4'!I540</f>
        <v>0</v>
      </c>
      <c r="G540" s="358">
        <v>64</v>
      </c>
      <c r="H540" s="47" t="str">
        <f t="shared" si="178"/>
        <v>PLANT</v>
      </c>
      <c r="I540" s="897"/>
      <c r="J540" s="434">
        <f t="shared" si="179"/>
        <v>0</v>
      </c>
      <c r="K540" s="434">
        <f t="shared" si="179"/>
        <v>0</v>
      </c>
      <c r="L540" s="434">
        <f t="shared" si="179"/>
        <v>0</v>
      </c>
      <c r="M540" s="434">
        <f t="shared" si="179"/>
        <v>0</v>
      </c>
      <c r="N540" s="434">
        <f t="shared" si="179"/>
        <v>0</v>
      </c>
      <c r="O540" s="434">
        <f t="shared" si="179"/>
        <v>0</v>
      </c>
      <c r="P540" s="434">
        <f t="shared" si="179"/>
        <v>0</v>
      </c>
      <c r="Q540" s="434">
        <f t="shared" si="179"/>
        <v>0</v>
      </c>
      <c r="R540" s="434">
        <f t="shared" si="179"/>
        <v>0</v>
      </c>
      <c r="S540" s="434">
        <f t="shared" si="179"/>
        <v>0</v>
      </c>
      <c r="T540" s="897"/>
      <c r="U540" s="118">
        <f t="shared" si="180"/>
        <v>0</v>
      </c>
      <c r="V540" s="67"/>
      <c r="W540" s="726">
        <f t="shared" si="170"/>
        <v>0</v>
      </c>
    </row>
    <row r="541" spans="1:23" ht="15" customHeight="1">
      <c r="A541" s="47"/>
      <c r="B541" s="17">
        <f t="shared" si="175"/>
        <v>42</v>
      </c>
      <c r="C541" s="691">
        <v>254</v>
      </c>
      <c r="D541" s="43" t="s">
        <v>1230</v>
      </c>
      <c r="E541" s="897"/>
      <c r="F541" s="290">
        <f>' WP II-I-1.4'!I541</f>
        <v>0</v>
      </c>
      <c r="G541" s="358">
        <v>51</v>
      </c>
      <c r="H541" s="47" t="str">
        <f t="shared" si="178"/>
        <v>PLT 370</v>
      </c>
      <c r="I541" s="897"/>
      <c r="J541" s="434">
        <f t="shared" si="179"/>
        <v>0</v>
      </c>
      <c r="K541" s="434">
        <f t="shared" si="179"/>
        <v>0</v>
      </c>
      <c r="L541" s="434">
        <f t="shared" si="179"/>
        <v>0</v>
      </c>
      <c r="M541" s="434">
        <f t="shared" si="179"/>
        <v>0</v>
      </c>
      <c r="N541" s="434">
        <f t="shared" si="179"/>
        <v>0</v>
      </c>
      <c r="O541" s="434">
        <f t="shared" si="179"/>
        <v>0</v>
      </c>
      <c r="P541" s="434">
        <f t="shared" si="179"/>
        <v>0</v>
      </c>
      <c r="Q541" s="434">
        <f t="shared" si="179"/>
        <v>0</v>
      </c>
      <c r="R541" s="434">
        <f t="shared" si="179"/>
        <v>0</v>
      </c>
      <c r="S541" s="434">
        <f t="shared" si="179"/>
        <v>0</v>
      </c>
      <c r="T541" s="897"/>
      <c r="U541" s="118">
        <f t="shared" si="180"/>
        <v>0</v>
      </c>
      <c r="V541" s="67"/>
      <c r="W541" s="726">
        <f t="shared" si="170"/>
        <v>0</v>
      </c>
    </row>
    <row r="542" spans="1:23" ht="15.75">
      <c r="A542" s="47"/>
      <c r="B542" s="17">
        <f t="shared" si="175"/>
        <v>43</v>
      </c>
      <c r="C542" s="43">
        <v>254</v>
      </c>
      <c r="D542" s="43" t="s">
        <v>1231</v>
      </c>
      <c r="E542" s="897"/>
      <c r="F542" s="290">
        <f>' WP II-I-1.4'!I542</f>
        <v>0</v>
      </c>
      <c r="G542" s="358">
        <v>64</v>
      </c>
      <c r="H542" s="47" t="str">
        <f t="shared" si="178"/>
        <v>PLANT</v>
      </c>
      <c r="I542" s="897"/>
      <c r="J542" s="434">
        <f t="shared" si="179"/>
        <v>0</v>
      </c>
      <c r="K542" s="434">
        <f t="shared" si="179"/>
        <v>0</v>
      </c>
      <c r="L542" s="434">
        <f t="shared" si="179"/>
        <v>0</v>
      </c>
      <c r="M542" s="434">
        <f t="shared" si="179"/>
        <v>0</v>
      </c>
      <c r="N542" s="434">
        <f t="shared" si="179"/>
        <v>0</v>
      </c>
      <c r="O542" s="434">
        <f t="shared" si="179"/>
        <v>0</v>
      </c>
      <c r="P542" s="434">
        <f t="shared" si="179"/>
        <v>0</v>
      </c>
      <c r="Q542" s="434">
        <f t="shared" si="179"/>
        <v>0</v>
      </c>
      <c r="R542" s="434">
        <f t="shared" si="179"/>
        <v>0</v>
      </c>
      <c r="S542" s="434">
        <f t="shared" si="179"/>
        <v>0</v>
      </c>
      <c r="T542" s="897"/>
      <c r="U542" s="118">
        <f t="shared" si="180"/>
        <v>0</v>
      </c>
      <c r="V542" s="67"/>
      <c r="W542" s="726">
        <f t="shared" si="170"/>
        <v>0</v>
      </c>
    </row>
    <row r="543" spans="1:23" ht="15">
      <c r="A543" s="47"/>
      <c r="B543" s="17">
        <f t="shared" si="175"/>
        <v>44</v>
      </c>
      <c r="C543" s="43">
        <v>254</v>
      </c>
      <c r="D543" s="43" t="s">
        <v>1232</v>
      </c>
      <c r="E543" s="897"/>
      <c r="F543" s="290">
        <f>' WP II-I-1.4'!I543</f>
        <v>0</v>
      </c>
      <c r="G543" s="358">
        <v>64</v>
      </c>
      <c r="H543" s="47" t="str">
        <f t="shared" si="181" ref="H543:H546">VLOOKUP(G543,FactorTable,2)</f>
        <v>PLANT</v>
      </c>
      <c r="I543" s="897"/>
      <c r="J543" s="434">
        <f t="shared" si="179"/>
        <v>0</v>
      </c>
      <c r="K543" s="434">
        <f t="shared" si="179"/>
        <v>0</v>
      </c>
      <c r="L543" s="434">
        <f t="shared" si="179"/>
        <v>0</v>
      </c>
      <c r="M543" s="434">
        <f t="shared" si="179"/>
        <v>0</v>
      </c>
      <c r="N543" s="434">
        <f t="shared" si="179"/>
        <v>0</v>
      </c>
      <c r="O543" s="434">
        <f t="shared" si="179"/>
        <v>0</v>
      </c>
      <c r="P543" s="434">
        <f t="shared" si="179"/>
        <v>0</v>
      </c>
      <c r="Q543" s="434">
        <f t="shared" si="179"/>
        <v>0</v>
      </c>
      <c r="R543" s="434">
        <f t="shared" si="179"/>
        <v>0</v>
      </c>
      <c r="S543" s="434">
        <f t="shared" si="179"/>
        <v>0</v>
      </c>
      <c r="T543" s="897"/>
      <c r="U543" s="118">
        <f t="shared" si="182" ref="U543:U546">SUM(I543:T543)</f>
        <v>0</v>
      </c>
      <c r="V543" s="67"/>
      <c r="W543" s="370">
        <f t="shared" si="183" ref="W543:W546">U543-F543</f>
        <v>0</v>
      </c>
    </row>
    <row r="544" spans="1:23" ht="15">
      <c r="A544" s="47"/>
      <c r="B544" s="17">
        <f t="shared" si="175"/>
        <v>45</v>
      </c>
      <c r="C544" s="43">
        <v>254</v>
      </c>
      <c r="D544" s="43" t="s">
        <v>1233</v>
      </c>
      <c r="E544" s="897"/>
      <c r="F544" s="290">
        <f>' WP II-I-1.4'!I544</f>
        <v>0</v>
      </c>
      <c r="G544" s="358">
        <v>64</v>
      </c>
      <c r="H544" s="47" t="str">
        <f t="shared" si="181"/>
        <v>PLANT</v>
      </c>
      <c r="I544" s="897"/>
      <c r="J544" s="434">
        <f t="shared" si="179"/>
        <v>0</v>
      </c>
      <c r="K544" s="434">
        <f t="shared" si="179"/>
        <v>0</v>
      </c>
      <c r="L544" s="434">
        <f t="shared" si="179"/>
        <v>0</v>
      </c>
      <c r="M544" s="434">
        <f t="shared" si="179"/>
        <v>0</v>
      </c>
      <c r="N544" s="434">
        <f t="shared" si="179"/>
        <v>0</v>
      </c>
      <c r="O544" s="434">
        <f t="shared" si="179"/>
        <v>0</v>
      </c>
      <c r="P544" s="434">
        <f t="shared" si="179"/>
        <v>0</v>
      </c>
      <c r="Q544" s="434">
        <f t="shared" si="179"/>
        <v>0</v>
      </c>
      <c r="R544" s="434">
        <f t="shared" si="179"/>
        <v>0</v>
      </c>
      <c r="S544" s="434">
        <f t="shared" si="179"/>
        <v>0</v>
      </c>
      <c r="T544" s="897"/>
      <c r="U544" s="118">
        <f t="shared" si="182"/>
        <v>0</v>
      </c>
      <c r="V544" s="67"/>
      <c r="W544" s="370">
        <f t="shared" si="183"/>
        <v>0</v>
      </c>
    </row>
    <row r="545" spans="1:23" ht="15">
      <c r="A545" s="47"/>
      <c r="B545" s="17">
        <f t="shared" si="175"/>
        <v>46</v>
      </c>
      <c r="C545" s="43">
        <v>254</v>
      </c>
      <c r="D545" s="43" t="s">
        <v>1234</v>
      </c>
      <c r="E545" s="897"/>
      <c r="F545" s="290">
        <f>' WP II-I-1.4'!I545</f>
        <v>0</v>
      </c>
      <c r="G545" s="358">
        <v>64</v>
      </c>
      <c r="H545" s="47" t="str">
        <f t="shared" si="181"/>
        <v>PLANT</v>
      </c>
      <c r="I545" s="897"/>
      <c r="J545" s="434">
        <f t="shared" si="179"/>
        <v>0</v>
      </c>
      <c r="K545" s="434">
        <f t="shared" si="179"/>
        <v>0</v>
      </c>
      <c r="L545" s="434">
        <f t="shared" si="179"/>
        <v>0</v>
      </c>
      <c r="M545" s="434">
        <f t="shared" si="179"/>
        <v>0</v>
      </c>
      <c r="N545" s="434">
        <f t="shared" si="179"/>
        <v>0</v>
      </c>
      <c r="O545" s="434">
        <f t="shared" si="179"/>
        <v>0</v>
      </c>
      <c r="P545" s="434">
        <f t="shared" si="179"/>
        <v>0</v>
      </c>
      <c r="Q545" s="434">
        <f t="shared" si="179"/>
        <v>0</v>
      </c>
      <c r="R545" s="434">
        <f t="shared" si="179"/>
        <v>0</v>
      </c>
      <c r="S545" s="434">
        <f t="shared" si="179"/>
        <v>0</v>
      </c>
      <c r="T545" s="897"/>
      <c r="U545" s="118">
        <f t="shared" si="182"/>
        <v>0</v>
      </c>
      <c r="V545" s="67"/>
      <c r="W545" s="370">
        <f t="shared" si="183"/>
        <v>0</v>
      </c>
    </row>
    <row r="546" spans="1:23" ht="15">
      <c r="A546" s="47"/>
      <c r="B546" s="17">
        <f t="shared" si="175"/>
        <v>47</v>
      </c>
      <c r="C546" s="43">
        <v>254</v>
      </c>
      <c r="D546" s="43" t="s">
        <v>1235</v>
      </c>
      <c r="E546" s="897"/>
      <c r="F546" s="290">
        <f>' WP II-I-1.4'!I546</f>
        <v>0</v>
      </c>
      <c r="G546" s="358">
        <v>64</v>
      </c>
      <c r="H546" s="47" t="str">
        <f t="shared" si="181"/>
        <v>PLANT</v>
      </c>
      <c r="I546" s="897"/>
      <c r="J546" s="434">
        <f t="shared" si="179"/>
        <v>0</v>
      </c>
      <c r="K546" s="434">
        <f t="shared" si="179"/>
        <v>0</v>
      </c>
      <c r="L546" s="434">
        <f t="shared" si="179"/>
        <v>0</v>
      </c>
      <c r="M546" s="434">
        <f t="shared" si="179"/>
        <v>0</v>
      </c>
      <c r="N546" s="434">
        <f t="shared" si="179"/>
        <v>0</v>
      </c>
      <c r="O546" s="434">
        <f t="shared" si="179"/>
        <v>0</v>
      </c>
      <c r="P546" s="434">
        <f t="shared" si="179"/>
        <v>0</v>
      </c>
      <c r="Q546" s="434">
        <f t="shared" si="179"/>
        <v>0</v>
      </c>
      <c r="R546" s="434">
        <f t="shared" si="179"/>
        <v>0</v>
      </c>
      <c r="S546" s="434">
        <f t="shared" si="179"/>
        <v>0</v>
      </c>
      <c r="T546" s="897"/>
      <c r="U546" s="118">
        <f t="shared" si="182"/>
        <v>0</v>
      </c>
      <c r="V546" s="67"/>
      <c r="W546" s="370">
        <f t="shared" si="183"/>
        <v>0</v>
      </c>
    </row>
    <row r="547" spans="1:23" ht="15.75">
      <c r="A547" s="47"/>
      <c r="B547" s="17">
        <f t="shared" si="175"/>
        <v>48</v>
      </c>
      <c r="C547" s="43">
        <v>254</v>
      </c>
      <c r="D547" s="43" t="s">
        <v>1372</v>
      </c>
      <c r="E547" s="897"/>
      <c r="F547" s="290">
        <f>' WP II-I-1.4'!I547</f>
        <v>-261874.48999999999</v>
      </c>
      <c r="G547" s="358">
        <v>64</v>
      </c>
      <c r="H547" s="47" t="str">
        <f t="shared" si="184" ref="H547:H548">VLOOKUP(G547,FactorTable,2)</f>
        <v>PLANT</v>
      </c>
      <c r="I547" s="897"/>
      <c r="J547" s="434">
        <f t="shared" si="179"/>
        <v>-145907.17391377987</v>
      </c>
      <c r="K547" s="434">
        <f t="shared" si="179"/>
        <v>-22495.128696397252</v>
      </c>
      <c r="L547" s="434">
        <f t="shared" si="179"/>
        <v>-69387.002643640299</v>
      </c>
      <c r="M547" s="434">
        <f t="shared" si="179"/>
        <v>-974.29887082101902</v>
      </c>
      <c r="N547" s="434">
        <f t="shared" si="179"/>
        <v>-20330.992869356032</v>
      </c>
      <c r="O547" s="434">
        <f t="shared" si="179"/>
        <v>-694.77114006749366</v>
      </c>
      <c r="P547" s="434">
        <f t="shared" si="179"/>
        <v>-1512.4633279930818</v>
      </c>
      <c r="Q547" s="434">
        <f t="shared" si="179"/>
        <v>-305.28985860365185</v>
      </c>
      <c r="R547" s="434">
        <f t="shared" si="179"/>
        <v>-80.165900777018493</v>
      </c>
      <c r="S547" s="434">
        <f t="shared" si="179"/>
        <v>-187.20277856430133</v>
      </c>
      <c r="T547" s="897"/>
      <c r="U547" s="118">
        <f t="shared" si="185" ref="U547:U548">SUM(I547:T547)</f>
        <v>-261874.49000000002</v>
      </c>
      <c r="V547" s="67"/>
      <c r="W547" s="726">
        <f t="shared" si="170"/>
        <v>0</v>
      </c>
    </row>
    <row r="548" spans="1:23" ht="15.75">
      <c r="A548" s="47"/>
      <c r="B548" s="17">
        <f t="shared" si="175"/>
        <v>49</v>
      </c>
      <c r="C548" s="43">
        <v>257</v>
      </c>
      <c r="D548" s="43" t="s">
        <v>1236</v>
      </c>
      <c r="E548" s="897"/>
      <c r="F548" s="290">
        <f>' WP II-I-1.4'!I548</f>
        <v>0</v>
      </c>
      <c r="G548" s="358">
        <v>64</v>
      </c>
      <c r="H548" s="47" t="str">
        <f t="shared" si="184"/>
        <v>PLANT</v>
      </c>
      <c r="I548" s="897"/>
      <c r="J548" s="435">
        <f t="shared" si="179"/>
        <v>0</v>
      </c>
      <c r="K548" s="435">
        <f t="shared" si="179"/>
        <v>0</v>
      </c>
      <c r="L548" s="435">
        <f t="shared" si="179"/>
        <v>0</v>
      </c>
      <c r="M548" s="435">
        <f t="shared" si="179"/>
        <v>0</v>
      </c>
      <c r="N548" s="435">
        <f t="shared" si="179"/>
        <v>0</v>
      </c>
      <c r="O548" s="435">
        <f t="shared" si="179"/>
        <v>0</v>
      </c>
      <c r="P548" s="435">
        <f t="shared" si="179"/>
        <v>0</v>
      </c>
      <c r="Q548" s="435">
        <f t="shared" si="179"/>
        <v>0</v>
      </c>
      <c r="R548" s="435">
        <f t="shared" si="179"/>
        <v>0</v>
      </c>
      <c r="S548" s="435">
        <f t="shared" si="179"/>
        <v>0</v>
      </c>
      <c r="T548" s="897"/>
      <c r="U548" s="118">
        <f t="shared" si="185"/>
        <v>0</v>
      </c>
      <c r="V548" s="67"/>
      <c r="W548" s="726"/>
    </row>
    <row r="549" spans="1:23" ht="15.75">
      <c r="A549" s="47"/>
      <c r="B549" s="17"/>
      <c r="C549" s="43"/>
      <c r="D549" s="43"/>
      <c r="E549" s="897"/>
      <c r="F549" s="290"/>
      <c r="G549" s="358"/>
      <c r="H549" s="47"/>
      <c r="I549" s="897"/>
      <c r="J549" s="434"/>
      <c r="K549" s="434"/>
      <c r="L549" s="434"/>
      <c r="M549" s="434"/>
      <c r="N549" s="434"/>
      <c r="O549" s="434"/>
      <c r="P549" s="434"/>
      <c r="Q549" s="434"/>
      <c r="R549" s="434"/>
      <c r="S549" s="434"/>
      <c r="T549" s="897"/>
      <c r="U549" s="118"/>
      <c r="V549" s="67"/>
      <c r="W549" s="726"/>
    </row>
    <row r="550" spans="1:23" ht="15.75">
      <c r="A550" s="147"/>
      <c r="B550" s="17">
        <f>B548+1</f>
        <v>50</v>
      </c>
      <c r="C550" s="36"/>
      <c r="D550" s="44" t="s">
        <v>613</v>
      </c>
      <c r="E550" s="37"/>
      <c r="F550" s="39">
        <f>SUM(F538:F549)</f>
        <v>-261874.48999999999</v>
      </c>
      <c r="G550" s="37"/>
      <c r="H550" s="37"/>
      <c r="I550" s="897"/>
      <c r="J550" s="898">
        <f t="shared" si="186" ref="J550:U550">SUM(J538:J549)</f>
        <v>-145907.17391377987</v>
      </c>
      <c r="K550" s="898">
        <f t="shared" si="186"/>
        <v>-22495.128696397252</v>
      </c>
      <c r="L550" s="898">
        <f t="shared" si="186"/>
        <v>-69387.002643640299</v>
      </c>
      <c r="M550" s="898">
        <f t="shared" si="186"/>
        <v>-974.29887082101902</v>
      </c>
      <c r="N550" s="898">
        <f t="shared" si="186"/>
        <v>-20330.992869356032</v>
      </c>
      <c r="O550" s="898">
        <f t="shared" si="186"/>
        <v>-694.77114006749366</v>
      </c>
      <c r="P550" s="898">
        <f t="shared" si="186"/>
        <v>-1512.4633279930818</v>
      </c>
      <c r="Q550" s="898">
        <f t="shared" si="186"/>
        <v>-305.28985860365185</v>
      </c>
      <c r="R550" s="898">
        <f t="shared" si="186"/>
        <v>-80.165900777018493</v>
      </c>
      <c r="S550" s="898">
        <f t="shared" si="186"/>
        <v>-187.20277856430133</v>
      </c>
      <c r="T550" s="898">
        <f t="shared" si="186"/>
        <v>0</v>
      </c>
      <c r="U550" s="898">
        <f t="shared" si="186"/>
        <v>-261874.49000000002</v>
      </c>
      <c r="V550" s="133"/>
      <c r="W550" s="726">
        <f t="shared" si="170"/>
        <v>0</v>
      </c>
    </row>
    <row r="551" spans="1:23" ht="16.5" thickBot="1">
      <c r="A551" s="47"/>
      <c r="B551" s="17">
        <f t="shared" si="175"/>
        <v>51</v>
      </c>
      <c r="C551" s="43"/>
      <c r="D551" s="44"/>
      <c r="E551" s="37"/>
      <c r="F551" s="263"/>
      <c r="G551" s="37"/>
      <c r="H551" s="37"/>
      <c r="I551" s="37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37"/>
      <c r="U551" s="118"/>
      <c r="V551" s="67"/>
      <c r="W551" s="726">
        <f t="shared" si="170"/>
        <v>0</v>
      </c>
    </row>
    <row r="552" spans="1:23" ht="16.5" thickBot="1">
      <c r="A552" s="40"/>
      <c r="B552" s="17">
        <f t="shared" si="175"/>
        <v>52</v>
      </c>
      <c r="C552" s="356" t="s">
        <v>614</v>
      </c>
      <c r="D552" s="278"/>
      <c r="E552" s="337" t="s">
        <v>132</v>
      </c>
      <c r="F552" s="278">
        <f>F535+F550</f>
        <v>16357751.659999996</v>
      </c>
      <c r="G552" s="337"/>
      <c r="H552" s="457"/>
      <c r="I552" s="643"/>
      <c r="J552" s="356">
        <f t="shared" si="187" ref="J552:S552">J535+J550</f>
        <v>8994582.6412211042</v>
      </c>
      <c r="K552" s="905">
        <f t="shared" si="187"/>
        <v>1339433.1322198703</v>
      </c>
      <c r="L552" s="905">
        <f t="shared" si="187"/>
        <v>4357608.1137911798</v>
      </c>
      <c r="M552" s="905">
        <f t="shared" si="187"/>
        <v>57112.779695791403</v>
      </c>
      <c r="N552" s="905">
        <f t="shared" si="187"/>
        <v>1241005.3908389607</v>
      </c>
      <c r="O552" s="905">
        <f t="shared" si="187"/>
        <v>46999.056395806503</v>
      </c>
      <c r="P552" s="905">
        <f t="shared" si="187"/>
        <v>111784.96563553813</v>
      </c>
      <c r="Q552" s="905">
        <f t="shared" si="187"/>
        <v>194954.81062008996</v>
      </c>
      <c r="R552" s="905">
        <f t="shared" si="187"/>
        <v>4278.7290352544351</v>
      </c>
      <c r="S552" s="279">
        <f t="shared" si="187"/>
        <v>9992.0405464021151</v>
      </c>
      <c r="T552" s="457"/>
      <c r="U552" s="279">
        <f>SUM(I552:T552)</f>
        <v>16357751.659999998</v>
      </c>
      <c r="V552" s="36"/>
      <c r="W552" s="726">
        <f t="shared" si="170"/>
        <v>0</v>
      </c>
    </row>
    <row r="553" spans="1:23" ht="15.75">
      <c r="A553" s="47"/>
      <c r="B553" s="17"/>
      <c r="C553" s="43"/>
      <c r="D553" s="44"/>
      <c r="E553" s="37"/>
      <c r="F553" s="263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118"/>
      <c r="V553" s="67"/>
      <c r="W553" s="167"/>
    </row>
    <row r="554" spans="1:23" ht="15.75">
      <c r="A554" s="47"/>
      <c r="B554" s="17"/>
      <c r="C554" s="43"/>
      <c r="D554" s="44"/>
      <c r="E554" s="37"/>
      <c r="F554" s="263"/>
      <c r="G554" s="37"/>
      <c r="H554" s="134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134"/>
      <c r="V554" s="134">
        <f>$H$2</f>
        <v>0</v>
      </c>
      <c r="W554" s="167"/>
    </row>
    <row r="555" spans="1:23" ht="16.5" thickBot="1">
      <c r="A555" s="47"/>
      <c r="B555" s="17"/>
      <c r="C555" s="43"/>
      <c r="D555" s="44"/>
      <c r="E555" s="37"/>
      <c r="F555" s="26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118"/>
      <c r="V555" s="67"/>
      <c r="W555" s="167"/>
    </row>
    <row r="556" spans="1:23" ht="15.75">
      <c r="A556" s="47"/>
      <c r="B556" s="920" t="str">
        <f>+$B$4</f>
        <v>2022 RATE CASE</v>
      </c>
      <c r="C556" s="935"/>
      <c r="D556" s="969"/>
      <c r="F556" s="332"/>
      <c r="U556" s="134"/>
      <c r="W556" s="167"/>
    </row>
    <row r="557" spans="1:23" ht="15.75">
      <c r="A557" s="47"/>
      <c r="B557" s="917" t="str">
        <f>+$B$5</f>
        <v>ONCOR ELECTRIC DELIVERY COMPANY LLC</v>
      </c>
      <c r="C557" s="8"/>
      <c r="D557" s="970"/>
      <c r="F557" s="332"/>
      <c r="U557" s="134"/>
      <c r="V557" s="67"/>
      <c r="W557" s="167"/>
    </row>
    <row r="558" spans="1:23" ht="15.75">
      <c r="A558" s="47"/>
      <c r="B558" s="917" t="str">
        <f>+$B$6</f>
        <v>II-I-1-TBILLTDCS:  CLASS REVENUE REQUIREMENT</v>
      </c>
      <c r="C558" s="85"/>
      <c r="D558" s="970"/>
      <c r="F558" s="332"/>
      <c r="U558" s="332"/>
      <c r="V558" s="67"/>
      <c r="W558" s="167"/>
    </row>
    <row r="559" spans="1:23" ht="15.75">
      <c r="A559" s="47"/>
      <c r="B559" s="406" t="str">
        <f>+$B$7</f>
        <v>TEST YEAR ENDING 12/31/2021</v>
      </c>
      <c r="C559" s="85"/>
      <c r="D559" s="970"/>
      <c r="F559" s="332"/>
      <c r="U559" s="332"/>
      <c r="V559" s="67"/>
      <c r="W559" s="167"/>
    </row>
    <row r="560" spans="1:23" ht="15.75">
      <c r="A560" s="47"/>
      <c r="B560" s="406" t="str">
        <f>+$B$8</f>
        <v>SPONSOR:  MATTHEW A. TROXLE</v>
      </c>
      <c r="C560" s="85"/>
      <c r="D560" s="970"/>
      <c r="F560" s="332"/>
      <c r="U560" s="332"/>
      <c r="V560" s="67"/>
      <c r="W560" s="167"/>
    </row>
    <row r="561" spans="1:23" ht="16.5" thickBot="1">
      <c r="A561" s="47"/>
      <c r="B561" s="410"/>
      <c r="C561" s="934"/>
      <c r="D561" s="936"/>
      <c r="F561" s="332"/>
      <c r="U561" s="332"/>
      <c r="V561" s="67"/>
      <c r="W561" s="167"/>
    </row>
    <row r="562" spans="1:23" ht="15.75" thickBot="1">
      <c r="A562" s="47"/>
      <c r="B562" s="13"/>
      <c r="C562" s="14"/>
      <c r="D562" s="14"/>
      <c r="E562" s="14"/>
      <c r="F562" s="13"/>
      <c r="G562" s="14"/>
      <c r="H562" s="14"/>
      <c r="I562" s="14"/>
      <c r="J562" s="238"/>
      <c r="K562" s="238"/>
      <c r="L562" s="14"/>
      <c r="M562" s="238"/>
      <c r="N562" s="238"/>
      <c r="O562" s="238"/>
      <c r="P562" s="238"/>
      <c r="Q562" s="14"/>
      <c r="R562" s="393" t="str">
        <f>R$10</f>
        <v xml:space="preserve"> </v>
      </c>
      <c r="S562" s="394"/>
      <c r="T562" s="238"/>
      <c r="U562" s="13"/>
      <c r="V562" s="67"/>
      <c r="W562" s="167"/>
    </row>
    <row r="563" spans="1:23" ht="15.75">
      <c r="A563" s="47"/>
      <c r="B563" s="15" t="s">
        <v>2</v>
      </c>
      <c r="C563" s="15" t="s">
        <v>370</v>
      </c>
      <c r="D563" s="287" t="s">
        <v>615</v>
      </c>
      <c r="E563" s="15" t="s">
        <v>371</v>
      </c>
      <c r="F563" s="287" t="str">
        <f>F$11</f>
        <v>TBILLTDCS</v>
      </c>
      <c r="G563" s="242" t="s">
        <v>741</v>
      </c>
      <c r="H563" s="242" t="s">
        <v>376</v>
      </c>
      <c r="I563" s="15"/>
      <c r="J563" s="242" t="s">
        <v>730</v>
      </c>
      <c r="K563" s="242" t="s">
        <v>409</v>
      </c>
      <c r="L563" s="15" t="s">
        <v>409</v>
      </c>
      <c r="M563" s="242" t="s">
        <v>410</v>
      </c>
      <c r="N563" s="242" t="s">
        <v>410</v>
      </c>
      <c r="O563" s="242" t="s">
        <v>410</v>
      </c>
      <c r="P563" s="242" t="s">
        <v>411</v>
      </c>
      <c r="Q563" s="15" t="s">
        <v>412</v>
      </c>
      <c r="R563" s="396" t="str">
        <f>R$11</f>
        <v>Wholesale</v>
      </c>
      <c r="S563" s="13" t="str">
        <f>S$11</f>
        <v>Wholesale</v>
      </c>
      <c r="T563" s="242"/>
      <c r="U563" s="15" t="s">
        <v>10</v>
      </c>
      <c r="V563" s="67"/>
      <c r="W563" s="167"/>
    </row>
    <row r="564" spans="1:23" ht="15">
      <c r="A564" s="47"/>
      <c r="B564" s="15"/>
      <c r="C564" s="15"/>
      <c r="D564" s="15"/>
      <c r="E564" s="15"/>
      <c r="F564" s="15"/>
      <c r="G564" s="242" t="s">
        <v>742</v>
      </c>
      <c r="H564" s="242" t="s">
        <v>743</v>
      </c>
      <c r="I564" s="15"/>
      <c r="J564" s="242"/>
      <c r="K564" s="242" t="s">
        <v>731</v>
      </c>
      <c r="L564" s="15" t="s">
        <v>732</v>
      </c>
      <c r="M564" s="242" t="s">
        <v>731</v>
      </c>
      <c r="N564" s="242" t="s">
        <v>732</v>
      </c>
      <c r="O564" s="242" t="s">
        <v>414</v>
      </c>
      <c r="P564" s="242"/>
      <c r="Q564" s="15"/>
      <c r="R564" s="235" t="str">
        <f>R$12</f>
        <v>XFMR</v>
      </c>
      <c r="S564" s="15" t="str">
        <f>S$12</f>
        <v>DLS</v>
      </c>
      <c r="T564" s="242"/>
      <c r="U564" s="15"/>
      <c r="V564" s="67"/>
      <c r="W564" s="167"/>
    </row>
    <row r="565" spans="1:23" ht="15.75" thickBot="1">
      <c r="A565" s="47"/>
      <c r="B565" s="16"/>
      <c r="C565" s="16"/>
      <c r="D565" s="16"/>
      <c r="E565" s="16"/>
      <c r="F565" s="16" t="s">
        <v>13</v>
      </c>
      <c r="G565" s="16" t="s">
        <v>14</v>
      </c>
      <c r="H565" s="16" t="s">
        <v>15</v>
      </c>
      <c r="I565" s="16"/>
      <c r="J565" s="243" t="str">
        <f t="shared" si="188" ref="J565:S565">J$13</f>
        <v>(d)</v>
      </c>
      <c r="K565" s="243" t="str">
        <f t="shared" si="188"/>
        <v>(e)</v>
      </c>
      <c r="L565" s="16" t="str">
        <f t="shared" si="188"/>
        <v>(f)</v>
      </c>
      <c r="M565" s="243" t="str">
        <f t="shared" si="188"/>
        <v>(g)</v>
      </c>
      <c r="N565" s="243" t="str">
        <f t="shared" si="188"/>
        <v>(h)</v>
      </c>
      <c r="O565" s="243" t="str">
        <f t="shared" si="188"/>
        <v>(i)</v>
      </c>
      <c r="P565" s="243" t="str">
        <f t="shared" si="188"/>
        <v>(j)</v>
      </c>
      <c r="Q565" s="243" t="str">
        <f t="shared" si="188"/>
        <v>(k)</v>
      </c>
      <c r="R565" s="243" t="str">
        <f t="shared" si="188"/>
        <v>(l)</v>
      </c>
      <c r="S565" s="16" t="str">
        <f t="shared" si="188"/>
        <v>(m)</v>
      </c>
      <c r="T565" s="16"/>
      <c r="U565" s="16" t="s">
        <v>734</v>
      </c>
      <c r="V565" s="67"/>
      <c r="W565" s="167"/>
    </row>
    <row r="566" spans="1:23" ht="15">
      <c r="A566" s="47"/>
      <c r="B566" s="67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43"/>
      <c r="V566" s="67"/>
      <c r="W566" s="167"/>
    </row>
    <row r="567" spans="1:23" ht="15.75">
      <c r="A567" s="40"/>
      <c r="B567" s="17">
        <f>B553+1</f>
        <v>1</v>
      </c>
      <c r="C567" s="36" t="s">
        <v>146</v>
      </c>
      <c r="D567" s="43"/>
      <c r="E567" s="897" t="s">
        <v>132</v>
      </c>
      <c r="F567" s="346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43"/>
      <c r="V567" s="43"/>
      <c r="W567" s="167"/>
    </row>
    <row r="568" spans="1:23" ht="15">
      <c r="A568" s="40"/>
      <c r="B568" s="17">
        <f t="shared" si="189" ref="B568:B579">B567+1</f>
        <v>2</v>
      </c>
      <c r="C568" s="43">
        <v>182</v>
      </c>
      <c r="D568" s="43" t="s">
        <v>147</v>
      </c>
      <c r="E568" s="358"/>
      <c r="F568" s="290">
        <f>' WP II-I-1.4'!I568</f>
        <v>0</v>
      </c>
      <c r="G568" s="358">
        <v>64</v>
      </c>
      <c r="H568" s="47" t="str">
        <f t="shared" si="190" ref="H568:H573">VLOOKUP(G568,FactorTable,2)</f>
        <v>PLANT</v>
      </c>
      <c r="I568" s="358"/>
      <c r="J568" s="434">
        <f t="shared" si="191" ref="J568:S573">$F568*HLOOKUP(J$1318,FactorTable,$G568+1)</f>
        <v>0</v>
      </c>
      <c r="K568" s="434">
        <f t="shared" si="191"/>
        <v>0</v>
      </c>
      <c r="L568" s="434">
        <f t="shared" si="191"/>
        <v>0</v>
      </c>
      <c r="M568" s="434">
        <f t="shared" si="191"/>
        <v>0</v>
      </c>
      <c r="N568" s="434">
        <f t="shared" si="191"/>
        <v>0</v>
      </c>
      <c r="O568" s="434">
        <f t="shared" si="191"/>
        <v>0</v>
      </c>
      <c r="P568" s="434">
        <f t="shared" si="191"/>
        <v>0</v>
      </c>
      <c r="Q568" s="434">
        <f t="shared" si="191"/>
        <v>0</v>
      </c>
      <c r="R568" s="434">
        <f t="shared" si="191"/>
        <v>0</v>
      </c>
      <c r="S568" s="434">
        <f t="shared" si="191"/>
        <v>0</v>
      </c>
      <c r="T568" s="358"/>
      <c r="U568" s="118">
        <f t="shared" si="192" ref="U568:U574">SUM(I568:T568)</f>
        <v>0</v>
      </c>
      <c r="V568" s="43"/>
      <c r="W568" s="726">
        <f t="shared" si="193" ref="W568:W599">F568-U568</f>
        <v>0</v>
      </c>
    </row>
    <row r="569" spans="1:23" ht="15">
      <c r="A569" s="40"/>
      <c r="B569" s="17">
        <f t="shared" si="189"/>
        <v>3</v>
      </c>
      <c r="C569" s="43">
        <v>182</v>
      </c>
      <c r="D569" s="43" t="s">
        <v>148</v>
      </c>
      <c r="E569" s="358"/>
      <c r="F569" s="290">
        <f>' WP II-I-1.4'!I569</f>
        <v>0</v>
      </c>
      <c r="G569" s="358">
        <v>64</v>
      </c>
      <c r="H569" s="47" t="str">
        <f t="shared" si="190"/>
        <v>PLANT</v>
      </c>
      <c r="I569" s="358"/>
      <c r="J569" s="434">
        <f t="shared" si="191"/>
        <v>0</v>
      </c>
      <c r="K569" s="434">
        <f t="shared" si="191"/>
        <v>0</v>
      </c>
      <c r="L569" s="434">
        <f t="shared" si="191"/>
        <v>0</v>
      </c>
      <c r="M569" s="434">
        <f t="shared" si="191"/>
        <v>0</v>
      </c>
      <c r="N569" s="434">
        <f t="shared" si="191"/>
        <v>0</v>
      </c>
      <c r="O569" s="434">
        <f t="shared" si="191"/>
        <v>0</v>
      </c>
      <c r="P569" s="434">
        <f t="shared" si="191"/>
        <v>0</v>
      </c>
      <c r="Q569" s="434">
        <f t="shared" si="191"/>
        <v>0</v>
      </c>
      <c r="R569" s="434">
        <f t="shared" si="191"/>
        <v>0</v>
      </c>
      <c r="S569" s="434">
        <f t="shared" si="191"/>
        <v>0</v>
      </c>
      <c r="T569" s="358"/>
      <c r="U569" s="118">
        <f t="shared" si="192"/>
        <v>0</v>
      </c>
      <c r="V569" s="43"/>
      <c r="W569" s="726">
        <f t="shared" si="193"/>
        <v>0</v>
      </c>
    </row>
    <row r="570" spans="1:23" ht="15">
      <c r="A570" s="40"/>
      <c r="B570" s="17">
        <f t="shared" si="189"/>
        <v>4</v>
      </c>
      <c r="C570" s="43">
        <v>182</v>
      </c>
      <c r="D570" s="43" t="s">
        <v>149</v>
      </c>
      <c r="E570" s="358"/>
      <c r="F570" s="290">
        <f>' WP II-I-1.4'!I570</f>
        <v>0</v>
      </c>
      <c r="G570" s="358">
        <v>37</v>
      </c>
      <c r="H570" s="47" t="str">
        <f t="shared" si="190"/>
        <v>OPEB TOTAL</v>
      </c>
      <c r="I570" s="358"/>
      <c r="J570" s="434">
        <f t="shared" si="191"/>
        <v>0</v>
      </c>
      <c r="K570" s="434">
        <f t="shared" si="191"/>
        <v>0</v>
      </c>
      <c r="L570" s="434">
        <f t="shared" si="191"/>
        <v>0</v>
      </c>
      <c r="M570" s="434">
        <f t="shared" si="191"/>
        <v>0</v>
      </c>
      <c r="N570" s="434">
        <f t="shared" si="191"/>
        <v>0</v>
      </c>
      <c r="O570" s="434">
        <f t="shared" si="191"/>
        <v>0</v>
      </c>
      <c r="P570" s="434">
        <f t="shared" si="191"/>
        <v>0</v>
      </c>
      <c r="Q570" s="434">
        <f t="shared" si="191"/>
        <v>0</v>
      </c>
      <c r="R570" s="434">
        <f t="shared" si="191"/>
        <v>0</v>
      </c>
      <c r="S570" s="434">
        <f t="shared" si="191"/>
        <v>0</v>
      </c>
      <c r="T570" s="358"/>
      <c r="U570" s="118">
        <f t="shared" si="192"/>
        <v>0</v>
      </c>
      <c r="V570" s="43"/>
      <c r="W570" s="726">
        <f t="shared" si="193"/>
        <v>0</v>
      </c>
    </row>
    <row r="571" spans="1:23" ht="15">
      <c r="A571" s="40"/>
      <c r="B571" s="17">
        <f>B570+1</f>
        <v>5</v>
      </c>
      <c r="C571" s="43">
        <v>182</v>
      </c>
      <c r="D571" s="43" t="s">
        <v>150</v>
      </c>
      <c r="E571" s="358"/>
      <c r="F571" s="290">
        <f>' WP II-I-1.4'!I571</f>
        <v>0</v>
      </c>
      <c r="G571" s="358">
        <v>64</v>
      </c>
      <c r="H571" s="47" t="str">
        <f t="shared" si="190"/>
        <v>PLANT</v>
      </c>
      <c r="I571" s="358"/>
      <c r="J571" s="434">
        <f t="shared" si="191"/>
        <v>0</v>
      </c>
      <c r="K571" s="434">
        <f t="shared" si="191"/>
        <v>0</v>
      </c>
      <c r="L571" s="434">
        <f t="shared" si="191"/>
        <v>0</v>
      </c>
      <c r="M571" s="434">
        <f t="shared" si="191"/>
        <v>0</v>
      </c>
      <c r="N571" s="434">
        <f t="shared" si="191"/>
        <v>0</v>
      </c>
      <c r="O571" s="434">
        <f t="shared" si="191"/>
        <v>0</v>
      </c>
      <c r="P571" s="434">
        <f t="shared" si="191"/>
        <v>0</v>
      </c>
      <c r="Q571" s="434">
        <f t="shared" si="191"/>
        <v>0</v>
      </c>
      <c r="R571" s="434">
        <f t="shared" si="191"/>
        <v>0</v>
      </c>
      <c r="S571" s="434">
        <f t="shared" si="191"/>
        <v>0</v>
      </c>
      <c r="T571" s="358"/>
      <c r="U571" s="118">
        <f t="shared" si="192"/>
        <v>0</v>
      </c>
      <c r="V571" s="43"/>
      <c r="W571" s="726">
        <f t="shared" si="193"/>
        <v>0</v>
      </c>
    </row>
    <row r="572" spans="1:23" ht="15">
      <c r="A572" s="40"/>
      <c r="B572" s="17">
        <f>B571+1</f>
        <v>6</v>
      </c>
      <c r="C572" s="43">
        <v>182</v>
      </c>
      <c r="D572" s="43" t="s">
        <v>1237</v>
      </c>
      <c r="E572" s="358"/>
      <c r="F572" s="290">
        <f>' WP II-I-1.4'!I572</f>
        <v>5700190.7600000147</v>
      </c>
      <c r="G572" s="358">
        <v>64</v>
      </c>
      <c r="H572" s="47" t="str">
        <f t="shared" si="190"/>
        <v>PLANT</v>
      </c>
      <c r="I572" s="358"/>
      <c r="J572" s="434">
        <f t="shared" si="191"/>
        <v>3175944.0354844918</v>
      </c>
      <c r="K572" s="434">
        <f t="shared" si="191"/>
        <v>489648.78075835033</v>
      </c>
      <c r="L572" s="434">
        <f t="shared" si="191"/>
        <v>1510338.6027916467</v>
      </c>
      <c r="M572" s="434">
        <f t="shared" si="191"/>
        <v>21207.447204698787</v>
      </c>
      <c r="N572" s="434">
        <f t="shared" si="191"/>
        <v>442542.29457603698</v>
      </c>
      <c r="O572" s="434">
        <f t="shared" si="191"/>
        <v>15123.000460745159</v>
      </c>
      <c r="P572" s="434">
        <f t="shared" si="191"/>
        <v>32921.608695314448</v>
      </c>
      <c r="Q572" s="434">
        <f t="shared" si="191"/>
        <v>6645.2079052612089</v>
      </c>
      <c r="R572" s="434">
        <f t="shared" si="191"/>
        <v>1744.9615916244413</v>
      </c>
      <c r="S572" s="434">
        <f t="shared" si="191"/>
        <v>4074.8205318454625</v>
      </c>
      <c r="T572" s="358"/>
      <c r="U572" s="118">
        <f t="shared" si="192"/>
        <v>5700190.7600000137</v>
      </c>
      <c r="V572" s="43"/>
      <c r="W572" s="726">
        <f t="shared" si="193"/>
        <v>0</v>
      </c>
    </row>
    <row r="573" spans="1:23" ht="15">
      <c r="A573" s="40"/>
      <c r="B573" s="17">
        <f t="shared" si="189"/>
        <v>7</v>
      </c>
      <c r="C573" s="43">
        <v>182</v>
      </c>
      <c r="D573" s="43" t="s">
        <v>1238</v>
      </c>
      <c r="E573" s="358"/>
      <c r="F573" s="290">
        <f>' WP II-I-1.4'!I573</f>
        <v>0</v>
      </c>
      <c r="G573" s="358">
        <v>64</v>
      </c>
      <c r="H573" s="47" t="str">
        <f t="shared" si="190"/>
        <v>PLANT</v>
      </c>
      <c r="I573" s="358"/>
      <c r="J573" s="435">
        <f t="shared" si="191"/>
        <v>0</v>
      </c>
      <c r="K573" s="435">
        <f t="shared" si="191"/>
        <v>0</v>
      </c>
      <c r="L573" s="435">
        <f t="shared" si="191"/>
        <v>0</v>
      </c>
      <c r="M573" s="435">
        <f t="shared" si="191"/>
        <v>0</v>
      </c>
      <c r="N573" s="435">
        <f t="shared" si="191"/>
        <v>0</v>
      </c>
      <c r="O573" s="435">
        <f t="shared" si="191"/>
        <v>0</v>
      </c>
      <c r="P573" s="435">
        <f t="shared" si="191"/>
        <v>0</v>
      </c>
      <c r="Q573" s="435">
        <f t="shared" si="191"/>
        <v>0</v>
      </c>
      <c r="R573" s="435">
        <f t="shared" si="191"/>
        <v>0</v>
      </c>
      <c r="S573" s="435">
        <f t="shared" si="191"/>
        <v>0</v>
      </c>
      <c r="T573" s="358"/>
      <c r="U573" s="118">
        <f t="shared" si="192"/>
        <v>0</v>
      </c>
      <c r="V573" s="43"/>
      <c r="W573" s="726">
        <f t="shared" si="193"/>
        <v>0</v>
      </c>
    </row>
    <row r="574" spans="1:23" ht="15.75">
      <c r="A574" s="38"/>
      <c r="B574" s="17">
        <f t="shared" si="189"/>
        <v>8</v>
      </c>
      <c r="C574" s="35"/>
      <c r="D574" s="44" t="s">
        <v>616</v>
      </c>
      <c r="E574" s="37"/>
      <c r="F574" s="21">
        <f>SUM(F568:F573)</f>
        <v>5700190.7600000147</v>
      </c>
      <c r="G574" s="37"/>
      <c r="H574" s="37"/>
      <c r="I574" s="897"/>
      <c r="J574" s="895">
        <f t="shared" si="194" ref="J574:S574">SUM(J568:J573)</f>
        <v>3175944.0354844918</v>
      </c>
      <c r="K574" s="895">
        <f t="shared" si="194"/>
        <v>489648.78075835033</v>
      </c>
      <c r="L574" s="895">
        <f t="shared" si="194"/>
        <v>1510338.6027916467</v>
      </c>
      <c r="M574" s="895">
        <f t="shared" si="194"/>
        <v>21207.447204698787</v>
      </c>
      <c r="N574" s="895">
        <f t="shared" si="194"/>
        <v>442542.29457603698</v>
      </c>
      <c r="O574" s="895">
        <f t="shared" si="194"/>
        <v>15123.000460745159</v>
      </c>
      <c r="P574" s="895">
        <f t="shared" si="194"/>
        <v>32921.608695314448</v>
      </c>
      <c r="Q574" s="895">
        <f t="shared" si="194"/>
        <v>6645.2079052612089</v>
      </c>
      <c r="R574" s="895">
        <f t="shared" si="194"/>
        <v>1744.9615916244413</v>
      </c>
      <c r="S574" s="895">
        <f t="shared" si="194"/>
        <v>4074.8205318454625</v>
      </c>
      <c r="T574" s="897"/>
      <c r="U574" s="118">
        <f t="shared" si="192"/>
        <v>5700190.7600000137</v>
      </c>
      <c r="V574" s="36"/>
      <c r="W574" s="726">
        <f t="shared" si="193"/>
        <v>0</v>
      </c>
    </row>
    <row r="575" spans="1:23" ht="15.75">
      <c r="A575" s="38"/>
      <c r="B575" s="17">
        <f t="shared" si="189"/>
        <v>9</v>
      </c>
      <c r="C575" s="35"/>
      <c r="D575" s="44"/>
      <c r="E575" s="37"/>
      <c r="F575" s="21"/>
      <c r="G575" s="37"/>
      <c r="H575" s="37"/>
      <c r="I575" s="897"/>
      <c r="J575" s="897"/>
      <c r="K575" s="897"/>
      <c r="L575" s="897"/>
      <c r="M575" s="897"/>
      <c r="N575" s="897"/>
      <c r="O575" s="897"/>
      <c r="P575" s="897"/>
      <c r="Q575" s="897"/>
      <c r="R575" s="897"/>
      <c r="S575" s="897"/>
      <c r="T575" s="897"/>
      <c r="U575" s="118"/>
      <c r="V575" s="36"/>
      <c r="W575" s="726">
        <f t="shared" si="193"/>
        <v>0</v>
      </c>
    </row>
    <row r="576" spans="1:23" ht="15.75">
      <c r="A576" s="40"/>
      <c r="B576" s="17">
        <f t="shared" si="189"/>
        <v>10</v>
      </c>
      <c r="C576" s="36" t="s">
        <v>153</v>
      </c>
      <c r="D576" s="43"/>
      <c r="E576" s="897" t="s">
        <v>132</v>
      </c>
      <c r="F576" s="263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263"/>
      <c r="V576" s="43"/>
      <c r="W576" s="726">
        <f t="shared" si="193"/>
        <v>0</v>
      </c>
    </row>
    <row r="577" spans="1:23" ht="15">
      <c r="A577" s="40"/>
      <c r="B577" s="17">
        <f t="shared" si="189"/>
        <v>11</v>
      </c>
      <c r="C577" s="43">
        <v>254</v>
      </c>
      <c r="D577" s="43" t="s">
        <v>154</v>
      </c>
      <c r="E577" s="358"/>
      <c r="F577" s="290">
        <f>' WP II-I-1.4'!I577</f>
        <v>0</v>
      </c>
      <c r="G577" s="358">
        <v>64</v>
      </c>
      <c r="H577" s="47" t="str">
        <f t="shared" si="195" ref="H577:H586">VLOOKUP(G577,FactorTable,2)</f>
        <v>PLANT</v>
      </c>
      <c r="I577" s="358"/>
      <c r="J577" s="434">
        <f t="shared" si="196" ref="J577:S586">$F577*HLOOKUP(J$1318,FactorTable,$G577+1)</f>
        <v>0</v>
      </c>
      <c r="K577" s="434">
        <f t="shared" si="196"/>
        <v>0</v>
      </c>
      <c r="L577" s="434">
        <f t="shared" si="196"/>
        <v>0</v>
      </c>
      <c r="M577" s="434">
        <f t="shared" si="196"/>
        <v>0</v>
      </c>
      <c r="N577" s="434">
        <f t="shared" si="196"/>
        <v>0</v>
      </c>
      <c r="O577" s="434">
        <f t="shared" si="196"/>
        <v>0</v>
      </c>
      <c r="P577" s="434">
        <f t="shared" si="196"/>
        <v>0</v>
      </c>
      <c r="Q577" s="434">
        <f t="shared" si="196"/>
        <v>0</v>
      </c>
      <c r="R577" s="434">
        <f t="shared" si="196"/>
        <v>0</v>
      </c>
      <c r="S577" s="434">
        <f t="shared" si="196"/>
        <v>0</v>
      </c>
      <c r="T577" s="358"/>
      <c r="U577" s="118">
        <f t="shared" si="197" ref="U577:U587">SUM(I577:T577)</f>
        <v>0</v>
      </c>
      <c r="V577" s="43"/>
      <c r="W577" s="726">
        <f t="shared" si="193"/>
        <v>0</v>
      </c>
    </row>
    <row r="578" spans="1:23" ht="15">
      <c r="A578" s="40"/>
      <c r="B578" s="17">
        <f t="shared" si="189"/>
        <v>12</v>
      </c>
      <c r="C578" s="43">
        <v>254</v>
      </c>
      <c r="D578" s="43" t="s">
        <v>1239</v>
      </c>
      <c r="E578" s="358"/>
      <c r="F578" s="290">
        <f>' WP II-I-1.4'!I578</f>
        <v>-1945062.2999999982</v>
      </c>
      <c r="G578" s="358">
        <v>64</v>
      </c>
      <c r="H578" s="47" t="str">
        <f t="shared" si="195"/>
        <v>PLANT</v>
      </c>
      <c r="I578" s="358"/>
      <c r="J578" s="434">
        <f t="shared" si="196"/>
        <v>-1083719.6982387877</v>
      </c>
      <c r="K578" s="434">
        <f t="shared" si="196"/>
        <v>-167081.66863068796</v>
      </c>
      <c r="L578" s="434">
        <f t="shared" si="196"/>
        <v>-515369.18678923236</v>
      </c>
      <c r="M578" s="434">
        <f t="shared" si="196"/>
        <v>-7236.5658929456331</v>
      </c>
      <c r="N578" s="434">
        <f t="shared" si="196"/>
        <v>-151007.63633660236</v>
      </c>
      <c r="O578" s="434">
        <f t="shared" si="196"/>
        <v>-5160.3848533444407</v>
      </c>
      <c r="P578" s="434">
        <f t="shared" si="196"/>
        <v>-11233.760873049816</v>
      </c>
      <c r="Q578" s="434">
        <f t="shared" si="196"/>
        <v>-2267.5282137725344</v>
      </c>
      <c r="R578" s="434">
        <f t="shared" si="196"/>
        <v>-595.42902153974308</v>
      </c>
      <c r="S578" s="434">
        <f t="shared" si="196"/>
        <v>-1390.4411500359211</v>
      </c>
      <c r="T578" s="358"/>
      <c r="U578" s="118">
        <f t="shared" si="197"/>
        <v>-1945062.2999999982</v>
      </c>
      <c r="V578" s="43"/>
      <c r="W578" s="726">
        <f t="shared" si="193"/>
        <v>0</v>
      </c>
    </row>
    <row r="579" spans="1:23" ht="15">
      <c r="A579" s="40"/>
      <c r="B579" s="17">
        <f t="shared" si="189"/>
        <v>13</v>
      </c>
      <c r="C579" s="43">
        <v>254</v>
      </c>
      <c r="D579" s="43" t="s">
        <v>1240</v>
      </c>
      <c r="E579" s="358"/>
      <c r="F579" s="290">
        <f>' WP II-I-1.4'!I579</f>
        <v>0</v>
      </c>
      <c r="G579" s="358">
        <v>64</v>
      </c>
      <c r="H579" s="47" t="str">
        <f t="shared" si="195"/>
        <v>PLANT</v>
      </c>
      <c r="I579" s="358"/>
      <c r="J579" s="434">
        <f t="shared" si="196"/>
        <v>0</v>
      </c>
      <c r="K579" s="434">
        <f t="shared" si="196"/>
        <v>0</v>
      </c>
      <c r="L579" s="434">
        <f t="shared" si="196"/>
        <v>0</v>
      </c>
      <c r="M579" s="434">
        <f t="shared" si="196"/>
        <v>0</v>
      </c>
      <c r="N579" s="434">
        <f t="shared" si="196"/>
        <v>0</v>
      </c>
      <c r="O579" s="434">
        <f t="shared" si="196"/>
        <v>0</v>
      </c>
      <c r="P579" s="434">
        <f t="shared" si="196"/>
        <v>0</v>
      </c>
      <c r="Q579" s="434">
        <f t="shared" si="196"/>
        <v>0</v>
      </c>
      <c r="R579" s="434">
        <f t="shared" si="196"/>
        <v>0</v>
      </c>
      <c r="S579" s="434">
        <f t="shared" si="196"/>
        <v>0</v>
      </c>
      <c r="T579" s="358"/>
      <c r="U579" s="118">
        <f t="shared" si="197"/>
        <v>0</v>
      </c>
      <c r="V579" s="43"/>
      <c r="W579" s="726">
        <f t="shared" si="193"/>
        <v>0</v>
      </c>
    </row>
    <row r="580" spans="1:23" ht="15">
      <c r="A580" s="40"/>
      <c r="B580" s="17">
        <f>B579+1</f>
        <v>14</v>
      </c>
      <c r="C580" s="43">
        <v>254</v>
      </c>
      <c r="D580" s="43" t="s">
        <v>1241</v>
      </c>
      <c r="E580" s="358"/>
      <c r="F580" s="290">
        <f>' WP II-I-1.4'!I580</f>
        <v>-13411193.226812735</v>
      </c>
      <c r="G580" s="358">
        <v>64</v>
      </c>
      <c r="H580" s="47" t="str">
        <f t="shared" si="195"/>
        <v>PLANT</v>
      </c>
      <c r="I580" s="358"/>
      <c r="J580" s="434">
        <f t="shared" si="196"/>
        <v>-7472241.0057423785</v>
      </c>
      <c r="K580" s="434">
        <f t="shared" si="196"/>
        <v>-1152027.1318118984</v>
      </c>
      <c r="L580" s="434">
        <f t="shared" si="196"/>
        <v>-3553467.5404359782</v>
      </c>
      <c r="M580" s="434">
        <f t="shared" si="196"/>
        <v>-49896.079672541404</v>
      </c>
      <c r="N580" s="434">
        <f t="shared" si="196"/>
        <v>-1041196.7727894598</v>
      </c>
      <c r="O580" s="434">
        <f t="shared" si="196"/>
        <v>-35580.82350005964</v>
      </c>
      <c r="P580" s="434">
        <f t="shared" si="196"/>
        <v>-77456.715773206728</v>
      </c>
      <c r="Q580" s="434">
        <f t="shared" si="196"/>
        <v>-15634.593823628693</v>
      </c>
      <c r="R580" s="434">
        <f t="shared" si="196"/>
        <v>-4105.4796346222665</v>
      </c>
      <c r="S580" s="434">
        <f t="shared" si="196"/>
        <v>-9587.0836289631807</v>
      </c>
      <c r="T580" s="358"/>
      <c r="U580" s="118">
        <f t="shared" si="198" ref="U580:U583">SUM(I580:T580)</f>
        <v>-13411193.226812735</v>
      </c>
      <c r="V580" s="43"/>
      <c r="W580" s="726"/>
    </row>
    <row r="581" spans="1:23" ht="15">
      <c r="A581" s="40"/>
      <c r="B581" s="17">
        <f t="shared" si="199" ref="B581:B599">B580+1</f>
        <v>15</v>
      </c>
      <c r="C581" s="43">
        <v>254</v>
      </c>
      <c r="D581" s="43" t="s">
        <v>1242</v>
      </c>
      <c r="E581" s="358"/>
      <c r="F581" s="290">
        <f>' WP II-I-1.4'!I581</f>
        <v>0</v>
      </c>
      <c r="G581" s="358">
        <v>64</v>
      </c>
      <c r="H581" s="47" t="str">
        <f t="shared" si="195"/>
        <v>PLANT</v>
      </c>
      <c r="I581" s="358"/>
      <c r="J581" s="434">
        <f t="shared" si="196"/>
        <v>0</v>
      </c>
      <c r="K581" s="434">
        <f t="shared" si="196"/>
        <v>0</v>
      </c>
      <c r="L581" s="434">
        <f t="shared" si="196"/>
        <v>0</v>
      </c>
      <c r="M581" s="434">
        <f t="shared" si="196"/>
        <v>0</v>
      </c>
      <c r="N581" s="434">
        <f t="shared" si="196"/>
        <v>0</v>
      </c>
      <c r="O581" s="434">
        <f t="shared" si="196"/>
        <v>0</v>
      </c>
      <c r="P581" s="434">
        <f t="shared" si="196"/>
        <v>0</v>
      </c>
      <c r="Q581" s="434">
        <f t="shared" si="196"/>
        <v>0</v>
      </c>
      <c r="R581" s="434">
        <f t="shared" si="196"/>
        <v>0</v>
      </c>
      <c r="S581" s="434">
        <f t="shared" si="196"/>
        <v>0</v>
      </c>
      <c r="T581" s="358"/>
      <c r="U581" s="118">
        <f t="shared" si="198"/>
        <v>0</v>
      </c>
      <c r="V581" s="43"/>
      <c r="W581" s="726"/>
    </row>
    <row r="582" spans="1:23" ht="15">
      <c r="A582" s="40"/>
      <c r="B582" s="17">
        <f t="shared" si="199"/>
        <v>16</v>
      </c>
      <c r="C582" s="43">
        <v>254</v>
      </c>
      <c r="D582" s="43" t="s">
        <v>1244</v>
      </c>
      <c r="E582" s="358"/>
      <c r="F582" s="290">
        <f>' WP II-I-1.4'!I582</f>
        <v>-2667159.3099999968</v>
      </c>
      <c r="G582" s="358">
        <v>64</v>
      </c>
      <c r="H582" s="47" t="str">
        <f t="shared" si="195"/>
        <v>PLANT</v>
      </c>
      <c r="I582" s="358"/>
      <c r="J582" s="434">
        <f t="shared" si="196"/>
        <v>-1486046.5305342521</v>
      </c>
      <c r="K582" s="434">
        <f t="shared" si="196"/>
        <v>-229110.10512037284</v>
      </c>
      <c r="L582" s="434">
        <f t="shared" si="196"/>
        <v>-706698.04490685451</v>
      </c>
      <c r="M582" s="434">
        <f t="shared" si="196"/>
        <v>-9923.1135649477164</v>
      </c>
      <c r="N582" s="434">
        <f t="shared" si="196"/>
        <v>-207068.64923363287</v>
      </c>
      <c r="O582" s="434">
        <f t="shared" si="196"/>
        <v>-7076.1581800133627</v>
      </c>
      <c r="P582" s="434">
        <f t="shared" si="196"/>
        <v>-15404.252038029083</v>
      </c>
      <c r="Q582" s="434">
        <f t="shared" si="196"/>
        <v>-3109.3394725973985</v>
      </c>
      <c r="R582" s="434">
        <f t="shared" si="196"/>
        <v>-816.4797900015418</v>
      </c>
      <c r="S582" s="434">
        <f t="shared" si="196"/>
        <v>-1906.6371592958294</v>
      </c>
      <c r="T582" s="358"/>
      <c r="U582" s="118">
        <f t="shared" si="198"/>
        <v>-2667159.3099999973</v>
      </c>
      <c r="V582" s="43"/>
      <c r="W582" s="726"/>
    </row>
    <row r="583" spans="1:23" ht="15">
      <c r="A583" s="40"/>
      <c r="B583" s="17">
        <f t="shared" si="199"/>
        <v>17</v>
      </c>
      <c r="C583" s="43">
        <v>254</v>
      </c>
      <c r="D583" s="43" t="s">
        <v>1245</v>
      </c>
      <c r="E583" s="358"/>
      <c r="F583" s="290">
        <f>' WP II-I-1.4'!I583</f>
        <v>243164.58999999956</v>
      </c>
      <c r="G583" s="358">
        <v>64</v>
      </c>
      <c r="H583" s="47" t="str">
        <f t="shared" si="195"/>
        <v>PLANT</v>
      </c>
      <c r="I583" s="358"/>
      <c r="J583" s="434">
        <f t="shared" si="196"/>
        <v>135482.6815044219</v>
      </c>
      <c r="K583" s="434">
        <f t="shared" si="196"/>
        <v>20887.940426945224</v>
      </c>
      <c r="L583" s="434">
        <f t="shared" si="196"/>
        <v>64429.574828650475</v>
      </c>
      <c r="M583" s="434">
        <f t="shared" si="196"/>
        <v>904.68905719169368</v>
      </c>
      <c r="N583" s="434">
        <f t="shared" si="196"/>
        <v>18878.423573712258</v>
      </c>
      <c r="O583" s="434">
        <f t="shared" si="196"/>
        <v>645.13248090084824</v>
      </c>
      <c r="P583" s="434">
        <f t="shared" si="196"/>
        <v>1404.4037853456921</v>
      </c>
      <c r="Q583" s="434">
        <f t="shared" si="196"/>
        <v>283.47810166051244</v>
      </c>
      <c r="R583" s="434">
        <f t="shared" si="196"/>
        <v>74.4383631808671</v>
      </c>
      <c r="S583" s="434">
        <f t="shared" si="196"/>
        <v>173.82787799013579</v>
      </c>
      <c r="T583" s="358"/>
      <c r="U583" s="118">
        <f t="shared" si="198"/>
        <v>243164.58999999965</v>
      </c>
      <c r="V583" s="43"/>
      <c r="W583" s="726"/>
    </row>
    <row r="584" spans="1:23" ht="15">
      <c r="A584" s="40"/>
      <c r="B584" s="17">
        <f t="shared" si="199"/>
        <v>18</v>
      </c>
      <c r="C584" s="43">
        <v>254</v>
      </c>
      <c r="D584" s="43" t="s">
        <v>1246</v>
      </c>
      <c r="E584" s="358"/>
      <c r="F584" s="290">
        <f>' WP II-I-1.4'!I584</f>
        <v>0</v>
      </c>
      <c r="G584" s="358">
        <v>64</v>
      </c>
      <c r="H584" s="47" t="str">
        <f t="shared" si="195"/>
        <v>PLANT</v>
      </c>
      <c r="I584" s="358"/>
      <c r="J584" s="434">
        <f t="shared" si="196"/>
        <v>0</v>
      </c>
      <c r="K584" s="434">
        <f t="shared" si="196"/>
        <v>0</v>
      </c>
      <c r="L584" s="434">
        <f t="shared" si="196"/>
        <v>0</v>
      </c>
      <c r="M584" s="434">
        <f t="shared" si="196"/>
        <v>0</v>
      </c>
      <c r="N584" s="434">
        <f t="shared" si="196"/>
        <v>0</v>
      </c>
      <c r="O584" s="434">
        <f t="shared" si="196"/>
        <v>0</v>
      </c>
      <c r="P584" s="434">
        <f t="shared" si="196"/>
        <v>0</v>
      </c>
      <c r="Q584" s="434">
        <f t="shared" si="196"/>
        <v>0</v>
      </c>
      <c r="R584" s="434">
        <f t="shared" si="196"/>
        <v>0</v>
      </c>
      <c r="S584" s="434">
        <f t="shared" si="196"/>
        <v>0</v>
      </c>
      <c r="T584" s="358"/>
      <c r="U584" s="118">
        <f t="shared" si="197"/>
        <v>0</v>
      </c>
      <c r="V584" s="43"/>
      <c r="W584" s="726">
        <f t="shared" si="193"/>
        <v>0</v>
      </c>
    </row>
    <row r="585" spans="1:23" ht="15">
      <c r="A585" s="40"/>
      <c r="B585" s="17">
        <f t="shared" si="199"/>
        <v>19</v>
      </c>
      <c r="C585" s="43">
        <v>254</v>
      </c>
      <c r="D585" s="43" t="s">
        <v>155</v>
      </c>
      <c r="E585" s="358"/>
      <c r="F585" s="290">
        <f>' WP II-I-1.4'!I585</f>
        <v>0</v>
      </c>
      <c r="G585" s="358">
        <v>37</v>
      </c>
      <c r="H585" s="47" t="str">
        <f t="shared" si="195"/>
        <v>OPEB TOTAL</v>
      </c>
      <c r="I585" s="358"/>
      <c r="J585" s="434">
        <f t="shared" si="196"/>
        <v>0</v>
      </c>
      <c r="K585" s="434">
        <f t="shared" si="196"/>
        <v>0</v>
      </c>
      <c r="L585" s="434">
        <f t="shared" si="196"/>
        <v>0</v>
      </c>
      <c r="M585" s="434">
        <f t="shared" si="196"/>
        <v>0</v>
      </c>
      <c r="N585" s="434">
        <f t="shared" si="196"/>
        <v>0</v>
      </c>
      <c r="O585" s="434">
        <f t="shared" si="196"/>
        <v>0</v>
      </c>
      <c r="P585" s="434">
        <f t="shared" si="196"/>
        <v>0</v>
      </c>
      <c r="Q585" s="434">
        <f t="shared" si="196"/>
        <v>0</v>
      </c>
      <c r="R585" s="434">
        <f t="shared" si="196"/>
        <v>0</v>
      </c>
      <c r="S585" s="434">
        <f t="shared" si="196"/>
        <v>0</v>
      </c>
      <c r="T585" s="358"/>
      <c r="U585" s="118">
        <f t="shared" si="197"/>
        <v>0</v>
      </c>
      <c r="V585" s="43"/>
      <c r="W585" s="726">
        <f t="shared" si="193"/>
        <v>0</v>
      </c>
    </row>
    <row r="586" spans="1:23" ht="15">
      <c r="A586" s="40"/>
      <c r="B586" s="17">
        <f t="shared" si="199"/>
        <v>20</v>
      </c>
      <c r="C586" s="43">
        <v>254</v>
      </c>
      <c r="D586" s="43" t="s">
        <v>156</v>
      </c>
      <c r="E586" s="358"/>
      <c r="F586" s="290">
        <f>' WP II-I-1.4'!I586</f>
        <v>0</v>
      </c>
      <c r="G586" s="358">
        <v>37</v>
      </c>
      <c r="H586" s="47" t="str">
        <f t="shared" si="195"/>
        <v>OPEB TOTAL</v>
      </c>
      <c r="I586" s="358"/>
      <c r="J586" s="435">
        <f t="shared" si="196"/>
        <v>0</v>
      </c>
      <c r="K586" s="435">
        <f t="shared" si="196"/>
        <v>0</v>
      </c>
      <c r="L586" s="435">
        <f t="shared" si="196"/>
        <v>0</v>
      </c>
      <c r="M586" s="435">
        <f t="shared" si="196"/>
        <v>0</v>
      </c>
      <c r="N586" s="435">
        <f t="shared" si="196"/>
        <v>0</v>
      </c>
      <c r="O586" s="435">
        <f t="shared" si="196"/>
        <v>0</v>
      </c>
      <c r="P586" s="435">
        <f t="shared" si="196"/>
        <v>0</v>
      </c>
      <c r="Q586" s="435">
        <f t="shared" si="196"/>
        <v>0</v>
      </c>
      <c r="R586" s="435">
        <f t="shared" si="196"/>
        <v>0</v>
      </c>
      <c r="S586" s="435">
        <f t="shared" si="196"/>
        <v>0</v>
      </c>
      <c r="T586" s="358"/>
      <c r="U586" s="118">
        <f t="shared" si="197"/>
        <v>0</v>
      </c>
      <c r="V586" s="43"/>
      <c r="W586" s="726">
        <f t="shared" si="193"/>
        <v>0</v>
      </c>
    </row>
    <row r="587" spans="1:23" ht="15.75">
      <c r="A587" s="38"/>
      <c r="B587" s="17">
        <f t="shared" si="199"/>
        <v>21</v>
      </c>
      <c r="C587" s="35"/>
      <c r="D587" s="44" t="s">
        <v>617</v>
      </c>
      <c r="E587" s="37"/>
      <c r="F587" s="21">
        <f>SUM(F577:F586)</f>
        <v>-17780250.246812731</v>
      </c>
      <c r="G587" s="37"/>
      <c r="H587" s="37"/>
      <c r="I587" s="897"/>
      <c r="J587" s="895">
        <f t="shared" si="200" ref="J587:Q587">SUM(J577:J586)</f>
        <v>-9906524.5530109964</v>
      </c>
      <c r="K587" s="895">
        <f t="shared" si="200"/>
        <v>-1527330.9651360139</v>
      </c>
      <c r="L587" s="895">
        <f t="shared" si="200"/>
        <v>-4711105.1973034143</v>
      </c>
      <c r="M587" s="895">
        <f t="shared" si="200"/>
        <v>-66151.070073243071</v>
      </c>
      <c r="N587" s="895">
        <f t="shared" si="200"/>
        <v>-1380394.6347859828</v>
      </c>
      <c r="O587" s="895">
        <f>SUM(O577:O586)</f>
        <v>-47172.234052516593</v>
      </c>
      <c r="P587" s="895">
        <f t="shared" si="200"/>
        <v>-102690.32489893993</v>
      </c>
      <c r="Q587" s="895">
        <f t="shared" si="200"/>
        <v>-20727.983408338114</v>
      </c>
      <c r="R587" s="895">
        <f>SUM(R577:R586)</f>
        <v>-5442.9500829826848</v>
      </c>
      <c r="S587" s="895">
        <f>SUM(S577:S586)</f>
        <v>-12710.334060304795</v>
      </c>
      <c r="T587" s="37"/>
      <c r="U587" s="21">
        <f t="shared" si="197"/>
        <v>-17780250.246812735</v>
      </c>
      <c r="V587" s="36"/>
      <c r="W587" s="726">
        <f t="shared" si="193"/>
        <v>0</v>
      </c>
    </row>
    <row r="588" spans="1:23" ht="16.5" thickBot="1">
      <c r="A588" s="40"/>
      <c r="B588" s="17">
        <f t="shared" si="199"/>
        <v>22</v>
      </c>
      <c r="C588" s="35"/>
      <c r="D588" s="43"/>
      <c r="E588" s="358"/>
      <c r="F588" s="346"/>
      <c r="G588" s="358"/>
      <c r="H588" s="358"/>
      <c r="I588" s="358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58"/>
      <c r="U588" s="43"/>
      <c r="V588" s="43"/>
      <c r="W588" s="726">
        <f t="shared" si="193"/>
        <v>0</v>
      </c>
    </row>
    <row r="589" spans="1:23" ht="16.5" thickBot="1">
      <c r="A589" s="38"/>
      <c r="B589" s="17">
        <f t="shared" si="199"/>
        <v>23</v>
      </c>
      <c r="C589" s="356" t="s">
        <v>618</v>
      </c>
      <c r="D589" s="278"/>
      <c r="E589" s="337" t="s">
        <v>132</v>
      </c>
      <c r="F589" s="278">
        <f>F574+F587</f>
        <v>-12080059.486812716</v>
      </c>
      <c r="G589" s="337"/>
      <c r="H589" s="457"/>
      <c r="I589" s="643"/>
      <c r="J589" s="356">
        <f t="shared" si="201" ref="J589:Q589">J574+J587</f>
        <v>-6730580.5175265046</v>
      </c>
      <c r="K589" s="905">
        <f t="shared" si="201"/>
        <v>-1037682.1843776635</v>
      </c>
      <c r="L589" s="905">
        <f t="shared" si="201"/>
        <v>-3200766.5945117678</v>
      </c>
      <c r="M589" s="905">
        <f t="shared" si="201"/>
        <v>-44943.622868544284</v>
      </c>
      <c r="N589" s="905">
        <f t="shared" si="201"/>
        <v>-937852.3402099458</v>
      </c>
      <c r="O589" s="905">
        <f>O574+O587</f>
        <v>-32049.233591771434</v>
      </c>
      <c r="P589" s="905">
        <f t="shared" si="201"/>
        <v>-69768.716203625489</v>
      </c>
      <c r="Q589" s="905">
        <f t="shared" si="201"/>
        <v>-14082.775503076904</v>
      </c>
      <c r="R589" s="905">
        <f>R574+R587</f>
        <v>-3697.9884913582437</v>
      </c>
      <c r="S589" s="279">
        <f>S574+S587</f>
        <v>-8635.5135284593325</v>
      </c>
      <c r="T589" s="457"/>
      <c r="U589" s="279">
        <f>SUM(I589:T589)</f>
        <v>-12080059.486812716</v>
      </c>
      <c r="V589" s="36"/>
      <c r="W589" s="726">
        <f t="shared" si="193"/>
        <v>0</v>
      </c>
    </row>
    <row r="590" spans="1:23" ht="16.5" thickBot="1">
      <c r="A590" s="40"/>
      <c r="B590" s="17">
        <f t="shared" si="199"/>
        <v>24</v>
      </c>
      <c r="C590" s="46"/>
      <c r="D590" s="36"/>
      <c r="E590" s="37"/>
      <c r="F590" s="39"/>
      <c r="G590" s="37"/>
      <c r="H590" s="37"/>
      <c r="I590" s="37"/>
      <c r="J590" s="898"/>
      <c r="K590" s="898"/>
      <c r="L590" s="898"/>
      <c r="M590" s="898"/>
      <c r="N590" s="898"/>
      <c r="O590" s="898"/>
      <c r="P590" s="898"/>
      <c r="Q590" s="898"/>
      <c r="R590" s="898"/>
      <c r="S590" s="898"/>
      <c r="T590" s="37"/>
      <c r="U590" s="43"/>
      <c r="V590" s="36"/>
      <c r="W590" s="726">
        <f t="shared" si="193"/>
        <v>0</v>
      </c>
    </row>
    <row r="591" spans="1:23" ht="16.5" thickBot="1">
      <c r="A591" s="38"/>
      <c r="B591" s="17">
        <f t="shared" si="199"/>
        <v>25</v>
      </c>
      <c r="C591" s="335" t="s">
        <v>619</v>
      </c>
      <c r="D591" s="336"/>
      <c r="E591" s="336"/>
      <c r="F591" s="360">
        <f>F552+F589</f>
        <v>4277692.1731872801</v>
      </c>
      <c r="G591" s="336"/>
      <c r="H591" s="464"/>
      <c r="I591" s="335"/>
      <c r="J591" s="465">
        <f t="shared" si="202" ref="J591:S591">J552+J589</f>
        <v>2264002.1236945996</v>
      </c>
      <c r="K591" s="360">
        <f t="shared" si="202"/>
        <v>301750.94784220681</v>
      </c>
      <c r="L591" s="360">
        <f t="shared" si="202"/>
        <v>1156841.519279412</v>
      </c>
      <c r="M591" s="360">
        <f t="shared" si="202"/>
        <v>12169.15682724712</v>
      </c>
      <c r="N591" s="360">
        <f t="shared" si="202"/>
        <v>303153.05062901485</v>
      </c>
      <c r="O591" s="360">
        <f t="shared" si="202"/>
        <v>14949.82280403507</v>
      </c>
      <c r="P591" s="360">
        <f t="shared" si="202"/>
        <v>42016.249431912642</v>
      </c>
      <c r="Q591" s="360">
        <f t="shared" si="202"/>
        <v>180872.03511701306</v>
      </c>
      <c r="R591" s="360">
        <f t="shared" si="202"/>
        <v>580.74054389619141</v>
      </c>
      <c r="S591" s="361">
        <f t="shared" si="202"/>
        <v>1356.5270179427826</v>
      </c>
      <c r="T591" s="464"/>
      <c r="U591" s="361">
        <f>SUM(I591:T591)</f>
        <v>4277692.1731872801</v>
      </c>
      <c r="V591" s="36"/>
      <c r="W591" s="726">
        <f t="shared" si="193"/>
        <v>0</v>
      </c>
    </row>
    <row r="592" spans="1:23" ht="16.5" thickBot="1">
      <c r="A592" s="40"/>
      <c r="B592" s="17">
        <f t="shared" si="199"/>
        <v>26</v>
      </c>
      <c r="C592" s="362"/>
      <c r="D592" s="362"/>
      <c r="E592" s="362"/>
      <c r="F592" s="362"/>
      <c r="G592" s="362"/>
      <c r="H592" s="362"/>
      <c r="I592" s="362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2"/>
      <c r="U592" s="362"/>
      <c r="V592" s="36"/>
      <c r="W592" s="726">
        <f t="shared" si="193"/>
        <v>0</v>
      </c>
    </row>
    <row r="593" spans="1:23" ht="16.5" thickBot="1">
      <c r="A593" s="147"/>
      <c r="B593" s="17">
        <f t="shared" si="199"/>
        <v>27</v>
      </c>
      <c r="C593" s="341" t="s">
        <v>620</v>
      </c>
      <c r="D593" s="336"/>
      <c r="E593" s="337" t="s">
        <v>621</v>
      </c>
      <c r="F593" s="278">
        <f>F591+F483+F462+F441+F421+F374</f>
        <v>5349223.523187262</v>
      </c>
      <c r="G593" s="337"/>
      <c r="H593" s="457"/>
      <c r="I593" s="643"/>
      <c r="J593" s="356">
        <f t="shared" si="203" ref="J593:S593">J591+J483+J462+J441+J421+J374</f>
        <v>2713700.3169582468</v>
      </c>
      <c r="K593" s="905">
        <f t="shared" si="203"/>
        <v>325809.7918763599</v>
      </c>
      <c r="L593" s="905">
        <f t="shared" si="203"/>
        <v>1585895.6716394953</v>
      </c>
      <c r="M593" s="905">
        <f t="shared" si="203"/>
        <v>12620.478308106718</v>
      </c>
      <c r="N593" s="905">
        <f t="shared" si="203"/>
        <v>376383.2726798139</v>
      </c>
      <c r="O593" s="905">
        <f t="shared" si="203"/>
        <v>25297.563058743784</v>
      </c>
      <c r="P593" s="905">
        <f t="shared" si="203"/>
        <v>117326.45323556803</v>
      </c>
      <c r="Q593" s="905">
        <f t="shared" si="203"/>
        <v>188253.3169998152</v>
      </c>
      <c r="R593" s="905">
        <f t="shared" si="203"/>
        <v>1371.7076601260508</v>
      </c>
      <c r="S593" s="279">
        <f t="shared" si="203"/>
        <v>2564.9507709865529</v>
      </c>
      <c r="T593" s="457"/>
      <c r="U593" s="279">
        <f>SUM(I593:T593)</f>
        <v>5349223.5231872639</v>
      </c>
      <c r="V593" s="133"/>
      <c r="W593" s="726">
        <f t="shared" si="193"/>
        <v>0</v>
      </c>
    </row>
    <row r="594" spans="1:23" ht="16.5" thickBot="1">
      <c r="A594" s="47"/>
      <c r="B594" s="17">
        <f t="shared" si="199"/>
        <v>28</v>
      </c>
      <c r="C594" s="36"/>
      <c r="D594" s="36"/>
      <c r="E594" s="363"/>
      <c r="F594" s="39"/>
      <c r="G594" s="363"/>
      <c r="H594" s="363"/>
      <c r="I594" s="363"/>
      <c r="J594" s="898"/>
      <c r="K594" s="898"/>
      <c r="L594" s="898"/>
      <c r="M594" s="898"/>
      <c r="N594" s="898"/>
      <c r="O594" s="898"/>
      <c r="P594" s="898"/>
      <c r="Q594" s="898"/>
      <c r="R594" s="898"/>
      <c r="S594" s="898"/>
      <c r="T594" s="363"/>
      <c r="U594" s="39"/>
      <c r="V594" s="67"/>
      <c r="W594" s="726">
        <f t="shared" si="193"/>
        <v>0</v>
      </c>
    </row>
    <row r="595" spans="1:23" ht="16.5" thickBot="1">
      <c r="A595" s="147"/>
      <c r="B595" s="17">
        <f t="shared" si="199"/>
        <v>29</v>
      </c>
      <c r="C595" s="341" t="s">
        <v>622</v>
      </c>
      <c r="D595" s="336"/>
      <c r="E595" s="337" t="s">
        <v>623</v>
      </c>
      <c r="F595" s="278">
        <f>F352+F593+F397</f>
        <v>205072406.6531876</v>
      </c>
      <c r="G595" s="337"/>
      <c r="H595" s="457"/>
      <c r="I595" s="643"/>
      <c r="J595" s="356">
        <f t="shared" si="204" ref="J595:S595">J352+J593+J397</f>
        <v>113992371.31527753</v>
      </c>
      <c r="K595" s="905">
        <f t="shared" si="204"/>
        <v>17482115.120293319</v>
      </c>
      <c r="L595" s="905">
        <f t="shared" si="204"/>
        <v>54505112.949494958</v>
      </c>
      <c r="M595" s="905">
        <f t="shared" si="204"/>
        <v>755686.63874373701</v>
      </c>
      <c r="N595" s="905">
        <f t="shared" si="204"/>
        <v>15882172.370583642</v>
      </c>
      <c r="O595" s="905">
        <f t="shared" si="204"/>
        <v>555176.98598817515</v>
      </c>
      <c r="P595" s="905">
        <f t="shared" si="204"/>
        <v>1270833.1969973296</v>
      </c>
      <c r="Q595" s="905">
        <f t="shared" si="204"/>
        <v>421087.99416760297</v>
      </c>
      <c r="R595" s="905">
        <f t="shared" si="204"/>
        <v>62511.641075060412</v>
      </c>
      <c r="S595" s="279">
        <f t="shared" si="204"/>
        <v>145338.44056620426</v>
      </c>
      <c r="T595" s="457"/>
      <c r="U595" s="279">
        <f>SUM(I595:T595)</f>
        <v>205072406.65318757</v>
      </c>
      <c r="V595" s="133"/>
      <c r="W595" s="726">
        <f t="shared" si="193"/>
        <v>0</v>
      </c>
    </row>
    <row r="596" spans="1:23" ht="15">
      <c r="A596" s="47"/>
      <c r="B596" s="17">
        <f t="shared" si="199"/>
        <v>30</v>
      </c>
      <c r="C596" s="43"/>
      <c r="D596" s="4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43"/>
      <c r="V596" s="67"/>
      <c r="W596" s="726">
        <f t="shared" si="193"/>
        <v>0</v>
      </c>
    </row>
    <row r="597" spans="1:23" ht="15.75">
      <c r="A597" s="47"/>
      <c r="B597" s="17">
        <f t="shared" si="199"/>
        <v>31</v>
      </c>
      <c r="C597" s="364" t="s">
        <v>157</v>
      </c>
      <c r="D597" s="365"/>
      <c r="E597" s="36"/>
      <c r="F597" s="202">
        <f>' WP II-I-1.4'!$I$597</f>
        <v>0.070499999999999993</v>
      </c>
      <c r="G597" s="358">
        <v>1</v>
      </c>
      <c r="H597" s="47" t="str">
        <f>VLOOKUP(G597,FactorTable,2)</f>
        <v>ASSIGNED</v>
      </c>
      <c r="I597" s="36"/>
      <c r="J597" s="1068">
        <f t="shared" si="205" ref="J597:S597">$F597</f>
        <v>0.070499999999999993</v>
      </c>
      <c r="K597" s="1068">
        <f t="shared" si="205"/>
        <v>0.070499999999999993</v>
      </c>
      <c r="L597" s="1068">
        <f t="shared" si="205"/>
        <v>0.070499999999999993</v>
      </c>
      <c r="M597" s="1068">
        <f t="shared" si="205"/>
        <v>0.070499999999999993</v>
      </c>
      <c r="N597" s="1068">
        <f t="shared" si="205"/>
        <v>0.070499999999999993</v>
      </c>
      <c r="O597" s="1068">
        <f t="shared" si="205"/>
        <v>0.070499999999999993</v>
      </c>
      <c r="P597" s="1068">
        <f t="shared" si="205"/>
        <v>0.070499999999999993</v>
      </c>
      <c r="Q597" s="1068">
        <f t="shared" si="205"/>
        <v>0.070499999999999993</v>
      </c>
      <c r="R597" s="1068">
        <f t="shared" si="205"/>
        <v>0.070499999999999993</v>
      </c>
      <c r="S597" s="1068">
        <f t="shared" si="205"/>
        <v>0.070499999999999993</v>
      </c>
      <c r="T597" s="36"/>
      <c r="U597" s="282">
        <f>U599/U595</f>
        <v>0.070499999999999979</v>
      </c>
      <c r="V597" s="67"/>
      <c r="W597" s="726">
        <f t="shared" si="193"/>
        <v>0</v>
      </c>
    </row>
    <row r="598" spans="1:23" ht="15.75" thickBot="1">
      <c r="A598" s="47"/>
      <c r="B598" s="17">
        <f t="shared" si="199"/>
        <v>32</v>
      </c>
      <c r="C598" s="1"/>
      <c r="D598" s="263"/>
      <c r="E598" s="263"/>
      <c r="F598" s="12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12"/>
      <c r="V598" s="67"/>
      <c r="W598" s="726">
        <f t="shared" si="193"/>
        <v>0</v>
      </c>
    </row>
    <row r="599" spans="1:23" ht="16.5" thickBot="1">
      <c r="A599" s="47"/>
      <c r="B599" s="17">
        <f t="shared" si="199"/>
        <v>33</v>
      </c>
      <c r="C599" s="341" t="s">
        <v>624</v>
      </c>
      <c r="D599" s="336"/>
      <c r="E599" s="337"/>
      <c r="F599" s="278">
        <f>+F595*F597</f>
        <v>14457604.669049725</v>
      </c>
      <c r="G599" s="337"/>
      <c r="H599" s="457"/>
      <c r="I599" s="643"/>
      <c r="J599" s="356">
        <f t="shared" si="206" ref="J599:Q599">+J595*J597</f>
        <v>8036462.177727065</v>
      </c>
      <c r="K599" s="905">
        <f t="shared" si="206"/>
        <v>1232489.1159806789</v>
      </c>
      <c r="L599" s="905">
        <f t="shared" si="206"/>
        <v>3842610.4629393942</v>
      </c>
      <c r="M599" s="905">
        <f t="shared" si="206"/>
        <v>53275.908031433457</v>
      </c>
      <c r="N599" s="905">
        <f t="shared" si="206"/>
        <v>1119693.1521261467</v>
      </c>
      <c r="O599" s="905">
        <f>+O595*O597</f>
        <v>39139.977512166341</v>
      </c>
      <c r="P599" s="905">
        <f t="shared" si="206"/>
        <v>89593.740388311722</v>
      </c>
      <c r="Q599" s="905">
        <f t="shared" si="206"/>
        <v>29686.703588816006</v>
      </c>
      <c r="R599" s="905">
        <f>+R595*R597</f>
        <v>4407.0706957917582</v>
      </c>
      <c r="S599" s="279">
        <f>+S595*S597</f>
        <v>10246.360059917399</v>
      </c>
      <c r="T599" s="457"/>
      <c r="U599" s="256">
        <f>SUM(I599:T599)</f>
        <v>14457604.669049719</v>
      </c>
      <c r="V599" s="67" t="b">
        <f>IF(ROUND(U599-'WP II-I-1.1'!I461,2)=0,TRUE,U599-'WP II-I-1.1'!I461)</f>
        <v>1</v>
      </c>
      <c r="W599" s="726">
        <f t="shared" si="193"/>
        <v>0</v>
      </c>
    </row>
    <row r="600" spans="1:23" ht="15">
      <c r="A600" s="4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167"/>
    </row>
    <row r="601" spans="1:23" ht="15">
      <c r="A601" s="47"/>
      <c r="B601" s="67"/>
      <c r="C601" s="67"/>
      <c r="D601" s="67"/>
      <c r="E601" s="67"/>
      <c r="F601" s="67"/>
      <c r="G601" s="67"/>
      <c r="H601" s="134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134"/>
      <c r="V601" s="134">
        <f>$H$2</f>
        <v>0</v>
      </c>
      <c r="W601" s="167"/>
    </row>
    <row r="602" spans="1:23" ht="15.75" thickBot="1">
      <c r="A602" s="4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167"/>
    </row>
    <row r="603" spans="1:23" ht="15.75">
      <c r="A603" s="47"/>
      <c r="B603" s="920" t="str">
        <f>+$B$4</f>
        <v>2022 RATE CASE</v>
      </c>
      <c r="C603" s="935"/>
      <c r="D603" s="969"/>
      <c r="F603" s="332"/>
      <c r="U603" s="134" t="s">
        <v>0</v>
      </c>
      <c r="W603" s="167"/>
    </row>
    <row r="604" spans="1:23" ht="15.75">
      <c r="A604" s="47"/>
      <c r="B604" s="917" t="str">
        <f>+$B$5</f>
        <v>ONCOR ELECTRIC DELIVERY COMPANY LLC</v>
      </c>
      <c r="C604" s="8"/>
      <c r="D604" s="970"/>
      <c r="F604" s="332"/>
      <c r="U604" s="134"/>
      <c r="V604" s="67"/>
      <c r="W604" s="167"/>
    </row>
    <row r="605" spans="1:23" ht="15.75">
      <c r="A605" s="47"/>
      <c r="B605" s="917" t="str">
        <f>+$B$6</f>
        <v>II-I-1-TBILLTDCS:  CLASS REVENUE REQUIREMENT</v>
      </c>
      <c r="C605" s="85"/>
      <c r="D605" s="970"/>
      <c r="F605" s="332"/>
      <c r="U605" s="332"/>
      <c r="V605" s="67"/>
      <c r="W605" s="167"/>
    </row>
    <row r="606" spans="1:23" ht="15.75">
      <c r="A606" s="47"/>
      <c r="B606" s="406" t="str">
        <f>+$B$7</f>
        <v>TEST YEAR ENDING 12/31/2021</v>
      </c>
      <c r="C606" s="85"/>
      <c r="D606" s="970"/>
      <c r="F606" s="332"/>
      <c r="U606" s="332"/>
      <c r="V606" s="67"/>
      <c r="W606" s="167"/>
    </row>
    <row r="607" spans="1:23" ht="15.75">
      <c r="A607" s="47"/>
      <c r="B607" s="406" t="str">
        <f>+$B$8</f>
        <v>SPONSOR:  MATTHEW A. TROXLE</v>
      </c>
      <c r="C607" s="85"/>
      <c r="D607" s="970"/>
      <c r="F607" s="332"/>
      <c r="U607" s="332"/>
      <c r="V607" s="67"/>
      <c r="W607" s="167"/>
    </row>
    <row r="608" spans="1:23" ht="16.5" thickBot="1">
      <c r="A608" s="47"/>
      <c r="B608" s="410"/>
      <c r="C608" s="934"/>
      <c r="D608" s="936"/>
      <c r="F608" s="332"/>
      <c r="U608" s="332"/>
      <c r="V608" s="67"/>
      <c r="W608" s="167"/>
    </row>
    <row r="609" spans="1:23" ht="15.75" thickBot="1">
      <c r="A609" s="47"/>
      <c r="B609" s="13"/>
      <c r="C609" s="14"/>
      <c r="D609" s="14"/>
      <c r="E609" s="14"/>
      <c r="F609" s="13"/>
      <c r="G609" s="14"/>
      <c r="H609" s="14"/>
      <c r="I609" s="14"/>
      <c r="J609" s="238"/>
      <c r="K609" s="238"/>
      <c r="L609" s="14"/>
      <c r="M609" s="238"/>
      <c r="N609" s="238"/>
      <c r="O609" s="238"/>
      <c r="P609" s="238"/>
      <c r="Q609" s="14"/>
      <c r="R609" s="393" t="str">
        <f>R$10</f>
        <v xml:space="preserve"> </v>
      </c>
      <c r="S609" s="394"/>
      <c r="T609" s="238"/>
      <c r="U609" s="13"/>
      <c r="V609" s="67"/>
      <c r="W609" s="167"/>
    </row>
    <row r="610" spans="1:23" ht="15.75">
      <c r="A610" s="47"/>
      <c r="B610" s="15" t="s">
        <v>2</v>
      </c>
      <c r="C610" s="15" t="s">
        <v>370</v>
      </c>
      <c r="D610" s="287" t="s">
        <v>625</v>
      </c>
      <c r="E610" s="15" t="s">
        <v>371</v>
      </c>
      <c r="F610" s="287" t="str">
        <f>F$11</f>
        <v>TBILLTDCS</v>
      </c>
      <c r="G610" s="242" t="s">
        <v>741</v>
      </c>
      <c r="H610" s="242" t="s">
        <v>376</v>
      </c>
      <c r="I610" s="15"/>
      <c r="J610" s="242" t="s">
        <v>730</v>
      </c>
      <c r="K610" s="242" t="s">
        <v>409</v>
      </c>
      <c r="L610" s="15" t="s">
        <v>409</v>
      </c>
      <c r="M610" s="242" t="s">
        <v>410</v>
      </c>
      <c r="N610" s="242" t="s">
        <v>410</v>
      </c>
      <c r="O610" s="242" t="s">
        <v>410</v>
      </c>
      <c r="P610" s="242" t="s">
        <v>411</v>
      </c>
      <c r="Q610" s="15" t="s">
        <v>412</v>
      </c>
      <c r="R610" s="396" t="str">
        <f>R$11</f>
        <v>Wholesale</v>
      </c>
      <c r="S610" s="13" t="str">
        <f>S$11</f>
        <v>Wholesale</v>
      </c>
      <c r="T610" s="242"/>
      <c r="U610" s="15" t="s">
        <v>10</v>
      </c>
      <c r="V610" s="67"/>
      <c r="W610" s="167"/>
    </row>
    <row r="611" spans="1:23" ht="15">
      <c r="A611" s="47"/>
      <c r="B611" s="15"/>
      <c r="C611" s="15"/>
      <c r="D611" s="15"/>
      <c r="E611" s="15"/>
      <c r="F611" s="15"/>
      <c r="G611" s="242" t="s">
        <v>742</v>
      </c>
      <c r="H611" s="242" t="s">
        <v>743</v>
      </c>
      <c r="I611" s="15"/>
      <c r="J611" s="242"/>
      <c r="K611" s="242" t="s">
        <v>731</v>
      </c>
      <c r="L611" s="15" t="s">
        <v>732</v>
      </c>
      <c r="M611" s="242" t="s">
        <v>731</v>
      </c>
      <c r="N611" s="242" t="s">
        <v>732</v>
      </c>
      <c r="O611" s="242" t="s">
        <v>414</v>
      </c>
      <c r="P611" s="242"/>
      <c r="Q611" s="15"/>
      <c r="R611" s="235" t="str">
        <f>R$12</f>
        <v>XFMR</v>
      </c>
      <c r="S611" s="15" t="str">
        <f>S$12</f>
        <v>DLS</v>
      </c>
      <c r="T611" s="242"/>
      <c r="U611" s="15"/>
      <c r="V611" s="67"/>
      <c r="W611" s="167"/>
    </row>
    <row r="612" spans="1:23" ht="15.75" thickBot="1">
      <c r="A612" s="47"/>
      <c r="B612" s="16"/>
      <c r="C612" s="16"/>
      <c r="D612" s="16"/>
      <c r="E612" s="16"/>
      <c r="F612" s="16" t="s">
        <v>13</v>
      </c>
      <c r="G612" s="16" t="s">
        <v>14</v>
      </c>
      <c r="H612" s="16" t="s">
        <v>15</v>
      </c>
      <c r="I612" s="16"/>
      <c r="J612" s="243" t="str">
        <f t="shared" si="207" ref="J612:Q612">J$13</f>
        <v>(d)</v>
      </c>
      <c r="K612" s="243" t="str">
        <f t="shared" si="207"/>
        <v>(e)</v>
      </c>
      <c r="L612" s="16" t="str">
        <f t="shared" si="207"/>
        <v>(f)</v>
      </c>
      <c r="M612" s="243" t="str">
        <f t="shared" si="207"/>
        <v>(g)</v>
      </c>
      <c r="N612" s="243" t="str">
        <f t="shared" si="207"/>
        <v>(h)</v>
      </c>
      <c r="O612" s="243" t="str">
        <f>O$13</f>
        <v>(i)</v>
      </c>
      <c r="P612" s="243" t="str">
        <f t="shared" si="207"/>
        <v>(j)</v>
      </c>
      <c r="Q612" s="243" t="str">
        <f t="shared" si="207"/>
        <v>(k)</v>
      </c>
      <c r="R612" s="243" t="str">
        <f>R$13</f>
        <v>(l)</v>
      </c>
      <c r="S612" s="16" t="str">
        <f>S$13</f>
        <v>(m)</v>
      </c>
      <c r="T612" s="16"/>
      <c r="U612" s="16" t="s">
        <v>734</v>
      </c>
      <c r="V612" s="67"/>
      <c r="W612" s="167"/>
    </row>
    <row r="613" spans="1:23" ht="15">
      <c r="A613" s="47"/>
      <c r="B613" s="47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43"/>
      <c r="V613" s="67"/>
      <c r="W613" s="167"/>
    </row>
    <row r="614" spans="1:23" ht="15.75">
      <c r="A614" s="47"/>
      <c r="B614" s="17">
        <f t="shared" si="208" ref="B614:B640">B613+1</f>
        <v>1</v>
      </c>
      <c r="C614" s="8" t="s">
        <v>625</v>
      </c>
      <c r="D614" s="8"/>
      <c r="E614" s="20"/>
      <c r="F614" s="8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8"/>
      <c r="V614" s="67"/>
      <c r="W614" s="167"/>
    </row>
    <row r="615" spans="1:23" ht="15.75">
      <c r="A615" s="47"/>
      <c r="B615" s="17">
        <f t="shared" si="208"/>
        <v>2</v>
      </c>
      <c r="C615" s="8"/>
      <c r="D615" s="8"/>
      <c r="E615" s="20"/>
      <c r="F615" s="8"/>
      <c r="G615" s="20"/>
      <c r="H615" s="20"/>
      <c r="I615" s="20"/>
      <c r="J615" s="1059"/>
      <c r="K615" s="1059"/>
      <c r="L615" s="1059"/>
      <c r="M615" s="1059"/>
      <c r="N615" s="1059"/>
      <c r="O615" s="1059"/>
      <c r="P615" s="1059"/>
      <c r="Q615" s="1059"/>
      <c r="R615" s="1059"/>
      <c r="S615" s="1059"/>
      <c r="T615" s="1010"/>
      <c r="U615" s="8"/>
      <c r="V615" s="67"/>
      <c r="W615" s="167"/>
    </row>
    <row r="616" spans="1:23" ht="15.75">
      <c r="A616" s="47"/>
      <c r="B616" s="17">
        <f t="shared" si="208"/>
        <v>3</v>
      </c>
      <c r="C616" s="8"/>
      <c r="D616" s="366" t="s">
        <v>626</v>
      </c>
      <c r="E616" s="20" t="s">
        <v>160</v>
      </c>
      <c r="F616" s="8"/>
      <c r="G616" s="20"/>
      <c r="H616" s="20"/>
      <c r="I616" s="1010"/>
      <c r="J616" s="1059"/>
      <c r="K616" s="1059"/>
      <c r="L616" s="1059"/>
      <c r="M616" s="1059"/>
      <c r="N616" s="1059"/>
      <c r="O616" s="1059"/>
      <c r="P616" s="1059"/>
      <c r="Q616" s="1059"/>
      <c r="R616" s="1059"/>
      <c r="S616" s="1059"/>
      <c r="T616" s="1010"/>
      <c r="U616" s="8"/>
      <c r="V616" s="67"/>
      <c r="W616" s="167"/>
    </row>
    <row r="617" spans="1:23" ht="15">
      <c r="A617" s="47"/>
      <c r="B617" s="17">
        <f t="shared" si="208"/>
        <v>4</v>
      </c>
      <c r="C617" s="28" t="s">
        <v>161</v>
      </c>
      <c r="D617" s="1" t="s">
        <v>162</v>
      </c>
      <c r="E617" s="17"/>
      <c r="F617" s="118">
        <f>' WP II-I-1.4'!I617</f>
        <v>0</v>
      </c>
      <c r="G617" s="17">
        <v>28</v>
      </c>
      <c r="H617" s="47" t="str">
        <f t="shared" si="209" ref="H617:H624">VLOOKUP(G617,FactorTable,2)</f>
        <v>NCP XHV</v>
      </c>
      <c r="I617" s="17"/>
      <c r="J617" s="434">
        <f t="shared" si="210" ref="J617:S624">$F617*HLOOKUP(J$1318,FactorTable,$G617+1)</f>
        <v>0</v>
      </c>
      <c r="K617" s="434">
        <f t="shared" si="210"/>
        <v>0</v>
      </c>
      <c r="L617" s="434">
        <f t="shared" si="210"/>
        <v>0</v>
      </c>
      <c r="M617" s="434">
        <f t="shared" si="210"/>
        <v>0</v>
      </c>
      <c r="N617" s="434">
        <f t="shared" si="210"/>
        <v>0</v>
      </c>
      <c r="O617" s="434">
        <f t="shared" si="210"/>
        <v>0</v>
      </c>
      <c r="P617" s="434">
        <f t="shared" si="210"/>
        <v>0</v>
      </c>
      <c r="Q617" s="434">
        <f t="shared" si="210"/>
        <v>0</v>
      </c>
      <c r="R617" s="434">
        <f t="shared" si="210"/>
        <v>0</v>
      </c>
      <c r="S617" s="434">
        <f t="shared" si="210"/>
        <v>0</v>
      </c>
      <c r="T617" s="17"/>
      <c r="U617" s="121">
        <f t="shared" si="211" ref="U617:U625">SUM(I617:T617)</f>
        <v>0</v>
      </c>
      <c r="V617" s="67"/>
      <c r="W617" s="726">
        <f t="shared" si="212" ref="W617:W640">F617-U617</f>
        <v>0</v>
      </c>
    </row>
    <row r="618" spans="1:23" ht="15">
      <c r="A618" s="47"/>
      <c r="B618" s="17">
        <f t="shared" si="208"/>
        <v>5</v>
      </c>
      <c r="C618" s="1" t="s">
        <v>163</v>
      </c>
      <c r="D618" s="1" t="s">
        <v>164</v>
      </c>
      <c r="E618" s="17"/>
      <c r="F618" s="118">
        <f>' WP II-I-1.4'!I618</f>
        <v>0</v>
      </c>
      <c r="G618" s="17">
        <v>28</v>
      </c>
      <c r="H618" s="47" t="str">
        <f t="shared" si="209"/>
        <v>NCP XHV</v>
      </c>
      <c r="I618" s="17"/>
      <c r="J618" s="434">
        <f t="shared" si="210"/>
        <v>0</v>
      </c>
      <c r="K618" s="434">
        <f t="shared" si="210"/>
        <v>0</v>
      </c>
      <c r="L618" s="434">
        <f t="shared" si="210"/>
        <v>0</v>
      </c>
      <c r="M618" s="434">
        <f t="shared" si="210"/>
        <v>0</v>
      </c>
      <c r="N618" s="434">
        <f t="shared" si="210"/>
        <v>0</v>
      </c>
      <c r="O618" s="434">
        <f t="shared" si="210"/>
        <v>0</v>
      </c>
      <c r="P618" s="434">
        <f t="shared" si="210"/>
        <v>0</v>
      </c>
      <c r="Q618" s="434">
        <f t="shared" si="210"/>
        <v>0</v>
      </c>
      <c r="R618" s="434">
        <f t="shared" si="210"/>
        <v>0</v>
      </c>
      <c r="S618" s="434">
        <f t="shared" si="210"/>
        <v>0</v>
      </c>
      <c r="T618" s="17"/>
      <c r="U618" s="121">
        <f t="shared" si="211"/>
        <v>0</v>
      </c>
      <c r="V618" s="67"/>
      <c r="W618" s="726">
        <f t="shared" si="212"/>
        <v>0</v>
      </c>
    </row>
    <row r="619" spans="1:23" ht="15">
      <c r="A619" s="47"/>
      <c r="B619" s="17">
        <f t="shared" si="208"/>
        <v>6</v>
      </c>
      <c r="C619" s="1" t="s">
        <v>165</v>
      </c>
      <c r="D619" s="1" t="s">
        <v>166</v>
      </c>
      <c r="E619" s="17"/>
      <c r="F619" s="118">
        <f>' WP II-I-1.4'!I619</f>
        <v>0</v>
      </c>
      <c r="G619" s="17">
        <v>28</v>
      </c>
      <c r="H619" s="47" t="str">
        <f t="shared" si="209"/>
        <v>NCP XHV</v>
      </c>
      <c r="I619" s="17"/>
      <c r="J619" s="434">
        <f t="shared" si="210"/>
        <v>0</v>
      </c>
      <c r="K619" s="434">
        <f t="shared" si="210"/>
        <v>0</v>
      </c>
      <c r="L619" s="434">
        <f t="shared" si="210"/>
        <v>0</v>
      </c>
      <c r="M619" s="434">
        <f t="shared" si="210"/>
        <v>0</v>
      </c>
      <c r="N619" s="434">
        <f t="shared" si="210"/>
        <v>0</v>
      </c>
      <c r="O619" s="434">
        <f t="shared" si="210"/>
        <v>0</v>
      </c>
      <c r="P619" s="434">
        <f t="shared" si="210"/>
        <v>0</v>
      </c>
      <c r="Q619" s="434">
        <f t="shared" si="210"/>
        <v>0</v>
      </c>
      <c r="R619" s="434">
        <f t="shared" si="210"/>
        <v>0</v>
      </c>
      <c r="S619" s="434">
        <f t="shared" si="210"/>
        <v>0</v>
      </c>
      <c r="T619" s="17"/>
      <c r="U619" s="121">
        <f t="shared" si="211"/>
        <v>0</v>
      </c>
      <c r="V619" s="67"/>
      <c r="W619" s="726">
        <f t="shared" si="212"/>
        <v>0</v>
      </c>
    </row>
    <row r="620" spans="1:23" ht="15">
      <c r="A620" s="47"/>
      <c r="B620" s="17">
        <f t="shared" si="208"/>
        <v>7</v>
      </c>
      <c r="C620" s="1" t="s">
        <v>167</v>
      </c>
      <c r="D620" s="1" t="s">
        <v>168</v>
      </c>
      <c r="E620" s="17"/>
      <c r="F620" s="118">
        <f>' WP II-I-1.4'!I620</f>
        <v>0</v>
      </c>
      <c r="G620" s="17">
        <v>28</v>
      </c>
      <c r="H620" s="47" t="str">
        <f t="shared" si="209"/>
        <v>NCP XHV</v>
      </c>
      <c r="I620" s="17"/>
      <c r="J620" s="434">
        <f t="shared" si="210"/>
        <v>0</v>
      </c>
      <c r="K620" s="434">
        <f t="shared" si="210"/>
        <v>0</v>
      </c>
      <c r="L620" s="434">
        <f t="shared" si="210"/>
        <v>0</v>
      </c>
      <c r="M620" s="434">
        <f t="shared" si="210"/>
        <v>0</v>
      </c>
      <c r="N620" s="434">
        <f t="shared" si="210"/>
        <v>0</v>
      </c>
      <c r="O620" s="434">
        <f t="shared" si="210"/>
        <v>0</v>
      </c>
      <c r="P620" s="434">
        <f t="shared" si="210"/>
        <v>0</v>
      </c>
      <c r="Q620" s="434">
        <f t="shared" si="210"/>
        <v>0</v>
      </c>
      <c r="R620" s="434">
        <f t="shared" si="210"/>
        <v>0</v>
      </c>
      <c r="S620" s="434">
        <f t="shared" si="210"/>
        <v>0</v>
      </c>
      <c r="T620" s="17"/>
      <c r="U620" s="121">
        <f t="shared" si="211"/>
        <v>0</v>
      </c>
      <c r="V620" s="67"/>
      <c r="W620" s="726">
        <f t="shared" si="212"/>
        <v>0</v>
      </c>
    </row>
    <row r="621" spans="1:23" ht="15">
      <c r="A621" s="47"/>
      <c r="B621" s="17">
        <f t="shared" si="208"/>
        <v>8</v>
      </c>
      <c r="C621" s="1" t="s">
        <v>169</v>
      </c>
      <c r="D621" s="1" t="s">
        <v>170</v>
      </c>
      <c r="E621" s="17"/>
      <c r="F621" s="118">
        <f>' WP II-I-1.4'!I621</f>
        <v>0</v>
      </c>
      <c r="G621" s="17">
        <v>28</v>
      </c>
      <c r="H621" s="47" t="str">
        <f t="shared" si="209"/>
        <v>NCP XHV</v>
      </c>
      <c r="I621" s="17"/>
      <c r="J621" s="434">
        <f t="shared" si="210"/>
        <v>0</v>
      </c>
      <c r="K621" s="434">
        <f t="shared" si="210"/>
        <v>0</v>
      </c>
      <c r="L621" s="434">
        <f t="shared" si="210"/>
        <v>0</v>
      </c>
      <c r="M621" s="434">
        <f t="shared" si="210"/>
        <v>0</v>
      </c>
      <c r="N621" s="434">
        <f t="shared" si="210"/>
        <v>0</v>
      </c>
      <c r="O621" s="434">
        <f t="shared" si="210"/>
        <v>0</v>
      </c>
      <c r="P621" s="434">
        <f t="shared" si="210"/>
        <v>0</v>
      </c>
      <c r="Q621" s="434">
        <f t="shared" si="210"/>
        <v>0</v>
      </c>
      <c r="R621" s="434">
        <f t="shared" si="210"/>
        <v>0</v>
      </c>
      <c r="S621" s="434">
        <f t="shared" si="210"/>
        <v>0</v>
      </c>
      <c r="T621" s="17"/>
      <c r="U621" s="121">
        <f t="shared" si="211"/>
        <v>0</v>
      </c>
      <c r="V621" s="67"/>
      <c r="W621" s="726">
        <f t="shared" si="212"/>
        <v>0</v>
      </c>
    </row>
    <row r="622" spans="1:23" ht="15.75">
      <c r="A622" s="612"/>
      <c r="B622" s="17">
        <f t="shared" si="208"/>
        <v>9</v>
      </c>
      <c r="C622" s="1" t="s">
        <v>171</v>
      </c>
      <c r="D622" s="1" t="s">
        <v>172</v>
      </c>
      <c r="E622" s="17"/>
      <c r="F622" s="118">
        <f>' WP II-I-1.4'!I622</f>
        <v>0</v>
      </c>
      <c r="G622" s="17">
        <v>23</v>
      </c>
      <c r="H622" s="47" t="str">
        <f t="shared" si="209"/>
        <v>4CP RTL</v>
      </c>
      <c r="I622" s="17"/>
      <c r="J622" s="434">
        <f t="shared" si="210"/>
        <v>0</v>
      </c>
      <c r="K622" s="434">
        <f t="shared" si="210"/>
        <v>0</v>
      </c>
      <c r="L622" s="434">
        <f t="shared" si="210"/>
        <v>0</v>
      </c>
      <c r="M622" s="434">
        <f t="shared" si="210"/>
        <v>0</v>
      </c>
      <c r="N622" s="434">
        <f t="shared" si="210"/>
        <v>0</v>
      </c>
      <c r="O622" s="434">
        <f t="shared" si="210"/>
        <v>0</v>
      </c>
      <c r="P622" s="434">
        <f t="shared" si="210"/>
        <v>0</v>
      </c>
      <c r="Q622" s="434">
        <f t="shared" si="210"/>
        <v>0</v>
      </c>
      <c r="R622" s="434">
        <f t="shared" si="210"/>
        <v>0</v>
      </c>
      <c r="S622" s="434">
        <f t="shared" si="210"/>
        <v>0</v>
      </c>
      <c r="T622" s="17"/>
      <c r="U622" s="121">
        <f t="shared" si="211"/>
        <v>0</v>
      </c>
      <c r="V622" s="367"/>
      <c r="W622" s="726">
        <f t="shared" si="212"/>
        <v>0</v>
      </c>
    </row>
    <row r="623" spans="1:23" ht="15">
      <c r="A623" s="47"/>
      <c r="B623" s="17">
        <f t="shared" si="208"/>
        <v>10</v>
      </c>
      <c r="C623" s="1" t="s">
        <v>173</v>
      </c>
      <c r="D623" s="31" t="s">
        <v>174</v>
      </c>
      <c r="E623" s="17"/>
      <c r="F623" s="118">
        <f>' WP II-I-1.4'!I623</f>
        <v>0</v>
      </c>
      <c r="G623" s="17">
        <v>28</v>
      </c>
      <c r="H623" s="47" t="str">
        <f t="shared" si="209"/>
        <v>NCP XHV</v>
      </c>
      <c r="I623" s="17"/>
      <c r="J623" s="434">
        <f t="shared" si="210"/>
        <v>0</v>
      </c>
      <c r="K623" s="434">
        <f t="shared" si="210"/>
        <v>0</v>
      </c>
      <c r="L623" s="434">
        <f t="shared" si="210"/>
        <v>0</v>
      </c>
      <c r="M623" s="434">
        <f t="shared" si="210"/>
        <v>0</v>
      </c>
      <c r="N623" s="434">
        <f t="shared" si="210"/>
        <v>0</v>
      </c>
      <c r="O623" s="434">
        <f t="shared" si="210"/>
        <v>0</v>
      </c>
      <c r="P623" s="434">
        <f t="shared" si="210"/>
        <v>0</v>
      </c>
      <c r="Q623" s="434">
        <f t="shared" si="210"/>
        <v>0</v>
      </c>
      <c r="R623" s="434">
        <f t="shared" si="210"/>
        <v>0</v>
      </c>
      <c r="S623" s="434">
        <f t="shared" si="210"/>
        <v>0</v>
      </c>
      <c r="T623" s="17"/>
      <c r="U623" s="121">
        <f t="shared" si="211"/>
        <v>0</v>
      </c>
      <c r="V623" s="67"/>
      <c r="W623" s="726">
        <f t="shared" si="212"/>
        <v>0</v>
      </c>
    </row>
    <row r="624" spans="1:23" ht="15">
      <c r="A624" s="47"/>
      <c r="B624" s="17">
        <f t="shared" si="208"/>
        <v>11</v>
      </c>
      <c r="C624" s="1" t="s">
        <v>175</v>
      </c>
      <c r="D624" s="1" t="s">
        <v>176</v>
      </c>
      <c r="E624" s="17"/>
      <c r="F624" s="118">
        <f>' WP II-I-1.4'!I624</f>
        <v>0</v>
      </c>
      <c r="G624" s="17">
        <v>28</v>
      </c>
      <c r="H624" s="47" t="str">
        <f t="shared" si="209"/>
        <v>NCP XHV</v>
      </c>
      <c r="I624" s="17"/>
      <c r="J624" s="434">
        <f t="shared" si="210"/>
        <v>0</v>
      </c>
      <c r="K624" s="434">
        <f t="shared" si="210"/>
        <v>0</v>
      </c>
      <c r="L624" s="434">
        <f t="shared" si="210"/>
        <v>0</v>
      </c>
      <c r="M624" s="434">
        <f t="shared" si="210"/>
        <v>0</v>
      </c>
      <c r="N624" s="434">
        <f t="shared" si="210"/>
        <v>0</v>
      </c>
      <c r="O624" s="434">
        <f t="shared" si="210"/>
        <v>0</v>
      </c>
      <c r="P624" s="434">
        <f t="shared" si="210"/>
        <v>0</v>
      </c>
      <c r="Q624" s="434">
        <f t="shared" si="210"/>
        <v>0</v>
      </c>
      <c r="R624" s="434">
        <f t="shared" si="210"/>
        <v>0</v>
      </c>
      <c r="S624" s="434">
        <f t="shared" si="210"/>
        <v>0</v>
      </c>
      <c r="T624" s="17"/>
      <c r="U624" s="121">
        <f t="shared" si="211"/>
        <v>0</v>
      </c>
      <c r="V624" s="67"/>
      <c r="W624" s="726">
        <f t="shared" si="212"/>
        <v>0</v>
      </c>
    </row>
    <row r="625" spans="1:23" ht="15.75">
      <c r="A625" s="47"/>
      <c r="B625" s="17">
        <f t="shared" si="208"/>
        <v>12</v>
      </c>
      <c r="C625" s="8"/>
      <c r="D625" s="297" t="s">
        <v>491</v>
      </c>
      <c r="E625" s="20"/>
      <c r="F625" s="22">
        <f>SUM(F617:F624)</f>
        <v>0</v>
      </c>
      <c r="G625" s="20"/>
      <c r="H625" s="20"/>
      <c r="I625" s="1010"/>
      <c r="J625" s="896">
        <f t="shared" si="213" ref="J625:Q625">SUM(J617:J624)</f>
        <v>0</v>
      </c>
      <c r="K625" s="896">
        <f t="shared" si="213"/>
        <v>0</v>
      </c>
      <c r="L625" s="896">
        <f t="shared" si="213"/>
        <v>0</v>
      </c>
      <c r="M625" s="896">
        <f t="shared" si="213"/>
        <v>0</v>
      </c>
      <c r="N625" s="896">
        <f t="shared" si="213"/>
        <v>0</v>
      </c>
      <c r="O625" s="896">
        <f>SUM(O617:O624)</f>
        <v>0</v>
      </c>
      <c r="P625" s="896">
        <f t="shared" si="213"/>
        <v>0</v>
      </c>
      <c r="Q625" s="896">
        <f t="shared" si="213"/>
        <v>0</v>
      </c>
      <c r="R625" s="896">
        <f>SUM(R617:R624)</f>
        <v>0</v>
      </c>
      <c r="S625" s="896">
        <f>SUM(S617:S624)</f>
        <v>0</v>
      </c>
      <c r="T625" s="1010"/>
      <c r="U625" s="299">
        <f t="shared" si="211"/>
        <v>0</v>
      </c>
      <c r="V625" s="67"/>
      <c r="W625" s="726">
        <f t="shared" si="212"/>
        <v>0</v>
      </c>
    </row>
    <row r="626" spans="1:23" ht="15.75">
      <c r="A626" s="47"/>
      <c r="B626" s="17">
        <f t="shared" si="208"/>
        <v>13</v>
      </c>
      <c r="C626" s="8"/>
      <c r="D626" s="20"/>
      <c r="E626" s="20"/>
      <c r="F626" s="22"/>
      <c r="G626" s="20"/>
      <c r="H626" s="20"/>
      <c r="I626" s="1010"/>
      <c r="J626" s="896"/>
      <c r="K626" s="896"/>
      <c r="L626" s="896"/>
      <c r="M626" s="896"/>
      <c r="N626" s="896"/>
      <c r="O626" s="896"/>
      <c r="P626" s="896"/>
      <c r="Q626" s="896"/>
      <c r="R626" s="896"/>
      <c r="S626" s="896"/>
      <c r="T626" s="1010"/>
      <c r="U626" s="8"/>
      <c r="V626" s="67"/>
      <c r="W626" s="726">
        <f t="shared" si="212"/>
        <v>0</v>
      </c>
    </row>
    <row r="627" spans="1:23" ht="15.75">
      <c r="A627" s="47"/>
      <c r="B627" s="17">
        <f t="shared" si="208"/>
        <v>14</v>
      </c>
      <c r="C627" s="8"/>
      <c r="D627" s="297" t="s">
        <v>627</v>
      </c>
      <c r="E627" s="20"/>
      <c r="F627" s="22">
        <f>' WP II-I-1.4'!I627</f>
        <v>0</v>
      </c>
      <c r="G627" s="20"/>
      <c r="H627" s="20"/>
      <c r="I627" s="1010"/>
      <c r="J627" s="896">
        <f t="shared" si="214" ref="J627:Q627">J625-J622</f>
        <v>0</v>
      </c>
      <c r="K627" s="896">
        <f t="shared" si="214"/>
        <v>0</v>
      </c>
      <c r="L627" s="896">
        <f t="shared" si="214"/>
        <v>0</v>
      </c>
      <c r="M627" s="896">
        <f t="shared" si="214"/>
        <v>0</v>
      </c>
      <c r="N627" s="896">
        <f t="shared" si="214"/>
        <v>0</v>
      </c>
      <c r="O627" s="896">
        <f>O625-O622</f>
        <v>0</v>
      </c>
      <c r="P627" s="896">
        <f t="shared" si="214"/>
        <v>0</v>
      </c>
      <c r="Q627" s="896">
        <f t="shared" si="214"/>
        <v>0</v>
      </c>
      <c r="R627" s="896">
        <f>R625-R622</f>
        <v>0</v>
      </c>
      <c r="S627" s="896">
        <f>S625-S622</f>
        <v>0</v>
      </c>
      <c r="T627" s="1010"/>
      <c r="U627" s="299">
        <f>SUM(I627:T627)</f>
        <v>0</v>
      </c>
      <c r="V627" s="67"/>
      <c r="W627" s="726">
        <f t="shared" si="212"/>
        <v>0</v>
      </c>
    </row>
    <row r="628" spans="1:23" ht="15.75">
      <c r="A628" s="47"/>
      <c r="B628" s="17">
        <f t="shared" si="208"/>
        <v>15</v>
      </c>
      <c r="C628" s="8"/>
      <c r="D628" s="20"/>
      <c r="E628" s="20"/>
      <c r="F628" s="22"/>
      <c r="G628" s="20"/>
      <c r="H628" s="20"/>
      <c r="I628" s="1010"/>
      <c r="J628" s="1059"/>
      <c r="K628" s="1059"/>
      <c r="L628" s="1059"/>
      <c r="M628" s="1059"/>
      <c r="N628" s="1059"/>
      <c r="O628" s="1059"/>
      <c r="P628" s="1059"/>
      <c r="Q628" s="1059"/>
      <c r="R628" s="1059"/>
      <c r="S628" s="1059"/>
      <c r="T628" s="1010"/>
      <c r="U628" s="8"/>
      <c r="V628" s="67"/>
      <c r="W628" s="726">
        <f t="shared" si="212"/>
        <v>0</v>
      </c>
    </row>
    <row r="629" spans="1:23" ht="15.75">
      <c r="A629" s="47"/>
      <c r="B629" s="17">
        <f t="shared" si="208"/>
        <v>16</v>
      </c>
      <c r="C629" s="8"/>
      <c r="D629" s="366" t="s">
        <v>628</v>
      </c>
      <c r="E629" s="20" t="s">
        <v>160</v>
      </c>
      <c r="F629" s="22"/>
      <c r="G629" s="20"/>
      <c r="H629" s="20"/>
      <c r="I629" s="1010"/>
      <c r="J629" s="1059"/>
      <c r="K629" s="1059"/>
      <c r="L629" s="1059"/>
      <c r="M629" s="1059"/>
      <c r="N629" s="1059"/>
      <c r="O629" s="1059"/>
      <c r="P629" s="1059"/>
      <c r="Q629" s="1059"/>
      <c r="R629" s="1059"/>
      <c r="S629" s="1059"/>
      <c r="T629" s="1010"/>
      <c r="U629" s="8"/>
      <c r="V629" s="67"/>
      <c r="W629" s="726">
        <f t="shared" si="212"/>
        <v>0</v>
      </c>
    </row>
    <row r="630" spans="1:23" ht="15">
      <c r="A630" s="47"/>
      <c r="B630" s="17">
        <f t="shared" si="208"/>
        <v>17</v>
      </c>
      <c r="C630" s="1" t="s">
        <v>178</v>
      </c>
      <c r="D630" s="1" t="s">
        <v>179</v>
      </c>
      <c r="E630" s="17"/>
      <c r="F630" s="118">
        <f>' WP II-I-1.4'!I630</f>
        <v>0</v>
      </c>
      <c r="G630" s="17">
        <v>28</v>
      </c>
      <c r="H630" s="47" t="str">
        <f t="shared" si="215" ref="H630:H635">VLOOKUP(G630,FactorTable,2)</f>
        <v>NCP XHV</v>
      </c>
      <c r="I630" s="17"/>
      <c r="J630" s="434">
        <f t="shared" si="216" ref="J630:S635">$F630*HLOOKUP(J$1318,FactorTable,$G630+1)</f>
        <v>0</v>
      </c>
      <c r="K630" s="434">
        <f t="shared" si="216"/>
        <v>0</v>
      </c>
      <c r="L630" s="434">
        <f t="shared" si="216"/>
        <v>0</v>
      </c>
      <c r="M630" s="434">
        <f t="shared" si="216"/>
        <v>0</v>
      </c>
      <c r="N630" s="434">
        <f t="shared" si="216"/>
        <v>0</v>
      </c>
      <c r="O630" s="434">
        <f t="shared" si="216"/>
        <v>0</v>
      </c>
      <c r="P630" s="434">
        <f t="shared" si="216"/>
        <v>0</v>
      </c>
      <c r="Q630" s="434">
        <f t="shared" si="216"/>
        <v>0</v>
      </c>
      <c r="R630" s="434">
        <f t="shared" si="216"/>
        <v>0</v>
      </c>
      <c r="S630" s="434">
        <f t="shared" si="216"/>
        <v>0</v>
      </c>
      <c r="T630" s="17"/>
      <c r="U630" s="118">
        <f t="shared" si="217" ref="U630:U636">SUM(I630:T630)</f>
        <v>0</v>
      </c>
      <c r="V630" s="67"/>
      <c r="W630" s="726">
        <f t="shared" si="212"/>
        <v>0</v>
      </c>
    </row>
    <row r="631" spans="1:23" ht="15">
      <c r="A631" s="47"/>
      <c r="B631" s="17">
        <f t="shared" si="208"/>
        <v>18</v>
      </c>
      <c r="C631" s="1" t="s">
        <v>180</v>
      </c>
      <c r="D631" s="31" t="s">
        <v>181</v>
      </c>
      <c r="E631" s="17"/>
      <c r="F631" s="118">
        <f>' WP II-I-1.4'!I631</f>
        <v>0</v>
      </c>
      <c r="G631" s="17">
        <v>28</v>
      </c>
      <c r="H631" s="47" t="str">
        <f t="shared" si="215"/>
        <v>NCP XHV</v>
      </c>
      <c r="I631" s="17"/>
      <c r="J631" s="434">
        <f t="shared" si="216"/>
        <v>0</v>
      </c>
      <c r="K631" s="434">
        <f t="shared" si="216"/>
        <v>0</v>
      </c>
      <c r="L631" s="434">
        <f t="shared" si="216"/>
        <v>0</v>
      </c>
      <c r="M631" s="434">
        <f t="shared" si="216"/>
        <v>0</v>
      </c>
      <c r="N631" s="434">
        <f t="shared" si="216"/>
        <v>0</v>
      </c>
      <c r="O631" s="434">
        <f t="shared" si="216"/>
        <v>0</v>
      </c>
      <c r="P631" s="434">
        <f t="shared" si="216"/>
        <v>0</v>
      </c>
      <c r="Q631" s="434">
        <f t="shared" si="216"/>
        <v>0</v>
      </c>
      <c r="R631" s="434">
        <f t="shared" si="216"/>
        <v>0</v>
      </c>
      <c r="S631" s="434">
        <f t="shared" si="216"/>
        <v>0</v>
      </c>
      <c r="T631" s="17"/>
      <c r="U631" s="118">
        <f t="shared" si="217"/>
        <v>0</v>
      </c>
      <c r="V631" s="67"/>
      <c r="W631" s="726">
        <f t="shared" si="212"/>
        <v>0</v>
      </c>
    </row>
    <row r="632" spans="1:23" ht="15">
      <c r="A632" s="47"/>
      <c r="B632" s="17">
        <f t="shared" si="208"/>
        <v>19</v>
      </c>
      <c r="C632" s="1" t="s">
        <v>182</v>
      </c>
      <c r="D632" s="1" t="s">
        <v>183</v>
      </c>
      <c r="E632" s="17"/>
      <c r="F632" s="118">
        <f>' WP II-I-1.4'!I632</f>
        <v>0</v>
      </c>
      <c r="G632" s="17">
        <v>28</v>
      </c>
      <c r="H632" s="47" t="str">
        <f t="shared" si="215"/>
        <v>NCP XHV</v>
      </c>
      <c r="I632" s="17"/>
      <c r="J632" s="434">
        <f t="shared" si="216"/>
        <v>0</v>
      </c>
      <c r="K632" s="434">
        <f t="shared" si="216"/>
        <v>0</v>
      </c>
      <c r="L632" s="434">
        <f t="shared" si="216"/>
        <v>0</v>
      </c>
      <c r="M632" s="434">
        <f t="shared" si="216"/>
        <v>0</v>
      </c>
      <c r="N632" s="434">
        <f t="shared" si="216"/>
        <v>0</v>
      </c>
      <c r="O632" s="434">
        <f t="shared" si="216"/>
        <v>0</v>
      </c>
      <c r="P632" s="434">
        <f t="shared" si="216"/>
        <v>0</v>
      </c>
      <c r="Q632" s="434">
        <f t="shared" si="216"/>
        <v>0</v>
      </c>
      <c r="R632" s="434">
        <f t="shared" si="216"/>
        <v>0</v>
      </c>
      <c r="S632" s="434">
        <f t="shared" si="216"/>
        <v>0</v>
      </c>
      <c r="T632" s="17"/>
      <c r="U632" s="118">
        <f t="shared" si="217"/>
        <v>0</v>
      </c>
      <c r="V632" s="67"/>
      <c r="W632" s="726">
        <f t="shared" si="212"/>
        <v>0</v>
      </c>
    </row>
    <row r="633" spans="1:23" ht="15">
      <c r="A633" s="47"/>
      <c r="B633" s="17">
        <f t="shared" si="208"/>
        <v>20</v>
      </c>
      <c r="C633" s="1" t="s">
        <v>184</v>
      </c>
      <c r="D633" s="1" t="s">
        <v>185</v>
      </c>
      <c r="E633" s="17"/>
      <c r="F633" s="118">
        <f>' WP II-I-1.4'!I633</f>
        <v>0</v>
      </c>
      <c r="G633" s="17">
        <v>28</v>
      </c>
      <c r="H633" s="47" t="str">
        <f t="shared" si="215"/>
        <v>NCP XHV</v>
      </c>
      <c r="I633" s="17"/>
      <c r="J633" s="434">
        <f t="shared" si="216"/>
        <v>0</v>
      </c>
      <c r="K633" s="434">
        <f t="shared" si="216"/>
        <v>0</v>
      </c>
      <c r="L633" s="434">
        <f t="shared" si="216"/>
        <v>0</v>
      </c>
      <c r="M633" s="434">
        <f t="shared" si="216"/>
        <v>0</v>
      </c>
      <c r="N633" s="434">
        <f t="shared" si="216"/>
        <v>0</v>
      </c>
      <c r="O633" s="434">
        <f t="shared" si="216"/>
        <v>0</v>
      </c>
      <c r="P633" s="434">
        <f t="shared" si="216"/>
        <v>0</v>
      </c>
      <c r="Q633" s="434">
        <f t="shared" si="216"/>
        <v>0</v>
      </c>
      <c r="R633" s="434">
        <f t="shared" si="216"/>
        <v>0</v>
      </c>
      <c r="S633" s="434">
        <f t="shared" si="216"/>
        <v>0</v>
      </c>
      <c r="T633" s="17"/>
      <c r="U633" s="118">
        <f t="shared" si="217"/>
        <v>0</v>
      </c>
      <c r="V633" s="67"/>
      <c r="W633" s="726">
        <f t="shared" si="212"/>
        <v>0</v>
      </c>
    </row>
    <row r="634" spans="1:23" ht="15">
      <c r="A634" s="47"/>
      <c r="B634" s="17">
        <f t="shared" si="208"/>
        <v>21</v>
      </c>
      <c r="C634" s="1" t="s">
        <v>186</v>
      </c>
      <c r="D634" s="31" t="s">
        <v>187</v>
      </c>
      <c r="E634" s="17"/>
      <c r="F634" s="118">
        <f>' WP II-I-1.4'!I634</f>
        <v>0</v>
      </c>
      <c r="G634" s="17">
        <v>28</v>
      </c>
      <c r="H634" s="47" t="str">
        <f t="shared" si="215"/>
        <v>NCP XHV</v>
      </c>
      <c r="I634" s="17"/>
      <c r="J634" s="434">
        <f t="shared" si="216"/>
        <v>0</v>
      </c>
      <c r="K634" s="434">
        <f t="shared" si="216"/>
        <v>0</v>
      </c>
      <c r="L634" s="434">
        <f t="shared" si="216"/>
        <v>0</v>
      </c>
      <c r="M634" s="434">
        <f t="shared" si="216"/>
        <v>0</v>
      </c>
      <c r="N634" s="434">
        <f t="shared" si="216"/>
        <v>0</v>
      </c>
      <c r="O634" s="434">
        <f t="shared" si="216"/>
        <v>0</v>
      </c>
      <c r="P634" s="434">
        <f t="shared" si="216"/>
        <v>0</v>
      </c>
      <c r="Q634" s="434">
        <f t="shared" si="216"/>
        <v>0</v>
      </c>
      <c r="R634" s="434">
        <f t="shared" si="216"/>
        <v>0</v>
      </c>
      <c r="S634" s="434">
        <f t="shared" si="216"/>
        <v>0</v>
      </c>
      <c r="T634" s="17"/>
      <c r="U634" s="118">
        <f t="shared" si="217"/>
        <v>0</v>
      </c>
      <c r="V634" s="67"/>
      <c r="W634" s="726">
        <f t="shared" si="212"/>
        <v>0</v>
      </c>
    </row>
    <row r="635" spans="1:23" ht="15">
      <c r="A635" s="47"/>
      <c r="B635" s="17">
        <f t="shared" si="208"/>
        <v>22</v>
      </c>
      <c r="C635" s="1" t="s">
        <v>188</v>
      </c>
      <c r="D635" s="31" t="s">
        <v>189</v>
      </c>
      <c r="E635" s="17"/>
      <c r="F635" s="118">
        <f>' WP II-I-1.4'!I635</f>
        <v>0</v>
      </c>
      <c r="G635" s="17">
        <v>28</v>
      </c>
      <c r="H635" s="47" t="str">
        <f t="shared" si="215"/>
        <v>NCP XHV</v>
      </c>
      <c r="I635" s="17"/>
      <c r="J635" s="434">
        <f t="shared" si="216"/>
        <v>0</v>
      </c>
      <c r="K635" s="434">
        <f t="shared" si="216"/>
        <v>0</v>
      </c>
      <c r="L635" s="434">
        <f t="shared" si="216"/>
        <v>0</v>
      </c>
      <c r="M635" s="434">
        <f t="shared" si="216"/>
        <v>0</v>
      </c>
      <c r="N635" s="434">
        <f t="shared" si="216"/>
        <v>0</v>
      </c>
      <c r="O635" s="434">
        <f t="shared" si="216"/>
        <v>0</v>
      </c>
      <c r="P635" s="434">
        <f t="shared" si="216"/>
        <v>0</v>
      </c>
      <c r="Q635" s="434">
        <f t="shared" si="216"/>
        <v>0</v>
      </c>
      <c r="R635" s="434">
        <f t="shared" si="216"/>
        <v>0</v>
      </c>
      <c r="S635" s="434">
        <f t="shared" si="216"/>
        <v>0</v>
      </c>
      <c r="T635" s="17"/>
      <c r="U635" s="118">
        <f t="shared" si="217"/>
        <v>0</v>
      </c>
      <c r="V635" s="67"/>
      <c r="W635" s="726">
        <f t="shared" si="212"/>
        <v>0</v>
      </c>
    </row>
    <row r="636" spans="1:23" ht="15.75">
      <c r="A636" s="47"/>
      <c r="B636" s="17">
        <f t="shared" si="208"/>
        <v>23</v>
      </c>
      <c r="C636" s="8"/>
      <c r="D636" s="297" t="s">
        <v>491</v>
      </c>
      <c r="E636" s="20"/>
      <c r="F636" s="22">
        <f>SUM(F630:F635)</f>
        <v>0</v>
      </c>
      <c r="G636" s="20"/>
      <c r="H636" s="20"/>
      <c r="I636" s="1010"/>
      <c r="J636" s="896">
        <f t="shared" si="218" ref="J636:Q636">SUM(J630:J635)</f>
        <v>0</v>
      </c>
      <c r="K636" s="896">
        <f t="shared" si="218"/>
        <v>0</v>
      </c>
      <c r="L636" s="896">
        <f t="shared" si="218"/>
        <v>0</v>
      </c>
      <c r="M636" s="896">
        <f t="shared" si="218"/>
        <v>0</v>
      </c>
      <c r="N636" s="896">
        <f t="shared" si="218"/>
        <v>0</v>
      </c>
      <c r="O636" s="896">
        <f>SUM(O630:O635)</f>
        <v>0</v>
      </c>
      <c r="P636" s="896">
        <f t="shared" si="218"/>
        <v>0</v>
      </c>
      <c r="Q636" s="896">
        <f t="shared" si="218"/>
        <v>0</v>
      </c>
      <c r="R636" s="896">
        <f>SUM(R630:R635)</f>
        <v>0</v>
      </c>
      <c r="S636" s="896">
        <f>SUM(S630:S635)</f>
        <v>0</v>
      </c>
      <c r="T636" s="1010"/>
      <c r="U636" s="299">
        <f t="shared" si="217"/>
        <v>0</v>
      </c>
      <c r="V636" s="67"/>
      <c r="W636" s="726">
        <f t="shared" si="212"/>
        <v>0</v>
      </c>
    </row>
    <row r="637" spans="1:23" ht="16.5" thickBot="1">
      <c r="A637" s="47"/>
      <c r="B637" s="17">
        <f t="shared" si="208"/>
        <v>24</v>
      </c>
      <c r="C637" s="8"/>
      <c r="D637" s="297"/>
      <c r="E637" s="20"/>
      <c r="F637" s="22"/>
      <c r="G637" s="20"/>
      <c r="H637" s="20"/>
      <c r="I637" s="20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0"/>
      <c r="U637" s="8"/>
      <c r="V637" s="67"/>
      <c r="W637" s="726">
        <f t="shared" si="212"/>
        <v>0</v>
      </c>
    </row>
    <row r="638" spans="1:23" ht="16.5" thickBot="1">
      <c r="A638" s="47"/>
      <c r="B638" s="17">
        <f t="shared" si="208"/>
        <v>25</v>
      </c>
      <c r="C638" s="870" t="s">
        <v>629</v>
      </c>
      <c r="D638" s="1017"/>
      <c r="E638" s="1013"/>
      <c r="F638" s="1014">
        <f>+F636+F625</f>
        <v>0</v>
      </c>
      <c r="G638" s="1013"/>
      <c r="H638" s="1013"/>
      <c r="I638" s="1016"/>
      <c r="J638" s="1014">
        <f t="shared" si="219" ref="J638:Q638">+J636+J625</f>
        <v>0</v>
      </c>
      <c r="K638" s="1014">
        <f t="shared" si="219"/>
        <v>0</v>
      </c>
      <c r="L638" s="1014">
        <f t="shared" si="219"/>
        <v>0</v>
      </c>
      <c r="M638" s="1014">
        <f t="shared" si="219"/>
        <v>0</v>
      </c>
      <c r="N638" s="1014">
        <f t="shared" si="219"/>
        <v>0</v>
      </c>
      <c r="O638" s="1014">
        <f>+O636+O625</f>
        <v>0</v>
      </c>
      <c r="P638" s="1014">
        <f t="shared" si="219"/>
        <v>0</v>
      </c>
      <c r="Q638" s="1014">
        <f t="shared" si="219"/>
        <v>0</v>
      </c>
      <c r="R638" s="1014">
        <f>+R636+R625</f>
        <v>0</v>
      </c>
      <c r="S638" s="1014">
        <f>+S636+S625</f>
        <v>0</v>
      </c>
      <c r="T638" s="1016"/>
      <c r="U638" s="1015">
        <f>SUM(I638:T638)</f>
        <v>0</v>
      </c>
      <c r="V638" s="67"/>
      <c r="W638" s="726">
        <f t="shared" si="212"/>
        <v>0</v>
      </c>
    </row>
    <row r="639" spans="1:23" ht="16.5" thickBot="1">
      <c r="A639" s="47"/>
      <c r="B639" s="17">
        <f t="shared" si="208"/>
        <v>26</v>
      </c>
      <c r="C639" s="8"/>
      <c r="D639" s="8"/>
      <c r="E639" s="20"/>
      <c r="F639" s="22"/>
      <c r="G639" s="20"/>
      <c r="H639" s="20"/>
      <c r="I639" s="20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0"/>
      <c r="U639" s="8"/>
      <c r="V639" s="67"/>
      <c r="W639" s="726">
        <f t="shared" si="212"/>
        <v>0</v>
      </c>
    </row>
    <row r="640" spans="1:23" ht="16.5" thickBot="1">
      <c r="A640" s="47"/>
      <c r="B640" s="17">
        <f t="shared" si="208"/>
        <v>27</v>
      </c>
      <c r="C640" s="870" t="s">
        <v>630</v>
      </c>
      <c r="D640" s="1017"/>
      <c r="E640" s="1013"/>
      <c r="F640" s="1014">
        <f>F638-F622</f>
        <v>0</v>
      </c>
      <c r="G640" s="1013"/>
      <c r="H640" s="1013"/>
      <c r="I640" s="1016"/>
      <c r="J640" s="1014">
        <f t="shared" si="220" ref="J640:Q640">J638-J622</f>
        <v>0</v>
      </c>
      <c r="K640" s="1014">
        <f t="shared" si="220"/>
        <v>0</v>
      </c>
      <c r="L640" s="1014">
        <f t="shared" si="220"/>
        <v>0</v>
      </c>
      <c r="M640" s="1014">
        <f t="shared" si="220"/>
        <v>0</v>
      </c>
      <c r="N640" s="1014">
        <f t="shared" si="220"/>
        <v>0</v>
      </c>
      <c r="O640" s="1014">
        <f>O638-O622</f>
        <v>0</v>
      </c>
      <c r="P640" s="1014">
        <f t="shared" si="220"/>
        <v>0</v>
      </c>
      <c r="Q640" s="1014">
        <f t="shared" si="220"/>
        <v>0</v>
      </c>
      <c r="R640" s="1014">
        <f>R638-R622</f>
        <v>0</v>
      </c>
      <c r="S640" s="1014">
        <f>S638-S622</f>
        <v>0</v>
      </c>
      <c r="T640" s="1016"/>
      <c r="U640" s="1015">
        <f>SUM(I640:T640)</f>
        <v>0</v>
      </c>
      <c r="V640" s="67"/>
      <c r="W640" s="726">
        <f t="shared" si="212"/>
        <v>0</v>
      </c>
    </row>
    <row r="641" spans="1:23" ht="15.75">
      <c r="A641" s="47"/>
      <c r="B641" s="17"/>
      <c r="C641" s="8"/>
      <c r="D641" s="8"/>
      <c r="E641" s="20"/>
      <c r="F641" s="2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8"/>
      <c r="V641" s="67"/>
      <c r="W641" s="167"/>
    </row>
    <row r="642" spans="1:23" ht="15.75">
      <c r="A642" s="47"/>
      <c r="B642" s="17"/>
      <c r="C642" s="8"/>
      <c r="D642" s="8"/>
      <c r="E642" s="20"/>
      <c r="F642" s="22"/>
      <c r="G642" s="20"/>
      <c r="H642" s="13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134"/>
      <c r="V642" s="134">
        <f>$H$2</f>
        <v>0</v>
      </c>
      <c r="W642" s="167"/>
    </row>
    <row r="643" spans="1:23" ht="16.5" thickBot="1">
      <c r="A643" s="47"/>
      <c r="B643" s="17"/>
      <c r="C643" s="8"/>
      <c r="D643" s="8"/>
      <c r="E643" s="20"/>
      <c r="F643" s="2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8"/>
      <c r="V643" s="67"/>
      <c r="W643" s="167"/>
    </row>
    <row r="644" spans="1:23" ht="15.75">
      <c r="A644" s="47"/>
      <c r="B644" s="920" t="str">
        <f>+$B$4</f>
        <v>2022 RATE CASE</v>
      </c>
      <c r="C644" s="935"/>
      <c r="D644" s="969"/>
      <c r="F644" s="332"/>
      <c r="U644" s="134"/>
      <c r="W644" s="167"/>
    </row>
    <row r="645" spans="1:23" ht="15.75">
      <c r="A645" s="47"/>
      <c r="B645" s="917" t="str">
        <f>+$B$5</f>
        <v>ONCOR ELECTRIC DELIVERY COMPANY LLC</v>
      </c>
      <c r="C645" s="8"/>
      <c r="D645" s="970"/>
      <c r="F645" s="332"/>
      <c r="U645" s="134"/>
      <c r="V645" s="67"/>
      <c r="W645" s="167"/>
    </row>
    <row r="646" spans="1:23" ht="15.75">
      <c r="A646" s="47"/>
      <c r="B646" s="917" t="str">
        <f>+$B$6</f>
        <v>II-I-1-TBILLTDCS:  CLASS REVENUE REQUIREMENT</v>
      </c>
      <c r="C646" s="85"/>
      <c r="D646" s="970"/>
      <c r="F646" s="332"/>
      <c r="U646" s="332"/>
      <c r="V646" s="67"/>
      <c r="W646" s="167"/>
    </row>
    <row r="647" spans="1:23" ht="15.75">
      <c r="A647" s="47"/>
      <c r="B647" s="406" t="str">
        <f>+$B$7</f>
        <v>TEST YEAR ENDING 12/31/2021</v>
      </c>
      <c r="C647" s="85"/>
      <c r="D647" s="970"/>
      <c r="F647" s="332"/>
      <c r="U647" s="332"/>
      <c r="V647" s="67"/>
      <c r="W647" s="167"/>
    </row>
    <row r="648" spans="1:23" ht="15.75">
      <c r="A648" s="47"/>
      <c r="B648" s="406" t="str">
        <f>+$B$8</f>
        <v>SPONSOR:  MATTHEW A. TROXLE</v>
      </c>
      <c r="C648" s="85"/>
      <c r="D648" s="970"/>
      <c r="F648" s="332"/>
      <c r="U648" s="332"/>
      <c r="V648" s="67"/>
      <c r="W648" s="167"/>
    </row>
    <row r="649" spans="1:23" ht="16.5" thickBot="1">
      <c r="A649" s="47"/>
      <c r="B649" s="410"/>
      <c r="C649" s="934"/>
      <c r="D649" s="936"/>
      <c r="F649" s="332"/>
      <c r="U649" s="332"/>
      <c r="V649" s="67"/>
      <c r="W649" s="167"/>
    </row>
    <row r="650" spans="1:23" ht="15.75" thickBot="1">
      <c r="A650" s="47"/>
      <c r="B650" s="13"/>
      <c r="C650" s="14"/>
      <c r="D650" s="14"/>
      <c r="E650" s="14"/>
      <c r="F650" s="13"/>
      <c r="G650" s="14"/>
      <c r="H650" s="14"/>
      <c r="I650" s="14"/>
      <c r="J650" s="238"/>
      <c r="K650" s="238"/>
      <c r="L650" s="14"/>
      <c r="M650" s="238"/>
      <c r="N650" s="238"/>
      <c r="O650" s="238"/>
      <c r="P650" s="238"/>
      <c r="Q650" s="14"/>
      <c r="R650" s="393" t="str">
        <f>R$10</f>
        <v xml:space="preserve"> </v>
      </c>
      <c r="S650" s="394"/>
      <c r="T650" s="238"/>
      <c r="U650" s="13"/>
      <c r="V650" s="67"/>
      <c r="W650" s="167"/>
    </row>
    <row r="651" spans="1:23" ht="15.75">
      <c r="A651" s="47"/>
      <c r="B651" s="15" t="s">
        <v>2</v>
      </c>
      <c r="C651" s="15" t="s">
        <v>370</v>
      </c>
      <c r="D651" s="287" t="s">
        <v>631</v>
      </c>
      <c r="E651" s="15" t="s">
        <v>371</v>
      </c>
      <c r="F651" s="287" t="str">
        <f>F$11</f>
        <v>TBILLTDCS</v>
      </c>
      <c r="G651" s="242" t="s">
        <v>741</v>
      </c>
      <c r="H651" s="242" t="s">
        <v>376</v>
      </c>
      <c r="I651" s="15"/>
      <c r="J651" s="242" t="s">
        <v>730</v>
      </c>
      <c r="K651" s="242" t="s">
        <v>409</v>
      </c>
      <c r="L651" s="15" t="s">
        <v>409</v>
      </c>
      <c r="M651" s="242" t="s">
        <v>410</v>
      </c>
      <c r="N651" s="242" t="s">
        <v>410</v>
      </c>
      <c r="O651" s="242" t="s">
        <v>410</v>
      </c>
      <c r="P651" s="242" t="s">
        <v>411</v>
      </c>
      <c r="Q651" s="15" t="s">
        <v>412</v>
      </c>
      <c r="R651" s="396" t="str">
        <f>R$11</f>
        <v>Wholesale</v>
      </c>
      <c r="S651" s="13" t="str">
        <f>S$11</f>
        <v>Wholesale</v>
      </c>
      <c r="T651" s="242"/>
      <c r="U651" s="15" t="s">
        <v>10</v>
      </c>
      <c r="V651" s="67"/>
      <c r="W651" s="167"/>
    </row>
    <row r="652" spans="1:23" ht="15">
      <c r="A652" s="47"/>
      <c r="B652" s="15"/>
      <c r="C652" s="15"/>
      <c r="D652" s="15"/>
      <c r="E652" s="15"/>
      <c r="F652" s="15"/>
      <c r="G652" s="242" t="s">
        <v>742</v>
      </c>
      <c r="H652" s="242" t="s">
        <v>743</v>
      </c>
      <c r="I652" s="15"/>
      <c r="J652" s="242"/>
      <c r="K652" s="242" t="s">
        <v>731</v>
      </c>
      <c r="L652" s="15" t="s">
        <v>732</v>
      </c>
      <c r="M652" s="242" t="s">
        <v>731</v>
      </c>
      <c r="N652" s="242" t="s">
        <v>732</v>
      </c>
      <c r="O652" s="242" t="s">
        <v>414</v>
      </c>
      <c r="P652" s="242"/>
      <c r="Q652" s="15"/>
      <c r="R652" s="235" t="str">
        <f>R$12</f>
        <v>XFMR</v>
      </c>
      <c r="S652" s="15" t="str">
        <f>S$12</f>
        <v>DLS</v>
      </c>
      <c r="T652" s="242"/>
      <c r="U652" s="15"/>
      <c r="V652" s="67"/>
      <c r="W652" s="167"/>
    </row>
    <row r="653" spans="1:23" ht="15.75" thickBot="1">
      <c r="A653" s="47"/>
      <c r="B653" s="16"/>
      <c r="C653" s="16"/>
      <c r="D653" s="16"/>
      <c r="E653" s="16"/>
      <c r="F653" s="16" t="s">
        <v>13</v>
      </c>
      <c r="G653" s="16" t="s">
        <v>14</v>
      </c>
      <c r="H653" s="16" t="s">
        <v>15</v>
      </c>
      <c r="I653" s="16"/>
      <c r="J653" s="243" t="str">
        <f t="shared" si="221" ref="J653:Q653">J$13</f>
        <v>(d)</v>
      </c>
      <c r="K653" s="243" t="str">
        <f t="shared" si="221"/>
        <v>(e)</v>
      </c>
      <c r="L653" s="16" t="str">
        <f t="shared" si="221"/>
        <v>(f)</v>
      </c>
      <c r="M653" s="243" t="str">
        <f t="shared" si="221"/>
        <v>(g)</v>
      </c>
      <c r="N653" s="243" t="str">
        <f t="shared" si="221"/>
        <v>(h)</v>
      </c>
      <c r="O653" s="243" t="str">
        <f>O$13</f>
        <v>(i)</v>
      </c>
      <c r="P653" s="243" t="str">
        <f t="shared" si="221"/>
        <v>(j)</v>
      </c>
      <c r="Q653" s="243" t="str">
        <f t="shared" si="221"/>
        <v>(k)</v>
      </c>
      <c r="R653" s="243" t="str">
        <f>R$13</f>
        <v>(l)</v>
      </c>
      <c r="S653" s="16" t="str">
        <f>S$13</f>
        <v>(m)</v>
      </c>
      <c r="T653" s="16"/>
      <c r="U653" s="16" t="s">
        <v>734</v>
      </c>
      <c r="V653" s="67"/>
      <c r="W653" s="167"/>
    </row>
    <row r="654" spans="1:23" ht="15">
      <c r="A654" s="47"/>
      <c r="B654" s="47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43"/>
      <c r="V654" s="67"/>
      <c r="W654" s="167"/>
    </row>
    <row r="655" spans="1:23" ht="15.75">
      <c r="A655" s="47"/>
      <c r="B655" s="17">
        <f t="shared" si="222" ref="B655:B686">B654+1</f>
        <v>1</v>
      </c>
      <c r="C655" s="8" t="s">
        <v>631</v>
      </c>
      <c r="D655" s="8"/>
      <c r="E655" s="20"/>
      <c r="F655" s="8"/>
      <c r="G655" s="20"/>
      <c r="H655" s="20"/>
      <c r="I655" s="20"/>
      <c r="J655" s="1059"/>
      <c r="K655" s="1059"/>
      <c r="L655" s="1059"/>
      <c r="M655" s="1059"/>
      <c r="N655" s="1059"/>
      <c r="O655" s="1059"/>
      <c r="P655" s="1059"/>
      <c r="Q655" s="1059"/>
      <c r="R655" s="1059"/>
      <c r="S655" s="1059"/>
      <c r="T655" s="20"/>
      <c r="U655" s="8"/>
      <c r="V655" s="67"/>
      <c r="W655" s="167"/>
    </row>
    <row r="656" spans="1:23" ht="15.75">
      <c r="A656" s="47"/>
      <c r="B656" s="17">
        <f t="shared" si="222"/>
        <v>2</v>
      </c>
      <c r="C656" s="8"/>
      <c r="D656" s="366" t="s">
        <v>626</v>
      </c>
      <c r="E656" s="20" t="s">
        <v>160</v>
      </c>
      <c r="F656" s="8"/>
      <c r="G656" s="20"/>
      <c r="H656" s="20"/>
      <c r="I656" s="1010"/>
      <c r="J656" s="1059"/>
      <c r="K656" s="1059"/>
      <c r="L656" s="1059"/>
      <c r="M656" s="1059"/>
      <c r="N656" s="1059"/>
      <c r="O656" s="1059"/>
      <c r="P656" s="1059"/>
      <c r="Q656" s="1059"/>
      <c r="R656" s="1059"/>
      <c r="S656" s="1059"/>
      <c r="T656" s="1010"/>
      <c r="U656" s="8"/>
      <c r="V656" s="67"/>
      <c r="W656" s="167"/>
    </row>
    <row r="657" spans="1:23" ht="15">
      <c r="A657" s="47"/>
      <c r="B657" s="17">
        <f t="shared" si="222"/>
        <v>3</v>
      </c>
      <c r="C657" s="1" t="s">
        <v>191</v>
      </c>
      <c r="D657" s="28" t="s">
        <v>162</v>
      </c>
      <c r="E657" s="67"/>
      <c r="F657" s="118">
        <f>' WP II-I-1.4'!I657</f>
        <v>18446.310000000001</v>
      </c>
      <c r="G657" s="68">
        <v>71</v>
      </c>
      <c r="H657" s="47" t="str">
        <f t="shared" si="223" ref="H657:H666">VLOOKUP(G657,FactorTable,2)</f>
        <v>DIST OPS</v>
      </c>
      <c r="I657" s="12"/>
      <c r="J657" s="434">
        <f t="shared" si="224" ref="J657:S666">$F657*HLOOKUP(J$1318,FactorTable,$G657+1)</f>
        <v>0</v>
      </c>
      <c r="K657" s="434">
        <f t="shared" si="224"/>
        <v>0</v>
      </c>
      <c r="L657" s="434">
        <f t="shared" si="224"/>
        <v>0</v>
      </c>
      <c r="M657" s="434">
        <f t="shared" si="224"/>
        <v>0</v>
      </c>
      <c r="N657" s="434">
        <f t="shared" si="224"/>
        <v>0</v>
      </c>
      <c r="O657" s="434">
        <f t="shared" si="224"/>
        <v>0</v>
      </c>
      <c r="P657" s="434">
        <f t="shared" si="224"/>
        <v>0</v>
      </c>
      <c r="Q657" s="434">
        <f t="shared" si="224"/>
        <v>18446.310000000001</v>
      </c>
      <c r="R657" s="434">
        <f t="shared" si="224"/>
        <v>0</v>
      </c>
      <c r="S657" s="434">
        <f t="shared" si="224"/>
        <v>0</v>
      </c>
      <c r="T657" s="12"/>
      <c r="U657" s="118">
        <f t="shared" si="225" ref="U657:U667">SUM(I657:T657)</f>
        <v>18446.310000000001</v>
      </c>
      <c r="V657" s="67"/>
      <c r="W657" s="726">
        <f t="shared" si="226" ref="W657:W686">F657-U657</f>
        <v>0</v>
      </c>
    </row>
    <row r="658" spans="1:23" ht="15">
      <c r="A658" s="47"/>
      <c r="B658" s="17">
        <f t="shared" si="222"/>
        <v>4</v>
      </c>
      <c r="C658" s="1" t="s">
        <v>192</v>
      </c>
      <c r="D658" s="1" t="s">
        <v>193</v>
      </c>
      <c r="E658" s="19"/>
      <c r="F658" s="290">
        <f>' WP II-I-1.4'!I658</f>
        <v>0</v>
      </c>
      <c r="G658" s="466">
        <v>28</v>
      </c>
      <c r="H658" s="47" t="str">
        <f t="shared" si="223"/>
        <v>NCP XHV</v>
      </c>
      <c r="I658" s="19"/>
      <c r="J658" s="434">
        <f t="shared" si="224"/>
        <v>0</v>
      </c>
      <c r="K658" s="434">
        <f t="shared" si="224"/>
        <v>0</v>
      </c>
      <c r="L658" s="434">
        <f t="shared" si="224"/>
        <v>0</v>
      </c>
      <c r="M658" s="434">
        <f t="shared" si="224"/>
        <v>0</v>
      </c>
      <c r="N658" s="434">
        <f t="shared" si="224"/>
        <v>0</v>
      </c>
      <c r="O658" s="434">
        <f t="shared" si="224"/>
        <v>0</v>
      </c>
      <c r="P658" s="434">
        <f t="shared" si="224"/>
        <v>0</v>
      </c>
      <c r="Q658" s="434">
        <f t="shared" si="224"/>
        <v>0</v>
      </c>
      <c r="R658" s="434">
        <f t="shared" si="224"/>
        <v>0</v>
      </c>
      <c r="S658" s="434">
        <f t="shared" si="224"/>
        <v>0</v>
      </c>
      <c r="T658" s="19"/>
      <c r="U658" s="118">
        <f t="shared" si="225"/>
        <v>0</v>
      </c>
      <c r="V658" s="67"/>
      <c r="W658" s="726">
        <f t="shared" si="226"/>
        <v>0</v>
      </c>
    </row>
    <row r="659" spans="1:23" ht="15">
      <c r="A659" s="47"/>
      <c r="B659" s="17">
        <f t="shared" si="222"/>
        <v>5</v>
      </c>
      <c r="C659" s="1" t="s">
        <v>194</v>
      </c>
      <c r="D659" s="1" t="s">
        <v>166</v>
      </c>
      <c r="E659" s="19"/>
      <c r="F659" s="290">
        <f>' WP II-I-1.4'!I659</f>
        <v>0</v>
      </c>
      <c r="G659" s="466">
        <v>44</v>
      </c>
      <c r="H659" s="47" t="str">
        <f t="shared" si="223"/>
        <v>PLT 362</v>
      </c>
      <c r="I659" s="19"/>
      <c r="J659" s="434">
        <f t="shared" si="224"/>
        <v>0</v>
      </c>
      <c r="K659" s="434">
        <f t="shared" si="224"/>
        <v>0</v>
      </c>
      <c r="L659" s="434">
        <f t="shared" si="224"/>
        <v>0</v>
      </c>
      <c r="M659" s="434">
        <f t="shared" si="224"/>
        <v>0</v>
      </c>
      <c r="N659" s="434">
        <f t="shared" si="224"/>
        <v>0</v>
      </c>
      <c r="O659" s="434">
        <f t="shared" si="224"/>
        <v>0</v>
      </c>
      <c r="P659" s="434">
        <f t="shared" si="224"/>
        <v>0</v>
      </c>
      <c r="Q659" s="434">
        <f t="shared" si="224"/>
        <v>0</v>
      </c>
      <c r="R659" s="434">
        <f t="shared" si="224"/>
        <v>0</v>
      </c>
      <c r="S659" s="434">
        <f t="shared" si="224"/>
        <v>0</v>
      </c>
      <c r="T659" s="19"/>
      <c r="U659" s="118">
        <f t="shared" si="225"/>
        <v>0</v>
      </c>
      <c r="V659" s="67"/>
      <c r="W659" s="726">
        <f t="shared" si="226"/>
        <v>0</v>
      </c>
    </row>
    <row r="660" spans="1:23" ht="15">
      <c r="A660" s="47"/>
      <c r="B660" s="17">
        <f t="shared" si="222"/>
        <v>6</v>
      </c>
      <c r="C660" s="1" t="s">
        <v>195</v>
      </c>
      <c r="D660" s="1" t="s">
        <v>168</v>
      </c>
      <c r="E660" s="19"/>
      <c r="F660" s="290">
        <f>' WP II-I-1.4'!I660</f>
        <v>0</v>
      </c>
      <c r="G660" s="466">
        <v>46</v>
      </c>
      <c r="H660" s="47" t="str">
        <f t="shared" si="223"/>
        <v>PLT 365</v>
      </c>
      <c r="I660" s="19"/>
      <c r="J660" s="434">
        <f t="shared" si="224"/>
        <v>0</v>
      </c>
      <c r="K660" s="434">
        <f t="shared" si="224"/>
        <v>0</v>
      </c>
      <c r="L660" s="434">
        <f t="shared" si="224"/>
        <v>0</v>
      </c>
      <c r="M660" s="434">
        <f t="shared" si="224"/>
        <v>0</v>
      </c>
      <c r="N660" s="434">
        <f t="shared" si="224"/>
        <v>0</v>
      </c>
      <c r="O660" s="434">
        <f t="shared" si="224"/>
        <v>0</v>
      </c>
      <c r="P660" s="434">
        <f t="shared" si="224"/>
        <v>0</v>
      </c>
      <c r="Q660" s="434">
        <f t="shared" si="224"/>
        <v>0</v>
      </c>
      <c r="R660" s="434">
        <f t="shared" si="224"/>
        <v>0</v>
      </c>
      <c r="S660" s="434">
        <f t="shared" si="224"/>
        <v>0</v>
      </c>
      <c r="T660" s="19"/>
      <c r="U660" s="118">
        <f t="shared" si="225"/>
        <v>0</v>
      </c>
      <c r="V660" s="67"/>
      <c r="W660" s="726">
        <f t="shared" si="226"/>
        <v>0</v>
      </c>
    </row>
    <row r="661" spans="1:23" ht="15">
      <c r="A661" s="47"/>
      <c r="B661" s="17">
        <f t="shared" si="222"/>
        <v>7</v>
      </c>
      <c r="C661" s="1" t="s">
        <v>196</v>
      </c>
      <c r="D661" s="1" t="s">
        <v>170</v>
      </c>
      <c r="E661" s="19"/>
      <c r="F661" s="290">
        <f>' WP II-I-1.4'!I661</f>
        <v>0</v>
      </c>
      <c r="G661" s="466">
        <v>28</v>
      </c>
      <c r="H661" s="47" t="str">
        <f t="shared" si="223"/>
        <v>NCP XHV</v>
      </c>
      <c r="I661" s="19"/>
      <c r="J661" s="434">
        <f t="shared" si="224"/>
        <v>0</v>
      </c>
      <c r="K661" s="434">
        <f t="shared" si="224"/>
        <v>0</v>
      </c>
      <c r="L661" s="434">
        <f t="shared" si="224"/>
        <v>0</v>
      </c>
      <c r="M661" s="434">
        <f t="shared" si="224"/>
        <v>0</v>
      </c>
      <c r="N661" s="434">
        <f t="shared" si="224"/>
        <v>0</v>
      </c>
      <c r="O661" s="434">
        <f t="shared" si="224"/>
        <v>0</v>
      </c>
      <c r="P661" s="434">
        <f t="shared" si="224"/>
        <v>0</v>
      </c>
      <c r="Q661" s="434">
        <f t="shared" si="224"/>
        <v>0</v>
      </c>
      <c r="R661" s="434">
        <f t="shared" si="224"/>
        <v>0</v>
      </c>
      <c r="S661" s="434">
        <f t="shared" si="224"/>
        <v>0</v>
      </c>
      <c r="T661" s="19"/>
      <c r="U661" s="118">
        <f t="shared" si="225"/>
        <v>0</v>
      </c>
      <c r="V661" s="67"/>
      <c r="W661" s="726">
        <f t="shared" si="226"/>
        <v>0</v>
      </c>
    </row>
    <row r="662" spans="1:23" ht="15">
      <c r="A662" s="47"/>
      <c r="B662" s="17">
        <f t="shared" si="222"/>
        <v>8</v>
      </c>
      <c r="C662" s="1" t="s">
        <v>197</v>
      </c>
      <c r="D662" s="1" t="s">
        <v>198</v>
      </c>
      <c r="E662" s="19"/>
      <c r="F662" s="290">
        <f>' WP II-I-1.4'!I662</f>
        <v>0</v>
      </c>
      <c r="G662" s="466">
        <v>33</v>
      </c>
      <c r="H662" s="47" t="str">
        <f t="shared" si="223"/>
        <v>NCP LGT</v>
      </c>
      <c r="I662" s="19"/>
      <c r="J662" s="434">
        <f t="shared" si="224"/>
        <v>0</v>
      </c>
      <c r="K662" s="434">
        <f t="shared" si="224"/>
        <v>0</v>
      </c>
      <c r="L662" s="434">
        <f t="shared" si="224"/>
        <v>0</v>
      </c>
      <c r="M662" s="434">
        <f t="shared" si="224"/>
        <v>0</v>
      </c>
      <c r="N662" s="434">
        <f t="shared" si="224"/>
        <v>0</v>
      </c>
      <c r="O662" s="434">
        <f t="shared" si="224"/>
        <v>0</v>
      </c>
      <c r="P662" s="434">
        <f t="shared" si="224"/>
        <v>0</v>
      </c>
      <c r="Q662" s="434">
        <f t="shared" si="224"/>
        <v>0</v>
      </c>
      <c r="R662" s="434">
        <f t="shared" si="224"/>
        <v>0</v>
      </c>
      <c r="S662" s="434">
        <f t="shared" si="224"/>
        <v>0</v>
      </c>
      <c r="T662" s="19"/>
      <c r="U662" s="118">
        <f t="shared" si="225"/>
        <v>0</v>
      </c>
      <c r="V662" s="67"/>
      <c r="W662" s="726">
        <f t="shared" si="226"/>
        <v>0</v>
      </c>
    </row>
    <row r="663" spans="1:23" ht="15">
      <c r="A663" s="47"/>
      <c r="B663" s="17">
        <f t="shared" si="222"/>
        <v>9</v>
      </c>
      <c r="C663" s="1" t="s">
        <v>199</v>
      </c>
      <c r="D663" s="1" t="s">
        <v>200</v>
      </c>
      <c r="E663" s="19"/>
      <c r="F663" s="290">
        <f>' WP II-I-1.4'!I663</f>
        <v>0</v>
      </c>
      <c r="G663" s="466">
        <v>6</v>
      </c>
      <c r="H663" s="47" t="str">
        <f t="shared" si="223"/>
        <v>CUS W ALL</v>
      </c>
      <c r="I663" s="19"/>
      <c r="J663" s="434">
        <f t="shared" si="224"/>
        <v>0</v>
      </c>
      <c r="K663" s="434">
        <f t="shared" si="224"/>
        <v>0</v>
      </c>
      <c r="L663" s="434">
        <f t="shared" si="224"/>
        <v>0</v>
      </c>
      <c r="M663" s="434">
        <f t="shared" si="224"/>
        <v>0</v>
      </c>
      <c r="N663" s="434">
        <f t="shared" si="224"/>
        <v>0</v>
      </c>
      <c r="O663" s="434">
        <f t="shared" si="224"/>
        <v>0</v>
      </c>
      <c r="P663" s="434">
        <f t="shared" si="224"/>
        <v>0</v>
      </c>
      <c r="Q663" s="434">
        <f t="shared" si="224"/>
        <v>0</v>
      </c>
      <c r="R663" s="434">
        <f t="shared" si="224"/>
        <v>0</v>
      </c>
      <c r="S663" s="434">
        <f t="shared" si="224"/>
        <v>0</v>
      </c>
      <c r="T663" s="19"/>
      <c r="U663" s="118">
        <f t="shared" si="225"/>
        <v>0</v>
      </c>
      <c r="V663" s="67"/>
      <c r="W663" s="726">
        <f t="shared" si="226"/>
        <v>0</v>
      </c>
    </row>
    <row r="664" spans="1:23" ht="15">
      <c r="A664" s="47"/>
      <c r="B664" s="17">
        <f t="shared" si="222"/>
        <v>10</v>
      </c>
      <c r="C664" s="1" t="s">
        <v>201</v>
      </c>
      <c r="D664" s="1" t="s">
        <v>202</v>
      </c>
      <c r="E664" s="19"/>
      <c r="F664" s="290">
        <f>' WP II-I-1.4'!I664</f>
        <v>0</v>
      </c>
      <c r="G664" s="466">
        <v>8</v>
      </c>
      <c r="H664" s="47" t="str">
        <f t="shared" si="223"/>
        <v>CUS W RTL</v>
      </c>
      <c r="I664" s="19"/>
      <c r="J664" s="434">
        <f t="shared" si="224"/>
        <v>0</v>
      </c>
      <c r="K664" s="434">
        <f t="shared" si="224"/>
        <v>0</v>
      </c>
      <c r="L664" s="434">
        <f t="shared" si="224"/>
        <v>0</v>
      </c>
      <c r="M664" s="434">
        <f t="shared" si="224"/>
        <v>0</v>
      </c>
      <c r="N664" s="434">
        <f t="shared" si="224"/>
        <v>0</v>
      </c>
      <c r="O664" s="434">
        <f t="shared" si="224"/>
        <v>0</v>
      </c>
      <c r="P664" s="434">
        <f t="shared" si="224"/>
        <v>0</v>
      </c>
      <c r="Q664" s="434">
        <f t="shared" si="224"/>
        <v>0</v>
      </c>
      <c r="R664" s="434">
        <f t="shared" si="224"/>
        <v>0</v>
      </c>
      <c r="S664" s="434">
        <f t="shared" si="224"/>
        <v>0</v>
      </c>
      <c r="T664" s="19"/>
      <c r="U664" s="118">
        <f t="shared" si="225"/>
        <v>0</v>
      </c>
      <c r="V664" s="67"/>
      <c r="W664" s="726">
        <f t="shared" si="226"/>
        <v>0</v>
      </c>
    </row>
    <row r="665" spans="1:23" ht="15">
      <c r="A665" s="47"/>
      <c r="B665" s="17">
        <f t="shared" si="222"/>
        <v>11</v>
      </c>
      <c r="C665" s="1" t="s">
        <v>203</v>
      </c>
      <c r="D665" s="1" t="s">
        <v>204</v>
      </c>
      <c r="E665" s="19"/>
      <c r="F665" s="290">
        <f>' WP II-I-1.4'!I665</f>
        <v>324704.41999999998</v>
      </c>
      <c r="G665" s="466">
        <v>71</v>
      </c>
      <c r="H665" s="47" t="str">
        <f t="shared" si="223"/>
        <v>DIST OPS</v>
      </c>
      <c r="I665" s="19"/>
      <c r="J665" s="434">
        <f t="shared" si="224"/>
        <v>0</v>
      </c>
      <c r="K665" s="434">
        <f t="shared" si="224"/>
        <v>0</v>
      </c>
      <c r="L665" s="434">
        <f t="shared" si="224"/>
        <v>0</v>
      </c>
      <c r="M665" s="434">
        <f t="shared" si="224"/>
        <v>0</v>
      </c>
      <c r="N665" s="434">
        <f t="shared" si="224"/>
        <v>0</v>
      </c>
      <c r="O665" s="434">
        <f t="shared" si="224"/>
        <v>0</v>
      </c>
      <c r="P665" s="434">
        <f t="shared" si="224"/>
        <v>0</v>
      </c>
      <c r="Q665" s="434">
        <f t="shared" si="224"/>
        <v>324704.41999999998</v>
      </c>
      <c r="R665" s="434">
        <f t="shared" si="224"/>
        <v>0</v>
      </c>
      <c r="S665" s="434">
        <f t="shared" si="224"/>
        <v>0</v>
      </c>
      <c r="T665" s="19"/>
      <c r="U665" s="118">
        <f t="shared" si="225"/>
        <v>324704.41999999998</v>
      </c>
      <c r="V665" s="67"/>
      <c r="W665" s="726">
        <f t="shared" si="226"/>
        <v>0</v>
      </c>
    </row>
    <row r="666" spans="1:23" ht="15">
      <c r="A666" s="47"/>
      <c r="B666" s="17">
        <f t="shared" si="222"/>
        <v>12</v>
      </c>
      <c r="C666" s="1" t="s">
        <v>205</v>
      </c>
      <c r="D666" s="1" t="s">
        <v>206</v>
      </c>
      <c r="E666" s="19"/>
      <c r="F666" s="290">
        <f>' WP II-I-1.4'!I666</f>
        <v>0</v>
      </c>
      <c r="G666" s="466">
        <v>30</v>
      </c>
      <c r="H666" s="47" t="str">
        <f t="shared" si="223"/>
        <v>NCP XSS</v>
      </c>
      <c r="I666" s="19"/>
      <c r="J666" s="435">
        <f t="shared" si="224"/>
        <v>0</v>
      </c>
      <c r="K666" s="435">
        <f t="shared" si="224"/>
        <v>0</v>
      </c>
      <c r="L666" s="435">
        <f t="shared" si="224"/>
        <v>0</v>
      </c>
      <c r="M666" s="435">
        <f t="shared" si="224"/>
        <v>0</v>
      </c>
      <c r="N666" s="435">
        <f t="shared" si="224"/>
        <v>0</v>
      </c>
      <c r="O666" s="435">
        <f t="shared" si="224"/>
        <v>0</v>
      </c>
      <c r="P666" s="435">
        <f t="shared" si="224"/>
        <v>0</v>
      </c>
      <c r="Q666" s="435">
        <f t="shared" si="224"/>
        <v>0</v>
      </c>
      <c r="R666" s="435">
        <f t="shared" si="224"/>
        <v>0</v>
      </c>
      <c r="S666" s="435">
        <f t="shared" si="224"/>
        <v>0</v>
      </c>
      <c r="T666" s="19"/>
      <c r="U666" s="118">
        <f t="shared" si="225"/>
        <v>0</v>
      </c>
      <c r="V666" s="67"/>
      <c r="W666" s="726">
        <f t="shared" si="226"/>
        <v>0</v>
      </c>
    </row>
    <row r="667" spans="1:23" ht="15.75">
      <c r="A667" s="47"/>
      <c r="B667" s="17">
        <f t="shared" si="222"/>
        <v>13</v>
      </c>
      <c r="C667" s="8"/>
      <c r="D667" s="297" t="s">
        <v>632</v>
      </c>
      <c r="E667" s="20"/>
      <c r="F667" s="896">
        <f>SUM(F657:F666)</f>
        <v>343150.72999999998</v>
      </c>
      <c r="G667" s="20"/>
      <c r="H667" s="20"/>
      <c r="I667" s="1010"/>
      <c r="J667" s="896">
        <f t="shared" si="227" ref="J667:Q667">SUM(J657:J666)</f>
        <v>0</v>
      </c>
      <c r="K667" s="896">
        <f t="shared" si="227"/>
        <v>0</v>
      </c>
      <c r="L667" s="896">
        <f t="shared" si="227"/>
        <v>0</v>
      </c>
      <c r="M667" s="896">
        <f t="shared" si="227"/>
        <v>0</v>
      </c>
      <c r="N667" s="896">
        <f t="shared" si="227"/>
        <v>0</v>
      </c>
      <c r="O667" s="896">
        <f>SUM(O657:O666)</f>
        <v>0</v>
      </c>
      <c r="P667" s="896">
        <f t="shared" si="227"/>
        <v>0</v>
      </c>
      <c r="Q667" s="896">
        <f t="shared" si="227"/>
        <v>343150.72999999998</v>
      </c>
      <c r="R667" s="896">
        <f>SUM(R657:R666)</f>
        <v>0</v>
      </c>
      <c r="S667" s="896">
        <f>SUM(S657:S666)</f>
        <v>0</v>
      </c>
      <c r="T667" s="1010"/>
      <c r="U667" s="299">
        <f t="shared" si="225"/>
        <v>343150.72999999998</v>
      </c>
      <c r="V667" s="67"/>
      <c r="W667" s="726">
        <f t="shared" si="226"/>
        <v>0</v>
      </c>
    </row>
    <row r="668" spans="1:23" ht="15.75">
      <c r="A668" s="47"/>
      <c r="B668" s="17">
        <f t="shared" si="222"/>
        <v>14</v>
      </c>
      <c r="C668" s="8"/>
      <c r="D668" s="297"/>
      <c r="E668" s="20"/>
      <c r="F668" s="896"/>
      <c r="G668" s="20"/>
      <c r="H668" s="20"/>
      <c r="I668" s="1010"/>
      <c r="J668" s="896"/>
      <c r="K668" s="896"/>
      <c r="L668" s="896"/>
      <c r="M668" s="896"/>
      <c r="N668" s="896"/>
      <c r="O668" s="896"/>
      <c r="P668" s="896"/>
      <c r="Q668" s="896"/>
      <c r="R668" s="896"/>
      <c r="S668" s="896"/>
      <c r="T668" s="1010"/>
      <c r="U668" s="299"/>
      <c r="V668" s="67"/>
      <c r="W668" s="726">
        <f t="shared" si="226"/>
        <v>0</v>
      </c>
    </row>
    <row r="669" spans="1:23" ht="15.75">
      <c r="A669" s="47"/>
      <c r="B669" s="17">
        <f t="shared" si="222"/>
        <v>15</v>
      </c>
      <c r="C669" s="8"/>
      <c r="D669" s="297" t="s">
        <v>633</v>
      </c>
      <c r="E669" s="20"/>
      <c r="F669" s="896">
        <f>SUM(F658:F664)+F666</f>
        <v>0</v>
      </c>
      <c r="G669" s="20"/>
      <c r="H669" s="20"/>
      <c r="I669" s="20"/>
      <c r="J669" s="896">
        <f t="shared" si="228" ref="J669:Q669">SUM(J658:J664)+J666</f>
        <v>0</v>
      </c>
      <c r="K669" s="896">
        <f t="shared" si="228"/>
        <v>0</v>
      </c>
      <c r="L669" s="896">
        <f t="shared" si="228"/>
        <v>0</v>
      </c>
      <c r="M669" s="896">
        <f t="shared" si="228"/>
        <v>0</v>
      </c>
      <c r="N669" s="896">
        <f t="shared" si="228"/>
        <v>0</v>
      </c>
      <c r="O669" s="896">
        <f>SUM(O658:O664)+O666</f>
        <v>0</v>
      </c>
      <c r="P669" s="896">
        <f t="shared" si="228"/>
        <v>0</v>
      </c>
      <c r="Q669" s="896">
        <f t="shared" si="228"/>
        <v>0</v>
      </c>
      <c r="R669" s="896">
        <f>SUM(R658:R664)+R666</f>
        <v>0</v>
      </c>
      <c r="S669" s="896">
        <f>SUM(S658:S664)+S666</f>
        <v>0</v>
      </c>
      <c r="T669" s="1010"/>
      <c r="U669" s="299">
        <f>SUM(I669:T669)</f>
        <v>0</v>
      </c>
      <c r="V669" s="67"/>
      <c r="W669" s="726">
        <f t="shared" si="226"/>
        <v>0</v>
      </c>
    </row>
    <row r="670" spans="1:23" ht="15">
      <c r="A670" s="47"/>
      <c r="B670" s="17">
        <f t="shared" si="222"/>
        <v>16</v>
      </c>
      <c r="C670" s="1"/>
      <c r="D670" s="30"/>
      <c r="E670" s="17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"/>
      <c r="V670" s="67"/>
      <c r="W670" s="726">
        <f t="shared" si="226"/>
        <v>0</v>
      </c>
    </row>
    <row r="671" spans="1:23" ht="15.75">
      <c r="A671" s="47"/>
      <c r="B671" s="17">
        <f t="shared" si="222"/>
        <v>17</v>
      </c>
      <c r="C671" s="366"/>
      <c r="D671" s="8"/>
      <c r="E671" s="20"/>
      <c r="F671" s="22"/>
      <c r="G671" s="20"/>
      <c r="H671" s="20"/>
      <c r="I671" s="20"/>
      <c r="J671" s="1059"/>
      <c r="K671" s="1059"/>
      <c r="L671" s="1059"/>
      <c r="M671" s="1059"/>
      <c r="N671" s="1059"/>
      <c r="O671" s="1059"/>
      <c r="P671" s="1059"/>
      <c r="Q671" s="1059"/>
      <c r="R671" s="1059"/>
      <c r="S671" s="1059"/>
      <c r="T671" s="1010"/>
      <c r="U671" s="8"/>
      <c r="V671" s="67"/>
      <c r="W671" s="726">
        <f t="shared" si="226"/>
        <v>0</v>
      </c>
    </row>
    <row r="672" spans="1:23" ht="15.75">
      <c r="A672" s="47"/>
      <c r="B672" s="17">
        <f t="shared" si="222"/>
        <v>18</v>
      </c>
      <c r="C672" s="8"/>
      <c r="D672" s="366" t="s">
        <v>628</v>
      </c>
      <c r="E672" s="20" t="s">
        <v>160</v>
      </c>
      <c r="F672" s="22"/>
      <c r="G672" s="20"/>
      <c r="H672" s="20"/>
      <c r="I672" s="1010"/>
      <c r="J672" s="1059"/>
      <c r="K672" s="1059"/>
      <c r="L672" s="1059"/>
      <c r="M672" s="1059"/>
      <c r="N672" s="1059"/>
      <c r="O672" s="1059"/>
      <c r="P672" s="1059"/>
      <c r="Q672" s="1059"/>
      <c r="R672" s="1059"/>
      <c r="S672" s="1059"/>
      <c r="T672" s="1010"/>
      <c r="U672" s="8"/>
      <c r="V672" s="67"/>
      <c r="W672" s="726">
        <f t="shared" si="226"/>
        <v>0</v>
      </c>
    </row>
    <row r="673" spans="1:23" ht="15">
      <c r="A673" s="47"/>
      <c r="B673" s="17">
        <f t="shared" si="222"/>
        <v>19</v>
      </c>
      <c r="C673" s="1" t="s">
        <v>208</v>
      </c>
      <c r="D673" s="1" t="s">
        <v>179</v>
      </c>
      <c r="E673" s="17"/>
      <c r="F673" s="118">
        <f>' WP II-I-1.4'!I673</f>
        <v>0</v>
      </c>
      <c r="G673" s="17">
        <v>28</v>
      </c>
      <c r="H673" s="47" t="str">
        <f t="shared" si="229" ref="H673:H681">VLOOKUP(G673,FactorTable,2)</f>
        <v>NCP XHV</v>
      </c>
      <c r="I673" s="17"/>
      <c r="J673" s="434">
        <f t="shared" si="230" ref="J673:S681">$F673*HLOOKUP(J$1318,FactorTable,$G673+1)</f>
        <v>0</v>
      </c>
      <c r="K673" s="434">
        <f t="shared" si="230"/>
        <v>0</v>
      </c>
      <c r="L673" s="434">
        <f t="shared" si="230"/>
        <v>0</v>
      </c>
      <c r="M673" s="434">
        <f t="shared" si="230"/>
        <v>0</v>
      </c>
      <c r="N673" s="434">
        <f t="shared" si="230"/>
        <v>0</v>
      </c>
      <c r="O673" s="434">
        <f t="shared" si="230"/>
        <v>0</v>
      </c>
      <c r="P673" s="434">
        <f t="shared" si="230"/>
        <v>0</v>
      </c>
      <c r="Q673" s="434">
        <f t="shared" si="230"/>
        <v>0</v>
      </c>
      <c r="R673" s="434">
        <f t="shared" si="230"/>
        <v>0</v>
      </c>
      <c r="S673" s="434">
        <f t="shared" si="230"/>
        <v>0</v>
      </c>
      <c r="T673" s="17"/>
      <c r="U673" s="118">
        <f t="shared" si="231" ref="U673:U682">SUM(I673:T673)</f>
        <v>0</v>
      </c>
      <c r="V673" s="67"/>
      <c r="W673" s="726">
        <f t="shared" si="226"/>
        <v>0</v>
      </c>
    </row>
    <row r="674" spans="1:23" ht="15">
      <c r="A674" s="47"/>
      <c r="B674" s="17">
        <f t="shared" si="222"/>
        <v>20</v>
      </c>
      <c r="C674" s="1" t="s">
        <v>209</v>
      </c>
      <c r="D674" s="31" t="s">
        <v>181</v>
      </c>
      <c r="E674" s="17"/>
      <c r="F674" s="118">
        <f>' WP II-I-1.4'!I674</f>
        <v>0</v>
      </c>
      <c r="G674" s="17">
        <v>43</v>
      </c>
      <c r="H674" s="47" t="str">
        <f t="shared" si="229"/>
        <v>PLT 361</v>
      </c>
      <c r="I674" s="17"/>
      <c r="J674" s="434">
        <f t="shared" si="230"/>
        <v>0</v>
      </c>
      <c r="K674" s="434">
        <f t="shared" si="230"/>
        <v>0</v>
      </c>
      <c r="L674" s="434">
        <f t="shared" si="230"/>
        <v>0</v>
      </c>
      <c r="M674" s="434">
        <f t="shared" si="230"/>
        <v>0</v>
      </c>
      <c r="N674" s="434">
        <f t="shared" si="230"/>
        <v>0</v>
      </c>
      <c r="O674" s="434">
        <f t="shared" si="230"/>
        <v>0</v>
      </c>
      <c r="P674" s="434">
        <f t="shared" si="230"/>
        <v>0</v>
      </c>
      <c r="Q674" s="434">
        <f t="shared" si="230"/>
        <v>0</v>
      </c>
      <c r="R674" s="434">
        <f t="shared" si="230"/>
        <v>0</v>
      </c>
      <c r="S674" s="434">
        <f t="shared" si="230"/>
        <v>0</v>
      </c>
      <c r="T674" s="17"/>
      <c r="U674" s="118">
        <f t="shared" si="231"/>
        <v>0</v>
      </c>
      <c r="V674" s="67"/>
      <c r="W674" s="726">
        <f t="shared" si="226"/>
        <v>0</v>
      </c>
    </row>
    <row r="675" spans="1:23" ht="15">
      <c r="A675" s="47"/>
      <c r="B675" s="17">
        <f t="shared" si="222"/>
        <v>21</v>
      </c>
      <c r="C675" s="1" t="s">
        <v>210</v>
      </c>
      <c r="D675" s="1" t="s">
        <v>183</v>
      </c>
      <c r="E675" s="17"/>
      <c r="F675" s="118">
        <f>' WP II-I-1.4'!I675</f>
        <v>0</v>
      </c>
      <c r="G675" s="17">
        <v>44</v>
      </c>
      <c r="H675" s="47" t="str">
        <f t="shared" si="229"/>
        <v>PLT 362</v>
      </c>
      <c r="I675" s="17"/>
      <c r="J675" s="434">
        <f t="shared" si="230"/>
        <v>0</v>
      </c>
      <c r="K675" s="434">
        <f t="shared" si="230"/>
        <v>0</v>
      </c>
      <c r="L675" s="434">
        <f t="shared" si="230"/>
        <v>0</v>
      </c>
      <c r="M675" s="434">
        <f t="shared" si="230"/>
        <v>0</v>
      </c>
      <c r="N675" s="434">
        <f t="shared" si="230"/>
        <v>0</v>
      </c>
      <c r="O675" s="434">
        <f t="shared" si="230"/>
        <v>0</v>
      </c>
      <c r="P675" s="434">
        <f t="shared" si="230"/>
        <v>0</v>
      </c>
      <c r="Q675" s="434">
        <f t="shared" si="230"/>
        <v>0</v>
      </c>
      <c r="R675" s="434">
        <f t="shared" si="230"/>
        <v>0</v>
      </c>
      <c r="S675" s="434">
        <f t="shared" si="230"/>
        <v>0</v>
      </c>
      <c r="T675" s="17"/>
      <c r="U675" s="118">
        <f t="shared" si="231"/>
        <v>0</v>
      </c>
      <c r="V675" s="67"/>
      <c r="W675" s="726">
        <f t="shared" si="226"/>
        <v>0</v>
      </c>
    </row>
    <row r="676" spans="1:23" s="386" customFormat="1" ht="15">
      <c r="A676" s="47"/>
      <c r="B676" s="17">
        <f t="shared" si="222"/>
        <v>22</v>
      </c>
      <c r="C676" s="1" t="s">
        <v>211</v>
      </c>
      <c r="D676" s="31" t="s">
        <v>185</v>
      </c>
      <c r="E676" s="17"/>
      <c r="F676" s="290">
        <f>' WP II-I-1.4'!I676</f>
        <v>0</v>
      </c>
      <c r="G676" s="17">
        <v>52</v>
      </c>
      <c r="H676" s="47" t="str">
        <f t="shared" si="229"/>
        <v>PLT OH</v>
      </c>
      <c r="I676" s="17"/>
      <c r="J676" s="434">
        <f t="shared" si="230"/>
        <v>0</v>
      </c>
      <c r="K676" s="434">
        <f t="shared" si="230"/>
        <v>0</v>
      </c>
      <c r="L676" s="434">
        <f t="shared" si="230"/>
        <v>0</v>
      </c>
      <c r="M676" s="434">
        <f t="shared" si="230"/>
        <v>0</v>
      </c>
      <c r="N676" s="434">
        <f t="shared" si="230"/>
        <v>0</v>
      </c>
      <c r="O676" s="434">
        <f t="shared" si="230"/>
        <v>0</v>
      </c>
      <c r="P676" s="434">
        <f t="shared" si="230"/>
        <v>0</v>
      </c>
      <c r="Q676" s="434">
        <f t="shared" si="230"/>
        <v>0</v>
      </c>
      <c r="R676" s="434">
        <f t="shared" si="230"/>
        <v>0</v>
      </c>
      <c r="S676" s="434">
        <f t="shared" si="230"/>
        <v>0</v>
      </c>
      <c r="T676" s="17"/>
      <c r="U676" s="290">
        <f t="shared" si="231"/>
        <v>0</v>
      </c>
      <c r="V676" s="47"/>
      <c r="W676" s="1341">
        <f t="shared" si="226"/>
        <v>0</v>
      </c>
    </row>
    <row r="677" spans="1:23" ht="15">
      <c r="A677" s="47"/>
      <c r="B677" s="17">
        <f t="shared" si="222"/>
        <v>23</v>
      </c>
      <c r="C677" s="1" t="s">
        <v>212</v>
      </c>
      <c r="D677" s="1" t="s">
        <v>187</v>
      </c>
      <c r="E677" s="17"/>
      <c r="F677" s="118">
        <f>' WP II-I-1.4'!I677</f>
        <v>0</v>
      </c>
      <c r="G677" s="17">
        <v>53</v>
      </c>
      <c r="H677" s="47" t="str">
        <f t="shared" si="229"/>
        <v>PLT UG</v>
      </c>
      <c r="I677" s="17"/>
      <c r="J677" s="434">
        <f t="shared" si="230"/>
        <v>0</v>
      </c>
      <c r="K677" s="434">
        <f t="shared" si="230"/>
        <v>0</v>
      </c>
      <c r="L677" s="434">
        <f t="shared" si="230"/>
        <v>0</v>
      </c>
      <c r="M677" s="434">
        <f t="shared" si="230"/>
        <v>0</v>
      </c>
      <c r="N677" s="434">
        <f t="shared" si="230"/>
        <v>0</v>
      </c>
      <c r="O677" s="434">
        <f t="shared" si="230"/>
        <v>0</v>
      </c>
      <c r="P677" s="434">
        <f t="shared" si="230"/>
        <v>0</v>
      </c>
      <c r="Q677" s="434">
        <f t="shared" si="230"/>
        <v>0</v>
      </c>
      <c r="R677" s="434">
        <f t="shared" si="230"/>
        <v>0</v>
      </c>
      <c r="S677" s="434">
        <f t="shared" si="230"/>
        <v>0</v>
      </c>
      <c r="T677" s="17"/>
      <c r="U677" s="118">
        <f t="shared" si="231"/>
        <v>0</v>
      </c>
      <c r="V677" s="67"/>
      <c r="W677" s="726">
        <f t="shared" si="226"/>
        <v>0</v>
      </c>
    </row>
    <row r="678" spans="1:23" ht="15">
      <c r="A678" s="47"/>
      <c r="B678" s="17">
        <f t="shared" si="222"/>
        <v>24</v>
      </c>
      <c r="C678" s="1" t="s">
        <v>213</v>
      </c>
      <c r="D678" s="1" t="s">
        <v>214</v>
      </c>
      <c r="E678" s="17"/>
      <c r="F678" s="118">
        <f>' WP II-I-1.4'!I678</f>
        <v>0</v>
      </c>
      <c r="G678" s="17">
        <v>49</v>
      </c>
      <c r="H678" s="47" t="str">
        <f t="shared" si="229"/>
        <v>PLT 368</v>
      </c>
      <c r="I678" s="17"/>
      <c r="J678" s="434">
        <f t="shared" si="230"/>
        <v>0</v>
      </c>
      <c r="K678" s="434">
        <f t="shared" si="230"/>
        <v>0</v>
      </c>
      <c r="L678" s="434">
        <f t="shared" si="230"/>
        <v>0</v>
      </c>
      <c r="M678" s="434">
        <f t="shared" si="230"/>
        <v>0</v>
      </c>
      <c r="N678" s="434">
        <f t="shared" si="230"/>
        <v>0</v>
      </c>
      <c r="O678" s="434">
        <f t="shared" si="230"/>
        <v>0</v>
      </c>
      <c r="P678" s="434">
        <f t="shared" si="230"/>
        <v>0</v>
      </c>
      <c r="Q678" s="434">
        <f t="shared" si="230"/>
        <v>0</v>
      </c>
      <c r="R678" s="434">
        <f t="shared" si="230"/>
        <v>0</v>
      </c>
      <c r="S678" s="434">
        <f t="shared" si="230"/>
        <v>0</v>
      </c>
      <c r="T678" s="17"/>
      <c r="U678" s="118">
        <f t="shared" si="231"/>
        <v>0</v>
      </c>
      <c r="V678" s="67"/>
      <c r="W678" s="726">
        <f t="shared" si="226"/>
        <v>0</v>
      </c>
    </row>
    <row r="679" spans="1:23" ht="15">
      <c r="A679" s="47"/>
      <c r="B679" s="17">
        <f t="shared" si="222"/>
        <v>25</v>
      </c>
      <c r="C679" s="1" t="s">
        <v>215</v>
      </c>
      <c r="D679" s="1" t="s">
        <v>216</v>
      </c>
      <c r="E679" s="17"/>
      <c r="F679" s="118">
        <f>' WP II-I-1.4'!I679</f>
        <v>0</v>
      </c>
      <c r="G679" s="17">
        <v>33</v>
      </c>
      <c r="H679" s="47" t="str">
        <f t="shared" si="229"/>
        <v>NCP LGT</v>
      </c>
      <c r="I679" s="17"/>
      <c r="J679" s="434">
        <f t="shared" si="230"/>
        <v>0</v>
      </c>
      <c r="K679" s="434">
        <f t="shared" si="230"/>
        <v>0</v>
      </c>
      <c r="L679" s="434">
        <f t="shared" si="230"/>
        <v>0</v>
      </c>
      <c r="M679" s="434">
        <f t="shared" si="230"/>
        <v>0</v>
      </c>
      <c r="N679" s="434">
        <f t="shared" si="230"/>
        <v>0</v>
      </c>
      <c r="O679" s="434">
        <f t="shared" si="230"/>
        <v>0</v>
      </c>
      <c r="P679" s="434">
        <f t="shared" si="230"/>
        <v>0</v>
      </c>
      <c r="Q679" s="434">
        <f t="shared" si="230"/>
        <v>0</v>
      </c>
      <c r="R679" s="434">
        <f t="shared" si="230"/>
        <v>0</v>
      </c>
      <c r="S679" s="434">
        <f t="shared" si="230"/>
        <v>0</v>
      </c>
      <c r="T679" s="17"/>
      <c r="U679" s="118">
        <f t="shared" si="231"/>
        <v>0</v>
      </c>
      <c r="V679" s="67"/>
      <c r="W679" s="726">
        <f t="shared" si="226"/>
        <v>0</v>
      </c>
    </row>
    <row r="680" spans="1:23" ht="15">
      <c r="A680" s="47"/>
      <c r="B680" s="17">
        <f t="shared" si="222"/>
        <v>26</v>
      </c>
      <c r="C680" s="1" t="s">
        <v>217</v>
      </c>
      <c r="D680" s="1" t="s">
        <v>218</v>
      </c>
      <c r="E680" s="17"/>
      <c r="F680" s="118">
        <f>' WP II-I-1.4'!I680</f>
        <v>0</v>
      </c>
      <c r="G680" s="17">
        <v>6</v>
      </c>
      <c r="H680" s="47" t="str">
        <f t="shared" si="229"/>
        <v>CUS W ALL</v>
      </c>
      <c r="I680" s="17"/>
      <c r="J680" s="434">
        <f t="shared" si="230"/>
        <v>0</v>
      </c>
      <c r="K680" s="434">
        <f t="shared" si="230"/>
        <v>0</v>
      </c>
      <c r="L680" s="434">
        <f t="shared" si="230"/>
        <v>0</v>
      </c>
      <c r="M680" s="434">
        <f t="shared" si="230"/>
        <v>0</v>
      </c>
      <c r="N680" s="434">
        <f t="shared" si="230"/>
        <v>0</v>
      </c>
      <c r="O680" s="434">
        <f t="shared" si="230"/>
        <v>0</v>
      </c>
      <c r="P680" s="434">
        <f t="shared" si="230"/>
        <v>0</v>
      </c>
      <c r="Q680" s="434">
        <f t="shared" si="230"/>
        <v>0</v>
      </c>
      <c r="R680" s="434">
        <f t="shared" si="230"/>
        <v>0</v>
      </c>
      <c r="S680" s="434">
        <f t="shared" si="230"/>
        <v>0</v>
      </c>
      <c r="T680" s="17"/>
      <c r="U680" s="118">
        <f t="shared" si="231"/>
        <v>0</v>
      </c>
      <c r="V680" s="67"/>
      <c r="W680" s="726">
        <f t="shared" si="226"/>
        <v>0</v>
      </c>
    </row>
    <row r="681" spans="1:23" ht="15">
      <c r="A681" s="47"/>
      <c r="B681" s="17">
        <f t="shared" si="222"/>
        <v>27</v>
      </c>
      <c r="C681" s="1" t="s">
        <v>219</v>
      </c>
      <c r="D681" s="1" t="s">
        <v>220</v>
      </c>
      <c r="E681" s="17"/>
      <c r="F681" s="118">
        <f>' WP II-I-1.4'!I681</f>
        <v>0</v>
      </c>
      <c r="G681" s="17">
        <v>72</v>
      </c>
      <c r="H681" s="47" t="str">
        <f t="shared" si="229"/>
        <v>DIST MAINT</v>
      </c>
      <c r="I681" s="17"/>
      <c r="J681" s="435">
        <f t="shared" si="230"/>
        <v>0</v>
      </c>
      <c r="K681" s="435">
        <f t="shared" si="230"/>
        <v>0</v>
      </c>
      <c r="L681" s="435">
        <f t="shared" si="230"/>
        <v>0</v>
      </c>
      <c r="M681" s="435">
        <f t="shared" si="230"/>
        <v>0</v>
      </c>
      <c r="N681" s="435">
        <f t="shared" si="230"/>
        <v>0</v>
      </c>
      <c r="O681" s="435">
        <f t="shared" si="230"/>
        <v>0</v>
      </c>
      <c r="P681" s="435">
        <f t="shared" si="230"/>
        <v>0</v>
      </c>
      <c r="Q681" s="435">
        <f t="shared" si="230"/>
        <v>0</v>
      </c>
      <c r="R681" s="435">
        <f t="shared" si="230"/>
        <v>0</v>
      </c>
      <c r="S681" s="435">
        <f t="shared" si="230"/>
        <v>0</v>
      </c>
      <c r="T681" s="17"/>
      <c r="U681" s="118">
        <f t="shared" si="231"/>
        <v>0</v>
      </c>
      <c r="V681" s="67"/>
      <c r="W681" s="726">
        <f t="shared" si="226"/>
        <v>0</v>
      </c>
    </row>
    <row r="682" spans="1:23" ht="15.75">
      <c r="A682" s="47"/>
      <c r="B682" s="17">
        <f t="shared" si="222"/>
        <v>28</v>
      </c>
      <c r="C682" s="8"/>
      <c r="D682" s="297" t="s">
        <v>634</v>
      </c>
      <c r="E682" s="20"/>
      <c r="F682" s="22">
        <f>SUM(F673:F681)</f>
        <v>0</v>
      </c>
      <c r="G682" s="20"/>
      <c r="H682" s="20"/>
      <c r="I682" s="1010"/>
      <c r="J682" s="896">
        <f t="shared" si="232" ref="J682:Q682">SUM(J673:J681)</f>
        <v>0</v>
      </c>
      <c r="K682" s="896">
        <f t="shared" si="232"/>
        <v>0</v>
      </c>
      <c r="L682" s="896">
        <f t="shared" si="232"/>
        <v>0</v>
      </c>
      <c r="M682" s="896">
        <f t="shared" si="232"/>
        <v>0</v>
      </c>
      <c r="N682" s="896">
        <f t="shared" si="232"/>
        <v>0</v>
      </c>
      <c r="O682" s="896">
        <f>SUM(O673:O681)</f>
        <v>0</v>
      </c>
      <c r="P682" s="896">
        <f t="shared" si="232"/>
        <v>0</v>
      </c>
      <c r="Q682" s="896">
        <f t="shared" si="232"/>
        <v>0</v>
      </c>
      <c r="R682" s="896">
        <f>SUM(R673:R681)</f>
        <v>0</v>
      </c>
      <c r="S682" s="896">
        <f>SUM(S673:S681)</f>
        <v>0</v>
      </c>
      <c r="T682" s="20"/>
      <c r="U682" s="299">
        <f t="shared" si="231"/>
        <v>0</v>
      </c>
      <c r="V682" s="67"/>
      <c r="W682" s="726">
        <f t="shared" si="226"/>
        <v>0</v>
      </c>
    </row>
    <row r="683" spans="1:23" ht="15">
      <c r="A683" s="47"/>
      <c r="B683" s="17">
        <f t="shared" si="222"/>
        <v>29</v>
      </c>
      <c r="C683" s="1"/>
      <c r="D683" s="1"/>
      <c r="E683" s="17"/>
      <c r="F683" s="19"/>
      <c r="G683" s="17"/>
      <c r="H683" s="17"/>
      <c r="I683" s="17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7"/>
      <c r="U683" s="1"/>
      <c r="V683" s="67"/>
      <c r="W683" s="726">
        <f t="shared" si="226"/>
        <v>0</v>
      </c>
    </row>
    <row r="684" spans="1:23" ht="15.75">
      <c r="A684" s="47"/>
      <c r="B684" s="17">
        <f t="shared" si="222"/>
        <v>30</v>
      </c>
      <c r="C684" s="8"/>
      <c r="D684" s="297" t="s">
        <v>635</v>
      </c>
      <c r="E684" s="20"/>
      <c r="F684" s="22">
        <f>SUM(F674:F680)</f>
        <v>0</v>
      </c>
      <c r="G684" s="20"/>
      <c r="H684" s="20"/>
      <c r="I684" s="20"/>
      <c r="J684" s="22">
        <f t="shared" si="233" ref="J684:Q684">SUM(J674:J680)</f>
        <v>0</v>
      </c>
      <c r="K684" s="22">
        <f t="shared" si="233"/>
        <v>0</v>
      </c>
      <c r="L684" s="22">
        <f t="shared" si="233"/>
        <v>0</v>
      </c>
      <c r="M684" s="22">
        <f t="shared" si="233"/>
        <v>0</v>
      </c>
      <c r="N684" s="22">
        <f t="shared" si="233"/>
        <v>0</v>
      </c>
      <c r="O684" s="22">
        <f>SUM(O674:O680)</f>
        <v>0</v>
      </c>
      <c r="P684" s="22">
        <f t="shared" si="233"/>
        <v>0</v>
      </c>
      <c r="Q684" s="22">
        <f t="shared" si="233"/>
        <v>0</v>
      </c>
      <c r="R684" s="22">
        <f>SUM(R674:R680)</f>
        <v>0</v>
      </c>
      <c r="S684" s="22">
        <f>SUM(S674:S680)</f>
        <v>0</v>
      </c>
      <c r="T684" s="20"/>
      <c r="U684" s="299">
        <f>SUM(I684:T684)</f>
        <v>0</v>
      </c>
      <c r="V684" s="67"/>
      <c r="W684" s="726">
        <f t="shared" si="226"/>
        <v>0</v>
      </c>
    </row>
    <row r="685" spans="1:23" ht="15.75" thickBot="1">
      <c r="A685" s="47"/>
      <c r="B685" s="17">
        <f t="shared" si="222"/>
        <v>31</v>
      </c>
      <c r="C685" s="1"/>
      <c r="D685" s="1"/>
      <c r="E685" s="17"/>
      <c r="F685" s="19"/>
      <c r="G685" s="17"/>
      <c r="H685" s="17"/>
      <c r="I685" s="17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7"/>
      <c r="U685" s="1"/>
      <c r="V685" s="67"/>
      <c r="W685" s="726">
        <f t="shared" si="226"/>
        <v>0</v>
      </c>
    </row>
    <row r="686" spans="1:23" ht="16.5" thickBot="1">
      <c r="A686" s="47"/>
      <c r="B686" s="17">
        <f t="shared" si="222"/>
        <v>32</v>
      </c>
      <c r="C686" s="870" t="s">
        <v>636</v>
      </c>
      <c r="D686" s="1017"/>
      <c r="E686" s="1013" t="s">
        <v>160</v>
      </c>
      <c r="F686" s="1014">
        <f>+F682+F667</f>
        <v>343150.72999999998</v>
      </c>
      <c r="G686" s="1013"/>
      <c r="H686" s="1013"/>
      <c r="I686" s="1016"/>
      <c r="J686" s="1014">
        <f t="shared" si="234" ref="J686:Q686">+J682+J667</f>
        <v>0</v>
      </c>
      <c r="K686" s="1014">
        <f t="shared" si="234"/>
        <v>0</v>
      </c>
      <c r="L686" s="1014">
        <f t="shared" si="234"/>
        <v>0</v>
      </c>
      <c r="M686" s="1014">
        <f t="shared" si="234"/>
        <v>0</v>
      </c>
      <c r="N686" s="1014">
        <f t="shared" si="234"/>
        <v>0</v>
      </c>
      <c r="O686" s="1014">
        <f>+O682+O667</f>
        <v>0</v>
      </c>
      <c r="P686" s="1014">
        <f t="shared" si="234"/>
        <v>0</v>
      </c>
      <c r="Q686" s="1014">
        <f t="shared" si="234"/>
        <v>343150.72999999998</v>
      </c>
      <c r="R686" s="1014">
        <f>+R682+R667</f>
        <v>0</v>
      </c>
      <c r="S686" s="1014">
        <f>+S682+S667</f>
        <v>0</v>
      </c>
      <c r="T686" s="1016"/>
      <c r="U686" s="1015">
        <f>SUM(I686:T686)</f>
        <v>343150.72999999998</v>
      </c>
      <c r="V686" s="67"/>
      <c r="W686" s="726">
        <f t="shared" si="226"/>
        <v>0</v>
      </c>
    </row>
    <row r="687" spans="1:23" ht="15.75">
      <c r="A687" s="47"/>
      <c r="B687" s="17"/>
      <c r="C687" s="1"/>
      <c r="D687" s="8"/>
      <c r="E687" s="20"/>
      <c r="F687" s="2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1"/>
      <c r="V687" s="67"/>
      <c r="W687" s="167"/>
    </row>
    <row r="688" spans="1:23" ht="16.5" thickBot="1">
      <c r="A688" s="47"/>
      <c r="B688" s="17"/>
      <c r="C688" s="1"/>
      <c r="D688" s="8"/>
      <c r="E688" s="20"/>
      <c r="F688" s="22"/>
      <c r="G688" s="20"/>
      <c r="H688" s="13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134"/>
      <c r="V688" s="134">
        <f>$H$2</f>
        <v>0</v>
      </c>
      <c r="W688" s="167"/>
    </row>
    <row r="689" spans="1:23" ht="15.75">
      <c r="A689" s="47"/>
      <c r="B689" s="920" t="str">
        <f>+$B$4</f>
        <v>2022 RATE CASE</v>
      </c>
      <c r="C689" s="935"/>
      <c r="D689" s="969"/>
      <c r="F689" s="332"/>
      <c r="U689" s="134"/>
      <c r="W689" s="167"/>
    </row>
    <row r="690" spans="1:23" ht="15.75">
      <c r="A690" s="47"/>
      <c r="B690" s="917" t="str">
        <f>+$B$5</f>
        <v>ONCOR ELECTRIC DELIVERY COMPANY LLC</v>
      </c>
      <c r="C690" s="8"/>
      <c r="D690" s="970"/>
      <c r="F690" s="332"/>
      <c r="U690" s="134"/>
      <c r="V690" s="67"/>
      <c r="W690" s="167"/>
    </row>
    <row r="691" spans="1:23" ht="15.75">
      <c r="A691" s="47"/>
      <c r="B691" s="917" t="str">
        <f>+$B$6</f>
        <v>II-I-1-TBILLTDCS:  CLASS REVENUE REQUIREMENT</v>
      </c>
      <c r="C691" s="85"/>
      <c r="D691" s="970"/>
      <c r="F691" s="332"/>
      <c r="U691" s="332"/>
      <c r="V691" s="67"/>
      <c r="W691" s="167"/>
    </row>
    <row r="692" spans="1:23" ht="15.75">
      <c r="A692" s="47"/>
      <c r="B692" s="406" t="str">
        <f>+$B$7</f>
        <v>TEST YEAR ENDING 12/31/2021</v>
      </c>
      <c r="C692" s="85"/>
      <c r="D692" s="970"/>
      <c r="F692" s="332"/>
      <c r="U692" s="332"/>
      <c r="V692" s="67"/>
      <c r="W692" s="167"/>
    </row>
    <row r="693" spans="1:23" ht="15.75">
      <c r="A693" s="47"/>
      <c r="B693" s="406" t="str">
        <f>+$B$8</f>
        <v>SPONSOR:  MATTHEW A. TROXLE</v>
      </c>
      <c r="C693" s="85"/>
      <c r="D693" s="970"/>
      <c r="F693" s="332"/>
      <c r="U693" s="332"/>
      <c r="V693" s="67"/>
      <c r="W693" s="167"/>
    </row>
    <row r="694" spans="1:23" ht="16.5" thickBot="1">
      <c r="A694" s="47"/>
      <c r="B694" s="410"/>
      <c r="C694" s="934"/>
      <c r="D694" s="936"/>
      <c r="F694" s="332"/>
      <c r="U694" s="332"/>
      <c r="V694" s="67"/>
      <c r="W694" s="167"/>
    </row>
    <row r="695" spans="1:23" ht="15.75" thickBot="1">
      <c r="A695" s="47"/>
      <c r="B695" s="13"/>
      <c r="C695" s="14"/>
      <c r="D695" s="14"/>
      <c r="E695" s="14"/>
      <c r="F695" s="13"/>
      <c r="G695" s="14"/>
      <c r="H695" s="14"/>
      <c r="I695" s="14"/>
      <c r="J695" s="238"/>
      <c r="K695" s="238"/>
      <c r="L695" s="14"/>
      <c r="M695" s="238"/>
      <c r="N695" s="238"/>
      <c r="O695" s="238"/>
      <c r="P695" s="238"/>
      <c r="Q695" s="14"/>
      <c r="R695" s="393" t="str">
        <f>R$10</f>
        <v xml:space="preserve"> </v>
      </c>
      <c r="S695" s="394"/>
      <c r="T695" s="238"/>
      <c r="U695" s="13"/>
      <c r="V695" s="67"/>
      <c r="W695" s="167"/>
    </row>
    <row r="696" spans="1:23" ht="15.75">
      <c r="A696" s="47"/>
      <c r="B696" s="15" t="s">
        <v>2</v>
      </c>
      <c r="C696" s="15" t="s">
        <v>370</v>
      </c>
      <c r="D696" s="287" t="s">
        <v>637</v>
      </c>
      <c r="E696" s="15" t="s">
        <v>371</v>
      </c>
      <c r="F696" s="287" t="str">
        <f>F$11</f>
        <v>TBILLTDCS</v>
      </c>
      <c r="G696" s="242" t="s">
        <v>741</v>
      </c>
      <c r="H696" s="242" t="s">
        <v>376</v>
      </c>
      <c r="I696" s="15"/>
      <c r="J696" s="242" t="s">
        <v>730</v>
      </c>
      <c r="K696" s="242" t="s">
        <v>409</v>
      </c>
      <c r="L696" s="15" t="s">
        <v>409</v>
      </c>
      <c r="M696" s="242" t="s">
        <v>410</v>
      </c>
      <c r="N696" s="242" t="s">
        <v>410</v>
      </c>
      <c r="O696" s="242" t="s">
        <v>410</v>
      </c>
      <c r="P696" s="242" t="s">
        <v>411</v>
      </c>
      <c r="Q696" s="15" t="s">
        <v>412</v>
      </c>
      <c r="R696" s="396" t="str">
        <f>R$11</f>
        <v>Wholesale</v>
      </c>
      <c r="S696" s="13" t="str">
        <f>S$11</f>
        <v>Wholesale</v>
      </c>
      <c r="T696" s="242"/>
      <c r="U696" s="15" t="s">
        <v>10</v>
      </c>
      <c r="V696" s="67"/>
      <c r="W696" s="167"/>
    </row>
    <row r="697" spans="1:23" ht="15">
      <c r="A697" s="47"/>
      <c r="B697" s="15"/>
      <c r="C697" s="15"/>
      <c r="D697" s="15"/>
      <c r="E697" s="15"/>
      <c r="F697" s="15"/>
      <c r="G697" s="242" t="s">
        <v>742</v>
      </c>
      <c r="H697" s="242" t="s">
        <v>743</v>
      </c>
      <c r="I697" s="15"/>
      <c r="J697" s="242"/>
      <c r="K697" s="242" t="s">
        <v>731</v>
      </c>
      <c r="L697" s="15" t="s">
        <v>732</v>
      </c>
      <c r="M697" s="242" t="s">
        <v>731</v>
      </c>
      <c r="N697" s="242" t="s">
        <v>732</v>
      </c>
      <c r="O697" s="242" t="s">
        <v>414</v>
      </c>
      <c r="P697" s="242"/>
      <c r="Q697" s="15"/>
      <c r="R697" s="235" t="str">
        <f>R$12</f>
        <v>XFMR</v>
      </c>
      <c r="S697" s="15" t="str">
        <f>S$12</f>
        <v>DLS</v>
      </c>
      <c r="T697" s="242"/>
      <c r="U697" s="15"/>
      <c r="V697" s="67"/>
      <c r="W697" s="167"/>
    </row>
    <row r="698" spans="1:23" ht="15.75" thickBot="1">
      <c r="A698" s="47"/>
      <c r="B698" s="16"/>
      <c r="C698" s="16"/>
      <c r="D698" s="16"/>
      <c r="E698" s="16"/>
      <c r="F698" s="16" t="s">
        <v>13</v>
      </c>
      <c r="G698" s="16" t="s">
        <v>14</v>
      </c>
      <c r="H698" s="16" t="s">
        <v>15</v>
      </c>
      <c r="I698" s="16"/>
      <c r="J698" s="243" t="str">
        <f t="shared" si="235" ref="J698:Q698">J$13</f>
        <v>(d)</v>
      </c>
      <c r="K698" s="243" t="str">
        <f t="shared" si="235"/>
        <v>(e)</v>
      </c>
      <c r="L698" s="16" t="str">
        <f t="shared" si="235"/>
        <v>(f)</v>
      </c>
      <c r="M698" s="243" t="str">
        <f t="shared" si="235"/>
        <v>(g)</v>
      </c>
      <c r="N698" s="243" t="str">
        <f t="shared" si="235"/>
        <v>(h)</v>
      </c>
      <c r="O698" s="243" t="str">
        <f>O$13</f>
        <v>(i)</v>
      </c>
      <c r="P698" s="243" t="str">
        <f t="shared" si="235"/>
        <v>(j)</v>
      </c>
      <c r="Q698" s="243" t="str">
        <f t="shared" si="235"/>
        <v>(k)</v>
      </c>
      <c r="R698" s="243" t="str">
        <f>R$13</f>
        <v>(l)</v>
      </c>
      <c r="S698" s="16" t="str">
        <f>S$13</f>
        <v>(m)</v>
      </c>
      <c r="T698" s="16"/>
      <c r="U698" s="16" t="s">
        <v>734</v>
      </c>
      <c r="V698" s="67"/>
      <c r="W698" s="167"/>
    </row>
    <row r="699" spans="1:23" ht="15">
      <c r="A699" s="47"/>
      <c r="B699" s="47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43"/>
      <c r="V699" s="67"/>
      <c r="W699" s="167"/>
    </row>
    <row r="700" spans="1:23" ht="15.75">
      <c r="A700" s="47"/>
      <c r="B700" s="17">
        <f>B687+1</f>
        <v>1</v>
      </c>
      <c r="C700" s="8"/>
      <c r="D700" s="366" t="s">
        <v>638</v>
      </c>
      <c r="E700" s="20" t="s">
        <v>160</v>
      </c>
      <c r="F700" s="8"/>
      <c r="G700" s="20"/>
      <c r="H700" s="20"/>
      <c r="I700" s="1010"/>
      <c r="J700" s="1059"/>
      <c r="K700" s="1059"/>
      <c r="L700" s="1059"/>
      <c r="M700" s="1059"/>
      <c r="N700" s="1059"/>
      <c r="O700" s="1059"/>
      <c r="P700" s="1059"/>
      <c r="Q700" s="1059"/>
      <c r="R700" s="1059"/>
      <c r="S700" s="1059"/>
      <c r="T700" s="1010"/>
      <c r="U700" s="8"/>
      <c r="V700" s="67"/>
      <c r="W700" s="167"/>
    </row>
    <row r="701" spans="1:23" ht="15">
      <c r="A701" s="47"/>
      <c r="B701" s="17">
        <f t="shared" si="236" ref="B701:B731">B700+1</f>
        <v>2</v>
      </c>
      <c r="C701" s="1" t="s">
        <v>222</v>
      </c>
      <c r="D701" s="1" t="s">
        <v>223</v>
      </c>
      <c r="E701" s="17"/>
      <c r="F701" s="118">
        <f>' WP II-I-1.4'!I701</f>
        <v>2051.2399999999998</v>
      </c>
      <c r="G701" s="17">
        <v>73</v>
      </c>
      <c r="H701" s="47" t="str">
        <f>VLOOKUP(G701,FactorTable,2)</f>
        <v>CUS ACCT</v>
      </c>
      <c r="I701" s="17"/>
      <c r="J701" s="434">
        <f t="shared" si="237" ref="J701:S705">$F701*HLOOKUP(J$1318,FactorTable,$G701+1)</f>
        <v>1143.5761761762908</v>
      </c>
      <c r="K701" s="434">
        <f t="shared" si="237"/>
        <v>176.30999605558117</v>
      </c>
      <c r="L701" s="434">
        <f t="shared" si="237"/>
        <v>543.83428196914986</v>
      </c>
      <c r="M701" s="434">
        <f t="shared" si="237"/>
        <v>7.636259049227955</v>
      </c>
      <c r="N701" s="434">
        <f t="shared" si="237"/>
        <v>159.34815581545442</v>
      </c>
      <c r="O701" s="434">
        <f t="shared" si="237"/>
        <v>5.4454054750284584</v>
      </c>
      <c r="P701" s="434">
        <f t="shared" si="237"/>
        <v>11.85422884179272</v>
      </c>
      <c r="Q701" s="434">
        <f t="shared" si="237"/>
        <v>1.1399420004608207</v>
      </c>
      <c r="R701" s="434">
        <f t="shared" si="237"/>
        <v>0.62831601634943757</v>
      </c>
      <c r="S701" s="434">
        <f t="shared" si="237"/>
        <v>1.4672386006643243</v>
      </c>
      <c r="T701" s="17"/>
      <c r="U701" s="118">
        <f t="shared" si="238" ref="U701:U706">SUM(I701:T701)</f>
        <v>2051.2399999999998</v>
      </c>
      <c r="V701" s="67"/>
      <c r="W701" s="726">
        <f t="shared" si="239" ref="W701:W731">F701-U701</f>
        <v>0</v>
      </c>
    </row>
    <row r="702" spans="1:23" ht="15">
      <c r="A702" s="47"/>
      <c r="B702" s="17">
        <f t="shared" si="236"/>
        <v>3</v>
      </c>
      <c r="C702" s="1" t="s">
        <v>224</v>
      </c>
      <c r="D702" s="1" t="s">
        <v>225</v>
      </c>
      <c r="E702" s="17"/>
      <c r="F702" s="118">
        <f>' WP II-I-1.4'!I702</f>
        <v>0</v>
      </c>
      <c r="G702" s="17">
        <v>6</v>
      </c>
      <c r="H702" s="47" t="str">
        <f>VLOOKUP(G702,FactorTable,2)</f>
        <v>CUS W ALL</v>
      </c>
      <c r="I702" s="17"/>
      <c r="J702" s="434">
        <f t="shared" si="237"/>
        <v>0</v>
      </c>
      <c r="K702" s="434">
        <f t="shared" si="237"/>
        <v>0</v>
      </c>
      <c r="L702" s="434">
        <f t="shared" si="237"/>
        <v>0</v>
      </c>
      <c r="M702" s="434">
        <f t="shared" si="237"/>
        <v>0</v>
      </c>
      <c r="N702" s="434">
        <f t="shared" si="237"/>
        <v>0</v>
      </c>
      <c r="O702" s="434">
        <f t="shared" si="237"/>
        <v>0</v>
      </c>
      <c r="P702" s="434">
        <f t="shared" si="237"/>
        <v>0</v>
      </c>
      <c r="Q702" s="434">
        <f t="shared" si="237"/>
        <v>0</v>
      </c>
      <c r="R702" s="434">
        <f t="shared" si="237"/>
        <v>0</v>
      </c>
      <c r="S702" s="434">
        <f t="shared" si="237"/>
        <v>0</v>
      </c>
      <c r="T702" s="17"/>
      <c r="U702" s="118">
        <f t="shared" si="238"/>
        <v>0</v>
      </c>
      <c r="V702" s="67"/>
      <c r="W702" s="726">
        <f t="shared" si="239"/>
        <v>0</v>
      </c>
    </row>
    <row r="703" spans="1:23" ht="15">
      <c r="A703" s="47"/>
      <c r="B703" s="17">
        <f t="shared" si="236"/>
        <v>4</v>
      </c>
      <c r="C703" s="1" t="s">
        <v>226</v>
      </c>
      <c r="D703" s="1" t="s">
        <v>227</v>
      </c>
      <c r="E703" s="17"/>
      <c r="F703" s="118">
        <f>' WP II-I-1.4'!I703</f>
        <v>11172066.84</v>
      </c>
      <c r="G703" s="17">
        <v>6</v>
      </c>
      <c r="H703" s="47" t="str">
        <f>VLOOKUP(G703,FactorTable,2)</f>
        <v>CUS W ALL</v>
      </c>
      <c r="I703" s="17"/>
      <c r="J703" s="434">
        <f t="shared" si="237"/>
        <v>6228481.0538372584</v>
      </c>
      <c r="K703" s="434">
        <f t="shared" si="237"/>
        <v>960271.37755362084</v>
      </c>
      <c r="L703" s="434">
        <f t="shared" si="237"/>
        <v>2961990.282971641</v>
      </c>
      <c r="M703" s="434">
        <f t="shared" si="237"/>
        <v>41590.840908684295</v>
      </c>
      <c r="N703" s="434">
        <f t="shared" si="237"/>
        <v>867888.8124261382</v>
      </c>
      <c r="O703" s="434">
        <f t="shared" si="237"/>
        <v>29658.369541311546</v>
      </c>
      <c r="P703" s="434">
        <f t="shared" si="237"/>
        <v>64563.989078393592</v>
      </c>
      <c r="Q703" s="434">
        <f t="shared" si="237"/>
        <v>6208.687536744409</v>
      </c>
      <c r="R703" s="434">
        <f t="shared" si="237"/>
        <v>3422.1195624590246</v>
      </c>
      <c r="S703" s="434">
        <f t="shared" si="237"/>
        <v>7991.3065837492941</v>
      </c>
      <c r="T703" s="17"/>
      <c r="U703" s="118">
        <f t="shared" si="238"/>
        <v>11172066.84</v>
      </c>
      <c r="V703" s="67"/>
      <c r="W703" s="726">
        <f t="shared" si="239"/>
        <v>0</v>
      </c>
    </row>
    <row r="704" spans="1:23" ht="15">
      <c r="A704" s="47"/>
      <c r="B704" s="17">
        <f t="shared" si="236"/>
        <v>5</v>
      </c>
      <c r="C704" s="1" t="s">
        <v>228</v>
      </c>
      <c r="D704" s="1" t="s">
        <v>229</v>
      </c>
      <c r="E704" s="17"/>
      <c r="F704" s="118">
        <f>' WP II-I-1.4'!I704</f>
        <v>1699838.3599999999</v>
      </c>
      <c r="G704" s="17">
        <v>15</v>
      </c>
      <c r="H704" s="47" t="str">
        <f>VLOOKUP(G704,FactorTable,2)</f>
        <v>REVENUE RTL</v>
      </c>
      <c r="I704" s="17"/>
      <c r="J704" s="434">
        <f t="shared" si="237"/>
        <v>817775.68706584396</v>
      </c>
      <c r="K704" s="434">
        <f t="shared" si="237"/>
        <v>40677.119976731927</v>
      </c>
      <c r="L704" s="434">
        <f t="shared" si="237"/>
        <v>636941.95906800334</v>
      </c>
      <c r="M704" s="434">
        <f t="shared" si="237"/>
        <v>524.56345264650599</v>
      </c>
      <c r="N704" s="434">
        <f t="shared" si="237"/>
        <v>115990.55043621146</v>
      </c>
      <c r="O704" s="434">
        <f t="shared" si="237"/>
        <v>13438.251962360237</v>
      </c>
      <c r="P704" s="434">
        <f t="shared" si="237"/>
        <v>48789.778652171917</v>
      </c>
      <c r="Q704" s="434">
        <f t="shared" si="237"/>
        <v>25700.449386030614</v>
      </c>
      <c r="R704" s="434">
        <f t="shared" si="237"/>
        <v>0</v>
      </c>
      <c r="S704" s="434">
        <f t="shared" si="237"/>
        <v>0</v>
      </c>
      <c r="T704" s="17"/>
      <c r="U704" s="118">
        <f t="shared" si="238"/>
        <v>1699838.3600000001</v>
      </c>
      <c r="V704" s="67"/>
      <c r="W704" s="726">
        <f t="shared" si="239"/>
        <v>0</v>
      </c>
    </row>
    <row r="705" spans="1:23" ht="15">
      <c r="A705" s="47"/>
      <c r="B705" s="17">
        <f t="shared" si="236"/>
        <v>6</v>
      </c>
      <c r="C705" s="1" t="s">
        <v>230</v>
      </c>
      <c r="D705" s="31" t="s">
        <v>231</v>
      </c>
      <c r="E705" s="17"/>
      <c r="F705" s="118">
        <f>' WP II-I-1.4'!I705</f>
        <v>0</v>
      </c>
      <c r="G705" s="17">
        <v>73</v>
      </c>
      <c r="H705" s="47" t="str">
        <f>VLOOKUP(G705,FactorTable,2)</f>
        <v>CUS ACCT</v>
      </c>
      <c r="I705" s="17"/>
      <c r="J705" s="435">
        <f t="shared" si="237"/>
        <v>0</v>
      </c>
      <c r="K705" s="435">
        <f t="shared" si="237"/>
        <v>0</v>
      </c>
      <c r="L705" s="435">
        <f t="shared" si="237"/>
        <v>0</v>
      </c>
      <c r="M705" s="435">
        <f t="shared" si="237"/>
        <v>0</v>
      </c>
      <c r="N705" s="435">
        <f t="shared" si="237"/>
        <v>0</v>
      </c>
      <c r="O705" s="435">
        <f t="shared" si="237"/>
        <v>0</v>
      </c>
      <c r="P705" s="435">
        <f t="shared" si="237"/>
        <v>0</v>
      </c>
      <c r="Q705" s="435">
        <f t="shared" si="237"/>
        <v>0</v>
      </c>
      <c r="R705" s="435">
        <f t="shared" si="237"/>
        <v>0</v>
      </c>
      <c r="S705" s="435">
        <f t="shared" si="237"/>
        <v>0</v>
      </c>
      <c r="T705" s="17"/>
      <c r="U705" s="118">
        <f t="shared" si="238"/>
        <v>0</v>
      </c>
      <c r="V705" s="67"/>
      <c r="W705" s="726">
        <f t="shared" si="239"/>
        <v>0</v>
      </c>
    </row>
    <row r="706" spans="1:23" ht="15.75">
      <c r="A706" s="47"/>
      <c r="B706" s="17">
        <f t="shared" si="236"/>
        <v>7</v>
      </c>
      <c r="C706" s="8"/>
      <c r="D706" s="297" t="s">
        <v>639</v>
      </c>
      <c r="E706" s="20"/>
      <c r="F706" s="22">
        <f>SUM(F701:F705)</f>
        <v>12873956.44</v>
      </c>
      <c r="G706" s="20"/>
      <c r="H706" s="20"/>
      <c r="I706" s="1010"/>
      <c r="J706" s="896">
        <f t="shared" si="240" ref="J706:Q706">SUM(J701:J705)</f>
        <v>7047400.3170792777</v>
      </c>
      <c r="K706" s="896">
        <f t="shared" si="240"/>
        <v>1001124.8075264084</v>
      </c>
      <c r="L706" s="896">
        <f t="shared" si="240"/>
        <v>3599476.076321614</v>
      </c>
      <c r="M706" s="896">
        <f t="shared" si="240"/>
        <v>42123.04062038003</v>
      </c>
      <c r="N706" s="896">
        <f t="shared" si="240"/>
        <v>984038.71101816511</v>
      </c>
      <c r="O706" s="896">
        <f>SUM(O701:O705)</f>
        <v>43102.066909146808</v>
      </c>
      <c r="P706" s="896">
        <f t="shared" si="240"/>
        <v>113365.62195940731</v>
      </c>
      <c r="Q706" s="896">
        <f t="shared" si="240"/>
        <v>31910.276864775486</v>
      </c>
      <c r="R706" s="896">
        <f>SUM(R701:R705)</f>
        <v>3422.7478784753739</v>
      </c>
      <c r="S706" s="896">
        <f>SUM(S701:S705)</f>
        <v>7992.7738223499582</v>
      </c>
      <c r="T706" s="1010"/>
      <c r="U706" s="299">
        <f t="shared" si="238"/>
        <v>12873956.440000001</v>
      </c>
      <c r="V706" s="67"/>
      <c r="W706" s="726">
        <f t="shared" si="239"/>
        <v>0</v>
      </c>
    </row>
    <row r="707" spans="1:23" ht="15">
      <c r="A707" s="47"/>
      <c r="B707" s="17">
        <f t="shared" si="236"/>
        <v>8</v>
      </c>
      <c r="C707" s="1"/>
      <c r="D707" s="1"/>
      <c r="E707" s="17"/>
      <c r="F707" s="19"/>
      <c r="G707" s="17"/>
      <c r="H707" s="17"/>
      <c r="I707" s="17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7"/>
      <c r="U707" s="1"/>
      <c r="V707" s="67"/>
      <c r="W707" s="726">
        <f t="shared" si="239"/>
        <v>0</v>
      </c>
    </row>
    <row r="708" spans="1:23" ht="15.75">
      <c r="A708" s="47"/>
      <c r="B708" s="17">
        <f t="shared" si="236"/>
        <v>9</v>
      </c>
      <c r="C708" s="8"/>
      <c r="D708" s="297" t="s">
        <v>649</v>
      </c>
      <c r="E708" s="20"/>
      <c r="F708" s="22">
        <f>SUM(F702:F703)</f>
        <v>11172066.84</v>
      </c>
      <c r="G708" s="20"/>
      <c r="H708" s="20"/>
      <c r="I708" s="1010"/>
      <c r="J708" s="896">
        <f t="shared" si="241" ref="J708:Q708">SUM(J702:J703)</f>
        <v>6228481.0538372584</v>
      </c>
      <c r="K708" s="896">
        <f t="shared" si="241"/>
        <v>960271.37755362084</v>
      </c>
      <c r="L708" s="896">
        <f t="shared" si="241"/>
        <v>2961990.282971641</v>
      </c>
      <c r="M708" s="896">
        <f t="shared" si="241"/>
        <v>41590.840908684295</v>
      </c>
      <c r="N708" s="896">
        <f t="shared" si="241"/>
        <v>867888.8124261382</v>
      </c>
      <c r="O708" s="896">
        <f>SUM(O702:O703)</f>
        <v>29658.369541311546</v>
      </c>
      <c r="P708" s="896">
        <f t="shared" si="241"/>
        <v>64563.989078393592</v>
      </c>
      <c r="Q708" s="896">
        <f t="shared" si="241"/>
        <v>6208.687536744409</v>
      </c>
      <c r="R708" s="896">
        <f>SUM(R702:R703)</f>
        <v>3422.1195624590246</v>
      </c>
      <c r="S708" s="896">
        <f>SUM(S702:S703)</f>
        <v>7991.3065837492941</v>
      </c>
      <c r="T708" s="1010"/>
      <c r="U708" s="299">
        <f>SUM(I708:T708)</f>
        <v>11172066.84</v>
      </c>
      <c r="V708" s="67"/>
      <c r="W708" s="726">
        <f t="shared" si="239"/>
        <v>0</v>
      </c>
    </row>
    <row r="709" spans="1:23" ht="15">
      <c r="A709" s="47"/>
      <c r="B709" s="17">
        <f t="shared" si="236"/>
        <v>10</v>
      </c>
      <c r="C709" s="1"/>
      <c r="D709" s="1"/>
      <c r="E709" s="17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"/>
      <c r="V709" s="67"/>
      <c r="W709" s="726">
        <f t="shared" si="239"/>
        <v>0</v>
      </c>
    </row>
    <row r="710" spans="1:23" ht="15.75">
      <c r="A710" s="47"/>
      <c r="B710" s="17">
        <f t="shared" si="236"/>
        <v>11</v>
      </c>
      <c r="C710" s="8"/>
      <c r="D710" s="366" t="s">
        <v>650</v>
      </c>
      <c r="E710" s="20" t="s">
        <v>160</v>
      </c>
      <c r="F710" s="22"/>
      <c r="G710" s="20"/>
      <c r="H710" s="20"/>
      <c r="I710" s="1010"/>
      <c r="J710" s="1059"/>
      <c r="K710" s="1059"/>
      <c r="L710" s="1059"/>
      <c r="M710" s="1059"/>
      <c r="N710" s="1059"/>
      <c r="O710" s="1059"/>
      <c r="P710" s="1059"/>
      <c r="Q710" s="1059"/>
      <c r="R710" s="1059"/>
      <c r="S710" s="1059"/>
      <c r="T710" s="1010"/>
      <c r="U710" s="8"/>
      <c r="V710" s="67"/>
      <c r="W710" s="726">
        <f t="shared" si="239"/>
        <v>0</v>
      </c>
    </row>
    <row r="711" spans="1:23" ht="15">
      <c r="A711" s="47"/>
      <c r="B711" s="17">
        <f t="shared" si="236"/>
        <v>12</v>
      </c>
      <c r="C711" s="1" t="s">
        <v>233</v>
      </c>
      <c r="D711" s="1" t="s">
        <v>234</v>
      </c>
      <c r="E711" s="17"/>
      <c r="F711" s="118">
        <f>' WP II-I-1.4'!I711</f>
        <v>0</v>
      </c>
      <c r="G711" s="17">
        <v>9</v>
      </c>
      <c r="H711" s="47" t="str">
        <f>VLOOKUP(G711,FactorTable,2)</f>
        <v>CUS U ALL</v>
      </c>
      <c r="I711" s="17"/>
      <c r="J711" s="434">
        <f t="shared" si="242" ref="J711:S715">$F711*HLOOKUP(J$1318,FactorTable,$G711+1)</f>
        <v>0</v>
      </c>
      <c r="K711" s="434">
        <f t="shared" si="242"/>
        <v>0</v>
      </c>
      <c r="L711" s="434">
        <f t="shared" si="242"/>
        <v>0</v>
      </c>
      <c r="M711" s="434">
        <f t="shared" si="242"/>
        <v>0</v>
      </c>
      <c r="N711" s="434">
        <f t="shared" si="242"/>
        <v>0</v>
      </c>
      <c r="O711" s="434">
        <f t="shared" si="242"/>
        <v>0</v>
      </c>
      <c r="P711" s="434">
        <f t="shared" si="242"/>
        <v>0</v>
      </c>
      <c r="Q711" s="434">
        <f t="shared" si="242"/>
        <v>0</v>
      </c>
      <c r="R711" s="434">
        <f t="shared" si="242"/>
        <v>0</v>
      </c>
      <c r="S711" s="434">
        <f t="shared" si="242"/>
        <v>0</v>
      </c>
      <c r="T711" s="17"/>
      <c r="U711" s="118">
        <f t="shared" si="243" ref="U711:U716">SUM(I711:T711)</f>
        <v>0</v>
      </c>
      <c r="V711" s="67"/>
      <c r="W711" s="726">
        <f t="shared" si="239"/>
        <v>0</v>
      </c>
    </row>
    <row r="712" spans="1:23" ht="15">
      <c r="A712" s="47"/>
      <c r="B712" s="17">
        <f t="shared" si="236"/>
        <v>13</v>
      </c>
      <c r="C712" s="1" t="s">
        <v>235</v>
      </c>
      <c r="D712" s="1" t="s">
        <v>223</v>
      </c>
      <c r="E712" s="17"/>
      <c r="F712" s="118">
        <f>' WP II-I-1.4'!I712</f>
        <v>0</v>
      </c>
      <c r="G712" s="17">
        <v>74</v>
      </c>
      <c r="H712" s="47" t="str">
        <f>VLOOKUP(G712,FactorTable,2)</f>
        <v>CUS SVC INFO</v>
      </c>
      <c r="I712" s="17"/>
      <c r="J712" s="434">
        <f t="shared" si="242"/>
        <v>0</v>
      </c>
      <c r="K712" s="434">
        <f t="shared" si="242"/>
        <v>0</v>
      </c>
      <c r="L712" s="434">
        <f t="shared" si="242"/>
        <v>0</v>
      </c>
      <c r="M712" s="434">
        <f t="shared" si="242"/>
        <v>0</v>
      </c>
      <c r="N712" s="434">
        <f t="shared" si="242"/>
        <v>0</v>
      </c>
      <c r="O712" s="434">
        <f t="shared" si="242"/>
        <v>0</v>
      </c>
      <c r="P712" s="434">
        <f t="shared" si="242"/>
        <v>0</v>
      </c>
      <c r="Q712" s="434">
        <f t="shared" si="242"/>
        <v>0</v>
      </c>
      <c r="R712" s="434">
        <f t="shared" si="242"/>
        <v>0</v>
      </c>
      <c r="S712" s="434">
        <f t="shared" si="242"/>
        <v>0</v>
      </c>
      <c r="T712" s="17"/>
      <c r="U712" s="118">
        <f t="shared" si="243"/>
        <v>0</v>
      </c>
      <c r="V712" s="67"/>
      <c r="W712" s="726">
        <f t="shared" si="239"/>
        <v>0</v>
      </c>
    </row>
    <row r="713" spans="1:23" ht="15.75">
      <c r="A713" s="47"/>
      <c r="B713" s="17">
        <f t="shared" si="236"/>
        <v>14</v>
      </c>
      <c r="C713" s="1" t="s">
        <v>236</v>
      </c>
      <c r="D713" s="1" t="s">
        <v>237</v>
      </c>
      <c r="E713" s="20"/>
      <c r="F713" s="118">
        <f>' WP II-I-1.4'!I713</f>
        <v>235372.03999999911</v>
      </c>
      <c r="G713" s="17">
        <v>9</v>
      </c>
      <c r="H713" s="47" t="str">
        <f>VLOOKUP(G713,FactorTable,2)</f>
        <v>CUS U ALL</v>
      </c>
      <c r="I713" s="1010"/>
      <c r="J713" s="434">
        <f t="shared" si="242"/>
        <v>200120.0123497661</v>
      </c>
      <c r="K713" s="434">
        <f t="shared" si="242"/>
        <v>18697.742141992974</v>
      </c>
      <c r="L713" s="434">
        <f t="shared" si="242"/>
        <v>12504.141928207029</v>
      </c>
      <c r="M713" s="434">
        <f t="shared" si="242"/>
        <v>190.45987051972611</v>
      </c>
      <c r="N713" s="434">
        <f t="shared" si="242"/>
        <v>439.63616677852286</v>
      </c>
      <c r="O713" s="434">
        <f t="shared" si="242"/>
        <v>7.9844511988276015</v>
      </c>
      <c r="P713" s="434">
        <f t="shared" si="242"/>
        <v>17.381536071293933</v>
      </c>
      <c r="Q713" s="434">
        <f t="shared" si="242"/>
        <v>3390.8121675759558</v>
      </c>
      <c r="R713" s="434">
        <f t="shared" si="242"/>
        <v>0.92128283063395411</v>
      </c>
      <c r="S713" s="434">
        <f t="shared" si="242"/>
        <v>2.948105058028653</v>
      </c>
      <c r="T713" s="1010"/>
      <c r="U713" s="118">
        <f t="shared" si="243"/>
        <v>235372.03999999911</v>
      </c>
      <c r="V713" s="67"/>
      <c r="W713" s="726">
        <f t="shared" si="239"/>
        <v>0</v>
      </c>
    </row>
    <row r="714" spans="1:23" ht="15">
      <c r="A714" s="47"/>
      <c r="B714" s="17">
        <f t="shared" si="236"/>
        <v>15</v>
      </c>
      <c r="C714" s="1" t="s">
        <v>238</v>
      </c>
      <c r="D714" s="1" t="s">
        <v>239</v>
      </c>
      <c r="E714" s="17"/>
      <c r="F714" s="118">
        <f>' WP II-I-1.4'!I714</f>
        <v>0</v>
      </c>
      <c r="G714" s="17">
        <v>10</v>
      </c>
      <c r="H714" s="47" t="str">
        <f>VLOOKUP(G714,FactorTable,2)</f>
        <v>CUS U RTL</v>
      </c>
      <c r="I714" s="17"/>
      <c r="J714" s="434">
        <f t="shared" si="242"/>
        <v>0</v>
      </c>
      <c r="K714" s="434">
        <f t="shared" si="242"/>
        <v>0</v>
      </c>
      <c r="L714" s="434">
        <f t="shared" si="242"/>
        <v>0</v>
      </c>
      <c r="M714" s="434">
        <f t="shared" si="242"/>
        <v>0</v>
      </c>
      <c r="N714" s="434">
        <f t="shared" si="242"/>
        <v>0</v>
      </c>
      <c r="O714" s="434">
        <f t="shared" si="242"/>
        <v>0</v>
      </c>
      <c r="P714" s="434">
        <f t="shared" si="242"/>
        <v>0</v>
      </c>
      <c r="Q714" s="434">
        <f t="shared" si="242"/>
        <v>0</v>
      </c>
      <c r="R714" s="434">
        <f t="shared" si="242"/>
        <v>0</v>
      </c>
      <c r="S714" s="434">
        <f t="shared" si="242"/>
        <v>0</v>
      </c>
      <c r="T714" s="17"/>
      <c r="U714" s="118">
        <f t="shared" si="243"/>
        <v>0</v>
      </c>
      <c r="V714" s="67"/>
      <c r="W714" s="726">
        <f t="shared" si="239"/>
        <v>0</v>
      </c>
    </row>
    <row r="715" spans="1:23" ht="15">
      <c r="A715" s="47"/>
      <c r="B715" s="17">
        <f t="shared" si="236"/>
        <v>16</v>
      </c>
      <c r="C715" s="1" t="s">
        <v>240</v>
      </c>
      <c r="D715" s="1" t="s">
        <v>241</v>
      </c>
      <c r="E715" s="17"/>
      <c r="F715" s="118">
        <f>' WP II-I-1.4'!I715</f>
        <v>0</v>
      </c>
      <c r="G715" s="17">
        <v>74</v>
      </c>
      <c r="H715" s="47" t="str">
        <f>VLOOKUP(G715,FactorTable,2)</f>
        <v>CUS SVC INFO</v>
      </c>
      <c r="I715" s="17"/>
      <c r="J715" s="435">
        <f t="shared" si="242"/>
        <v>0</v>
      </c>
      <c r="K715" s="435">
        <f t="shared" si="242"/>
        <v>0</v>
      </c>
      <c r="L715" s="435">
        <f t="shared" si="242"/>
        <v>0</v>
      </c>
      <c r="M715" s="435">
        <f t="shared" si="242"/>
        <v>0</v>
      </c>
      <c r="N715" s="435">
        <f t="shared" si="242"/>
        <v>0</v>
      </c>
      <c r="O715" s="435">
        <f t="shared" si="242"/>
        <v>0</v>
      </c>
      <c r="P715" s="435">
        <f t="shared" si="242"/>
        <v>0</v>
      </c>
      <c r="Q715" s="435">
        <f t="shared" si="242"/>
        <v>0</v>
      </c>
      <c r="R715" s="435">
        <f t="shared" si="242"/>
        <v>0</v>
      </c>
      <c r="S715" s="435">
        <f t="shared" si="242"/>
        <v>0</v>
      </c>
      <c r="T715" s="17"/>
      <c r="U715" s="118">
        <f t="shared" si="243"/>
        <v>0</v>
      </c>
      <c r="V715" s="67"/>
      <c r="W715" s="726">
        <f t="shared" si="239"/>
        <v>0</v>
      </c>
    </row>
    <row r="716" spans="1:23" ht="15.75">
      <c r="A716" s="47"/>
      <c r="B716" s="17">
        <f t="shared" si="236"/>
        <v>17</v>
      </c>
      <c r="C716" s="8"/>
      <c r="D716" s="297" t="s">
        <v>651</v>
      </c>
      <c r="E716" s="20"/>
      <c r="F716" s="22">
        <f>SUM(F711:F715)</f>
        <v>235372.03999999911</v>
      </c>
      <c r="G716" s="20"/>
      <c r="H716" s="20"/>
      <c r="I716" s="1010"/>
      <c r="J716" s="896">
        <f t="shared" si="244" ref="J716:Q716">SUM(J711:J715)</f>
        <v>200120.0123497661</v>
      </c>
      <c r="K716" s="896">
        <f t="shared" si="244"/>
        <v>18697.742141992974</v>
      </c>
      <c r="L716" s="896">
        <f t="shared" si="244"/>
        <v>12504.141928207029</v>
      </c>
      <c r="M716" s="896">
        <f t="shared" si="244"/>
        <v>190.45987051972611</v>
      </c>
      <c r="N716" s="896">
        <f t="shared" si="244"/>
        <v>439.63616677852286</v>
      </c>
      <c r="O716" s="896">
        <f>SUM(O711:O715)</f>
        <v>7.9844511988276015</v>
      </c>
      <c r="P716" s="896">
        <f t="shared" si="244"/>
        <v>17.381536071293933</v>
      </c>
      <c r="Q716" s="896">
        <f t="shared" si="244"/>
        <v>3390.8121675759558</v>
      </c>
      <c r="R716" s="896">
        <f>SUM(R711:R715)</f>
        <v>0.92128283063395411</v>
      </c>
      <c r="S716" s="896">
        <f>SUM(S711:S715)</f>
        <v>2.948105058028653</v>
      </c>
      <c r="T716" s="1010"/>
      <c r="U716" s="299">
        <f t="shared" si="243"/>
        <v>235372.03999999911</v>
      </c>
      <c r="V716" s="67"/>
      <c r="W716" s="726">
        <f t="shared" si="239"/>
        <v>0</v>
      </c>
    </row>
    <row r="717" spans="1:23" ht="15.75">
      <c r="A717" s="47"/>
      <c r="B717" s="17">
        <f t="shared" si="236"/>
        <v>18</v>
      </c>
      <c r="C717" s="8"/>
      <c r="D717" s="297"/>
      <c r="E717" s="20"/>
      <c r="F717" s="22"/>
      <c r="G717" s="20"/>
      <c r="H717" s="20"/>
      <c r="I717" s="1010"/>
      <c r="J717" s="896"/>
      <c r="K717" s="896"/>
      <c r="L717" s="896"/>
      <c r="M717" s="896"/>
      <c r="N717" s="896"/>
      <c r="O717" s="896"/>
      <c r="P717" s="896"/>
      <c r="Q717" s="896"/>
      <c r="R717" s="896"/>
      <c r="S717" s="896"/>
      <c r="T717" s="1010"/>
      <c r="U717" s="299"/>
      <c r="V717" s="67"/>
      <c r="W717" s="726">
        <f t="shared" si="239"/>
        <v>0</v>
      </c>
    </row>
    <row r="718" spans="1:23" ht="15.75">
      <c r="A718" s="47"/>
      <c r="B718" s="17">
        <f t="shared" si="236"/>
        <v>19</v>
      </c>
      <c r="C718" s="8"/>
      <c r="D718" s="297" t="s">
        <v>652</v>
      </c>
      <c r="E718" s="20"/>
      <c r="F718" s="22">
        <f>F711+F713+F714</f>
        <v>235372.03999999911</v>
      </c>
      <c r="G718" s="20"/>
      <c r="H718" s="20"/>
      <c r="I718" s="20"/>
      <c r="J718" s="896">
        <f t="shared" si="245" ref="J718:Q718">J711+J713+J714</f>
        <v>200120.0123497661</v>
      </c>
      <c r="K718" s="896">
        <f t="shared" si="245"/>
        <v>18697.742141992974</v>
      </c>
      <c r="L718" s="896">
        <f t="shared" si="245"/>
        <v>12504.141928207029</v>
      </c>
      <c r="M718" s="896">
        <f t="shared" si="245"/>
        <v>190.45987051972611</v>
      </c>
      <c r="N718" s="896">
        <f t="shared" si="245"/>
        <v>439.63616677852286</v>
      </c>
      <c r="O718" s="896">
        <f>O711+O713+O714</f>
        <v>7.9844511988276015</v>
      </c>
      <c r="P718" s="896">
        <f t="shared" si="245"/>
        <v>17.381536071293933</v>
      </c>
      <c r="Q718" s="896">
        <f t="shared" si="245"/>
        <v>3390.8121675759558</v>
      </c>
      <c r="R718" s="896">
        <f>R711+R713+R714</f>
        <v>0.92128283063395411</v>
      </c>
      <c r="S718" s="896">
        <f>S711+S713+S714</f>
        <v>2.948105058028653</v>
      </c>
      <c r="T718" s="1010"/>
      <c r="U718" s="299">
        <f>SUM(I718:T718)</f>
        <v>235372.03999999911</v>
      </c>
      <c r="V718" s="67"/>
      <c r="W718" s="726">
        <f t="shared" si="239"/>
        <v>0</v>
      </c>
    </row>
    <row r="719" spans="1:23" ht="15">
      <c r="A719" s="47"/>
      <c r="B719" s="17">
        <f t="shared" si="236"/>
        <v>20</v>
      </c>
      <c r="C719" s="1"/>
      <c r="D719" s="1"/>
      <c r="E719" s="17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"/>
      <c r="V719" s="67"/>
      <c r="W719" s="726">
        <f t="shared" si="239"/>
        <v>0</v>
      </c>
    </row>
    <row r="720" spans="1:23" ht="15.75">
      <c r="A720" s="47"/>
      <c r="B720" s="17">
        <f t="shared" si="236"/>
        <v>21</v>
      </c>
      <c r="C720" s="8"/>
      <c r="D720" s="368" t="s">
        <v>242</v>
      </c>
      <c r="E720" s="20" t="s">
        <v>160</v>
      </c>
      <c r="F720" s="22"/>
      <c r="G720" s="20"/>
      <c r="H720" s="20"/>
      <c r="I720" s="1010"/>
      <c r="J720" s="1059"/>
      <c r="K720" s="1059"/>
      <c r="L720" s="1059"/>
      <c r="M720" s="1059"/>
      <c r="N720" s="1059"/>
      <c r="O720" s="1059"/>
      <c r="P720" s="1059"/>
      <c r="Q720" s="1059"/>
      <c r="R720" s="1059"/>
      <c r="S720" s="1059"/>
      <c r="T720" s="1010"/>
      <c r="U720" s="8"/>
      <c r="V720" s="67"/>
      <c r="W720" s="726">
        <f t="shared" si="239"/>
        <v>0</v>
      </c>
    </row>
    <row r="721" spans="1:23" ht="15">
      <c r="A721" s="47"/>
      <c r="B721" s="17">
        <f t="shared" si="236"/>
        <v>22</v>
      </c>
      <c r="C721" s="1" t="s">
        <v>243</v>
      </c>
      <c r="D721" s="51" t="s">
        <v>223</v>
      </c>
      <c r="E721" s="17"/>
      <c r="F721" s="118">
        <f>' WP II-I-1.4'!I721</f>
        <v>0</v>
      </c>
      <c r="G721" s="17">
        <v>10</v>
      </c>
      <c r="H721" s="47" t="str">
        <f>VLOOKUP(G721,FactorTable,2)</f>
        <v>CUS U RTL</v>
      </c>
      <c r="I721" s="17"/>
      <c r="J721" s="434">
        <f t="shared" si="246" ref="J721:S725">$F721*HLOOKUP(J$1318,FactorTable,$G721+1)</f>
        <v>0</v>
      </c>
      <c r="K721" s="434">
        <f t="shared" si="246"/>
        <v>0</v>
      </c>
      <c r="L721" s="434">
        <f t="shared" si="246"/>
        <v>0</v>
      </c>
      <c r="M721" s="434">
        <f t="shared" si="246"/>
        <v>0</v>
      </c>
      <c r="N721" s="434">
        <f t="shared" si="246"/>
        <v>0</v>
      </c>
      <c r="O721" s="434">
        <f t="shared" si="246"/>
        <v>0</v>
      </c>
      <c r="P721" s="434">
        <f t="shared" si="246"/>
        <v>0</v>
      </c>
      <c r="Q721" s="434">
        <f t="shared" si="246"/>
        <v>0</v>
      </c>
      <c r="R721" s="434">
        <f t="shared" si="246"/>
        <v>0</v>
      </c>
      <c r="S721" s="434">
        <f t="shared" si="246"/>
        <v>0</v>
      </c>
      <c r="T721" s="17"/>
      <c r="U721" s="118">
        <f t="shared" si="247" ref="U721:U726">SUM(I721:T721)</f>
        <v>0</v>
      </c>
      <c r="V721" s="67"/>
      <c r="W721" s="726">
        <f t="shared" si="239"/>
        <v>0</v>
      </c>
    </row>
    <row r="722" spans="1:23" ht="15">
      <c r="A722" s="47"/>
      <c r="B722" s="17">
        <f t="shared" si="236"/>
        <v>23</v>
      </c>
      <c r="C722" s="1" t="s">
        <v>244</v>
      </c>
      <c r="D722" s="51" t="s">
        <v>245</v>
      </c>
      <c r="E722" s="17"/>
      <c r="F722" s="118">
        <f>' WP II-I-1.4'!I722</f>
        <v>0</v>
      </c>
      <c r="G722" s="17">
        <v>10</v>
      </c>
      <c r="H722" s="47" t="str">
        <f>VLOOKUP(G722,FactorTable,2)</f>
        <v>CUS U RTL</v>
      </c>
      <c r="I722" s="17"/>
      <c r="J722" s="434">
        <f t="shared" si="246"/>
        <v>0</v>
      </c>
      <c r="K722" s="434">
        <f t="shared" si="246"/>
        <v>0</v>
      </c>
      <c r="L722" s="434">
        <f t="shared" si="246"/>
        <v>0</v>
      </c>
      <c r="M722" s="434">
        <f t="shared" si="246"/>
        <v>0</v>
      </c>
      <c r="N722" s="434">
        <f t="shared" si="246"/>
        <v>0</v>
      </c>
      <c r="O722" s="434">
        <f t="shared" si="246"/>
        <v>0</v>
      </c>
      <c r="P722" s="434">
        <f t="shared" si="246"/>
        <v>0</v>
      </c>
      <c r="Q722" s="434">
        <f t="shared" si="246"/>
        <v>0</v>
      </c>
      <c r="R722" s="434">
        <f t="shared" si="246"/>
        <v>0</v>
      </c>
      <c r="S722" s="434">
        <f t="shared" si="246"/>
        <v>0</v>
      </c>
      <c r="T722" s="17"/>
      <c r="U722" s="118">
        <f t="shared" si="247"/>
        <v>0</v>
      </c>
      <c r="V722" s="67"/>
      <c r="W722" s="726">
        <f t="shared" si="239"/>
        <v>0</v>
      </c>
    </row>
    <row r="723" spans="1:23" ht="15">
      <c r="A723" s="47"/>
      <c r="B723" s="17">
        <f t="shared" si="236"/>
        <v>24</v>
      </c>
      <c r="C723" s="1" t="s">
        <v>246</v>
      </c>
      <c r="D723" s="51" t="s">
        <v>247</v>
      </c>
      <c r="E723" s="17"/>
      <c r="F723" s="118">
        <f>' WP II-I-1.4'!I723</f>
        <v>0</v>
      </c>
      <c r="G723" s="17">
        <v>10</v>
      </c>
      <c r="H723" s="47" t="str">
        <f>VLOOKUP(G723,FactorTable,2)</f>
        <v>CUS U RTL</v>
      </c>
      <c r="I723" s="17"/>
      <c r="J723" s="434">
        <f t="shared" si="246"/>
        <v>0</v>
      </c>
      <c r="K723" s="434">
        <f t="shared" si="246"/>
        <v>0</v>
      </c>
      <c r="L723" s="434">
        <f t="shared" si="246"/>
        <v>0</v>
      </c>
      <c r="M723" s="434">
        <f t="shared" si="246"/>
        <v>0</v>
      </c>
      <c r="N723" s="434">
        <f t="shared" si="246"/>
        <v>0</v>
      </c>
      <c r="O723" s="434">
        <f t="shared" si="246"/>
        <v>0</v>
      </c>
      <c r="P723" s="434">
        <f t="shared" si="246"/>
        <v>0</v>
      </c>
      <c r="Q723" s="434">
        <f t="shared" si="246"/>
        <v>0</v>
      </c>
      <c r="R723" s="434">
        <f t="shared" si="246"/>
        <v>0</v>
      </c>
      <c r="S723" s="434">
        <f t="shared" si="246"/>
        <v>0</v>
      </c>
      <c r="T723" s="17"/>
      <c r="U723" s="118">
        <f t="shared" si="247"/>
        <v>0</v>
      </c>
      <c r="V723" s="67"/>
      <c r="W723" s="726">
        <f t="shared" si="239"/>
        <v>0</v>
      </c>
    </row>
    <row r="724" spans="1:23" ht="15">
      <c r="A724" s="47"/>
      <c r="B724" s="17">
        <f t="shared" si="236"/>
        <v>25</v>
      </c>
      <c r="C724" s="1" t="s">
        <v>248</v>
      </c>
      <c r="D724" s="51" t="s">
        <v>249</v>
      </c>
      <c r="E724" s="17"/>
      <c r="F724" s="118">
        <f>' WP II-I-1.4'!I724</f>
        <v>0</v>
      </c>
      <c r="G724" s="17">
        <v>10</v>
      </c>
      <c r="H724" s="47" t="str">
        <f>VLOOKUP(G724,FactorTable,2)</f>
        <v>CUS U RTL</v>
      </c>
      <c r="I724" s="17"/>
      <c r="J724" s="434">
        <f t="shared" si="246"/>
        <v>0</v>
      </c>
      <c r="K724" s="434">
        <f t="shared" si="246"/>
        <v>0</v>
      </c>
      <c r="L724" s="434">
        <f t="shared" si="246"/>
        <v>0</v>
      </c>
      <c r="M724" s="434">
        <f t="shared" si="246"/>
        <v>0</v>
      </c>
      <c r="N724" s="434">
        <f t="shared" si="246"/>
        <v>0</v>
      </c>
      <c r="O724" s="434">
        <f t="shared" si="246"/>
        <v>0</v>
      </c>
      <c r="P724" s="434">
        <f t="shared" si="246"/>
        <v>0</v>
      </c>
      <c r="Q724" s="434">
        <f t="shared" si="246"/>
        <v>0</v>
      </c>
      <c r="R724" s="434">
        <f t="shared" si="246"/>
        <v>0</v>
      </c>
      <c r="S724" s="434">
        <f t="shared" si="246"/>
        <v>0</v>
      </c>
      <c r="T724" s="17"/>
      <c r="U724" s="118">
        <f t="shared" si="247"/>
        <v>0</v>
      </c>
      <c r="V724" s="67"/>
      <c r="W724" s="726">
        <f t="shared" si="239"/>
        <v>0</v>
      </c>
    </row>
    <row r="725" spans="1:23" ht="15">
      <c r="A725" s="47"/>
      <c r="B725" s="17">
        <f t="shared" si="236"/>
        <v>26</v>
      </c>
      <c r="C725" s="1" t="s">
        <v>250</v>
      </c>
      <c r="D725" s="51" t="s">
        <v>251</v>
      </c>
      <c r="E725" s="17"/>
      <c r="F725" s="118">
        <f>' WP II-I-1.4'!I725</f>
        <v>0</v>
      </c>
      <c r="G725" s="17">
        <v>10</v>
      </c>
      <c r="H725" s="47" t="str">
        <f>VLOOKUP(G725,FactorTable,2)</f>
        <v>CUS U RTL</v>
      </c>
      <c r="I725" s="17"/>
      <c r="J725" s="435">
        <f t="shared" si="246"/>
        <v>0</v>
      </c>
      <c r="K725" s="435">
        <f t="shared" si="246"/>
        <v>0</v>
      </c>
      <c r="L725" s="435">
        <f t="shared" si="246"/>
        <v>0</v>
      </c>
      <c r="M725" s="435">
        <f t="shared" si="246"/>
        <v>0</v>
      </c>
      <c r="N725" s="435">
        <f t="shared" si="246"/>
        <v>0</v>
      </c>
      <c r="O725" s="435">
        <f t="shared" si="246"/>
        <v>0</v>
      </c>
      <c r="P725" s="435">
        <f t="shared" si="246"/>
        <v>0</v>
      </c>
      <c r="Q725" s="435">
        <f t="shared" si="246"/>
        <v>0</v>
      </c>
      <c r="R725" s="435">
        <f t="shared" si="246"/>
        <v>0</v>
      </c>
      <c r="S725" s="435">
        <f t="shared" si="246"/>
        <v>0</v>
      </c>
      <c r="T725" s="17"/>
      <c r="U725" s="118">
        <f t="shared" si="247"/>
        <v>0</v>
      </c>
      <c r="V725" s="67"/>
      <c r="W725" s="726">
        <f t="shared" si="239"/>
        <v>0</v>
      </c>
    </row>
    <row r="726" spans="1:23" ht="15.75">
      <c r="A726" s="47"/>
      <c r="B726" s="17">
        <f t="shared" si="236"/>
        <v>27</v>
      </c>
      <c r="C726" s="8"/>
      <c r="D726" s="297" t="s">
        <v>653</v>
      </c>
      <c r="E726" s="20"/>
      <c r="F726" s="22">
        <f>SUM(F721:F725)</f>
        <v>0</v>
      </c>
      <c r="G726" s="20"/>
      <c r="H726" s="20"/>
      <c r="I726" s="1010"/>
      <c r="J726" s="896">
        <f t="shared" si="248" ref="J726:Q726">SUM(J721:J725)</f>
        <v>0</v>
      </c>
      <c r="K726" s="896">
        <f t="shared" si="248"/>
        <v>0</v>
      </c>
      <c r="L726" s="896">
        <f t="shared" si="248"/>
        <v>0</v>
      </c>
      <c r="M726" s="896">
        <f t="shared" si="248"/>
        <v>0</v>
      </c>
      <c r="N726" s="896">
        <f t="shared" si="248"/>
        <v>0</v>
      </c>
      <c r="O726" s="896">
        <f>SUM(O721:O725)</f>
        <v>0</v>
      </c>
      <c r="P726" s="896">
        <f t="shared" si="248"/>
        <v>0</v>
      </c>
      <c r="Q726" s="896">
        <f t="shared" si="248"/>
        <v>0</v>
      </c>
      <c r="R726" s="896">
        <f>SUM(R721:R725)</f>
        <v>0</v>
      </c>
      <c r="S726" s="896">
        <f>SUM(S721:S725)</f>
        <v>0</v>
      </c>
      <c r="T726" s="20"/>
      <c r="U726" s="299">
        <f t="shared" si="247"/>
        <v>0</v>
      </c>
      <c r="V726" s="67"/>
      <c r="W726" s="726">
        <f t="shared" si="239"/>
        <v>0</v>
      </c>
    </row>
    <row r="727" spans="1:23" ht="15.75">
      <c r="A727" s="47"/>
      <c r="B727" s="17">
        <f t="shared" si="236"/>
        <v>28</v>
      </c>
      <c r="C727" s="8"/>
      <c r="D727" s="369"/>
      <c r="E727" s="20"/>
      <c r="F727" s="22"/>
      <c r="G727" s="20"/>
      <c r="H727" s="20"/>
      <c r="I727" s="20"/>
      <c r="J727" s="896"/>
      <c r="K727" s="896"/>
      <c r="L727" s="896"/>
      <c r="M727" s="896"/>
      <c r="N727" s="896"/>
      <c r="O727" s="896"/>
      <c r="P727" s="896"/>
      <c r="Q727" s="896"/>
      <c r="R727" s="896"/>
      <c r="S727" s="896"/>
      <c r="T727" s="20"/>
      <c r="U727" s="8"/>
      <c r="V727" s="67"/>
      <c r="W727" s="726">
        <f t="shared" si="239"/>
        <v>0</v>
      </c>
    </row>
    <row r="728" spans="1:23" ht="15.75">
      <c r="A728" s="47"/>
      <c r="B728" s="17">
        <f t="shared" si="236"/>
        <v>29</v>
      </c>
      <c r="C728" s="8"/>
      <c r="D728" s="297" t="s">
        <v>654</v>
      </c>
      <c r="E728" s="20"/>
      <c r="F728" s="22">
        <f>SUM(F722:F725)</f>
        <v>0</v>
      </c>
      <c r="G728" s="20"/>
      <c r="H728" s="20"/>
      <c r="I728" s="20"/>
      <c r="J728" s="22">
        <f t="shared" si="249" ref="J728:Q728">SUM(J722:J725)</f>
        <v>0</v>
      </c>
      <c r="K728" s="22">
        <f t="shared" si="249"/>
        <v>0</v>
      </c>
      <c r="L728" s="22">
        <f t="shared" si="249"/>
        <v>0</v>
      </c>
      <c r="M728" s="22">
        <f t="shared" si="249"/>
        <v>0</v>
      </c>
      <c r="N728" s="22">
        <f t="shared" si="249"/>
        <v>0</v>
      </c>
      <c r="O728" s="22">
        <f>SUM(O722:O725)</f>
        <v>0</v>
      </c>
      <c r="P728" s="22">
        <f t="shared" si="249"/>
        <v>0</v>
      </c>
      <c r="Q728" s="22">
        <f t="shared" si="249"/>
        <v>0</v>
      </c>
      <c r="R728" s="22">
        <f>SUM(R722:R725)</f>
        <v>0</v>
      </c>
      <c r="S728" s="22">
        <f>SUM(S722:S725)</f>
        <v>0</v>
      </c>
      <c r="T728" s="20"/>
      <c r="U728" s="299">
        <f>SUM(I728:T728)</f>
        <v>0</v>
      </c>
      <c r="V728" s="67"/>
      <c r="W728" s="726">
        <f t="shared" si="239"/>
        <v>0</v>
      </c>
    </row>
    <row r="729" spans="1:23" ht="16.5" thickBot="1">
      <c r="A729" s="47"/>
      <c r="B729" s="17">
        <f t="shared" si="236"/>
        <v>30</v>
      </c>
      <c r="C729" s="8"/>
      <c r="D729" s="369"/>
      <c r="E729" s="20"/>
      <c r="F729" s="22"/>
      <c r="G729" s="20"/>
      <c r="H729" s="20"/>
      <c r="I729" s="20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0"/>
      <c r="U729" s="8"/>
      <c r="V729" s="67"/>
      <c r="W729" s="726">
        <f t="shared" si="239"/>
        <v>0</v>
      </c>
    </row>
    <row r="730" spans="1:23" ht="15.75">
      <c r="A730" s="47"/>
      <c r="B730" s="17">
        <f t="shared" si="236"/>
        <v>31</v>
      </c>
      <c r="C730" s="319" t="s">
        <v>655</v>
      </c>
      <c r="D730" s="304"/>
      <c r="E730" s="305" t="s">
        <v>160</v>
      </c>
      <c r="F730" s="306">
        <f>+F726+F716+F706+F686+F638</f>
        <v>13452479.209999999</v>
      </c>
      <c r="G730" s="305"/>
      <c r="H730" s="437"/>
      <c r="I730" s="438"/>
      <c r="J730" s="439">
        <f t="shared" si="250" ref="J730:Q730">+J726+J716+J706+J686+J638</f>
        <v>7247520.3294290435</v>
      </c>
      <c r="K730" s="908">
        <f t="shared" si="250"/>
        <v>1019822.5496684014</v>
      </c>
      <c r="L730" s="908">
        <f t="shared" si="250"/>
        <v>3611980.2182498211</v>
      </c>
      <c r="M730" s="908">
        <f t="shared" si="250"/>
        <v>42313.500490899758</v>
      </c>
      <c r="N730" s="908">
        <f t="shared" si="250"/>
        <v>984478.34718494362</v>
      </c>
      <c r="O730" s="908">
        <f>+O726+O716+O706+O686+O638</f>
        <v>43110.051360345635</v>
      </c>
      <c r="P730" s="908">
        <f t="shared" si="250"/>
        <v>113383.0034954786</v>
      </c>
      <c r="Q730" s="908">
        <f t="shared" si="250"/>
        <v>378451.81903235143</v>
      </c>
      <c r="R730" s="908">
        <f>+R726+R716+R706+R686+R638</f>
        <v>3423.6691613060079</v>
      </c>
      <c r="S730" s="641">
        <f>+S726+S716+S706+S686+S638</f>
        <v>7995.7219274079871</v>
      </c>
      <c r="T730" s="438"/>
      <c r="U730" s="307">
        <f>SUM(I730:T730)</f>
        <v>13452479.210000001</v>
      </c>
      <c r="V730" s="67"/>
      <c r="W730" s="726">
        <f t="shared" si="239"/>
        <v>0</v>
      </c>
    </row>
    <row r="731" spans="1:23" ht="16.5" thickBot="1">
      <c r="A731" s="47"/>
      <c r="B731" s="17">
        <f t="shared" si="236"/>
        <v>32</v>
      </c>
      <c r="C731" s="326" t="s">
        <v>656</v>
      </c>
      <c r="D731" s="310"/>
      <c r="E731" s="311" t="s">
        <v>160</v>
      </c>
      <c r="F731" s="312">
        <f>F730-F622</f>
        <v>13452479.209999999</v>
      </c>
      <c r="G731" s="311"/>
      <c r="H731" s="440"/>
      <c r="I731" s="441"/>
      <c r="J731" s="442">
        <f t="shared" si="251" ref="J731:Q731">J730-J622</f>
        <v>7247520.3294290435</v>
      </c>
      <c r="K731" s="312">
        <f t="shared" si="251"/>
        <v>1019822.5496684014</v>
      </c>
      <c r="L731" s="443">
        <f t="shared" si="251"/>
        <v>3611980.2182498211</v>
      </c>
      <c r="M731" s="442">
        <f t="shared" si="251"/>
        <v>42313.500490899758</v>
      </c>
      <c r="N731" s="312">
        <f t="shared" si="251"/>
        <v>984478.34718494362</v>
      </c>
      <c r="O731" s="312">
        <f>O730-O622</f>
        <v>43110.051360345635</v>
      </c>
      <c r="P731" s="312">
        <f t="shared" si="251"/>
        <v>113383.0034954786</v>
      </c>
      <c r="Q731" s="312">
        <f t="shared" si="251"/>
        <v>378451.81903235143</v>
      </c>
      <c r="R731" s="312">
        <f>R730-R622</f>
        <v>3423.6691613060079</v>
      </c>
      <c r="S731" s="443">
        <f>S730-S622</f>
        <v>7995.7219274079871</v>
      </c>
      <c r="T731" s="441"/>
      <c r="U731" s="313">
        <f>SUM(I731:T731)</f>
        <v>13452479.210000001</v>
      </c>
      <c r="V731" s="67"/>
      <c r="W731" s="726">
        <f t="shared" si="239"/>
        <v>0</v>
      </c>
    </row>
    <row r="732" spans="1:23" ht="15.75">
      <c r="A732" s="47"/>
      <c r="B732" s="17"/>
      <c r="C732" s="8"/>
      <c r="D732" s="8"/>
      <c r="E732" s="20"/>
      <c r="F732" s="22"/>
      <c r="G732" s="20"/>
      <c r="H732" s="13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134"/>
      <c r="V732" s="134">
        <f>$H$2</f>
        <v>0</v>
      </c>
      <c r="W732" s="167"/>
    </row>
    <row r="733" spans="1:23" ht="16.5" thickBot="1">
      <c r="A733" s="47"/>
      <c r="B733" s="17"/>
      <c r="C733" s="8"/>
      <c r="D733" s="8"/>
      <c r="E733" s="20"/>
      <c r="F733" s="2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52"/>
      <c r="V733" s="67"/>
      <c r="W733" s="167"/>
    </row>
    <row r="734" spans="1:23" ht="15.75">
      <c r="A734" s="47"/>
      <c r="B734" s="920" t="str">
        <f>+$B$4</f>
        <v>2022 RATE CASE</v>
      </c>
      <c r="C734" s="935"/>
      <c r="D734" s="969"/>
      <c r="F734" s="332"/>
      <c r="U734" s="134"/>
      <c r="W734" s="167"/>
    </row>
    <row r="735" spans="1:23" ht="15.75">
      <c r="A735" s="47"/>
      <c r="B735" s="917" t="str">
        <f>+$B$5</f>
        <v>ONCOR ELECTRIC DELIVERY COMPANY LLC</v>
      </c>
      <c r="C735" s="8"/>
      <c r="D735" s="970"/>
      <c r="F735" s="371"/>
      <c r="U735" s="134"/>
      <c r="V735" s="67"/>
      <c r="W735" s="167"/>
    </row>
    <row r="736" spans="1:23" ht="15.75">
      <c r="A736" s="47"/>
      <c r="B736" s="917" t="str">
        <f>+$B$6</f>
        <v>II-I-1-TBILLTDCS:  CLASS REVENUE REQUIREMENT</v>
      </c>
      <c r="C736" s="85"/>
      <c r="D736" s="970"/>
      <c r="F736" s="371"/>
      <c r="U736" s="332"/>
      <c r="V736" s="67"/>
      <c r="W736" s="167"/>
    </row>
    <row r="737" spans="1:23" ht="15.75">
      <c r="A737" s="47"/>
      <c r="B737" s="406" t="str">
        <f>+$B$7</f>
        <v>TEST YEAR ENDING 12/31/2021</v>
      </c>
      <c r="C737" s="85"/>
      <c r="D737" s="970"/>
      <c r="F737" s="371"/>
      <c r="U737" s="332"/>
      <c r="V737" s="67"/>
      <c r="W737" s="167"/>
    </row>
    <row r="738" spans="1:23" ht="15.75">
      <c r="A738" s="47"/>
      <c r="B738" s="406" t="str">
        <f>+$B$8</f>
        <v>SPONSOR:  MATTHEW A. TROXLE</v>
      </c>
      <c r="C738" s="85"/>
      <c r="D738" s="970"/>
      <c r="F738" s="371"/>
      <c r="U738" s="332"/>
      <c r="V738" s="67"/>
      <c r="W738" s="167"/>
    </row>
    <row r="739" spans="1:23" ht="16.5" thickBot="1">
      <c r="A739" s="47"/>
      <c r="B739" s="410"/>
      <c r="C739" s="934"/>
      <c r="D739" s="936"/>
      <c r="F739" s="371"/>
      <c r="U739" s="332"/>
      <c r="V739" s="67"/>
      <c r="W739" s="167"/>
    </row>
    <row r="740" spans="1:23" ht="15.75" thickBot="1">
      <c r="A740" s="47"/>
      <c r="B740" s="13"/>
      <c r="C740" s="14"/>
      <c r="D740" s="14"/>
      <c r="E740" s="14"/>
      <c r="F740" s="13"/>
      <c r="G740" s="14"/>
      <c r="H740" s="14"/>
      <c r="I740" s="14"/>
      <c r="J740" s="238"/>
      <c r="K740" s="238"/>
      <c r="L740" s="14"/>
      <c r="M740" s="238"/>
      <c r="N740" s="238"/>
      <c r="O740" s="238"/>
      <c r="P740" s="238"/>
      <c r="Q740" s="14"/>
      <c r="R740" s="393" t="str">
        <f>R$10</f>
        <v xml:space="preserve"> </v>
      </c>
      <c r="S740" s="394"/>
      <c r="T740" s="238"/>
      <c r="U740" s="13"/>
      <c r="V740" s="67"/>
      <c r="W740" s="167"/>
    </row>
    <row r="741" spans="1:23" ht="15.75">
      <c r="A741" s="47"/>
      <c r="B741" s="15" t="s">
        <v>2</v>
      </c>
      <c r="C741" s="15" t="s">
        <v>370</v>
      </c>
      <c r="D741" s="287" t="s">
        <v>252</v>
      </c>
      <c r="E741" s="15" t="s">
        <v>371</v>
      </c>
      <c r="F741" s="287" t="str">
        <f>F$11</f>
        <v>TBILLTDCS</v>
      </c>
      <c r="G741" s="242" t="s">
        <v>741</v>
      </c>
      <c r="H741" s="242" t="s">
        <v>376</v>
      </c>
      <c r="I741" s="15"/>
      <c r="J741" s="242" t="s">
        <v>730</v>
      </c>
      <c r="K741" s="242" t="s">
        <v>409</v>
      </c>
      <c r="L741" s="15" t="s">
        <v>409</v>
      </c>
      <c r="M741" s="242" t="s">
        <v>410</v>
      </c>
      <c r="N741" s="242" t="s">
        <v>410</v>
      </c>
      <c r="O741" s="242" t="s">
        <v>410</v>
      </c>
      <c r="P741" s="242" t="s">
        <v>411</v>
      </c>
      <c r="Q741" s="15" t="s">
        <v>412</v>
      </c>
      <c r="R741" s="396" t="str">
        <f>R$11</f>
        <v>Wholesale</v>
      </c>
      <c r="S741" s="13" t="str">
        <f>S$11</f>
        <v>Wholesale</v>
      </c>
      <c r="T741" s="242"/>
      <c r="U741" s="15" t="s">
        <v>10</v>
      </c>
      <c r="V741" s="67"/>
      <c r="W741" s="167"/>
    </row>
    <row r="742" spans="1:23" ht="15">
      <c r="A742" s="47"/>
      <c r="B742" s="15"/>
      <c r="C742" s="15"/>
      <c r="D742" s="15"/>
      <c r="E742" s="15"/>
      <c r="F742" s="15"/>
      <c r="G742" s="242" t="s">
        <v>742</v>
      </c>
      <c r="H742" s="242" t="s">
        <v>743</v>
      </c>
      <c r="I742" s="15"/>
      <c r="J742" s="242"/>
      <c r="K742" s="242" t="s">
        <v>731</v>
      </c>
      <c r="L742" s="15" t="s">
        <v>732</v>
      </c>
      <c r="M742" s="242" t="s">
        <v>731</v>
      </c>
      <c r="N742" s="242" t="s">
        <v>732</v>
      </c>
      <c r="O742" s="242" t="s">
        <v>414</v>
      </c>
      <c r="P742" s="242"/>
      <c r="Q742" s="15"/>
      <c r="R742" s="235" t="str">
        <f>R$12</f>
        <v>XFMR</v>
      </c>
      <c r="S742" s="15" t="str">
        <f>S$12</f>
        <v>DLS</v>
      </c>
      <c r="T742" s="242"/>
      <c r="U742" s="15"/>
      <c r="V742" s="67"/>
      <c r="W742" s="167"/>
    </row>
    <row r="743" spans="1:23" ht="15.75" thickBot="1">
      <c r="A743" s="47"/>
      <c r="B743" s="16"/>
      <c r="C743" s="16"/>
      <c r="D743" s="16"/>
      <c r="E743" s="16"/>
      <c r="F743" s="16" t="s">
        <v>13</v>
      </c>
      <c r="G743" s="16" t="s">
        <v>14</v>
      </c>
      <c r="H743" s="16" t="s">
        <v>15</v>
      </c>
      <c r="I743" s="16"/>
      <c r="J743" s="243" t="str">
        <f t="shared" si="252" ref="J743:Q743">J$13</f>
        <v>(d)</v>
      </c>
      <c r="K743" s="243" t="str">
        <f t="shared" si="252"/>
        <v>(e)</v>
      </c>
      <c r="L743" s="16" t="str">
        <f t="shared" si="252"/>
        <v>(f)</v>
      </c>
      <c r="M743" s="243" t="str">
        <f t="shared" si="252"/>
        <v>(g)</v>
      </c>
      <c r="N743" s="243" t="str">
        <f t="shared" si="252"/>
        <v>(h)</v>
      </c>
      <c r="O743" s="243" t="str">
        <f>O$13</f>
        <v>(i)</v>
      </c>
      <c r="P743" s="243" t="str">
        <f t="shared" si="252"/>
        <v>(j)</v>
      </c>
      <c r="Q743" s="243" t="str">
        <f t="shared" si="252"/>
        <v>(k)</v>
      </c>
      <c r="R743" s="243" t="str">
        <f>R$13</f>
        <v>(l)</v>
      </c>
      <c r="S743" s="16" t="str">
        <f>S$13</f>
        <v>(m)</v>
      </c>
      <c r="T743" s="16"/>
      <c r="U743" s="16" t="s">
        <v>734</v>
      </c>
      <c r="V743" s="67"/>
      <c r="W743" s="167"/>
    </row>
    <row r="744" spans="1:23" ht="15">
      <c r="A744" s="47"/>
      <c r="B744" s="67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43"/>
      <c r="V744" s="67"/>
      <c r="W744" s="167"/>
    </row>
    <row r="745" spans="1:23" ht="15.75">
      <c r="A745" s="47"/>
      <c r="B745" s="17">
        <f t="shared" si="253" ref="B745:B764">B744+1</f>
        <v>1</v>
      </c>
      <c r="C745" s="8" t="s">
        <v>252</v>
      </c>
      <c r="D745" s="8"/>
      <c r="E745" s="20" t="s">
        <v>253</v>
      </c>
      <c r="F745" s="8"/>
      <c r="G745" s="20"/>
      <c r="H745" s="20"/>
      <c r="I745" s="1010"/>
      <c r="J745" s="1059"/>
      <c r="K745" s="1059"/>
      <c r="L745" s="1059"/>
      <c r="M745" s="1059"/>
      <c r="N745" s="1059"/>
      <c r="O745" s="1059"/>
      <c r="P745" s="1059"/>
      <c r="Q745" s="1059"/>
      <c r="R745" s="1059"/>
      <c r="S745" s="1059"/>
      <c r="T745" s="1010"/>
      <c r="U745" s="8"/>
      <c r="V745" s="67"/>
      <c r="W745" s="167"/>
    </row>
    <row r="746" spans="1:23" ht="15">
      <c r="A746" s="47"/>
      <c r="B746" s="17">
        <f t="shared" si="253"/>
        <v>2</v>
      </c>
      <c r="C746" s="1" t="s">
        <v>254</v>
      </c>
      <c r="D746" s="1" t="s">
        <v>255</v>
      </c>
      <c r="E746" s="17"/>
      <c r="F746" s="118">
        <f>' WP II-I-1.4'!I746</f>
        <v>17818910.440000001</v>
      </c>
      <c r="G746" s="17">
        <v>77</v>
      </c>
      <c r="H746" s="47" t="str">
        <f t="shared" si="254" ref="H746:H758">VLOOKUP(G746,FactorTable,2)</f>
        <v>O&amp;M x565</v>
      </c>
      <c r="I746" s="17"/>
      <c r="J746" s="434">
        <f t="shared" si="255" ref="J746:S758">$F746*HLOOKUP(J$1318,FactorTable,$G746+1)</f>
        <v>9599934.2311695293</v>
      </c>
      <c r="K746" s="434">
        <f t="shared" si="255"/>
        <v>1350838.4881000456</v>
      </c>
      <c r="L746" s="434">
        <f t="shared" si="255"/>
        <v>4784363.6117424052</v>
      </c>
      <c r="M746" s="434">
        <f t="shared" si="255"/>
        <v>56047.69677620181</v>
      </c>
      <c r="N746" s="434">
        <f t="shared" si="255"/>
        <v>1304022.197303789</v>
      </c>
      <c r="O746" s="434">
        <f t="shared" si="255"/>
        <v>57102.79363842251</v>
      </c>
      <c r="P746" s="434">
        <f t="shared" si="255"/>
        <v>150185.07393063203</v>
      </c>
      <c r="Q746" s="434">
        <f t="shared" si="255"/>
        <v>501290.42862074479</v>
      </c>
      <c r="R746" s="434">
        <f t="shared" si="255"/>
        <v>4534.9301945883981</v>
      </c>
      <c r="S746" s="434">
        <f t="shared" si="255"/>
        <v>10590.988523640848</v>
      </c>
      <c r="T746" s="17"/>
      <c r="U746" s="118">
        <f t="shared" si="256" ref="U746:U758">SUM(I746:T746)</f>
        <v>17818910.440000001</v>
      </c>
      <c r="V746" s="67"/>
      <c r="W746" s="726">
        <f t="shared" si="257" ref="W746:W764">F746-U746</f>
        <v>0</v>
      </c>
    </row>
    <row r="747" spans="1:23" ht="15">
      <c r="A747" s="47"/>
      <c r="B747" s="17">
        <f t="shared" si="253"/>
        <v>3</v>
      </c>
      <c r="C747" s="1" t="s">
        <v>256</v>
      </c>
      <c r="D747" s="1" t="s">
        <v>257</v>
      </c>
      <c r="E747" s="17"/>
      <c r="F747" s="118">
        <f>' WP II-I-1.4'!I747</f>
        <v>1777495.3899999999</v>
      </c>
      <c r="G747" s="17">
        <v>77</v>
      </c>
      <c r="H747" s="47" t="str">
        <f t="shared" si="254"/>
        <v>O&amp;M x565</v>
      </c>
      <c r="I747" s="17"/>
      <c r="J747" s="434">
        <f t="shared" si="255"/>
        <v>957625.26545405493</v>
      </c>
      <c r="K747" s="434">
        <f t="shared" si="255"/>
        <v>134750.61751488328</v>
      </c>
      <c r="L747" s="434">
        <f t="shared" si="255"/>
        <v>477256.13148970262</v>
      </c>
      <c r="M747" s="434">
        <f t="shared" si="255"/>
        <v>5590.9435638768809</v>
      </c>
      <c r="N747" s="434">
        <f t="shared" si="255"/>
        <v>130080.53730164855</v>
      </c>
      <c r="O747" s="434">
        <f t="shared" si="255"/>
        <v>5696.1929737617183</v>
      </c>
      <c r="P747" s="434">
        <f t="shared" si="255"/>
        <v>14981.459021155928</v>
      </c>
      <c r="Q747" s="434">
        <f t="shared" si="255"/>
        <v>50005.382143022754</v>
      </c>
      <c r="R747" s="434">
        <f t="shared" si="255"/>
        <v>452.37432120191289</v>
      </c>
      <c r="S747" s="434">
        <f t="shared" si="255"/>
        <v>1056.4862166911767</v>
      </c>
      <c r="T747" s="17"/>
      <c r="U747" s="118">
        <f t="shared" si="256"/>
        <v>1777495.3899999999</v>
      </c>
      <c r="V747" s="67"/>
      <c r="W747" s="726">
        <f t="shared" si="257"/>
        <v>0</v>
      </c>
    </row>
    <row r="748" spans="1:23" ht="15">
      <c r="A748" s="47"/>
      <c r="B748" s="17">
        <f t="shared" si="253"/>
        <v>4</v>
      </c>
      <c r="C748" s="1" t="s">
        <v>258</v>
      </c>
      <c r="D748" s="1" t="s">
        <v>259</v>
      </c>
      <c r="E748" s="17"/>
      <c r="F748" s="118">
        <f>' WP II-I-1.4'!I748</f>
        <v>0</v>
      </c>
      <c r="G748" s="17">
        <v>77</v>
      </c>
      <c r="H748" s="47" t="str">
        <f t="shared" si="254"/>
        <v>O&amp;M x565</v>
      </c>
      <c r="I748" s="17"/>
      <c r="J748" s="434">
        <f t="shared" si="255"/>
        <v>0</v>
      </c>
      <c r="K748" s="434">
        <f t="shared" si="255"/>
        <v>0</v>
      </c>
      <c r="L748" s="434">
        <f t="shared" si="255"/>
        <v>0</v>
      </c>
      <c r="M748" s="434">
        <f t="shared" si="255"/>
        <v>0</v>
      </c>
      <c r="N748" s="434">
        <f t="shared" si="255"/>
        <v>0</v>
      </c>
      <c r="O748" s="434">
        <f t="shared" si="255"/>
        <v>0</v>
      </c>
      <c r="P748" s="434">
        <f t="shared" si="255"/>
        <v>0</v>
      </c>
      <c r="Q748" s="434">
        <f t="shared" si="255"/>
        <v>0</v>
      </c>
      <c r="R748" s="434">
        <f t="shared" si="255"/>
        <v>0</v>
      </c>
      <c r="S748" s="434">
        <f t="shared" si="255"/>
        <v>0</v>
      </c>
      <c r="T748" s="17"/>
      <c r="U748" s="118">
        <f t="shared" si="256"/>
        <v>0</v>
      </c>
      <c r="V748" s="67"/>
      <c r="W748" s="726">
        <f t="shared" si="257"/>
        <v>0</v>
      </c>
    </row>
    <row r="749" spans="1:23" ht="15">
      <c r="A749" s="47"/>
      <c r="B749" s="17">
        <f t="shared" si="253"/>
        <v>5</v>
      </c>
      <c r="C749" s="1" t="s">
        <v>260</v>
      </c>
      <c r="D749" s="31" t="s">
        <v>261</v>
      </c>
      <c r="E749" s="17"/>
      <c r="F749" s="118">
        <f>' WP II-I-1.4'!I749</f>
        <v>3961483.9900000002</v>
      </c>
      <c r="G749" s="17">
        <v>77</v>
      </c>
      <c r="H749" s="47" t="str">
        <f t="shared" si="254"/>
        <v>O&amp;M x565</v>
      </c>
      <c r="I749" s="17"/>
      <c r="J749" s="434">
        <f t="shared" si="255"/>
        <v>2134248.6618295754</v>
      </c>
      <c r="K749" s="434">
        <f t="shared" si="255"/>
        <v>300317.18615474092</v>
      </c>
      <c r="L749" s="434">
        <f t="shared" si="255"/>
        <v>1063655.3741080542</v>
      </c>
      <c r="M749" s="434">
        <f t="shared" si="255"/>
        <v>12460.473057706107</v>
      </c>
      <c r="N749" s="434">
        <f t="shared" si="255"/>
        <v>289909.03089266445</v>
      </c>
      <c r="O749" s="434">
        <f t="shared" si="255"/>
        <v>12695.041234119623</v>
      </c>
      <c r="P749" s="434">
        <f t="shared" si="255"/>
        <v>33389.009272845593</v>
      </c>
      <c r="Q749" s="434">
        <f t="shared" si="255"/>
        <v>111446.43293472428</v>
      </c>
      <c r="R749" s="434">
        <f t="shared" si="255"/>
        <v>1008.2015632842208</v>
      </c>
      <c r="S749" s="434">
        <f t="shared" si="255"/>
        <v>2354.5789522850846</v>
      </c>
      <c r="T749" s="17"/>
      <c r="U749" s="118">
        <f t="shared" si="256"/>
        <v>3961483.9899999998</v>
      </c>
      <c r="V749" s="67"/>
      <c r="W749" s="726">
        <f t="shared" si="257"/>
        <v>0</v>
      </c>
    </row>
    <row r="750" spans="1:23" ht="15">
      <c r="A750" s="47"/>
      <c r="B750" s="17">
        <f t="shared" si="253"/>
        <v>6</v>
      </c>
      <c r="C750" s="1" t="s">
        <v>262</v>
      </c>
      <c r="D750" s="1" t="s">
        <v>263</v>
      </c>
      <c r="E750" s="17"/>
      <c r="F750" s="118">
        <f>' WP II-I-1.4'!I750</f>
        <v>0</v>
      </c>
      <c r="G750" s="17">
        <v>64</v>
      </c>
      <c r="H750" s="47" t="str">
        <f t="shared" si="254"/>
        <v>PLANT</v>
      </c>
      <c r="I750" s="17"/>
      <c r="J750" s="434">
        <f t="shared" si="255"/>
        <v>0</v>
      </c>
      <c r="K750" s="434">
        <f t="shared" si="255"/>
        <v>0</v>
      </c>
      <c r="L750" s="434">
        <f t="shared" si="255"/>
        <v>0</v>
      </c>
      <c r="M750" s="434">
        <f t="shared" si="255"/>
        <v>0</v>
      </c>
      <c r="N750" s="434">
        <f t="shared" si="255"/>
        <v>0</v>
      </c>
      <c r="O750" s="434">
        <f t="shared" si="255"/>
        <v>0</v>
      </c>
      <c r="P750" s="434">
        <f t="shared" si="255"/>
        <v>0</v>
      </c>
      <c r="Q750" s="434">
        <f t="shared" si="255"/>
        <v>0</v>
      </c>
      <c r="R750" s="434">
        <f t="shared" si="255"/>
        <v>0</v>
      </c>
      <c r="S750" s="434">
        <f t="shared" si="255"/>
        <v>0</v>
      </c>
      <c r="T750" s="17"/>
      <c r="U750" s="118">
        <f t="shared" si="256"/>
        <v>0</v>
      </c>
      <c r="V750" s="67"/>
      <c r="W750" s="726">
        <f t="shared" si="257"/>
        <v>0</v>
      </c>
    </row>
    <row r="751" spans="1:23" ht="15">
      <c r="A751" s="47"/>
      <c r="B751" s="17">
        <f t="shared" si="253"/>
        <v>7</v>
      </c>
      <c r="C751" s="1" t="s">
        <v>264</v>
      </c>
      <c r="D751" s="1" t="s">
        <v>265</v>
      </c>
      <c r="E751" s="17"/>
      <c r="F751" s="118">
        <f>' WP II-I-1.4'!I751</f>
        <v>0</v>
      </c>
      <c r="G751" s="17">
        <v>77</v>
      </c>
      <c r="H751" s="47" t="str">
        <f t="shared" si="254"/>
        <v>O&amp;M x565</v>
      </c>
      <c r="I751" s="17"/>
      <c r="J751" s="434">
        <f t="shared" si="255"/>
        <v>0</v>
      </c>
      <c r="K751" s="434">
        <f t="shared" si="255"/>
        <v>0</v>
      </c>
      <c r="L751" s="434">
        <f t="shared" si="255"/>
        <v>0</v>
      </c>
      <c r="M751" s="434">
        <f t="shared" si="255"/>
        <v>0</v>
      </c>
      <c r="N751" s="434">
        <f t="shared" si="255"/>
        <v>0</v>
      </c>
      <c r="O751" s="434">
        <f t="shared" si="255"/>
        <v>0</v>
      </c>
      <c r="P751" s="434">
        <f t="shared" si="255"/>
        <v>0</v>
      </c>
      <c r="Q751" s="434">
        <f t="shared" si="255"/>
        <v>0</v>
      </c>
      <c r="R751" s="434">
        <f t="shared" si="255"/>
        <v>0</v>
      </c>
      <c r="S751" s="434">
        <f t="shared" si="255"/>
        <v>0</v>
      </c>
      <c r="T751" s="17"/>
      <c r="U751" s="118">
        <f t="shared" si="256"/>
        <v>0</v>
      </c>
      <c r="V751" s="67"/>
      <c r="W751" s="726">
        <f t="shared" si="257"/>
        <v>0</v>
      </c>
    </row>
    <row r="752" spans="1:23" ht="15">
      <c r="A752" s="47"/>
      <c r="B752" s="17">
        <f t="shared" si="253"/>
        <v>8</v>
      </c>
      <c r="C752" s="1" t="s">
        <v>266</v>
      </c>
      <c r="D752" s="1" t="s">
        <v>267</v>
      </c>
      <c r="E752" s="17"/>
      <c r="F752" s="118">
        <f>' WP II-I-1.4'!I752</f>
        <v>7945424.7299999995</v>
      </c>
      <c r="G752" s="17">
        <v>88</v>
      </c>
      <c r="H752" s="47" t="str">
        <f t="shared" si="254"/>
        <v>PAYROLL</v>
      </c>
      <c r="I752" s="17"/>
      <c r="J752" s="434">
        <f t="shared" si="255"/>
        <v>4290193.5471035885</v>
      </c>
      <c r="K752" s="434">
        <f t="shared" si="255"/>
        <v>607596.25619228359</v>
      </c>
      <c r="L752" s="434">
        <f t="shared" si="255"/>
        <v>2131497.2130952594</v>
      </c>
      <c r="M752" s="434">
        <f t="shared" si="255"/>
        <v>25291.307517646732</v>
      </c>
      <c r="N752" s="434">
        <f t="shared" si="255"/>
        <v>583783.13709344703</v>
      </c>
      <c r="O752" s="434">
        <f t="shared" si="255"/>
        <v>25174.583817891737</v>
      </c>
      <c r="P752" s="434">
        <f t="shared" si="255"/>
        <v>65584.625950493952</v>
      </c>
      <c r="Q752" s="434">
        <f t="shared" si="255"/>
        <v>209469.73188653161</v>
      </c>
      <c r="R752" s="434">
        <f t="shared" si="255"/>
        <v>2049.023691260441</v>
      </c>
      <c r="S752" s="434">
        <f t="shared" si="255"/>
        <v>4785.3036515972763</v>
      </c>
      <c r="T752" s="17"/>
      <c r="U752" s="118">
        <f t="shared" si="256"/>
        <v>7945424.7300000004</v>
      </c>
      <c r="V752" s="67"/>
      <c r="W752" s="726">
        <f t="shared" si="257"/>
        <v>0</v>
      </c>
    </row>
    <row r="753" spans="1:23" ht="15">
      <c r="A753" s="47"/>
      <c r="B753" s="17">
        <f t="shared" si="253"/>
        <v>9</v>
      </c>
      <c r="C753" s="1" t="s">
        <v>268</v>
      </c>
      <c r="D753" s="1" t="s">
        <v>269</v>
      </c>
      <c r="E753" s="17"/>
      <c r="F753" s="118">
        <f>' WP II-I-1.4'!I753</f>
        <v>0</v>
      </c>
      <c r="G753" s="17">
        <v>14</v>
      </c>
      <c r="H753" s="47" t="str">
        <f t="shared" si="254"/>
        <v>REVENUE</v>
      </c>
      <c r="I753" s="17"/>
      <c r="J753" s="434">
        <f t="shared" si="255"/>
        <v>0</v>
      </c>
      <c r="K753" s="434">
        <f t="shared" si="255"/>
        <v>0</v>
      </c>
      <c r="L753" s="434">
        <f t="shared" si="255"/>
        <v>0</v>
      </c>
      <c r="M753" s="434">
        <f t="shared" si="255"/>
        <v>0</v>
      </c>
      <c r="N753" s="434">
        <f t="shared" si="255"/>
        <v>0</v>
      </c>
      <c r="O753" s="434">
        <f t="shared" si="255"/>
        <v>0</v>
      </c>
      <c r="P753" s="434">
        <f t="shared" si="255"/>
        <v>0</v>
      </c>
      <c r="Q753" s="434">
        <f t="shared" si="255"/>
        <v>0</v>
      </c>
      <c r="R753" s="434">
        <f t="shared" si="255"/>
        <v>0</v>
      </c>
      <c r="S753" s="434">
        <f t="shared" si="255"/>
        <v>0</v>
      </c>
      <c r="T753" s="17"/>
      <c r="U753" s="118">
        <f t="shared" si="256"/>
        <v>0</v>
      </c>
      <c r="V753" s="67"/>
      <c r="W753" s="726">
        <f t="shared" si="257"/>
        <v>0</v>
      </c>
    </row>
    <row r="754" spans="1:23" ht="15">
      <c r="A754" s="47"/>
      <c r="B754" s="17">
        <f t="shared" si="253"/>
        <v>10</v>
      </c>
      <c r="C754" s="28" t="s">
        <v>270</v>
      </c>
      <c r="D754" s="1" t="s">
        <v>271</v>
      </c>
      <c r="E754" s="17"/>
      <c r="F754" s="118">
        <f>' WP II-I-1.4'!I754</f>
        <v>151079.01000000001</v>
      </c>
      <c r="G754" s="17">
        <v>10</v>
      </c>
      <c r="H754" s="47" t="str">
        <f t="shared" si="254"/>
        <v>CUS U RTL</v>
      </c>
      <c r="I754" s="17"/>
      <c r="J754" s="434">
        <f t="shared" si="255"/>
        <v>128453.78909290298</v>
      </c>
      <c r="K754" s="434">
        <f t="shared" si="255"/>
        <v>12001.777320617164</v>
      </c>
      <c r="L754" s="434">
        <f t="shared" si="255"/>
        <v>8026.2058310606944</v>
      </c>
      <c r="M754" s="434">
        <f t="shared" si="255"/>
        <v>122.25310078255698</v>
      </c>
      <c r="N754" s="434">
        <f t="shared" si="255"/>
        <v>282.19532260610862</v>
      </c>
      <c r="O754" s="434">
        <f t="shared" si="255"/>
        <v>5.1250896813068065</v>
      </c>
      <c r="P754" s="434">
        <f t="shared" si="255"/>
        <v>11.156925998537126</v>
      </c>
      <c r="Q754" s="434">
        <f t="shared" si="255"/>
        <v>2176.5073163506631</v>
      </c>
      <c r="R754" s="434">
        <f t="shared" si="255"/>
        <v>0</v>
      </c>
      <c r="S754" s="434">
        <f t="shared" si="255"/>
        <v>0</v>
      </c>
      <c r="T754" s="17"/>
      <c r="U754" s="118">
        <f t="shared" si="256"/>
        <v>151079.00999999998</v>
      </c>
      <c r="V754" s="67"/>
      <c r="W754" s="726">
        <f t="shared" si="257"/>
        <v>0</v>
      </c>
    </row>
    <row r="755" spans="1:23" ht="15">
      <c r="A755" s="47"/>
      <c r="B755" s="17">
        <f t="shared" si="253"/>
        <v>11</v>
      </c>
      <c r="C755" s="1" t="s">
        <v>272</v>
      </c>
      <c r="D755" s="1" t="s">
        <v>273</v>
      </c>
      <c r="E755" s="17"/>
      <c r="F755" s="118">
        <f>' WP II-I-1.4'!I755</f>
        <v>4918017.4900000002</v>
      </c>
      <c r="G755" s="17">
        <v>77</v>
      </c>
      <c r="H755" s="47" t="str">
        <f t="shared" si="254"/>
        <v>O&amp;M x565</v>
      </c>
      <c r="I755" s="17"/>
      <c r="J755" s="434">
        <f t="shared" si="255"/>
        <v>2649580.8826648691</v>
      </c>
      <c r="K755" s="434">
        <f t="shared" si="255"/>
        <v>372831.28690786444</v>
      </c>
      <c r="L755" s="434">
        <f t="shared" si="255"/>
        <v>1320483.8758406553</v>
      </c>
      <c r="M755" s="434">
        <f t="shared" si="255"/>
        <v>15469.158675426683</v>
      </c>
      <c r="N755" s="434">
        <f t="shared" si="255"/>
        <v>359909.99535481498</v>
      </c>
      <c r="O755" s="434">
        <f t="shared" si="255"/>
        <v>15760.365303324496</v>
      </c>
      <c r="P755" s="434">
        <f t="shared" si="255"/>
        <v>41451.065305864533</v>
      </c>
      <c r="Q755" s="434">
        <f t="shared" si="255"/>
        <v>138356.10790164673</v>
      </c>
      <c r="R755" s="434">
        <f t="shared" si="255"/>
        <v>1251.6402777831597</v>
      </c>
      <c r="S755" s="434">
        <f t="shared" si="255"/>
        <v>2923.111767750429</v>
      </c>
      <c r="T755" s="17"/>
      <c r="U755" s="118">
        <f t="shared" si="256"/>
        <v>4918017.4900000002</v>
      </c>
      <c r="V755" s="67"/>
      <c r="W755" s="726">
        <f t="shared" si="257"/>
        <v>0</v>
      </c>
    </row>
    <row r="756" spans="1:23" ht="15">
      <c r="A756" s="47"/>
      <c r="B756" s="17">
        <f t="shared" si="253"/>
        <v>12</v>
      </c>
      <c r="C756" s="1" t="s">
        <v>274</v>
      </c>
      <c r="D756" s="1" t="s">
        <v>206</v>
      </c>
      <c r="E756" s="17"/>
      <c r="F756" s="118">
        <f>' WP II-I-1.4'!I756</f>
        <v>128898.60000000001</v>
      </c>
      <c r="G756" s="17">
        <v>77</v>
      </c>
      <c r="H756" s="47" t="str">
        <f t="shared" si="254"/>
        <v>O&amp;M x565</v>
      </c>
      <c r="I756" s="17"/>
      <c r="J756" s="434">
        <f t="shared" si="255"/>
        <v>69444.093490254323</v>
      </c>
      <c r="K756" s="434">
        <f t="shared" si="255"/>
        <v>9771.7080137147004</v>
      </c>
      <c r="L756" s="434">
        <f t="shared" si="255"/>
        <v>34609.173973969395</v>
      </c>
      <c r="M756" s="434">
        <f t="shared" si="255"/>
        <v>405.43835000480118</v>
      </c>
      <c r="N756" s="434">
        <f t="shared" si="255"/>
        <v>9433.0478941103065</v>
      </c>
      <c r="O756" s="434">
        <f t="shared" si="255"/>
        <v>413.07071949577448</v>
      </c>
      <c r="P756" s="434">
        <f t="shared" si="255"/>
        <v>1086.4101840423732</v>
      </c>
      <c r="Q756" s="434">
        <f t="shared" si="255"/>
        <v>3626.2393629615171</v>
      </c>
      <c r="R756" s="434">
        <f t="shared" si="255"/>
        <v>32.804820202024203</v>
      </c>
      <c r="S756" s="434">
        <f t="shared" si="255"/>
        <v>76.613191244782541</v>
      </c>
      <c r="T756" s="17"/>
      <c r="U756" s="118">
        <f t="shared" si="256"/>
        <v>128898.60000000001</v>
      </c>
      <c r="V756" s="67"/>
      <c r="W756" s="726">
        <f t="shared" si="257"/>
        <v>0</v>
      </c>
    </row>
    <row r="757" spans="1:23" ht="15">
      <c r="A757" s="47"/>
      <c r="B757" s="17">
        <f t="shared" si="253"/>
        <v>13</v>
      </c>
      <c r="C757" s="1" t="s">
        <v>275</v>
      </c>
      <c r="D757" s="1" t="s">
        <v>276</v>
      </c>
      <c r="E757" s="17"/>
      <c r="F757" s="118">
        <f>' WP II-I-1.4'!I757</f>
        <v>4.3799999999999999</v>
      </c>
      <c r="G757" s="17">
        <v>62</v>
      </c>
      <c r="H757" s="47" t="str">
        <f t="shared" si="254"/>
        <v>PLTGEN</v>
      </c>
      <c r="I757" s="17"/>
      <c r="J757" s="434">
        <f t="shared" si="255"/>
        <v>2.4403805874423115</v>
      </c>
      <c r="K757" s="434">
        <f t="shared" si="255"/>
        <v>0.37624383990292437</v>
      </c>
      <c r="L757" s="434">
        <f t="shared" si="255"/>
        <v>1.1605371396776543</v>
      </c>
      <c r="M757" s="434">
        <f t="shared" si="255"/>
        <v>0.016295703541784706</v>
      </c>
      <c r="N757" s="434">
        <f t="shared" si="255"/>
        <v>0.34004743557793432</v>
      </c>
      <c r="O757" s="434">
        <f t="shared" si="255"/>
        <v>0.011620443035500026</v>
      </c>
      <c r="P757" s="434">
        <f t="shared" si="255"/>
        <v>0.025296810608050054</v>
      </c>
      <c r="Q757" s="434">
        <f t="shared" si="255"/>
        <v>0.0051061467678046651</v>
      </c>
      <c r="R757" s="434">
        <f t="shared" si="255"/>
        <v>0.0013408203502500032</v>
      </c>
      <c r="S757" s="434">
        <f t="shared" si="255"/>
        <v>0.0031310730957858465</v>
      </c>
      <c r="T757" s="17"/>
      <c r="U757" s="118">
        <f t="shared" si="256"/>
        <v>4.379999999999999</v>
      </c>
      <c r="V757" s="67"/>
      <c r="W757" s="726">
        <f t="shared" si="257"/>
        <v>0</v>
      </c>
    </row>
    <row r="758" spans="1:23" ht="15">
      <c r="A758" s="47"/>
      <c r="B758" s="17">
        <f t="shared" si="253"/>
        <v>14</v>
      </c>
      <c r="C758" s="1" t="s">
        <v>277</v>
      </c>
      <c r="D758" s="1" t="s">
        <v>276</v>
      </c>
      <c r="E758" s="17"/>
      <c r="F758" s="118">
        <f>' WP II-I-1.4'!I758</f>
        <v>14.720000000000001</v>
      </c>
      <c r="G758" s="17">
        <v>62</v>
      </c>
      <c r="H758" s="47" t="str">
        <f t="shared" si="254"/>
        <v>PLTGEN</v>
      </c>
      <c r="I758" s="17"/>
      <c r="J758" s="434">
        <f t="shared" si="255"/>
        <v>8.2014617002627457</v>
      </c>
      <c r="K758" s="434">
        <f t="shared" si="255"/>
        <v>1.2644541834180474</v>
      </c>
      <c r="L758" s="434">
        <f t="shared" si="255"/>
        <v>3.900252670332208</v>
      </c>
      <c r="M758" s="434">
        <f t="shared" si="255"/>
        <v>0.05476546943723079</v>
      </c>
      <c r="N758" s="434">
        <f t="shared" si="255"/>
        <v>1.1428078200244736</v>
      </c>
      <c r="O758" s="434">
        <f t="shared" si="255"/>
        <v>0.039053178420675891</v>
      </c>
      <c r="P758" s="434">
        <f t="shared" si="255"/>
        <v>0.085015765331163659</v>
      </c>
      <c r="Q758" s="434">
        <f t="shared" si="255"/>
        <v>0.0171603836580102</v>
      </c>
      <c r="R758" s="434">
        <f t="shared" si="255"/>
        <v>0.0045061359716164493</v>
      </c>
      <c r="S758" s="434">
        <f t="shared" si="255"/>
        <v>0.010522693143828234</v>
      </c>
      <c r="T758" s="17"/>
      <c r="U758" s="118">
        <f t="shared" si="256"/>
        <v>14.720000000000002</v>
      </c>
      <c r="V758" s="67"/>
      <c r="W758" s="726">
        <f t="shared" si="257"/>
        <v>0</v>
      </c>
    </row>
    <row r="759" spans="1:23" ht="15.75" thickBot="1">
      <c r="A759" s="47"/>
      <c r="B759" s="17">
        <f t="shared" si="253"/>
        <v>15</v>
      </c>
      <c r="C759" s="1"/>
      <c r="D759" s="1"/>
      <c r="E759" s="17"/>
      <c r="F759" s="18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4"/>
      <c r="V759" s="67"/>
      <c r="W759" s="726">
        <f t="shared" si="257"/>
        <v>0</v>
      </c>
    </row>
    <row r="760" spans="1:23" ht="15.75">
      <c r="A760" s="47"/>
      <c r="B760" s="17">
        <f t="shared" si="253"/>
        <v>16</v>
      </c>
      <c r="C760" s="319" t="s">
        <v>657</v>
      </c>
      <c r="D760" s="861"/>
      <c r="E760" s="305"/>
      <c r="F760" s="306">
        <f>SUM(F746:F758)</f>
        <v>36701328.750000007</v>
      </c>
      <c r="G760" s="305"/>
      <c r="H760" s="305"/>
      <c r="I760" s="857"/>
      <c r="J760" s="439">
        <f t="shared" si="258" ref="J760:Q760">SUM(J746:J758)</f>
        <v>19829491.112647064</v>
      </c>
      <c r="K760" s="908">
        <f t="shared" si="258"/>
        <v>2788108.9609021735</v>
      </c>
      <c r="L760" s="908">
        <f t="shared" si="258"/>
        <v>9819896.6468709167</v>
      </c>
      <c r="M760" s="908">
        <f t="shared" si="258"/>
        <v>115387.34210281857</v>
      </c>
      <c r="N760" s="908">
        <f t="shared" si="258"/>
        <v>2677421.6240183362</v>
      </c>
      <c r="O760" s="908">
        <f>SUM(O746:O758)</f>
        <v>116847.22345031862</v>
      </c>
      <c r="P760" s="908">
        <f t="shared" si="258"/>
        <v>306688.91090360889</v>
      </c>
      <c r="Q760" s="908">
        <f t="shared" si="258"/>
        <v>1016370.8524325128</v>
      </c>
      <c r="R760" s="908">
        <f>SUM(R746:R758)</f>
        <v>9328.9807152764788</v>
      </c>
      <c r="S760" s="641">
        <f>SUM(S746:S758)</f>
        <v>21787.095956975838</v>
      </c>
      <c r="T760" s="437"/>
      <c r="U760" s="307">
        <f>SUM(I760:T760)</f>
        <v>36701328.749999993</v>
      </c>
      <c r="V760" s="67"/>
      <c r="W760" s="726">
        <f t="shared" si="257"/>
        <v>0</v>
      </c>
    </row>
    <row r="761" spans="1:23" ht="15.75">
      <c r="A761" s="47"/>
      <c r="B761" s="17">
        <f t="shared" si="253"/>
        <v>17</v>
      </c>
      <c r="C761" s="234" t="s">
        <v>1269</v>
      </c>
      <c r="D761" s="867"/>
      <c r="E761" s="868"/>
      <c r="F761" s="322">
        <f>F760-F753</f>
        <v>36701328.750000007</v>
      </c>
      <c r="G761" s="868"/>
      <c r="H761" s="868"/>
      <c r="I761" s="1073"/>
      <c r="J761" s="642">
        <f t="shared" si="259" ref="J761:S761">J760-J753</f>
        <v>19829491.112647064</v>
      </c>
      <c r="K761" s="322">
        <f t="shared" si="259"/>
        <v>2788108.9609021735</v>
      </c>
      <c r="L761" s="322">
        <f t="shared" si="259"/>
        <v>9819896.6468709167</v>
      </c>
      <c r="M761" s="322">
        <f t="shared" si="259"/>
        <v>115387.34210281857</v>
      </c>
      <c r="N761" s="322">
        <f t="shared" si="259"/>
        <v>2677421.6240183362</v>
      </c>
      <c r="O761" s="322">
        <f t="shared" si="259"/>
        <v>116847.22345031862</v>
      </c>
      <c r="P761" s="322">
        <f t="shared" si="259"/>
        <v>306688.91090360889</v>
      </c>
      <c r="Q761" s="322">
        <f t="shared" si="259"/>
        <v>1016370.8524325128</v>
      </c>
      <c r="R761" s="322">
        <f t="shared" si="259"/>
        <v>9328.9807152764788</v>
      </c>
      <c r="S761" s="323">
        <f t="shared" si="259"/>
        <v>21787.095956975838</v>
      </c>
      <c r="T761" s="1074"/>
      <c r="U761" s="325">
        <f>SUM(I761:T761)</f>
        <v>36701328.749999993</v>
      </c>
      <c r="V761" s="67"/>
      <c r="W761" s="726">
        <f t="shared" si="257"/>
        <v>0</v>
      </c>
    </row>
    <row r="762" spans="1:23" ht="16.5" thickBot="1">
      <c r="A762" s="47"/>
      <c r="B762" s="17">
        <f t="shared" si="253"/>
        <v>18</v>
      </c>
      <c r="C762" s="326" t="s">
        <v>658</v>
      </c>
      <c r="D762" s="862"/>
      <c r="E762" s="311"/>
      <c r="F762" s="312">
        <f>+F760+F730</f>
        <v>50153807.960000008</v>
      </c>
      <c r="G762" s="311"/>
      <c r="H762" s="311"/>
      <c r="I762" s="1062"/>
      <c r="J762" s="442">
        <f t="shared" si="260" ref="J762:Q762">+J760+J730</f>
        <v>27077011.442076109</v>
      </c>
      <c r="K762" s="312">
        <f t="shared" si="260"/>
        <v>3807931.510570575</v>
      </c>
      <c r="L762" s="312">
        <f t="shared" si="260"/>
        <v>13431876.865120739</v>
      </c>
      <c r="M762" s="312">
        <f t="shared" si="260"/>
        <v>157700.84259371832</v>
      </c>
      <c r="N762" s="312">
        <f t="shared" si="260"/>
        <v>3661899.9712032797</v>
      </c>
      <c r="O762" s="312">
        <f>+O760+O730</f>
        <v>159957.27481066424</v>
      </c>
      <c r="P762" s="312">
        <f t="shared" si="260"/>
        <v>420071.91439908749</v>
      </c>
      <c r="Q762" s="312">
        <f t="shared" si="260"/>
        <v>1394822.6714648642</v>
      </c>
      <c r="R762" s="312">
        <f>+R760+R730</f>
        <v>12752.649876582487</v>
      </c>
      <c r="S762" s="443">
        <f>+S760+S730</f>
        <v>29782.817884383825</v>
      </c>
      <c r="T762" s="440"/>
      <c r="U762" s="313">
        <f>SUM(I762:T762)</f>
        <v>50153807.960000008</v>
      </c>
      <c r="V762" s="67"/>
      <c r="W762" s="726">
        <f t="shared" si="257"/>
        <v>0</v>
      </c>
    </row>
    <row r="763" spans="1:23" ht="16.5" thickBot="1">
      <c r="A763" s="47"/>
      <c r="B763" s="17">
        <f t="shared" si="253"/>
        <v>19</v>
      </c>
      <c r="C763" s="8"/>
      <c r="D763" s="8"/>
      <c r="E763" s="20"/>
      <c r="F763" s="22"/>
      <c r="G763" s="20"/>
      <c r="H763" s="20"/>
      <c r="I763" s="20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0"/>
      <c r="U763" s="8"/>
      <c r="V763" s="67"/>
      <c r="W763" s="726">
        <f t="shared" si="257"/>
        <v>0</v>
      </c>
    </row>
    <row r="764" spans="1:23" ht="16.5" thickBot="1">
      <c r="A764" s="47"/>
      <c r="B764" s="17">
        <f t="shared" si="253"/>
        <v>20</v>
      </c>
      <c r="C764" s="284" t="s">
        <v>1267</v>
      </c>
      <c r="D764" s="372"/>
      <c r="E764" s="316"/>
      <c r="F764" s="255">
        <f>F762-F622</f>
        <v>50153807.960000008</v>
      </c>
      <c r="G764" s="316"/>
      <c r="H764" s="444"/>
      <c r="I764" s="445"/>
      <c r="J764" s="255">
        <f>J762-J622</f>
        <v>27077011.442076109</v>
      </c>
      <c r="K764" s="255">
        <f>K762-K622</f>
        <v>3807931.510570575</v>
      </c>
      <c r="L764" s="255">
        <f>L762-L622</f>
        <v>13431876.865120739</v>
      </c>
      <c r="M764" s="255">
        <f>M762-M622</f>
        <v>157700.84259371832</v>
      </c>
      <c r="N764" s="903">
        <f t="shared" si="261" ref="N764:S764">N762-N622</f>
        <v>3661899.9712032797</v>
      </c>
      <c r="O764" s="903">
        <f t="shared" si="261"/>
        <v>159957.27481066424</v>
      </c>
      <c r="P764" s="903">
        <f t="shared" si="261"/>
        <v>420071.91439908749</v>
      </c>
      <c r="Q764" s="903">
        <f t="shared" si="261"/>
        <v>1394822.6714648642</v>
      </c>
      <c r="R764" s="903">
        <f t="shared" si="261"/>
        <v>12752.649876582487</v>
      </c>
      <c r="S764" s="903">
        <f t="shared" si="261"/>
        <v>29782.817884383825</v>
      </c>
      <c r="T764" s="445"/>
      <c r="U764" s="256">
        <f>SUM(I764:T764)</f>
        <v>50153807.960000008</v>
      </c>
      <c r="V764" s="67"/>
      <c r="W764" s="726">
        <f t="shared" si="257"/>
        <v>0</v>
      </c>
    </row>
    <row r="765" spans="1:23" ht="15">
      <c r="A765" s="4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167"/>
    </row>
    <row r="766" spans="1:23" ht="15">
      <c r="A766" s="47"/>
      <c r="B766" s="67"/>
      <c r="C766" s="67"/>
      <c r="D766" s="67"/>
      <c r="E766" s="67"/>
      <c r="F766" s="67"/>
      <c r="G766" s="67"/>
      <c r="H766" s="134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134"/>
      <c r="V766" s="134">
        <f>$H$2</f>
        <v>0</v>
      </c>
      <c r="W766" s="167"/>
    </row>
    <row r="767" spans="1:23" ht="15.75" thickBot="1">
      <c r="A767" s="4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167"/>
    </row>
    <row r="768" spans="1:23" ht="15.75">
      <c r="A768" s="47"/>
      <c r="B768" s="920" t="str">
        <f>+$B$4</f>
        <v>2022 RATE CASE</v>
      </c>
      <c r="C768" s="935"/>
      <c r="D768" s="620"/>
      <c r="F768" s="12"/>
      <c r="U768" s="134"/>
      <c r="W768" s="167"/>
    </row>
    <row r="769" spans="1:23" ht="15.75">
      <c r="A769" s="47"/>
      <c r="B769" s="917" t="str">
        <f>+$B$5</f>
        <v>ONCOR ELECTRIC DELIVERY COMPANY LLC</v>
      </c>
      <c r="C769" s="8"/>
      <c r="D769" s="621"/>
      <c r="F769" s="12"/>
      <c r="U769" s="134"/>
      <c r="V769" s="67"/>
      <c r="W769" s="167"/>
    </row>
    <row r="770" spans="1:23" ht="15.75">
      <c r="A770" s="47"/>
      <c r="B770" s="917" t="str">
        <f>+$B$6</f>
        <v>II-I-1-TBILLTDCS:  CLASS REVENUE REQUIREMENT</v>
      </c>
      <c r="C770" s="85"/>
      <c r="D770" s="621"/>
      <c r="F770" s="12"/>
      <c r="U770" s="12"/>
      <c r="V770" s="67"/>
      <c r="W770" s="167"/>
    </row>
    <row r="771" spans="1:23" ht="15.75">
      <c r="A771" s="47"/>
      <c r="B771" s="406" t="str">
        <f>+$B$7</f>
        <v>TEST YEAR ENDING 12/31/2021</v>
      </c>
      <c r="C771" s="85"/>
      <c r="D771" s="621"/>
      <c r="F771" s="12"/>
      <c r="U771" s="12"/>
      <c r="V771" s="67"/>
      <c r="W771" s="167"/>
    </row>
    <row r="772" spans="1:23" ht="15.75">
      <c r="A772" s="47"/>
      <c r="B772" s="406" t="str">
        <f>+$B$8</f>
        <v>SPONSOR:  MATTHEW A. TROXLE</v>
      </c>
      <c r="C772" s="85"/>
      <c r="D772" s="621"/>
      <c r="F772" s="12"/>
      <c r="U772" s="12"/>
      <c r="V772" s="67"/>
      <c r="W772" s="167"/>
    </row>
    <row r="773" spans="1:23" ht="16.5" thickBot="1">
      <c r="A773" s="47"/>
      <c r="B773" s="410"/>
      <c r="C773" s="934"/>
      <c r="D773" s="622"/>
      <c r="F773" s="12"/>
      <c r="U773" s="12"/>
      <c r="V773" s="67"/>
      <c r="W773" s="167"/>
    </row>
    <row r="774" spans="1:23" ht="15.75" thickBot="1">
      <c r="A774" s="47"/>
      <c r="B774" s="13"/>
      <c r="C774" s="14"/>
      <c r="D774" s="14"/>
      <c r="E774" s="14"/>
      <c r="F774" s="13"/>
      <c r="G774" s="14"/>
      <c r="H774" s="14"/>
      <c r="I774" s="14"/>
      <c r="J774" s="238"/>
      <c r="K774" s="238"/>
      <c r="L774" s="14"/>
      <c r="M774" s="238"/>
      <c r="N774" s="238"/>
      <c r="O774" s="238"/>
      <c r="P774" s="238"/>
      <c r="Q774" s="14"/>
      <c r="R774" s="393" t="str">
        <f>R$10</f>
        <v xml:space="preserve"> </v>
      </c>
      <c r="S774" s="394"/>
      <c r="T774" s="238"/>
      <c r="U774" s="13"/>
      <c r="V774" s="67"/>
      <c r="W774" s="167"/>
    </row>
    <row r="775" spans="1:23" ht="15.75">
      <c r="A775" s="47"/>
      <c r="B775" s="15" t="s">
        <v>2</v>
      </c>
      <c r="C775" s="15" t="s">
        <v>370</v>
      </c>
      <c r="D775" s="287" t="s">
        <v>659</v>
      </c>
      <c r="E775" s="15" t="s">
        <v>371</v>
      </c>
      <c r="F775" s="287" t="str">
        <f>F$11</f>
        <v>TBILLTDCS</v>
      </c>
      <c r="G775" s="242" t="s">
        <v>741</v>
      </c>
      <c r="H775" s="242" t="s">
        <v>376</v>
      </c>
      <c r="I775" s="15"/>
      <c r="J775" s="242" t="s">
        <v>730</v>
      </c>
      <c r="K775" s="242" t="s">
        <v>409</v>
      </c>
      <c r="L775" s="15" t="s">
        <v>409</v>
      </c>
      <c r="M775" s="242" t="s">
        <v>410</v>
      </c>
      <c r="N775" s="242" t="s">
        <v>410</v>
      </c>
      <c r="O775" s="242" t="s">
        <v>410</v>
      </c>
      <c r="P775" s="242" t="s">
        <v>411</v>
      </c>
      <c r="Q775" s="15" t="s">
        <v>412</v>
      </c>
      <c r="R775" s="396" t="str">
        <f>R$11</f>
        <v>Wholesale</v>
      </c>
      <c r="S775" s="13" t="str">
        <f>S$11</f>
        <v>Wholesale</v>
      </c>
      <c r="T775" s="242"/>
      <c r="U775" s="15" t="s">
        <v>10</v>
      </c>
      <c r="V775" s="67"/>
      <c r="W775" s="167"/>
    </row>
    <row r="776" spans="1:23" ht="15">
      <c r="A776" s="47"/>
      <c r="B776" s="15"/>
      <c r="C776" s="15"/>
      <c r="D776" s="15"/>
      <c r="E776" s="15"/>
      <c r="F776" s="15"/>
      <c r="G776" s="242" t="s">
        <v>742</v>
      </c>
      <c r="H776" s="242" t="s">
        <v>743</v>
      </c>
      <c r="I776" s="15"/>
      <c r="J776" s="242"/>
      <c r="K776" s="242" t="s">
        <v>731</v>
      </c>
      <c r="L776" s="15" t="s">
        <v>732</v>
      </c>
      <c r="M776" s="242" t="s">
        <v>731</v>
      </c>
      <c r="N776" s="242" t="s">
        <v>732</v>
      </c>
      <c r="O776" s="242" t="s">
        <v>414</v>
      </c>
      <c r="P776" s="242"/>
      <c r="Q776" s="15"/>
      <c r="R776" s="235" t="str">
        <f>R$12</f>
        <v>XFMR</v>
      </c>
      <c r="S776" s="15" t="str">
        <f>S$12</f>
        <v>DLS</v>
      </c>
      <c r="T776" s="242"/>
      <c r="U776" s="15"/>
      <c r="V776" s="67"/>
      <c r="W776" s="167"/>
    </row>
    <row r="777" spans="1:23" ht="15.75" thickBot="1">
      <c r="A777" s="47"/>
      <c r="B777" s="16"/>
      <c r="C777" s="16"/>
      <c r="D777" s="16"/>
      <c r="E777" s="16"/>
      <c r="F777" s="16" t="s">
        <v>13</v>
      </c>
      <c r="G777" s="16" t="s">
        <v>14</v>
      </c>
      <c r="H777" s="16" t="s">
        <v>15</v>
      </c>
      <c r="I777" s="16"/>
      <c r="J777" s="243" t="str">
        <f t="shared" si="262" ref="J777:Q777">J$13</f>
        <v>(d)</v>
      </c>
      <c r="K777" s="243" t="str">
        <f t="shared" si="262"/>
        <v>(e)</v>
      </c>
      <c r="L777" s="16" t="str">
        <f t="shared" si="262"/>
        <v>(f)</v>
      </c>
      <c r="M777" s="243" t="str">
        <f t="shared" si="262"/>
        <v>(g)</v>
      </c>
      <c r="N777" s="243" t="str">
        <f t="shared" si="262"/>
        <v>(h)</v>
      </c>
      <c r="O777" s="243" t="str">
        <f>O$13</f>
        <v>(i)</v>
      </c>
      <c r="P777" s="243" t="str">
        <f t="shared" si="262"/>
        <v>(j)</v>
      </c>
      <c r="Q777" s="243" t="str">
        <f t="shared" si="262"/>
        <v>(k)</v>
      </c>
      <c r="R777" s="243" t="str">
        <f>R$13</f>
        <v>(l)</v>
      </c>
      <c r="S777" s="16" t="str">
        <f>S$13</f>
        <v>(m)</v>
      </c>
      <c r="T777" s="16"/>
      <c r="U777" s="16" t="s">
        <v>734</v>
      </c>
      <c r="V777" s="67"/>
      <c r="W777" s="167"/>
    </row>
    <row r="778" spans="1:23" ht="15">
      <c r="A778" s="47"/>
      <c r="B778" s="67"/>
      <c r="C778" s="100"/>
      <c r="D778" s="100"/>
      <c r="E778" s="315"/>
      <c r="F778" s="373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1"/>
      <c r="V778" s="67"/>
      <c r="W778" s="167"/>
    </row>
    <row r="779" spans="1:23" ht="15.75">
      <c r="A779" s="47"/>
      <c r="B779" s="17">
        <f t="shared" si="263" ref="B779:B803">B778+1</f>
        <v>1</v>
      </c>
      <c r="C779" s="8" t="s">
        <v>659</v>
      </c>
      <c r="D779" s="1"/>
      <c r="E779" s="20"/>
      <c r="F779" s="1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1010"/>
      <c r="U779" s="1"/>
      <c r="V779" s="67"/>
      <c r="W779" s="167"/>
    </row>
    <row r="780" spans="1:23" ht="15.75">
      <c r="A780" s="47"/>
      <c r="B780" s="17">
        <f t="shared" si="263"/>
        <v>2</v>
      </c>
      <c r="C780" s="8"/>
      <c r="D780" s="366" t="s">
        <v>660</v>
      </c>
      <c r="E780" s="20" t="s">
        <v>279</v>
      </c>
      <c r="F780" s="22"/>
      <c r="G780" s="20"/>
      <c r="H780" s="20"/>
      <c r="I780" s="1010"/>
      <c r="J780" s="1059"/>
      <c r="K780" s="1059"/>
      <c r="L780" s="1059"/>
      <c r="M780" s="1059"/>
      <c r="N780" s="1059"/>
      <c r="O780" s="1059"/>
      <c r="P780" s="1059"/>
      <c r="Q780" s="1059"/>
      <c r="R780" s="1059"/>
      <c r="S780" s="1059"/>
      <c r="T780" s="1010"/>
      <c r="U780" s="8"/>
      <c r="V780" s="67"/>
      <c r="W780" s="167"/>
    </row>
    <row r="781" spans="1:23" ht="15">
      <c r="A781" s="47"/>
      <c r="B781" s="17">
        <f t="shared" si="263"/>
        <v>3</v>
      </c>
      <c r="C781" s="1" t="s">
        <v>161</v>
      </c>
      <c r="D781" s="1" t="s">
        <v>162</v>
      </c>
      <c r="E781" s="17"/>
      <c r="F781" s="118">
        <f>' WP II-I-1.4'!I781</f>
        <v>0</v>
      </c>
      <c r="G781" s="17">
        <v>80</v>
      </c>
      <c r="H781" s="47" t="str">
        <f t="shared" si="264" ref="H781:H788">VLOOKUP(G781,FactorTable,2)</f>
        <v>PAY TR OPS</v>
      </c>
      <c r="I781" s="17"/>
      <c r="J781" s="434">
        <f t="shared" si="265" ref="J781:S788">$F781*HLOOKUP(J$1318,FactorTable,$G781+1)</f>
        <v>0</v>
      </c>
      <c r="K781" s="434">
        <f t="shared" si="265"/>
        <v>0</v>
      </c>
      <c r="L781" s="434">
        <f t="shared" si="265"/>
        <v>0</v>
      </c>
      <c r="M781" s="434">
        <f t="shared" si="265"/>
        <v>0</v>
      </c>
      <c r="N781" s="434">
        <f t="shared" si="265"/>
        <v>0</v>
      </c>
      <c r="O781" s="434">
        <f t="shared" si="265"/>
        <v>0</v>
      </c>
      <c r="P781" s="434">
        <f t="shared" si="265"/>
        <v>0</v>
      </c>
      <c r="Q781" s="434">
        <f t="shared" si="265"/>
        <v>0</v>
      </c>
      <c r="R781" s="434">
        <f t="shared" si="265"/>
        <v>0</v>
      </c>
      <c r="S781" s="434">
        <f t="shared" si="265"/>
        <v>0</v>
      </c>
      <c r="T781" s="17"/>
      <c r="U781" s="118">
        <f t="shared" si="266" ref="U781:U789">SUM(I781:T781)</f>
        <v>0</v>
      </c>
      <c r="V781" s="67"/>
      <c r="W781" s="726">
        <f t="shared" si="267" ref="W781:W804">F781-U781</f>
        <v>0</v>
      </c>
    </row>
    <row r="782" spans="1:23" ht="15">
      <c r="A782" s="47"/>
      <c r="B782" s="17">
        <f t="shared" si="263"/>
        <v>4</v>
      </c>
      <c r="C782" s="1" t="s">
        <v>163</v>
      </c>
      <c r="D782" s="1" t="s">
        <v>164</v>
      </c>
      <c r="E782" s="17"/>
      <c r="F782" s="290">
        <f>' WP II-I-1.4'!I782</f>
        <v>0</v>
      </c>
      <c r="G782" s="17">
        <v>28</v>
      </c>
      <c r="H782" s="47" t="str">
        <f t="shared" si="264"/>
        <v>NCP XHV</v>
      </c>
      <c r="I782" s="17"/>
      <c r="J782" s="434">
        <f t="shared" si="265"/>
        <v>0</v>
      </c>
      <c r="K782" s="434">
        <f t="shared" si="265"/>
        <v>0</v>
      </c>
      <c r="L782" s="434">
        <f t="shared" si="265"/>
        <v>0</v>
      </c>
      <c r="M782" s="434">
        <f t="shared" si="265"/>
        <v>0</v>
      </c>
      <c r="N782" s="434">
        <f t="shared" si="265"/>
        <v>0</v>
      </c>
      <c r="O782" s="434">
        <f t="shared" si="265"/>
        <v>0</v>
      </c>
      <c r="P782" s="434">
        <f t="shared" si="265"/>
        <v>0</v>
      </c>
      <c r="Q782" s="434">
        <f t="shared" si="265"/>
        <v>0</v>
      </c>
      <c r="R782" s="434">
        <f t="shared" si="265"/>
        <v>0</v>
      </c>
      <c r="S782" s="434">
        <f t="shared" si="265"/>
        <v>0</v>
      </c>
      <c r="T782" s="17"/>
      <c r="U782" s="118">
        <f t="shared" si="266"/>
        <v>0</v>
      </c>
      <c r="V782" s="67"/>
      <c r="W782" s="726">
        <f t="shared" si="267"/>
        <v>0</v>
      </c>
    </row>
    <row r="783" spans="1:23" ht="15">
      <c r="A783" s="47"/>
      <c r="B783" s="17">
        <f t="shared" si="263"/>
        <v>5</v>
      </c>
      <c r="C783" s="1" t="s">
        <v>165</v>
      </c>
      <c r="D783" s="1" t="s">
        <v>166</v>
      </c>
      <c r="E783" s="17"/>
      <c r="F783" s="290">
        <f>' WP II-I-1.4'!I783</f>
        <v>0</v>
      </c>
      <c r="G783" s="17">
        <v>28</v>
      </c>
      <c r="H783" s="47" t="str">
        <f t="shared" si="264"/>
        <v>NCP XHV</v>
      </c>
      <c r="I783" s="17"/>
      <c r="J783" s="434">
        <f t="shared" si="265"/>
        <v>0</v>
      </c>
      <c r="K783" s="434">
        <f t="shared" si="265"/>
        <v>0</v>
      </c>
      <c r="L783" s="434">
        <f t="shared" si="265"/>
        <v>0</v>
      </c>
      <c r="M783" s="434">
        <f t="shared" si="265"/>
        <v>0</v>
      </c>
      <c r="N783" s="434">
        <f t="shared" si="265"/>
        <v>0</v>
      </c>
      <c r="O783" s="434">
        <f t="shared" si="265"/>
        <v>0</v>
      </c>
      <c r="P783" s="434">
        <f t="shared" si="265"/>
        <v>0</v>
      </c>
      <c r="Q783" s="434">
        <f t="shared" si="265"/>
        <v>0</v>
      </c>
      <c r="R783" s="434">
        <f t="shared" si="265"/>
        <v>0</v>
      </c>
      <c r="S783" s="434">
        <f t="shared" si="265"/>
        <v>0</v>
      </c>
      <c r="T783" s="17"/>
      <c r="U783" s="118">
        <f t="shared" si="266"/>
        <v>0</v>
      </c>
      <c r="V783" s="67"/>
      <c r="W783" s="726">
        <f t="shared" si="267"/>
        <v>0</v>
      </c>
    </row>
    <row r="784" spans="1:23" ht="15">
      <c r="A784" s="47"/>
      <c r="B784" s="17">
        <f t="shared" si="263"/>
        <v>6</v>
      </c>
      <c r="C784" s="1" t="s">
        <v>167</v>
      </c>
      <c r="D784" s="1" t="s">
        <v>168</v>
      </c>
      <c r="E784" s="17"/>
      <c r="F784" s="290">
        <f>' WP II-I-1.4'!I784</f>
        <v>0</v>
      </c>
      <c r="G784" s="17">
        <v>28</v>
      </c>
      <c r="H784" s="47" t="str">
        <f t="shared" si="264"/>
        <v>NCP XHV</v>
      </c>
      <c r="I784" s="17"/>
      <c r="J784" s="434">
        <f t="shared" si="265"/>
        <v>0</v>
      </c>
      <c r="K784" s="434">
        <f t="shared" si="265"/>
        <v>0</v>
      </c>
      <c r="L784" s="434">
        <f t="shared" si="265"/>
        <v>0</v>
      </c>
      <c r="M784" s="434">
        <f t="shared" si="265"/>
        <v>0</v>
      </c>
      <c r="N784" s="434">
        <f t="shared" si="265"/>
        <v>0</v>
      </c>
      <c r="O784" s="434">
        <f t="shared" si="265"/>
        <v>0</v>
      </c>
      <c r="P784" s="434">
        <f t="shared" si="265"/>
        <v>0</v>
      </c>
      <c r="Q784" s="434">
        <f t="shared" si="265"/>
        <v>0</v>
      </c>
      <c r="R784" s="434">
        <f t="shared" si="265"/>
        <v>0</v>
      </c>
      <c r="S784" s="434">
        <f t="shared" si="265"/>
        <v>0</v>
      </c>
      <c r="T784" s="17"/>
      <c r="U784" s="118">
        <f t="shared" si="266"/>
        <v>0</v>
      </c>
      <c r="V784" s="67"/>
      <c r="W784" s="726">
        <f t="shared" si="267"/>
        <v>0</v>
      </c>
    </row>
    <row r="785" spans="1:23" ht="15">
      <c r="A785" s="47"/>
      <c r="B785" s="17">
        <f t="shared" si="263"/>
        <v>7</v>
      </c>
      <c r="C785" s="1" t="s">
        <v>169</v>
      </c>
      <c r="D785" s="1" t="s">
        <v>170</v>
      </c>
      <c r="E785" s="17"/>
      <c r="F785" s="290">
        <f>' WP II-I-1.4'!I785</f>
        <v>0</v>
      </c>
      <c r="G785" s="17">
        <v>28</v>
      </c>
      <c r="H785" s="47" t="str">
        <f t="shared" si="264"/>
        <v>NCP XHV</v>
      </c>
      <c r="I785" s="17"/>
      <c r="J785" s="434">
        <f t="shared" si="265"/>
        <v>0</v>
      </c>
      <c r="K785" s="434">
        <f t="shared" si="265"/>
        <v>0</v>
      </c>
      <c r="L785" s="434">
        <f t="shared" si="265"/>
        <v>0</v>
      </c>
      <c r="M785" s="434">
        <f t="shared" si="265"/>
        <v>0</v>
      </c>
      <c r="N785" s="434">
        <f t="shared" si="265"/>
        <v>0</v>
      </c>
      <c r="O785" s="434">
        <f t="shared" si="265"/>
        <v>0</v>
      </c>
      <c r="P785" s="434">
        <f t="shared" si="265"/>
        <v>0</v>
      </c>
      <c r="Q785" s="434">
        <f t="shared" si="265"/>
        <v>0</v>
      </c>
      <c r="R785" s="434">
        <f t="shared" si="265"/>
        <v>0</v>
      </c>
      <c r="S785" s="434">
        <f t="shared" si="265"/>
        <v>0</v>
      </c>
      <c r="T785" s="17"/>
      <c r="U785" s="118">
        <f t="shared" si="266"/>
        <v>0</v>
      </c>
      <c r="V785" s="67"/>
      <c r="W785" s="726">
        <f t="shared" si="267"/>
        <v>0</v>
      </c>
    </row>
    <row r="786" spans="1:23" ht="15.75">
      <c r="A786" s="147"/>
      <c r="B786" s="17">
        <f t="shared" si="263"/>
        <v>8</v>
      </c>
      <c r="C786" s="1" t="s">
        <v>171</v>
      </c>
      <c r="D786" s="31" t="s">
        <v>172</v>
      </c>
      <c r="E786" s="20"/>
      <c r="F786" s="290">
        <f>' WP II-I-1.4'!I786</f>
        <v>0</v>
      </c>
      <c r="G786" s="17">
        <v>23</v>
      </c>
      <c r="H786" s="47" t="str">
        <f t="shared" si="264"/>
        <v>4CP RTL</v>
      </c>
      <c r="I786" s="1010"/>
      <c r="J786" s="434">
        <f t="shared" si="265"/>
        <v>0</v>
      </c>
      <c r="K786" s="434">
        <f t="shared" si="265"/>
        <v>0</v>
      </c>
      <c r="L786" s="434">
        <f t="shared" si="265"/>
        <v>0</v>
      </c>
      <c r="M786" s="434">
        <f t="shared" si="265"/>
        <v>0</v>
      </c>
      <c r="N786" s="434">
        <f t="shared" si="265"/>
        <v>0</v>
      </c>
      <c r="O786" s="434">
        <f t="shared" si="265"/>
        <v>0</v>
      </c>
      <c r="P786" s="434">
        <f t="shared" si="265"/>
        <v>0</v>
      </c>
      <c r="Q786" s="434">
        <f t="shared" si="265"/>
        <v>0</v>
      </c>
      <c r="R786" s="434">
        <f t="shared" si="265"/>
        <v>0</v>
      </c>
      <c r="S786" s="434">
        <f t="shared" si="265"/>
        <v>0</v>
      </c>
      <c r="T786" s="1010"/>
      <c r="U786" s="299">
        <f t="shared" si="266"/>
        <v>0</v>
      </c>
      <c r="V786" s="133"/>
      <c r="W786" s="726">
        <f t="shared" si="267"/>
        <v>0</v>
      </c>
    </row>
    <row r="787" spans="1:23" ht="15">
      <c r="A787" s="47"/>
      <c r="B787" s="17">
        <f t="shared" si="263"/>
        <v>9</v>
      </c>
      <c r="C787" s="1" t="s">
        <v>173</v>
      </c>
      <c r="D787" s="31" t="s">
        <v>174</v>
      </c>
      <c r="E787" s="17"/>
      <c r="F787" s="290">
        <f>' WP II-I-1.4'!I787</f>
        <v>0</v>
      </c>
      <c r="G787" s="17">
        <v>28</v>
      </c>
      <c r="H787" s="47" t="str">
        <f t="shared" si="264"/>
        <v>NCP XHV</v>
      </c>
      <c r="I787" s="17"/>
      <c r="J787" s="434">
        <f t="shared" si="265"/>
        <v>0</v>
      </c>
      <c r="K787" s="434">
        <f t="shared" si="265"/>
        <v>0</v>
      </c>
      <c r="L787" s="434">
        <f t="shared" si="265"/>
        <v>0</v>
      </c>
      <c r="M787" s="434">
        <f t="shared" si="265"/>
        <v>0</v>
      </c>
      <c r="N787" s="434">
        <f t="shared" si="265"/>
        <v>0</v>
      </c>
      <c r="O787" s="434">
        <f t="shared" si="265"/>
        <v>0</v>
      </c>
      <c r="P787" s="434">
        <f t="shared" si="265"/>
        <v>0</v>
      </c>
      <c r="Q787" s="434">
        <f t="shared" si="265"/>
        <v>0</v>
      </c>
      <c r="R787" s="434">
        <f t="shared" si="265"/>
        <v>0</v>
      </c>
      <c r="S787" s="434">
        <f t="shared" si="265"/>
        <v>0</v>
      </c>
      <c r="T787" s="17"/>
      <c r="U787" s="118">
        <f t="shared" si="266"/>
        <v>0</v>
      </c>
      <c r="V787" s="67"/>
      <c r="W787" s="726">
        <f t="shared" si="267"/>
        <v>0</v>
      </c>
    </row>
    <row r="788" spans="1:23" ht="15">
      <c r="A788" s="47"/>
      <c r="B788" s="17">
        <f t="shared" si="263"/>
        <v>10</v>
      </c>
      <c r="C788" s="1" t="s">
        <v>175</v>
      </c>
      <c r="D788" s="1" t="s">
        <v>176</v>
      </c>
      <c r="E788" s="17"/>
      <c r="F788" s="290">
        <f>' WP II-I-1.4'!I788</f>
        <v>0</v>
      </c>
      <c r="G788" s="17">
        <v>28</v>
      </c>
      <c r="H788" s="47" t="str">
        <f t="shared" si="264"/>
        <v>NCP XHV</v>
      </c>
      <c r="I788" s="17"/>
      <c r="J788" s="435">
        <f t="shared" si="265"/>
        <v>0</v>
      </c>
      <c r="K788" s="435">
        <f t="shared" si="265"/>
        <v>0</v>
      </c>
      <c r="L788" s="435">
        <f t="shared" si="265"/>
        <v>0</v>
      </c>
      <c r="M788" s="435">
        <f t="shared" si="265"/>
        <v>0</v>
      </c>
      <c r="N788" s="435">
        <f t="shared" si="265"/>
        <v>0</v>
      </c>
      <c r="O788" s="435">
        <f t="shared" si="265"/>
        <v>0</v>
      </c>
      <c r="P788" s="435">
        <f t="shared" si="265"/>
        <v>0</v>
      </c>
      <c r="Q788" s="435">
        <f t="shared" si="265"/>
        <v>0</v>
      </c>
      <c r="R788" s="435">
        <f t="shared" si="265"/>
        <v>0</v>
      </c>
      <c r="S788" s="435">
        <f t="shared" si="265"/>
        <v>0</v>
      </c>
      <c r="T788" s="17"/>
      <c r="U788" s="118">
        <f t="shared" si="266"/>
        <v>0</v>
      </c>
      <c r="V788" s="67"/>
      <c r="W788" s="726">
        <f t="shared" si="267"/>
        <v>0</v>
      </c>
    </row>
    <row r="789" spans="1:23" ht="15.75">
      <c r="A789" s="47"/>
      <c r="B789" s="17">
        <f t="shared" si="263"/>
        <v>11</v>
      </c>
      <c r="C789" s="8"/>
      <c r="D789" s="26" t="s">
        <v>491</v>
      </c>
      <c r="E789" s="20"/>
      <c r="F789" s="22">
        <f>SUM(F781:F788)</f>
        <v>0</v>
      </c>
      <c r="G789" s="20"/>
      <c r="H789" s="20"/>
      <c r="I789" s="1010"/>
      <c r="J789" s="896">
        <f t="shared" si="268" ref="J789:Q789">SUM(J781:J788)</f>
        <v>0</v>
      </c>
      <c r="K789" s="896">
        <f t="shared" si="268"/>
        <v>0</v>
      </c>
      <c r="L789" s="896">
        <f t="shared" si="268"/>
        <v>0</v>
      </c>
      <c r="M789" s="896">
        <f t="shared" si="268"/>
        <v>0</v>
      </c>
      <c r="N789" s="896">
        <f t="shared" si="268"/>
        <v>0</v>
      </c>
      <c r="O789" s="896">
        <f>SUM(O781:O788)</f>
        <v>0</v>
      </c>
      <c r="P789" s="896">
        <f t="shared" si="268"/>
        <v>0</v>
      </c>
      <c r="Q789" s="896">
        <f t="shared" si="268"/>
        <v>0</v>
      </c>
      <c r="R789" s="896">
        <f>SUM(R781:R788)</f>
        <v>0</v>
      </c>
      <c r="S789" s="896">
        <f>SUM(S781:S788)</f>
        <v>0</v>
      </c>
      <c r="T789" s="1010"/>
      <c r="U789" s="299">
        <f t="shared" si="266"/>
        <v>0</v>
      </c>
      <c r="V789" s="67"/>
      <c r="W789" s="726">
        <f t="shared" si="267"/>
        <v>0</v>
      </c>
    </row>
    <row r="790" spans="1:23" ht="15">
      <c r="A790" s="47"/>
      <c r="B790" s="17">
        <f t="shared" si="263"/>
        <v>12</v>
      </c>
      <c r="C790" s="1"/>
      <c r="D790" s="1"/>
      <c r="E790" s="17"/>
      <c r="F790" s="19"/>
      <c r="G790" s="17"/>
      <c r="H790" s="17"/>
      <c r="I790" s="17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7"/>
      <c r="U790" s="1"/>
      <c r="V790" s="67"/>
      <c r="W790" s="726">
        <f t="shared" si="267"/>
        <v>0</v>
      </c>
    </row>
    <row r="791" spans="1:23" ht="15.75">
      <c r="A791" s="47"/>
      <c r="B791" s="17">
        <f t="shared" si="263"/>
        <v>13</v>
      </c>
      <c r="C791" s="8"/>
      <c r="D791" s="26" t="s">
        <v>661</v>
      </c>
      <c r="E791" s="20"/>
      <c r="F791" s="22">
        <f>SUM(F782:F788)</f>
        <v>0</v>
      </c>
      <c r="G791" s="20"/>
      <c r="H791" s="20"/>
      <c r="I791" s="1010"/>
      <c r="J791" s="896">
        <f t="shared" si="269" ref="J791:Q791">SUM(J782:J788)</f>
        <v>0</v>
      </c>
      <c r="K791" s="896">
        <f t="shared" si="269"/>
        <v>0</v>
      </c>
      <c r="L791" s="896">
        <f t="shared" si="269"/>
        <v>0</v>
      </c>
      <c r="M791" s="896">
        <f t="shared" si="269"/>
        <v>0</v>
      </c>
      <c r="N791" s="896">
        <f t="shared" si="269"/>
        <v>0</v>
      </c>
      <c r="O791" s="896">
        <f>SUM(O782:O788)</f>
        <v>0</v>
      </c>
      <c r="P791" s="896">
        <f t="shared" si="269"/>
        <v>0</v>
      </c>
      <c r="Q791" s="896">
        <f t="shared" si="269"/>
        <v>0</v>
      </c>
      <c r="R791" s="896">
        <f>SUM(R782:R788)</f>
        <v>0</v>
      </c>
      <c r="S791" s="896">
        <f>SUM(S782:S788)</f>
        <v>0</v>
      </c>
      <c r="T791" s="1010"/>
      <c r="U791" s="299">
        <f>SUM(I791:T791)</f>
        <v>0</v>
      </c>
      <c r="V791" s="67"/>
      <c r="W791" s="726">
        <f t="shared" si="267"/>
        <v>0</v>
      </c>
    </row>
    <row r="792" spans="1:23" ht="15">
      <c r="A792" s="47"/>
      <c r="B792" s="17">
        <f t="shared" si="263"/>
        <v>14</v>
      </c>
      <c r="C792" s="1"/>
      <c r="D792" s="1"/>
      <c r="E792" s="17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"/>
      <c r="V792" s="67"/>
      <c r="W792" s="726">
        <f t="shared" si="267"/>
        <v>0</v>
      </c>
    </row>
    <row r="793" spans="1:23" ht="15.75">
      <c r="A793" s="47"/>
      <c r="B793" s="17">
        <f t="shared" si="263"/>
        <v>15</v>
      </c>
      <c r="C793" s="8"/>
      <c r="D793" s="366" t="s">
        <v>662</v>
      </c>
      <c r="E793" s="20" t="s">
        <v>279</v>
      </c>
      <c r="F793" s="22"/>
      <c r="G793" s="20"/>
      <c r="H793" s="20"/>
      <c r="I793" s="1010"/>
      <c r="J793" s="1059"/>
      <c r="K793" s="1059"/>
      <c r="L793" s="1059"/>
      <c r="M793" s="1059"/>
      <c r="N793" s="1059"/>
      <c r="O793" s="1059"/>
      <c r="P793" s="1059"/>
      <c r="Q793" s="1059"/>
      <c r="R793" s="1059"/>
      <c r="S793" s="1059"/>
      <c r="T793" s="1010"/>
      <c r="U793" s="8"/>
      <c r="V793" s="67"/>
      <c r="W793" s="726">
        <f t="shared" si="267"/>
        <v>0</v>
      </c>
    </row>
    <row r="794" spans="1:23" ht="15">
      <c r="A794" s="47"/>
      <c r="B794" s="17">
        <f t="shared" si="263"/>
        <v>16</v>
      </c>
      <c r="C794" s="1" t="s">
        <v>178</v>
      </c>
      <c r="D794" s="1" t="s">
        <v>179</v>
      </c>
      <c r="E794" s="17"/>
      <c r="F794" s="290">
        <f>' WP II-I-1.4'!I794</f>
        <v>0</v>
      </c>
      <c r="G794" s="17">
        <v>81</v>
      </c>
      <c r="H794" s="47" t="str">
        <f t="shared" si="270" ref="H794:H799">VLOOKUP(G794,FactorTable,2)</f>
        <v>PAY TR MNT</v>
      </c>
      <c r="I794" s="17"/>
      <c r="J794" s="434">
        <f t="shared" si="271" ref="J794:S799">$F794*HLOOKUP(J$1318,FactorTable,$G794+1)</f>
        <v>0</v>
      </c>
      <c r="K794" s="434">
        <f t="shared" si="271"/>
        <v>0</v>
      </c>
      <c r="L794" s="434">
        <f t="shared" si="271"/>
        <v>0</v>
      </c>
      <c r="M794" s="434">
        <f t="shared" si="271"/>
        <v>0</v>
      </c>
      <c r="N794" s="434">
        <f t="shared" si="271"/>
        <v>0</v>
      </c>
      <c r="O794" s="434">
        <f t="shared" si="271"/>
        <v>0</v>
      </c>
      <c r="P794" s="434">
        <f t="shared" si="271"/>
        <v>0</v>
      </c>
      <c r="Q794" s="434">
        <f t="shared" si="271"/>
        <v>0</v>
      </c>
      <c r="R794" s="434">
        <f t="shared" si="271"/>
        <v>0</v>
      </c>
      <c r="S794" s="434">
        <f t="shared" si="271"/>
        <v>0</v>
      </c>
      <c r="T794" s="17"/>
      <c r="U794" s="118">
        <f t="shared" si="272" ref="U794:U800">SUM(I794:T794)</f>
        <v>0</v>
      </c>
      <c r="V794" s="67"/>
      <c r="W794" s="726">
        <f t="shared" si="267"/>
        <v>0</v>
      </c>
    </row>
    <row r="795" spans="1:23" ht="15">
      <c r="A795" s="47"/>
      <c r="B795" s="17">
        <f t="shared" si="263"/>
        <v>17</v>
      </c>
      <c r="C795" s="1" t="s">
        <v>180</v>
      </c>
      <c r="D795" s="31" t="s">
        <v>181</v>
      </c>
      <c r="E795" s="17"/>
      <c r="F795" s="290">
        <f>' WP II-I-1.4'!I795</f>
        <v>0</v>
      </c>
      <c r="G795" s="17">
        <v>28</v>
      </c>
      <c r="H795" s="47" t="str">
        <f t="shared" si="270"/>
        <v>NCP XHV</v>
      </c>
      <c r="I795" s="17"/>
      <c r="J795" s="434">
        <f t="shared" si="271"/>
        <v>0</v>
      </c>
      <c r="K795" s="434">
        <f t="shared" si="271"/>
        <v>0</v>
      </c>
      <c r="L795" s="434">
        <f t="shared" si="271"/>
        <v>0</v>
      </c>
      <c r="M795" s="434">
        <f t="shared" si="271"/>
        <v>0</v>
      </c>
      <c r="N795" s="434">
        <f t="shared" si="271"/>
        <v>0</v>
      </c>
      <c r="O795" s="434">
        <f t="shared" si="271"/>
        <v>0</v>
      </c>
      <c r="P795" s="434">
        <f t="shared" si="271"/>
        <v>0</v>
      </c>
      <c r="Q795" s="434">
        <f t="shared" si="271"/>
        <v>0</v>
      </c>
      <c r="R795" s="434">
        <f t="shared" si="271"/>
        <v>0</v>
      </c>
      <c r="S795" s="434">
        <f t="shared" si="271"/>
        <v>0</v>
      </c>
      <c r="T795" s="17"/>
      <c r="U795" s="118">
        <f t="shared" si="272"/>
        <v>0</v>
      </c>
      <c r="V795" s="67"/>
      <c r="W795" s="726">
        <f t="shared" si="267"/>
        <v>0</v>
      </c>
    </row>
    <row r="796" spans="1:23" ht="15">
      <c r="A796" s="47"/>
      <c r="B796" s="17">
        <f t="shared" si="263"/>
        <v>18</v>
      </c>
      <c r="C796" s="1" t="s">
        <v>182</v>
      </c>
      <c r="D796" s="1" t="s">
        <v>183</v>
      </c>
      <c r="E796" s="17"/>
      <c r="F796" s="290">
        <f>' WP II-I-1.4'!I796</f>
        <v>0</v>
      </c>
      <c r="G796" s="17">
        <v>28</v>
      </c>
      <c r="H796" s="47" t="str">
        <f t="shared" si="270"/>
        <v>NCP XHV</v>
      </c>
      <c r="I796" s="17"/>
      <c r="J796" s="434">
        <f t="shared" si="271"/>
        <v>0</v>
      </c>
      <c r="K796" s="434">
        <f t="shared" si="271"/>
        <v>0</v>
      </c>
      <c r="L796" s="434">
        <f t="shared" si="271"/>
        <v>0</v>
      </c>
      <c r="M796" s="434">
        <f t="shared" si="271"/>
        <v>0</v>
      </c>
      <c r="N796" s="434">
        <f t="shared" si="271"/>
        <v>0</v>
      </c>
      <c r="O796" s="434">
        <f t="shared" si="271"/>
        <v>0</v>
      </c>
      <c r="P796" s="434">
        <f t="shared" si="271"/>
        <v>0</v>
      </c>
      <c r="Q796" s="434">
        <f t="shared" si="271"/>
        <v>0</v>
      </c>
      <c r="R796" s="434">
        <f t="shared" si="271"/>
        <v>0</v>
      </c>
      <c r="S796" s="434">
        <f t="shared" si="271"/>
        <v>0</v>
      </c>
      <c r="T796" s="17"/>
      <c r="U796" s="118">
        <f t="shared" si="272"/>
        <v>0</v>
      </c>
      <c r="V796" s="67"/>
      <c r="W796" s="726">
        <f t="shared" si="267"/>
        <v>0</v>
      </c>
    </row>
    <row r="797" spans="1:23" ht="15">
      <c r="A797" s="47"/>
      <c r="B797" s="17">
        <f t="shared" si="263"/>
        <v>19</v>
      </c>
      <c r="C797" s="1" t="s">
        <v>184</v>
      </c>
      <c r="D797" s="1" t="s">
        <v>185</v>
      </c>
      <c r="E797" s="17"/>
      <c r="F797" s="290">
        <f>' WP II-I-1.4'!I797</f>
        <v>0</v>
      </c>
      <c r="G797" s="17">
        <v>28</v>
      </c>
      <c r="H797" s="47" t="str">
        <f t="shared" si="270"/>
        <v>NCP XHV</v>
      </c>
      <c r="I797" s="17"/>
      <c r="J797" s="434">
        <f t="shared" si="271"/>
        <v>0</v>
      </c>
      <c r="K797" s="434">
        <f t="shared" si="271"/>
        <v>0</v>
      </c>
      <c r="L797" s="434">
        <f t="shared" si="271"/>
        <v>0</v>
      </c>
      <c r="M797" s="434">
        <f t="shared" si="271"/>
        <v>0</v>
      </c>
      <c r="N797" s="434">
        <f t="shared" si="271"/>
        <v>0</v>
      </c>
      <c r="O797" s="434">
        <f t="shared" si="271"/>
        <v>0</v>
      </c>
      <c r="P797" s="434">
        <f t="shared" si="271"/>
        <v>0</v>
      </c>
      <c r="Q797" s="434">
        <f t="shared" si="271"/>
        <v>0</v>
      </c>
      <c r="R797" s="434">
        <f t="shared" si="271"/>
        <v>0</v>
      </c>
      <c r="S797" s="434">
        <f t="shared" si="271"/>
        <v>0</v>
      </c>
      <c r="T797" s="17"/>
      <c r="U797" s="118">
        <f t="shared" si="272"/>
        <v>0</v>
      </c>
      <c r="V797" s="67"/>
      <c r="W797" s="726">
        <f t="shared" si="267"/>
        <v>0</v>
      </c>
    </row>
    <row r="798" spans="1:23" ht="15">
      <c r="A798" s="47"/>
      <c r="B798" s="17">
        <f t="shared" si="263"/>
        <v>20</v>
      </c>
      <c r="C798" s="1" t="s">
        <v>186</v>
      </c>
      <c r="D798" s="31" t="s">
        <v>187</v>
      </c>
      <c r="E798" s="17"/>
      <c r="F798" s="290">
        <f>' WP II-I-1.4'!I798</f>
        <v>0</v>
      </c>
      <c r="G798" s="17">
        <v>28</v>
      </c>
      <c r="H798" s="47" t="str">
        <f t="shared" si="270"/>
        <v>NCP XHV</v>
      </c>
      <c r="I798" s="17"/>
      <c r="J798" s="434">
        <f t="shared" si="271"/>
        <v>0</v>
      </c>
      <c r="K798" s="434">
        <f t="shared" si="271"/>
        <v>0</v>
      </c>
      <c r="L798" s="434">
        <f t="shared" si="271"/>
        <v>0</v>
      </c>
      <c r="M798" s="434">
        <f t="shared" si="271"/>
        <v>0</v>
      </c>
      <c r="N798" s="434">
        <f t="shared" si="271"/>
        <v>0</v>
      </c>
      <c r="O798" s="434">
        <f t="shared" si="271"/>
        <v>0</v>
      </c>
      <c r="P798" s="434">
        <f t="shared" si="271"/>
        <v>0</v>
      </c>
      <c r="Q798" s="434">
        <f t="shared" si="271"/>
        <v>0</v>
      </c>
      <c r="R798" s="434">
        <f t="shared" si="271"/>
        <v>0</v>
      </c>
      <c r="S798" s="434">
        <f t="shared" si="271"/>
        <v>0</v>
      </c>
      <c r="T798" s="17"/>
      <c r="U798" s="118">
        <f t="shared" si="272"/>
        <v>0</v>
      </c>
      <c r="V798" s="67"/>
      <c r="W798" s="726">
        <f t="shared" si="267"/>
        <v>0</v>
      </c>
    </row>
    <row r="799" spans="1:23" ht="15">
      <c r="A799" s="47"/>
      <c r="B799" s="17">
        <f t="shared" si="263"/>
        <v>21</v>
      </c>
      <c r="C799" s="1" t="s">
        <v>188</v>
      </c>
      <c r="D799" s="31" t="s">
        <v>189</v>
      </c>
      <c r="E799" s="17"/>
      <c r="F799" s="290">
        <f>' WP II-I-1.4'!I799</f>
        <v>0</v>
      </c>
      <c r="G799" s="17">
        <v>28</v>
      </c>
      <c r="H799" s="47" t="str">
        <f t="shared" si="270"/>
        <v>NCP XHV</v>
      </c>
      <c r="I799" s="17"/>
      <c r="J799" s="435">
        <f t="shared" si="271"/>
        <v>0</v>
      </c>
      <c r="K799" s="435">
        <f t="shared" si="271"/>
        <v>0</v>
      </c>
      <c r="L799" s="435">
        <f t="shared" si="271"/>
        <v>0</v>
      </c>
      <c r="M799" s="435">
        <f t="shared" si="271"/>
        <v>0</v>
      </c>
      <c r="N799" s="435">
        <f t="shared" si="271"/>
        <v>0</v>
      </c>
      <c r="O799" s="435">
        <f t="shared" si="271"/>
        <v>0</v>
      </c>
      <c r="P799" s="435">
        <f t="shared" si="271"/>
        <v>0</v>
      </c>
      <c r="Q799" s="435">
        <f t="shared" si="271"/>
        <v>0</v>
      </c>
      <c r="R799" s="435">
        <f t="shared" si="271"/>
        <v>0</v>
      </c>
      <c r="S799" s="435">
        <f t="shared" si="271"/>
        <v>0</v>
      </c>
      <c r="T799" s="17"/>
      <c r="U799" s="118">
        <f t="shared" si="272"/>
        <v>0</v>
      </c>
      <c r="V799" s="67"/>
      <c r="W799" s="726">
        <f t="shared" si="267"/>
        <v>0</v>
      </c>
    </row>
    <row r="800" spans="1:23" ht="15.75">
      <c r="A800" s="47"/>
      <c r="B800" s="17">
        <f t="shared" si="263"/>
        <v>22</v>
      </c>
      <c r="C800" s="8"/>
      <c r="D800" s="26" t="s">
        <v>491</v>
      </c>
      <c r="E800" s="20"/>
      <c r="F800" s="22">
        <f>SUM(F794:F799)</f>
        <v>0</v>
      </c>
      <c r="G800" s="20"/>
      <c r="H800" s="20"/>
      <c r="I800" s="1010"/>
      <c r="J800" s="896">
        <f t="shared" si="273" ref="J800:Q800">SUM(J794:J799)</f>
        <v>0</v>
      </c>
      <c r="K800" s="896">
        <f t="shared" si="273"/>
        <v>0</v>
      </c>
      <c r="L800" s="896">
        <f t="shared" si="273"/>
        <v>0</v>
      </c>
      <c r="M800" s="896">
        <f t="shared" si="273"/>
        <v>0</v>
      </c>
      <c r="N800" s="896">
        <f t="shared" si="273"/>
        <v>0</v>
      </c>
      <c r="O800" s="896">
        <f>SUM(O794:O799)</f>
        <v>0</v>
      </c>
      <c r="P800" s="896">
        <f t="shared" si="273"/>
        <v>0</v>
      </c>
      <c r="Q800" s="896">
        <f t="shared" si="273"/>
        <v>0</v>
      </c>
      <c r="R800" s="896">
        <f>SUM(R794:R799)</f>
        <v>0</v>
      </c>
      <c r="S800" s="896">
        <f>SUM(S794:S799)</f>
        <v>0</v>
      </c>
      <c r="T800" s="1010"/>
      <c r="U800" s="299">
        <f t="shared" si="272"/>
        <v>0</v>
      </c>
      <c r="V800" s="67"/>
      <c r="W800" s="726">
        <f t="shared" si="267"/>
        <v>0</v>
      </c>
    </row>
    <row r="801" spans="1:23" ht="15">
      <c r="A801" s="47"/>
      <c r="B801" s="17">
        <f t="shared" si="263"/>
        <v>23</v>
      </c>
      <c r="C801" s="1"/>
      <c r="D801" s="1"/>
      <c r="E801" s="17"/>
      <c r="F801" s="19"/>
      <c r="G801" s="17"/>
      <c r="H801" s="17"/>
      <c r="I801" s="17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7"/>
      <c r="U801" s="1"/>
      <c r="V801" s="67"/>
      <c r="W801" s="726">
        <f t="shared" si="267"/>
        <v>0</v>
      </c>
    </row>
    <row r="802" spans="1:23" ht="15.75">
      <c r="A802" s="47"/>
      <c r="B802" s="17">
        <f t="shared" si="263"/>
        <v>24</v>
      </c>
      <c r="C802" s="8"/>
      <c r="D802" s="26" t="s">
        <v>663</v>
      </c>
      <c r="E802" s="20"/>
      <c r="F802" s="22">
        <f>SUM(F795:F799)</f>
        <v>0</v>
      </c>
      <c r="G802" s="20"/>
      <c r="H802" s="20"/>
      <c r="I802" s="20"/>
      <c r="J802" s="22">
        <f t="shared" si="274" ref="J802:Q802">SUM(J795:J799)</f>
        <v>0</v>
      </c>
      <c r="K802" s="22">
        <f t="shared" si="274"/>
        <v>0</v>
      </c>
      <c r="L802" s="22">
        <f t="shared" si="274"/>
        <v>0</v>
      </c>
      <c r="M802" s="22">
        <f t="shared" si="274"/>
        <v>0</v>
      </c>
      <c r="N802" s="22">
        <f t="shared" si="274"/>
        <v>0</v>
      </c>
      <c r="O802" s="22">
        <f>SUM(O795:O799)</f>
        <v>0</v>
      </c>
      <c r="P802" s="22">
        <f t="shared" si="274"/>
        <v>0</v>
      </c>
      <c r="Q802" s="22">
        <f t="shared" si="274"/>
        <v>0</v>
      </c>
      <c r="R802" s="22">
        <f>SUM(R795:R799)</f>
        <v>0</v>
      </c>
      <c r="S802" s="22">
        <f>SUM(S795:S799)</f>
        <v>0</v>
      </c>
      <c r="T802" s="20"/>
      <c r="U802" s="299">
        <f>SUM(I802:T802)</f>
        <v>0</v>
      </c>
      <c r="V802" s="67"/>
      <c r="W802" s="726">
        <f t="shared" si="267"/>
        <v>0</v>
      </c>
    </row>
    <row r="803" spans="1:23" ht="15.75" thickBot="1">
      <c r="A803" s="47"/>
      <c r="B803" s="17">
        <f t="shared" si="263"/>
        <v>25</v>
      </c>
      <c r="C803" s="1"/>
      <c r="D803" s="1"/>
      <c r="E803" s="17"/>
      <c r="F803" s="19"/>
      <c r="G803" s="17"/>
      <c r="H803" s="17"/>
      <c r="I803" s="17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7"/>
      <c r="U803" s="1"/>
      <c r="V803" s="67"/>
      <c r="W803" s="726">
        <f t="shared" si="267"/>
        <v>0</v>
      </c>
    </row>
    <row r="804" spans="1:23" ht="16.5" thickBot="1">
      <c r="A804" s="47"/>
      <c r="B804" s="17">
        <f>B801+1</f>
        <v>24</v>
      </c>
      <c r="C804" s="870" t="s">
        <v>664</v>
      </c>
      <c r="D804" s="1017"/>
      <c r="E804" s="1013"/>
      <c r="F804" s="1014">
        <f>+F800+F789</f>
        <v>0</v>
      </c>
      <c r="G804" s="1013"/>
      <c r="H804" s="1013"/>
      <c r="I804" s="1016"/>
      <c r="J804" s="1014">
        <f t="shared" si="275" ref="J804:Q804">+J800+J789</f>
        <v>0</v>
      </c>
      <c r="K804" s="1014">
        <f t="shared" si="275"/>
        <v>0</v>
      </c>
      <c r="L804" s="1014">
        <f t="shared" si="275"/>
        <v>0</v>
      </c>
      <c r="M804" s="1014">
        <f t="shared" si="275"/>
        <v>0</v>
      </c>
      <c r="N804" s="1014">
        <f t="shared" si="275"/>
        <v>0</v>
      </c>
      <c r="O804" s="1014">
        <f>+O800+O789</f>
        <v>0</v>
      </c>
      <c r="P804" s="1014">
        <f t="shared" si="275"/>
        <v>0</v>
      </c>
      <c r="Q804" s="1014">
        <f t="shared" si="275"/>
        <v>0</v>
      </c>
      <c r="R804" s="1014">
        <f>+R800+R789</f>
        <v>0</v>
      </c>
      <c r="S804" s="1014">
        <f>+S800+S789</f>
        <v>0</v>
      </c>
      <c r="T804" s="1016"/>
      <c r="U804" s="1015">
        <f>SUM(I804:T804)</f>
        <v>0</v>
      </c>
      <c r="V804" s="67"/>
      <c r="W804" s="726">
        <f t="shared" si="267"/>
        <v>0</v>
      </c>
    </row>
    <row r="805" spans="1:23" ht="15">
      <c r="A805" s="47"/>
      <c r="B805" s="17"/>
      <c r="C805" s="1"/>
      <c r="D805" s="1"/>
      <c r="E805" s="17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"/>
      <c r="V805" s="67"/>
      <c r="W805" s="167"/>
    </row>
    <row r="806" spans="1:23" ht="15">
      <c r="A806" s="47"/>
      <c r="B806" s="17"/>
      <c r="C806" s="1"/>
      <c r="D806" s="1"/>
      <c r="E806" s="17"/>
      <c r="F806" s="19"/>
      <c r="G806" s="17"/>
      <c r="H806" s="13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34"/>
      <c r="V806" s="134">
        <f>$H$2</f>
        <v>0</v>
      </c>
      <c r="W806" s="167"/>
    </row>
    <row r="807" spans="1:23" ht="15.75" thickBot="1">
      <c r="A807" s="47"/>
      <c r="B807" s="17"/>
      <c r="C807" s="1"/>
      <c r="D807" s="1"/>
      <c r="E807" s="17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"/>
      <c r="V807" s="67"/>
      <c r="W807" s="167"/>
    </row>
    <row r="808" spans="1:23" ht="15.75">
      <c r="A808" s="47"/>
      <c r="B808" s="920" t="str">
        <f>+$B$4</f>
        <v>2022 RATE CASE</v>
      </c>
      <c r="C808" s="935"/>
      <c r="D808" s="620"/>
      <c r="F808" s="12"/>
      <c r="U808" s="134"/>
      <c r="W808" s="167"/>
    </row>
    <row r="809" spans="1:23" ht="15.75">
      <c r="A809" s="47"/>
      <c r="B809" s="917" t="str">
        <f>+$B$5</f>
        <v>ONCOR ELECTRIC DELIVERY COMPANY LLC</v>
      </c>
      <c r="C809" s="8"/>
      <c r="D809" s="621"/>
      <c r="F809" s="12"/>
      <c r="U809" s="134"/>
      <c r="V809" s="67"/>
      <c r="W809" s="167"/>
    </row>
    <row r="810" spans="1:23" ht="15.75">
      <c r="A810" s="47"/>
      <c r="B810" s="917" t="str">
        <f>+$B$6</f>
        <v>II-I-1-TBILLTDCS:  CLASS REVENUE REQUIREMENT</v>
      </c>
      <c r="C810" s="85"/>
      <c r="D810" s="621"/>
      <c r="F810" s="12"/>
      <c r="U810" s="12"/>
      <c r="V810" s="67"/>
      <c r="W810" s="167"/>
    </row>
    <row r="811" spans="1:23" ht="15.75">
      <c r="A811" s="47"/>
      <c r="B811" s="406" t="str">
        <f>+$B$7</f>
        <v>TEST YEAR ENDING 12/31/2021</v>
      </c>
      <c r="C811" s="85"/>
      <c r="D811" s="621"/>
      <c r="F811" s="12"/>
      <c r="U811" s="12"/>
      <c r="V811" s="67"/>
      <c r="W811" s="167"/>
    </row>
    <row r="812" spans="1:23" ht="15.75">
      <c r="A812" s="47"/>
      <c r="B812" s="406" t="str">
        <f>+$B$8</f>
        <v>SPONSOR:  MATTHEW A. TROXLE</v>
      </c>
      <c r="C812" s="85"/>
      <c r="D812" s="621"/>
      <c r="F812" s="12"/>
      <c r="U812" s="12"/>
      <c r="V812" s="67"/>
      <c r="W812" s="167"/>
    </row>
    <row r="813" spans="1:23" ht="16.5" thickBot="1">
      <c r="A813" s="47"/>
      <c r="B813" s="410"/>
      <c r="C813" s="934"/>
      <c r="D813" s="622"/>
      <c r="F813" s="12"/>
      <c r="U813" s="12"/>
      <c r="V813" s="67"/>
      <c r="W813" s="167"/>
    </row>
    <row r="814" spans="1:23" ht="15.75" thickBot="1">
      <c r="A814" s="47"/>
      <c r="B814" s="13"/>
      <c r="C814" s="14"/>
      <c r="D814" s="14"/>
      <c r="E814" s="14"/>
      <c r="F814" s="13"/>
      <c r="G814" s="14"/>
      <c r="H814" s="14"/>
      <c r="I814" s="14"/>
      <c r="J814" s="238"/>
      <c r="K814" s="238"/>
      <c r="L814" s="14"/>
      <c r="M814" s="238"/>
      <c r="N814" s="238"/>
      <c r="O814" s="238"/>
      <c r="P814" s="238"/>
      <c r="Q814" s="14"/>
      <c r="R814" s="393" t="str">
        <f>R$10</f>
        <v xml:space="preserve"> </v>
      </c>
      <c r="S814" s="394"/>
      <c r="T814" s="238"/>
      <c r="U814" s="13"/>
      <c r="V814" s="67"/>
      <c r="W814" s="167"/>
    </row>
    <row r="815" spans="1:23" ht="15.75">
      <c r="A815" s="47"/>
      <c r="B815" s="15" t="s">
        <v>2</v>
      </c>
      <c r="C815" s="15" t="s">
        <v>370</v>
      </c>
      <c r="D815" s="287" t="s">
        <v>665</v>
      </c>
      <c r="E815" s="15" t="s">
        <v>371</v>
      </c>
      <c r="F815" s="287" t="str">
        <f>F$11</f>
        <v>TBILLTDCS</v>
      </c>
      <c r="G815" s="242" t="s">
        <v>741</v>
      </c>
      <c r="H815" s="242" t="s">
        <v>376</v>
      </c>
      <c r="I815" s="15"/>
      <c r="J815" s="242" t="s">
        <v>730</v>
      </c>
      <c r="K815" s="242" t="s">
        <v>409</v>
      </c>
      <c r="L815" s="15" t="s">
        <v>409</v>
      </c>
      <c r="M815" s="242" t="s">
        <v>410</v>
      </c>
      <c r="N815" s="242" t="s">
        <v>410</v>
      </c>
      <c r="O815" s="242" t="s">
        <v>410</v>
      </c>
      <c r="P815" s="242" t="s">
        <v>411</v>
      </c>
      <c r="Q815" s="15" t="s">
        <v>412</v>
      </c>
      <c r="R815" s="396" t="str">
        <f>R$11</f>
        <v>Wholesale</v>
      </c>
      <c r="S815" s="13" t="str">
        <f>S$11</f>
        <v>Wholesale</v>
      </c>
      <c r="T815" s="242"/>
      <c r="U815" s="15" t="s">
        <v>10</v>
      </c>
      <c r="V815" s="67"/>
      <c r="W815" s="167"/>
    </row>
    <row r="816" spans="1:23" ht="15">
      <c r="A816" s="47"/>
      <c r="B816" s="15"/>
      <c r="C816" s="15"/>
      <c r="D816" s="15"/>
      <c r="E816" s="15"/>
      <c r="F816" s="15"/>
      <c r="G816" s="242" t="s">
        <v>742</v>
      </c>
      <c r="H816" s="242" t="s">
        <v>743</v>
      </c>
      <c r="I816" s="15"/>
      <c r="J816" s="242"/>
      <c r="K816" s="242" t="s">
        <v>731</v>
      </c>
      <c r="L816" s="15" t="s">
        <v>732</v>
      </c>
      <c r="M816" s="242" t="s">
        <v>731</v>
      </c>
      <c r="N816" s="242" t="s">
        <v>732</v>
      </c>
      <c r="O816" s="242" t="s">
        <v>414</v>
      </c>
      <c r="P816" s="242"/>
      <c r="Q816" s="15"/>
      <c r="R816" s="235" t="str">
        <f>R$12</f>
        <v>XFMR</v>
      </c>
      <c r="S816" s="15" t="str">
        <f>S$12</f>
        <v>DLS</v>
      </c>
      <c r="T816" s="242"/>
      <c r="U816" s="15"/>
      <c r="V816" s="67"/>
      <c r="W816" s="167"/>
    </row>
    <row r="817" spans="1:23" ht="15.75" thickBot="1">
      <c r="A817" s="47"/>
      <c r="B817" s="16"/>
      <c r="C817" s="16"/>
      <c r="D817" s="16"/>
      <c r="E817" s="16"/>
      <c r="F817" s="16" t="s">
        <v>13</v>
      </c>
      <c r="G817" s="16" t="s">
        <v>14</v>
      </c>
      <c r="H817" s="16" t="s">
        <v>15</v>
      </c>
      <c r="I817" s="16"/>
      <c r="J817" s="243" t="str">
        <f t="shared" si="276" ref="J817:Q817">J$13</f>
        <v>(d)</v>
      </c>
      <c r="K817" s="243" t="str">
        <f t="shared" si="276"/>
        <v>(e)</v>
      </c>
      <c r="L817" s="16" t="str">
        <f t="shared" si="276"/>
        <v>(f)</v>
      </c>
      <c r="M817" s="243" t="str">
        <f t="shared" si="276"/>
        <v>(g)</v>
      </c>
      <c r="N817" s="243" t="str">
        <f t="shared" si="276"/>
        <v>(h)</v>
      </c>
      <c r="O817" s="243" t="str">
        <f>O$13</f>
        <v>(i)</v>
      </c>
      <c r="P817" s="243" t="str">
        <f t="shared" si="276"/>
        <v>(j)</v>
      </c>
      <c r="Q817" s="243" t="str">
        <f t="shared" si="276"/>
        <v>(k)</v>
      </c>
      <c r="R817" s="243" t="str">
        <f>R$13</f>
        <v>(l)</v>
      </c>
      <c r="S817" s="16" t="str">
        <f>S$13</f>
        <v>(m)</v>
      </c>
      <c r="T817" s="16"/>
      <c r="U817" s="16" t="s">
        <v>734</v>
      </c>
      <c r="V817" s="67"/>
      <c r="W817" s="167"/>
    </row>
    <row r="818" spans="1:23" ht="15">
      <c r="A818" s="47"/>
      <c r="B818" s="67"/>
      <c r="C818" s="100"/>
      <c r="D818" s="100"/>
      <c r="E818" s="315"/>
      <c r="F818" s="373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1"/>
      <c r="V818" s="67"/>
      <c r="W818" s="167"/>
    </row>
    <row r="819" spans="1:23" ht="15.75">
      <c r="A819" s="47"/>
      <c r="B819" s="17">
        <f>B805+1</f>
        <v>1</v>
      </c>
      <c r="C819" s="8" t="s">
        <v>665</v>
      </c>
      <c r="D819" s="8"/>
      <c r="E819" s="20"/>
      <c r="F819" s="22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8"/>
      <c r="V819" s="67"/>
      <c r="W819" s="167"/>
    </row>
    <row r="820" spans="1:23" ht="15.75">
      <c r="A820" s="47"/>
      <c r="B820" s="17">
        <f t="shared" si="277" ref="B820:B851">B819+1</f>
        <v>2</v>
      </c>
      <c r="C820" s="8"/>
      <c r="D820" s="366" t="s">
        <v>660</v>
      </c>
      <c r="E820" s="20" t="s">
        <v>279</v>
      </c>
      <c r="F820" s="22"/>
      <c r="G820" s="20"/>
      <c r="H820" s="20"/>
      <c r="I820" s="1010"/>
      <c r="J820" s="1059"/>
      <c r="K820" s="1059"/>
      <c r="L820" s="1059"/>
      <c r="M820" s="1059"/>
      <c r="N820" s="1059"/>
      <c r="O820" s="1059"/>
      <c r="P820" s="1059"/>
      <c r="Q820" s="1059"/>
      <c r="R820" s="1059"/>
      <c r="S820" s="1059"/>
      <c r="T820" s="1010"/>
      <c r="U820" s="8"/>
      <c r="V820" s="67"/>
      <c r="W820" s="167"/>
    </row>
    <row r="821" spans="1:23" ht="15">
      <c r="A821" s="47"/>
      <c r="B821" s="17">
        <f t="shared" si="277"/>
        <v>3</v>
      </c>
      <c r="C821" s="1" t="s">
        <v>192</v>
      </c>
      <c r="D821" s="1" t="s">
        <v>193</v>
      </c>
      <c r="E821" s="17"/>
      <c r="F821" s="290">
        <f>' WP II-I-1.4'!I821</f>
        <v>0</v>
      </c>
      <c r="G821" s="17">
        <v>28</v>
      </c>
      <c r="H821" s="47" t="str">
        <f t="shared" si="278" ref="H821:H829">VLOOKUP(G821,FactorTable,2)</f>
        <v>NCP XHV</v>
      </c>
      <c r="I821" s="17"/>
      <c r="J821" s="434">
        <f t="shared" si="279" ref="J821:S829">$F821*HLOOKUP(J$1318,FactorTable,$G821+1)</f>
        <v>0</v>
      </c>
      <c r="K821" s="434">
        <f t="shared" si="279"/>
        <v>0</v>
      </c>
      <c r="L821" s="434">
        <f t="shared" si="279"/>
        <v>0</v>
      </c>
      <c r="M821" s="434">
        <f t="shared" si="279"/>
        <v>0</v>
      </c>
      <c r="N821" s="434">
        <f t="shared" si="279"/>
        <v>0</v>
      </c>
      <c r="O821" s="434">
        <f t="shared" si="279"/>
        <v>0</v>
      </c>
      <c r="P821" s="434">
        <f t="shared" si="279"/>
        <v>0</v>
      </c>
      <c r="Q821" s="434">
        <f t="shared" si="279"/>
        <v>0</v>
      </c>
      <c r="R821" s="434">
        <f t="shared" si="279"/>
        <v>0</v>
      </c>
      <c r="S821" s="434">
        <f t="shared" si="279"/>
        <v>0</v>
      </c>
      <c r="T821" s="17"/>
      <c r="U821" s="118">
        <f t="shared" si="280" ref="U821:U830">SUM(I821:T821)</f>
        <v>0</v>
      </c>
      <c r="V821" s="67"/>
      <c r="W821" s="726">
        <f t="shared" si="281" ref="W821:W851">F821-U821</f>
        <v>0</v>
      </c>
    </row>
    <row r="822" spans="1:23" ht="15">
      <c r="A822" s="47"/>
      <c r="B822" s="17">
        <f t="shared" si="277"/>
        <v>4</v>
      </c>
      <c r="C822" s="1" t="s">
        <v>194</v>
      </c>
      <c r="D822" s="1" t="s">
        <v>166</v>
      </c>
      <c r="E822" s="17"/>
      <c r="F822" s="118">
        <f>' WP II-I-1.4'!I822</f>
        <v>0</v>
      </c>
      <c r="G822" s="17">
        <v>44</v>
      </c>
      <c r="H822" s="47" t="str">
        <f t="shared" si="278"/>
        <v>PLT 362</v>
      </c>
      <c r="I822" s="17"/>
      <c r="J822" s="434">
        <f t="shared" si="279"/>
        <v>0</v>
      </c>
      <c r="K822" s="434">
        <f t="shared" si="279"/>
        <v>0</v>
      </c>
      <c r="L822" s="434">
        <f t="shared" si="279"/>
        <v>0</v>
      </c>
      <c r="M822" s="434">
        <f t="shared" si="279"/>
        <v>0</v>
      </c>
      <c r="N822" s="434">
        <f t="shared" si="279"/>
        <v>0</v>
      </c>
      <c r="O822" s="434">
        <f t="shared" si="279"/>
        <v>0</v>
      </c>
      <c r="P822" s="434">
        <f t="shared" si="279"/>
        <v>0</v>
      </c>
      <c r="Q822" s="434">
        <f t="shared" si="279"/>
        <v>0</v>
      </c>
      <c r="R822" s="434">
        <f t="shared" si="279"/>
        <v>0</v>
      </c>
      <c r="S822" s="434">
        <f t="shared" si="279"/>
        <v>0</v>
      </c>
      <c r="T822" s="17"/>
      <c r="U822" s="118">
        <f t="shared" si="280"/>
        <v>0</v>
      </c>
      <c r="V822" s="67"/>
      <c r="W822" s="726">
        <f t="shared" si="281"/>
        <v>0</v>
      </c>
    </row>
    <row r="823" spans="1:23" ht="15">
      <c r="A823" s="47"/>
      <c r="B823" s="17">
        <f t="shared" si="277"/>
        <v>5</v>
      </c>
      <c r="C823" s="1" t="s">
        <v>195</v>
      </c>
      <c r="D823" s="1" t="s">
        <v>168</v>
      </c>
      <c r="E823" s="17"/>
      <c r="F823" s="118">
        <f>' WP II-I-1.4'!I823</f>
        <v>0</v>
      </c>
      <c r="G823" s="17">
        <v>46</v>
      </c>
      <c r="H823" s="47" t="str">
        <f t="shared" si="278"/>
        <v>PLT 365</v>
      </c>
      <c r="I823" s="17"/>
      <c r="J823" s="434">
        <f t="shared" si="279"/>
        <v>0</v>
      </c>
      <c r="K823" s="434">
        <f t="shared" si="279"/>
        <v>0</v>
      </c>
      <c r="L823" s="434">
        <f t="shared" si="279"/>
        <v>0</v>
      </c>
      <c r="M823" s="434">
        <f t="shared" si="279"/>
        <v>0</v>
      </c>
      <c r="N823" s="434">
        <f t="shared" si="279"/>
        <v>0</v>
      </c>
      <c r="O823" s="434">
        <f t="shared" si="279"/>
        <v>0</v>
      </c>
      <c r="P823" s="434">
        <f t="shared" si="279"/>
        <v>0</v>
      </c>
      <c r="Q823" s="434">
        <f t="shared" si="279"/>
        <v>0</v>
      </c>
      <c r="R823" s="434">
        <f t="shared" si="279"/>
        <v>0</v>
      </c>
      <c r="S823" s="434">
        <f t="shared" si="279"/>
        <v>0</v>
      </c>
      <c r="T823" s="17"/>
      <c r="U823" s="118">
        <f t="shared" si="280"/>
        <v>0</v>
      </c>
      <c r="V823" s="67"/>
      <c r="W823" s="726">
        <f t="shared" si="281"/>
        <v>0</v>
      </c>
    </row>
    <row r="824" spans="1:23" ht="15">
      <c r="A824" s="47"/>
      <c r="B824" s="17">
        <f t="shared" si="277"/>
        <v>6</v>
      </c>
      <c r="C824" s="1" t="s">
        <v>196</v>
      </c>
      <c r="D824" s="1" t="s">
        <v>170</v>
      </c>
      <c r="E824" s="17"/>
      <c r="F824" s="118">
        <f>' WP II-I-1.4'!I824</f>
        <v>0</v>
      </c>
      <c r="G824" s="17">
        <v>48</v>
      </c>
      <c r="H824" s="47" t="str">
        <f t="shared" si="278"/>
        <v>PLT 367</v>
      </c>
      <c r="I824" s="17"/>
      <c r="J824" s="434">
        <f t="shared" si="279"/>
        <v>0</v>
      </c>
      <c r="K824" s="434">
        <f t="shared" si="279"/>
        <v>0</v>
      </c>
      <c r="L824" s="434">
        <f t="shared" si="279"/>
        <v>0</v>
      </c>
      <c r="M824" s="434">
        <f t="shared" si="279"/>
        <v>0</v>
      </c>
      <c r="N824" s="434">
        <f t="shared" si="279"/>
        <v>0</v>
      </c>
      <c r="O824" s="434">
        <f t="shared" si="279"/>
        <v>0</v>
      </c>
      <c r="P824" s="434">
        <f t="shared" si="279"/>
        <v>0</v>
      </c>
      <c r="Q824" s="434">
        <f t="shared" si="279"/>
        <v>0</v>
      </c>
      <c r="R824" s="434">
        <f t="shared" si="279"/>
        <v>0</v>
      </c>
      <c r="S824" s="434">
        <f t="shared" si="279"/>
        <v>0</v>
      </c>
      <c r="T824" s="17"/>
      <c r="U824" s="118">
        <f t="shared" si="280"/>
        <v>0</v>
      </c>
      <c r="V824" s="67"/>
      <c r="W824" s="726">
        <f t="shared" si="281"/>
        <v>0</v>
      </c>
    </row>
    <row r="825" spans="1:23" ht="15">
      <c r="A825" s="47"/>
      <c r="B825" s="17">
        <f t="shared" si="277"/>
        <v>7</v>
      </c>
      <c r="C825" s="1" t="s">
        <v>197</v>
      </c>
      <c r="D825" s="1" t="s">
        <v>198</v>
      </c>
      <c r="E825" s="17"/>
      <c r="F825" s="118">
        <f>' WP II-I-1.4'!I825</f>
        <v>0</v>
      </c>
      <c r="G825" s="17">
        <v>33</v>
      </c>
      <c r="H825" s="47" t="str">
        <f t="shared" si="278"/>
        <v>NCP LGT</v>
      </c>
      <c r="I825" s="17"/>
      <c r="J825" s="434">
        <f t="shared" si="279"/>
        <v>0</v>
      </c>
      <c r="K825" s="434">
        <f t="shared" si="279"/>
        <v>0</v>
      </c>
      <c r="L825" s="434">
        <f t="shared" si="279"/>
        <v>0</v>
      </c>
      <c r="M825" s="434">
        <f t="shared" si="279"/>
        <v>0</v>
      </c>
      <c r="N825" s="434">
        <f t="shared" si="279"/>
        <v>0</v>
      </c>
      <c r="O825" s="434">
        <f t="shared" si="279"/>
        <v>0</v>
      </c>
      <c r="P825" s="434">
        <f t="shared" si="279"/>
        <v>0</v>
      </c>
      <c r="Q825" s="434">
        <f t="shared" si="279"/>
        <v>0</v>
      </c>
      <c r="R825" s="434">
        <f t="shared" si="279"/>
        <v>0</v>
      </c>
      <c r="S825" s="434">
        <f t="shared" si="279"/>
        <v>0</v>
      </c>
      <c r="T825" s="17"/>
      <c r="U825" s="118">
        <f t="shared" si="280"/>
        <v>0</v>
      </c>
      <c r="V825" s="67"/>
      <c r="W825" s="726">
        <f t="shared" si="281"/>
        <v>0</v>
      </c>
    </row>
    <row r="826" spans="1:23" ht="15">
      <c r="A826" s="47"/>
      <c r="B826" s="17">
        <f t="shared" si="277"/>
        <v>8</v>
      </c>
      <c r="C826" s="1" t="s">
        <v>199</v>
      </c>
      <c r="D826" s="1" t="s">
        <v>200</v>
      </c>
      <c r="E826" s="17"/>
      <c r="F826" s="118">
        <f>' WP II-I-1.4'!I826</f>
        <v>0</v>
      </c>
      <c r="G826" s="17">
        <v>6</v>
      </c>
      <c r="H826" s="47" t="str">
        <f t="shared" si="278"/>
        <v>CUS W ALL</v>
      </c>
      <c r="I826" s="17"/>
      <c r="J826" s="434">
        <f t="shared" si="279"/>
        <v>0</v>
      </c>
      <c r="K826" s="434">
        <f t="shared" si="279"/>
        <v>0</v>
      </c>
      <c r="L826" s="434">
        <f t="shared" si="279"/>
        <v>0</v>
      </c>
      <c r="M826" s="434">
        <f t="shared" si="279"/>
        <v>0</v>
      </c>
      <c r="N826" s="434">
        <f t="shared" si="279"/>
        <v>0</v>
      </c>
      <c r="O826" s="434">
        <f t="shared" si="279"/>
        <v>0</v>
      </c>
      <c r="P826" s="434">
        <f t="shared" si="279"/>
        <v>0</v>
      </c>
      <c r="Q826" s="434">
        <f t="shared" si="279"/>
        <v>0</v>
      </c>
      <c r="R826" s="434">
        <f t="shared" si="279"/>
        <v>0</v>
      </c>
      <c r="S826" s="434">
        <f t="shared" si="279"/>
        <v>0</v>
      </c>
      <c r="T826" s="17"/>
      <c r="U826" s="118">
        <f t="shared" si="280"/>
        <v>0</v>
      </c>
      <c r="V826" s="67"/>
      <c r="W826" s="726">
        <f t="shared" si="281"/>
        <v>0</v>
      </c>
    </row>
    <row r="827" spans="1:23" ht="15">
      <c r="A827" s="47"/>
      <c r="B827" s="17">
        <f t="shared" si="277"/>
        <v>9</v>
      </c>
      <c r="C827" s="1" t="s">
        <v>201</v>
      </c>
      <c r="D827" s="1" t="s">
        <v>202</v>
      </c>
      <c r="E827" s="17"/>
      <c r="F827" s="118">
        <f>' WP II-I-1.4'!I827</f>
        <v>0</v>
      </c>
      <c r="G827" s="17">
        <v>8</v>
      </c>
      <c r="H827" s="47" t="str">
        <f t="shared" si="278"/>
        <v>CUS W RTL</v>
      </c>
      <c r="I827" s="17"/>
      <c r="J827" s="434">
        <f t="shared" si="279"/>
        <v>0</v>
      </c>
      <c r="K827" s="434">
        <f t="shared" si="279"/>
        <v>0</v>
      </c>
      <c r="L827" s="434">
        <f t="shared" si="279"/>
        <v>0</v>
      </c>
      <c r="M827" s="434">
        <f t="shared" si="279"/>
        <v>0</v>
      </c>
      <c r="N827" s="434">
        <f t="shared" si="279"/>
        <v>0</v>
      </c>
      <c r="O827" s="434">
        <f t="shared" si="279"/>
        <v>0</v>
      </c>
      <c r="P827" s="434">
        <f t="shared" si="279"/>
        <v>0</v>
      </c>
      <c r="Q827" s="434">
        <f t="shared" si="279"/>
        <v>0</v>
      </c>
      <c r="R827" s="434">
        <f t="shared" si="279"/>
        <v>0</v>
      </c>
      <c r="S827" s="434">
        <f t="shared" si="279"/>
        <v>0</v>
      </c>
      <c r="T827" s="17"/>
      <c r="U827" s="118">
        <f t="shared" si="280"/>
        <v>0</v>
      </c>
      <c r="V827" s="67"/>
      <c r="W827" s="726">
        <f t="shared" si="281"/>
        <v>0</v>
      </c>
    </row>
    <row r="828" spans="1:23" ht="15">
      <c r="A828" s="47"/>
      <c r="B828" s="17">
        <f t="shared" si="277"/>
        <v>10</v>
      </c>
      <c r="C828" s="1" t="s">
        <v>203</v>
      </c>
      <c r="D828" s="1" t="s">
        <v>204</v>
      </c>
      <c r="E828" s="17"/>
      <c r="F828" s="118">
        <f>' WP II-I-1.4'!I828</f>
        <v>763.54999999999995</v>
      </c>
      <c r="G828" s="17">
        <v>71</v>
      </c>
      <c r="H828" s="47" t="str">
        <f t="shared" si="278"/>
        <v>DIST OPS</v>
      </c>
      <c r="I828" s="17"/>
      <c r="J828" s="434">
        <f t="shared" si="279"/>
        <v>0</v>
      </c>
      <c r="K828" s="434">
        <f t="shared" si="279"/>
        <v>0</v>
      </c>
      <c r="L828" s="434">
        <f t="shared" si="279"/>
        <v>0</v>
      </c>
      <c r="M828" s="434">
        <f t="shared" si="279"/>
        <v>0</v>
      </c>
      <c r="N828" s="434">
        <f t="shared" si="279"/>
        <v>0</v>
      </c>
      <c r="O828" s="434">
        <f t="shared" si="279"/>
        <v>0</v>
      </c>
      <c r="P828" s="434">
        <f t="shared" si="279"/>
        <v>0</v>
      </c>
      <c r="Q828" s="434">
        <f t="shared" si="279"/>
        <v>763.54999999999995</v>
      </c>
      <c r="R828" s="434">
        <f t="shared" si="279"/>
        <v>0</v>
      </c>
      <c r="S828" s="434">
        <f t="shared" si="279"/>
        <v>0</v>
      </c>
      <c r="T828" s="17"/>
      <c r="U828" s="118">
        <f t="shared" si="280"/>
        <v>763.54999999999995</v>
      </c>
      <c r="V828" s="67"/>
      <c r="W828" s="726">
        <f t="shared" si="281"/>
        <v>0</v>
      </c>
    </row>
    <row r="829" spans="1:23" ht="15">
      <c r="A829" s="47"/>
      <c r="B829" s="17">
        <f t="shared" si="277"/>
        <v>11</v>
      </c>
      <c r="C829" s="1" t="s">
        <v>205</v>
      </c>
      <c r="D829" s="1" t="s">
        <v>206</v>
      </c>
      <c r="E829" s="17"/>
      <c r="F829" s="118">
        <f>' WP II-I-1.4'!I829</f>
        <v>0</v>
      </c>
      <c r="G829" s="17">
        <v>28</v>
      </c>
      <c r="H829" s="47" t="str">
        <f t="shared" si="278"/>
        <v>NCP XHV</v>
      </c>
      <c r="I829" s="17"/>
      <c r="J829" s="435">
        <f t="shared" si="279"/>
        <v>0</v>
      </c>
      <c r="K829" s="435">
        <f t="shared" si="279"/>
        <v>0</v>
      </c>
      <c r="L829" s="435">
        <f t="shared" si="279"/>
        <v>0</v>
      </c>
      <c r="M829" s="435">
        <f t="shared" si="279"/>
        <v>0</v>
      </c>
      <c r="N829" s="435">
        <f t="shared" si="279"/>
        <v>0</v>
      </c>
      <c r="O829" s="435">
        <f t="shared" si="279"/>
        <v>0</v>
      </c>
      <c r="P829" s="435">
        <f t="shared" si="279"/>
        <v>0</v>
      </c>
      <c r="Q829" s="435">
        <f t="shared" si="279"/>
        <v>0</v>
      </c>
      <c r="R829" s="435">
        <f t="shared" si="279"/>
        <v>0</v>
      </c>
      <c r="S829" s="435">
        <f t="shared" si="279"/>
        <v>0</v>
      </c>
      <c r="T829" s="17"/>
      <c r="U829" s="118">
        <f t="shared" si="280"/>
        <v>0</v>
      </c>
      <c r="V829" s="67"/>
      <c r="W829" s="726">
        <f t="shared" si="281"/>
        <v>0</v>
      </c>
    </row>
    <row r="830" spans="1:23" ht="15.75">
      <c r="A830" s="47"/>
      <c r="B830" s="17">
        <f t="shared" si="277"/>
        <v>12</v>
      </c>
      <c r="C830" s="8"/>
      <c r="D830" s="26" t="s">
        <v>666</v>
      </c>
      <c r="E830" s="20"/>
      <c r="F830" s="22">
        <f>SUM(F821:F829)</f>
        <v>763.54999999999995</v>
      </c>
      <c r="G830" s="20"/>
      <c r="H830" s="20"/>
      <c r="I830" s="1010"/>
      <c r="J830" s="896">
        <f t="shared" si="282" ref="J830:Q830">SUM(J821:J829)</f>
        <v>0</v>
      </c>
      <c r="K830" s="896">
        <f t="shared" si="282"/>
        <v>0</v>
      </c>
      <c r="L830" s="896">
        <f t="shared" si="282"/>
        <v>0</v>
      </c>
      <c r="M830" s="896">
        <f t="shared" si="282"/>
        <v>0</v>
      </c>
      <c r="N830" s="896">
        <f t="shared" si="282"/>
        <v>0</v>
      </c>
      <c r="O830" s="896">
        <f>SUM(O821:O829)</f>
        <v>0</v>
      </c>
      <c r="P830" s="896">
        <f t="shared" si="282"/>
        <v>0</v>
      </c>
      <c r="Q830" s="896">
        <f t="shared" si="282"/>
        <v>763.54999999999995</v>
      </c>
      <c r="R830" s="896">
        <f>SUM(R821:R829)</f>
        <v>0</v>
      </c>
      <c r="S830" s="896">
        <f>SUM(S821:S829)</f>
        <v>0</v>
      </c>
      <c r="T830" s="1010"/>
      <c r="U830" s="299">
        <f t="shared" si="280"/>
        <v>763.54999999999995</v>
      </c>
      <c r="V830" s="67"/>
      <c r="W830" s="726">
        <f t="shared" si="281"/>
        <v>0</v>
      </c>
    </row>
    <row r="831" spans="1:23" ht="15.75">
      <c r="A831" s="47"/>
      <c r="B831" s="17">
        <f t="shared" si="277"/>
        <v>13</v>
      </c>
      <c r="C831" s="1"/>
      <c r="D831" s="366"/>
      <c r="E831" s="17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"/>
      <c r="V831" s="67"/>
      <c r="W831" s="726">
        <f t="shared" si="281"/>
        <v>0</v>
      </c>
    </row>
    <row r="832" spans="1:23" ht="15">
      <c r="A832" s="47"/>
      <c r="B832" s="17">
        <f t="shared" si="277"/>
        <v>14</v>
      </c>
      <c r="C832" s="1" t="s">
        <v>191</v>
      </c>
      <c r="D832" s="31" t="s">
        <v>162</v>
      </c>
      <c r="E832" s="17"/>
      <c r="F832" s="118">
        <f>' WP II-I-1.4'!$I$832</f>
        <v>0</v>
      </c>
      <c r="G832" s="17">
        <v>82</v>
      </c>
      <c r="H832" s="47" t="str">
        <f>VLOOKUP(G832,FactorTable,2)</f>
        <v>PAY DISTR OPS</v>
      </c>
      <c r="I832" s="17"/>
      <c r="J832" s="434">
        <f t="shared" si="283" ref="J832:S832">$F832*HLOOKUP(J$1318,FactorTable,$G832+1)</f>
        <v>0</v>
      </c>
      <c r="K832" s="434">
        <f t="shared" si="283"/>
        <v>0</v>
      </c>
      <c r="L832" s="434">
        <f t="shared" si="283"/>
        <v>0</v>
      </c>
      <c r="M832" s="434">
        <f t="shared" si="283"/>
        <v>0</v>
      </c>
      <c r="N832" s="434">
        <f t="shared" si="283"/>
        <v>0</v>
      </c>
      <c r="O832" s="434">
        <f t="shared" si="283"/>
        <v>0</v>
      </c>
      <c r="P832" s="434">
        <f t="shared" si="283"/>
        <v>0</v>
      </c>
      <c r="Q832" s="434">
        <f t="shared" si="283"/>
        <v>0</v>
      </c>
      <c r="R832" s="434">
        <f t="shared" si="283"/>
        <v>0</v>
      </c>
      <c r="S832" s="434">
        <f t="shared" si="283"/>
        <v>0</v>
      </c>
      <c r="T832" s="17"/>
      <c r="U832" s="118">
        <f>SUM(I832:T832)</f>
        <v>0</v>
      </c>
      <c r="V832" s="67"/>
      <c r="W832" s="726">
        <f t="shared" si="281"/>
        <v>0</v>
      </c>
    </row>
    <row r="833" spans="1:23" ht="15.75">
      <c r="A833" s="47"/>
      <c r="B833" s="17">
        <f t="shared" si="277"/>
        <v>15</v>
      </c>
      <c r="C833" s="1"/>
      <c r="D833" s="366"/>
      <c r="E833" s="17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"/>
      <c r="V833" s="67"/>
      <c r="W833" s="726">
        <f t="shared" si="281"/>
        <v>0</v>
      </c>
    </row>
    <row r="834" spans="1:23" ht="15.75">
      <c r="A834" s="47"/>
      <c r="B834" s="17">
        <f t="shared" si="277"/>
        <v>16</v>
      </c>
      <c r="C834" s="1"/>
      <c r="D834" s="366" t="s">
        <v>667</v>
      </c>
      <c r="E834" s="20" t="s">
        <v>279</v>
      </c>
      <c r="F834" s="22">
        <f>F830+F832</f>
        <v>763.54999999999995</v>
      </c>
      <c r="G834" s="20"/>
      <c r="H834" s="20"/>
      <c r="I834" s="1010"/>
      <c r="J834" s="896">
        <f t="shared" si="284" ref="J834:Q834">J830+J832</f>
        <v>0</v>
      </c>
      <c r="K834" s="896">
        <f t="shared" si="284"/>
        <v>0</v>
      </c>
      <c r="L834" s="896">
        <f t="shared" si="284"/>
        <v>0</v>
      </c>
      <c r="M834" s="896">
        <f t="shared" si="284"/>
        <v>0</v>
      </c>
      <c r="N834" s="896">
        <f t="shared" si="284"/>
        <v>0</v>
      </c>
      <c r="O834" s="896">
        <f>O830+O832</f>
        <v>0</v>
      </c>
      <c r="P834" s="896">
        <f t="shared" si="284"/>
        <v>0</v>
      </c>
      <c r="Q834" s="896">
        <f t="shared" si="284"/>
        <v>763.54999999999995</v>
      </c>
      <c r="R834" s="896">
        <f>R830+R832</f>
        <v>0</v>
      </c>
      <c r="S834" s="896">
        <f>S830+S832</f>
        <v>0</v>
      </c>
      <c r="T834" s="1010"/>
      <c r="U834" s="299">
        <f>SUM(I834:T834)</f>
        <v>763.54999999999995</v>
      </c>
      <c r="V834" s="67"/>
      <c r="W834" s="726">
        <f t="shared" si="281"/>
        <v>0</v>
      </c>
    </row>
    <row r="835" spans="1:23" ht="15.75">
      <c r="A835" s="47"/>
      <c r="B835" s="17">
        <f t="shared" si="277"/>
        <v>17</v>
      </c>
      <c r="C835" s="1"/>
      <c r="D835" s="366"/>
      <c r="E835" s="17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"/>
      <c r="V835" s="67"/>
      <c r="W835" s="726">
        <f t="shared" si="281"/>
        <v>0</v>
      </c>
    </row>
    <row r="836" spans="1:23" ht="15.75">
      <c r="A836" s="47"/>
      <c r="B836" s="17">
        <f t="shared" si="277"/>
        <v>18</v>
      </c>
      <c r="C836" s="8"/>
      <c r="D836" s="366" t="s">
        <v>662</v>
      </c>
      <c r="E836" s="20" t="s">
        <v>279</v>
      </c>
      <c r="F836" s="22"/>
      <c r="G836" s="20"/>
      <c r="H836" s="20"/>
      <c r="I836" s="1010"/>
      <c r="J836" s="1059"/>
      <c r="K836" s="1059"/>
      <c r="L836" s="1059"/>
      <c r="M836" s="1059"/>
      <c r="N836" s="1059"/>
      <c r="O836" s="1059"/>
      <c r="P836" s="1059"/>
      <c r="Q836" s="1059"/>
      <c r="R836" s="1059"/>
      <c r="S836" s="1059"/>
      <c r="T836" s="1010"/>
      <c r="U836" s="8"/>
      <c r="V836" s="67"/>
      <c r="W836" s="726">
        <f t="shared" si="281"/>
        <v>0</v>
      </c>
    </row>
    <row r="837" spans="1:23" ht="15">
      <c r="A837" s="47"/>
      <c r="B837" s="17">
        <f t="shared" si="277"/>
        <v>19</v>
      </c>
      <c r="C837" s="1" t="s">
        <v>209</v>
      </c>
      <c r="D837" s="1" t="s">
        <v>181</v>
      </c>
      <c r="E837" s="17"/>
      <c r="F837" s="118">
        <f>' WP II-I-1.4'!I837</f>
        <v>0</v>
      </c>
      <c r="G837" s="17">
        <v>43</v>
      </c>
      <c r="H837" s="47" t="str">
        <f t="shared" si="285" ref="H837:H844">VLOOKUP(G837,FactorTable,2)</f>
        <v>PLT 361</v>
      </c>
      <c r="I837" s="17"/>
      <c r="J837" s="434">
        <f t="shared" si="286" ref="J837:S844">$F837*HLOOKUP(J$1318,FactorTable,$G837+1)</f>
        <v>0</v>
      </c>
      <c r="K837" s="434">
        <f t="shared" si="286"/>
        <v>0</v>
      </c>
      <c r="L837" s="434">
        <f t="shared" si="286"/>
        <v>0</v>
      </c>
      <c r="M837" s="434">
        <f t="shared" si="286"/>
        <v>0</v>
      </c>
      <c r="N837" s="434">
        <f t="shared" si="286"/>
        <v>0</v>
      </c>
      <c r="O837" s="434">
        <f t="shared" si="286"/>
        <v>0</v>
      </c>
      <c r="P837" s="434">
        <f t="shared" si="286"/>
        <v>0</v>
      </c>
      <c r="Q837" s="434">
        <f t="shared" si="286"/>
        <v>0</v>
      </c>
      <c r="R837" s="434">
        <f t="shared" si="286"/>
        <v>0</v>
      </c>
      <c r="S837" s="434">
        <f t="shared" si="286"/>
        <v>0</v>
      </c>
      <c r="T837" s="17"/>
      <c r="U837" s="118">
        <f t="shared" si="287" ref="U837:U845">SUM(I837:T837)</f>
        <v>0</v>
      </c>
      <c r="V837" s="67"/>
      <c r="W837" s="726">
        <f t="shared" si="281"/>
        <v>0</v>
      </c>
    </row>
    <row r="838" spans="1:23" ht="15">
      <c r="A838" s="47"/>
      <c r="B838" s="17">
        <f t="shared" si="277"/>
        <v>20</v>
      </c>
      <c r="C838" s="1" t="s">
        <v>210</v>
      </c>
      <c r="D838" s="31" t="s">
        <v>183</v>
      </c>
      <c r="E838" s="17"/>
      <c r="F838" s="118">
        <f>' WP II-I-1.4'!I838</f>
        <v>0</v>
      </c>
      <c r="G838" s="17">
        <v>44</v>
      </c>
      <c r="H838" s="47" t="str">
        <f t="shared" si="285"/>
        <v>PLT 362</v>
      </c>
      <c r="I838" s="17"/>
      <c r="J838" s="434">
        <f t="shared" si="286"/>
        <v>0</v>
      </c>
      <c r="K838" s="434">
        <f t="shared" si="286"/>
        <v>0</v>
      </c>
      <c r="L838" s="434">
        <f t="shared" si="286"/>
        <v>0</v>
      </c>
      <c r="M838" s="434">
        <f t="shared" si="286"/>
        <v>0</v>
      </c>
      <c r="N838" s="434">
        <f t="shared" si="286"/>
        <v>0</v>
      </c>
      <c r="O838" s="434">
        <f t="shared" si="286"/>
        <v>0</v>
      </c>
      <c r="P838" s="434">
        <f t="shared" si="286"/>
        <v>0</v>
      </c>
      <c r="Q838" s="434">
        <f t="shared" si="286"/>
        <v>0</v>
      </c>
      <c r="R838" s="434">
        <f t="shared" si="286"/>
        <v>0</v>
      </c>
      <c r="S838" s="434">
        <f t="shared" si="286"/>
        <v>0</v>
      </c>
      <c r="T838" s="17"/>
      <c r="U838" s="118">
        <f t="shared" si="287"/>
        <v>0</v>
      </c>
      <c r="V838" s="67"/>
      <c r="W838" s="726">
        <f t="shared" si="281"/>
        <v>0</v>
      </c>
    </row>
    <row r="839" spans="1:23" ht="15">
      <c r="A839" s="47"/>
      <c r="B839" s="17">
        <f t="shared" si="277"/>
        <v>21</v>
      </c>
      <c r="C839" s="1" t="s">
        <v>211</v>
      </c>
      <c r="D839" s="1" t="s">
        <v>185</v>
      </c>
      <c r="E839" s="17"/>
      <c r="F839" s="118">
        <f>' WP II-I-1.4'!I839</f>
        <v>0</v>
      </c>
      <c r="G839" s="17">
        <v>52</v>
      </c>
      <c r="H839" s="47" t="str">
        <f t="shared" si="285"/>
        <v>PLT OH</v>
      </c>
      <c r="I839" s="17"/>
      <c r="J839" s="434">
        <f t="shared" si="286"/>
        <v>0</v>
      </c>
      <c r="K839" s="434">
        <f t="shared" si="286"/>
        <v>0</v>
      </c>
      <c r="L839" s="434">
        <f t="shared" si="286"/>
        <v>0</v>
      </c>
      <c r="M839" s="434">
        <f t="shared" si="286"/>
        <v>0</v>
      </c>
      <c r="N839" s="434">
        <f t="shared" si="286"/>
        <v>0</v>
      </c>
      <c r="O839" s="434">
        <f t="shared" si="286"/>
        <v>0</v>
      </c>
      <c r="P839" s="434">
        <f t="shared" si="286"/>
        <v>0</v>
      </c>
      <c r="Q839" s="434">
        <f t="shared" si="286"/>
        <v>0</v>
      </c>
      <c r="R839" s="434">
        <f t="shared" si="286"/>
        <v>0</v>
      </c>
      <c r="S839" s="434">
        <f t="shared" si="286"/>
        <v>0</v>
      </c>
      <c r="T839" s="17"/>
      <c r="U839" s="118">
        <f t="shared" si="287"/>
        <v>0</v>
      </c>
      <c r="V839" s="67"/>
      <c r="W839" s="726">
        <f t="shared" si="281"/>
        <v>0</v>
      </c>
    </row>
    <row r="840" spans="1:23" ht="15">
      <c r="A840" s="47"/>
      <c r="B840" s="17">
        <f t="shared" si="277"/>
        <v>22</v>
      </c>
      <c r="C840" s="1" t="s">
        <v>212</v>
      </c>
      <c r="D840" s="1" t="s">
        <v>187</v>
      </c>
      <c r="E840" s="17"/>
      <c r="F840" s="118">
        <f>' WP II-I-1.4'!I840</f>
        <v>0</v>
      </c>
      <c r="G840" s="17">
        <v>53</v>
      </c>
      <c r="H840" s="47" t="str">
        <f t="shared" si="285"/>
        <v>PLT UG</v>
      </c>
      <c r="I840" s="17"/>
      <c r="J840" s="434">
        <f t="shared" si="286"/>
        <v>0</v>
      </c>
      <c r="K840" s="434">
        <f t="shared" si="286"/>
        <v>0</v>
      </c>
      <c r="L840" s="434">
        <f t="shared" si="286"/>
        <v>0</v>
      </c>
      <c r="M840" s="434">
        <f t="shared" si="286"/>
        <v>0</v>
      </c>
      <c r="N840" s="434">
        <f t="shared" si="286"/>
        <v>0</v>
      </c>
      <c r="O840" s="434">
        <f t="shared" si="286"/>
        <v>0</v>
      </c>
      <c r="P840" s="434">
        <f t="shared" si="286"/>
        <v>0</v>
      </c>
      <c r="Q840" s="434">
        <f t="shared" si="286"/>
        <v>0</v>
      </c>
      <c r="R840" s="434">
        <f t="shared" si="286"/>
        <v>0</v>
      </c>
      <c r="S840" s="434">
        <f t="shared" si="286"/>
        <v>0</v>
      </c>
      <c r="T840" s="17"/>
      <c r="U840" s="118">
        <f t="shared" si="287"/>
        <v>0</v>
      </c>
      <c r="V840" s="67"/>
      <c r="W840" s="726">
        <f t="shared" si="281"/>
        <v>0</v>
      </c>
    </row>
    <row r="841" spans="1:23" ht="15">
      <c r="A841" s="47"/>
      <c r="B841" s="17">
        <f t="shared" si="277"/>
        <v>23</v>
      </c>
      <c r="C841" s="1" t="s">
        <v>213</v>
      </c>
      <c r="D841" s="1" t="s">
        <v>214</v>
      </c>
      <c r="E841" s="17"/>
      <c r="F841" s="118">
        <f>' WP II-I-1.4'!I841</f>
        <v>0</v>
      </c>
      <c r="G841" s="17">
        <v>49</v>
      </c>
      <c r="H841" s="47" t="str">
        <f t="shared" si="285"/>
        <v>PLT 368</v>
      </c>
      <c r="I841" s="17"/>
      <c r="J841" s="434">
        <f t="shared" si="286"/>
        <v>0</v>
      </c>
      <c r="K841" s="434">
        <f t="shared" si="286"/>
        <v>0</v>
      </c>
      <c r="L841" s="434">
        <f t="shared" si="286"/>
        <v>0</v>
      </c>
      <c r="M841" s="434">
        <f t="shared" si="286"/>
        <v>0</v>
      </c>
      <c r="N841" s="434">
        <f t="shared" si="286"/>
        <v>0</v>
      </c>
      <c r="O841" s="434">
        <f t="shared" si="286"/>
        <v>0</v>
      </c>
      <c r="P841" s="434">
        <f t="shared" si="286"/>
        <v>0</v>
      </c>
      <c r="Q841" s="434">
        <f t="shared" si="286"/>
        <v>0</v>
      </c>
      <c r="R841" s="434">
        <f t="shared" si="286"/>
        <v>0</v>
      </c>
      <c r="S841" s="434">
        <f t="shared" si="286"/>
        <v>0</v>
      </c>
      <c r="T841" s="17"/>
      <c r="U841" s="118">
        <f t="shared" si="287"/>
        <v>0</v>
      </c>
      <c r="V841" s="67"/>
      <c r="W841" s="726">
        <f t="shared" si="281"/>
        <v>0</v>
      </c>
    </row>
    <row r="842" spans="1:23" ht="15">
      <c r="A842" s="47"/>
      <c r="B842" s="17">
        <f t="shared" si="277"/>
        <v>24</v>
      </c>
      <c r="C842" s="1" t="s">
        <v>215</v>
      </c>
      <c r="D842" s="1" t="s">
        <v>216</v>
      </c>
      <c r="E842" s="17"/>
      <c r="F842" s="118">
        <f>' WP II-I-1.4'!I842</f>
        <v>0</v>
      </c>
      <c r="G842" s="17">
        <v>33</v>
      </c>
      <c r="H842" s="47" t="str">
        <f t="shared" si="285"/>
        <v>NCP LGT</v>
      </c>
      <c r="I842" s="17"/>
      <c r="J842" s="434">
        <f t="shared" si="286"/>
        <v>0</v>
      </c>
      <c r="K842" s="434">
        <f t="shared" si="286"/>
        <v>0</v>
      </c>
      <c r="L842" s="434">
        <f t="shared" si="286"/>
        <v>0</v>
      </c>
      <c r="M842" s="434">
        <f t="shared" si="286"/>
        <v>0</v>
      </c>
      <c r="N842" s="434">
        <f t="shared" si="286"/>
        <v>0</v>
      </c>
      <c r="O842" s="434">
        <f t="shared" si="286"/>
        <v>0</v>
      </c>
      <c r="P842" s="434">
        <f t="shared" si="286"/>
        <v>0</v>
      </c>
      <c r="Q842" s="434">
        <f t="shared" si="286"/>
        <v>0</v>
      </c>
      <c r="R842" s="434">
        <f t="shared" si="286"/>
        <v>0</v>
      </c>
      <c r="S842" s="434">
        <f t="shared" si="286"/>
        <v>0</v>
      </c>
      <c r="T842" s="17"/>
      <c r="U842" s="118">
        <f t="shared" si="287"/>
        <v>0</v>
      </c>
      <c r="V842" s="67"/>
      <c r="W842" s="726">
        <f t="shared" si="281"/>
        <v>0</v>
      </c>
    </row>
    <row r="843" spans="1:23" ht="15">
      <c r="A843" s="47"/>
      <c r="B843" s="17">
        <f t="shared" si="277"/>
        <v>25</v>
      </c>
      <c r="C843" s="1" t="s">
        <v>217</v>
      </c>
      <c r="D843" s="1" t="s">
        <v>218</v>
      </c>
      <c r="E843" s="17"/>
      <c r="F843" s="118">
        <f>' WP II-I-1.4'!I843</f>
        <v>0</v>
      </c>
      <c r="G843" s="17">
        <v>6</v>
      </c>
      <c r="H843" s="47" t="str">
        <f t="shared" si="285"/>
        <v>CUS W ALL</v>
      </c>
      <c r="I843" s="17"/>
      <c r="J843" s="434">
        <f t="shared" si="286"/>
        <v>0</v>
      </c>
      <c r="K843" s="434">
        <f t="shared" si="286"/>
        <v>0</v>
      </c>
      <c r="L843" s="434">
        <f t="shared" si="286"/>
        <v>0</v>
      </c>
      <c r="M843" s="434">
        <f t="shared" si="286"/>
        <v>0</v>
      </c>
      <c r="N843" s="434">
        <f t="shared" si="286"/>
        <v>0</v>
      </c>
      <c r="O843" s="434">
        <f t="shared" si="286"/>
        <v>0</v>
      </c>
      <c r="P843" s="434">
        <f t="shared" si="286"/>
        <v>0</v>
      </c>
      <c r="Q843" s="434">
        <f t="shared" si="286"/>
        <v>0</v>
      </c>
      <c r="R843" s="434">
        <f t="shared" si="286"/>
        <v>0</v>
      </c>
      <c r="S843" s="434">
        <f t="shared" si="286"/>
        <v>0</v>
      </c>
      <c r="T843" s="17"/>
      <c r="U843" s="118">
        <f t="shared" si="287"/>
        <v>0</v>
      </c>
      <c r="V843" s="67"/>
      <c r="W843" s="726">
        <f t="shared" si="281"/>
        <v>0</v>
      </c>
    </row>
    <row r="844" spans="1:23" ht="15">
      <c r="A844" s="47"/>
      <c r="B844" s="17">
        <f t="shared" si="277"/>
        <v>26</v>
      </c>
      <c r="C844" s="1" t="s">
        <v>219</v>
      </c>
      <c r="D844" s="1" t="s">
        <v>220</v>
      </c>
      <c r="E844" s="17"/>
      <c r="F844" s="118">
        <f>' WP II-I-1.4'!I844</f>
        <v>0</v>
      </c>
      <c r="G844" s="17">
        <v>72</v>
      </c>
      <c r="H844" s="47" t="str">
        <f t="shared" si="285"/>
        <v>DIST MAINT</v>
      </c>
      <c r="I844" s="17"/>
      <c r="J844" s="435">
        <f t="shared" si="286"/>
        <v>0</v>
      </c>
      <c r="K844" s="435">
        <f t="shared" si="286"/>
        <v>0</v>
      </c>
      <c r="L844" s="435">
        <f t="shared" si="286"/>
        <v>0</v>
      </c>
      <c r="M844" s="435">
        <f t="shared" si="286"/>
        <v>0</v>
      </c>
      <c r="N844" s="435">
        <f t="shared" si="286"/>
        <v>0</v>
      </c>
      <c r="O844" s="435">
        <f t="shared" si="286"/>
        <v>0</v>
      </c>
      <c r="P844" s="435">
        <f t="shared" si="286"/>
        <v>0</v>
      </c>
      <c r="Q844" s="435">
        <f t="shared" si="286"/>
        <v>0</v>
      </c>
      <c r="R844" s="435">
        <f t="shared" si="286"/>
        <v>0</v>
      </c>
      <c r="S844" s="435">
        <f t="shared" si="286"/>
        <v>0</v>
      </c>
      <c r="T844" s="17"/>
      <c r="U844" s="118">
        <f t="shared" si="287"/>
        <v>0</v>
      </c>
      <c r="V844" s="67"/>
      <c r="W844" s="726">
        <f t="shared" si="281"/>
        <v>0</v>
      </c>
    </row>
    <row r="845" spans="1:23" ht="15.75">
      <c r="A845" s="47"/>
      <c r="B845" s="17">
        <f t="shared" si="277"/>
        <v>27</v>
      </c>
      <c r="C845" s="8"/>
      <c r="D845" s="26" t="s">
        <v>668</v>
      </c>
      <c r="E845" s="20"/>
      <c r="F845" s="22">
        <f>SUM(F837:F844)</f>
        <v>0</v>
      </c>
      <c r="G845" s="20"/>
      <c r="H845" s="20"/>
      <c r="I845" s="1010"/>
      <c r="J845" s="896">
        <f t="shared" si="288" ref="J845:Q845">SUM(J837:J844)</f>
        <v>0</v>
      </c>
      <c r="K845" s="896">
        <f t="shared" si="288"/>
        <v>0</v>
      </c>
      <c r="L845" s="896">
        <f t="shared" si="288"/>
        <v>0</v>
      </c>
      <c r="M845" s="896">
        <f t="shared" si="288"/>
        <v>0</v>
      </c>
      <c r="N845" s="896">
        <f t="shared" si="288"/>
        <v>0</v>
      </c>
      <c r="O845" s="896">
        <f>SUM(O837:O844)</f>
        <v>0</v>
      </c>
      <c r="P845" s="896">
        <f t="shared" si="288"/>
        <v>0</v>
      </c>
      <c r="Q845" s="896">
        <f t="shared" si="288"/>
        <v>0</v>
      </c>
      <c r="R845" s="896">
        <f>SUM(R837:R844)</f>
        <v>0</v>
      </c>
      <c r="S845" s="896">
        <f>SUM(S837:S844)</f>
        <v>0</v>
      </c>
      <c r="T845" s="1010"/>
      <c r="U845" s="299">
        <f t="shared" si="287"/>
        <v>0</v>
      </c>
      <c r="V845" s="67"/>
      <c r="W845" s="726">
        <f t="shared" si="281"/>
        <v>0</v>
      </c>
    </row>
    <row r="846" spans="1:23" ht="15.75">
      <c r="A846" s="47"/>
      <c r="B846" s="17">
        <f t="shared" si="277"/>
        <v>28</v>
      </c>
      <c r="C846" s="1"/>
      <c r="D846" s="366"/>
      <c r="E846" s="17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"/>
      <c r="V846" s="67"/>
      <c r="W846" s="726">
        <f t="shared" si="281"/>
        <v>0</v>
      </c>
    </row>
    <row r="847" spans="1:23" ht="15">
      <c r="A847" s="47"/>
      <c r="B847" s="17">
        <f t="shared" si="277"/>
        <v>29</v>
      </c>
      <c r="C847" s="1" t="s">
        <v>208</v>
      </c>
      <c r="D847" s="31" t="s">
        <v>179</v>
      </c>
      <c r="E847" s="17"/>
      <c r="F847" s="118">
        <f>' WP II-I-1.4'!$I$847</f>
        <v>0</v>
      </c>
      <c r="G847" s="17">
        <v>83</v>
      </c>
      <c r="H847" s="47" t="str">
        <f>VLOOKUP(G847,FactorTable,2)</f>
        <v>PAY DISTR MNT</v>
      </c>
      <c r="I847" s="17"/>
      <c r="J847" s="434">
        <f t="shared" si="289" ref="J847:S847">$F847*HLOOKUP(J$1318,FactorTable,$G847+1)</f>
        <v>0</v>
      </c>
      <c r="K847" s="434">
        <f t="shared" si="289"/>
        <v>0</v>
      </c>
      <c r="L847" s="434">
        <f t="shared" si="289"/>
        <v>0</v>
      </c>
      <c r="M847" s="434">
        <f t="shared" si="289"/>
        <v>0</v>
      </c>
      <c r="N847" s="434">
        <f t="shared" si="289"/>
        <v>0</v>
      </c>
      <c r="O847" s="434">
        <f t="shared" si="289"/>
        <v>0</v>
      </c>
      <c r="P847" s="434">
        <f t="shared" si="289"/>
        <v>0</v>
      </c>
      <c r="Q847" s="434">
        <f t="shared" si="289"/>
        <v>0</v>
      </c>
      <c r="R847" s="434">
        <f t="shared" si="289"/>
        <v>0</v>
      </c>
      <c r="S847" s="434">
        <f t="shared" si="289"/>
        <v>0</v>
      </c>
      <c r="T847" s="17"/>
      <c r="U847" s="118">
        <f>SUM(I847:T847)</f>
        <v>0</v>
      </c>
      <c r="V847" s="67"/>
      <c r="W847" s="726">
        <f t="shared" si="281"/>
        <v>0</v>
      </c>
    </row>
    <row r="848" spans="1:23" ht="15.75">
      <c r="A848" s="47"/>
      <c r="B848" s="17">
        <f t="shared" si="277"/>
        <v>30</v>
      </c>
      <c r="C848" s="1"/>
      <c r="D848" s="366"/>
      <c r="E848" s="17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"/>
      <c r="V848" s="67"/>
      <c r="W848" s="726">
        <f t="shared" si="281"/>
        <v>0</v>
      </c>
    </row>
    <row r="849" spans="1:23" ht="15.75">
      <c r="A849" s="47"/>
      <c r="B849" s="17">
        <f t="shared" si="277"/>
        <v>31</v>
      </c>
      <c r="C849" s="1"/>
      <c r="D849" s="366" t="s">
        <v>669</v>
      </c>
      <c r="E849" s="20" t="s">
        <v>279</v>
      </c>
      <c r="F849" s="22">
        <f>F845+F847</f>
        <v>0</v>
      </c>
      <c r="G849" s="20"/>
      <c r="H849" s="20"/>
      <c r="I849" s="20"/>
      <c r="J849" s="22">
        <f t="shared" si="290" ref="J849:Q849">J845+J847</f>
        <v>0</v>
      </c>
      <c r="K849" s="22">
        <f t="shared" si="290"/>
        <v>0</v>
      </c>
      <c r="L849" s="22">
        <f t="shared" si="290"/>
        <v>0</v>
      </c>
      <c r="M849" s="22">
        <f t="shared" si="290"/>
        <v>0</v>
      </c>
      <c r="N849" s="22">
        <f t="shared" si="290"/>
        <v>0</v>
      </c>
      <c r="O849" s="22">
        <f>O845+O847</f>
        <v>0</v>
      </c>
      <c r="P849" s="22">
        <f t="shared" si="290"/>
        <v>0</v>
      </c>
      <c r="Q849" s="22">
        <f t="shared" si="290"/>
        <v>0</v>
      </c>
      <c r="R849" s="22">
        <f>R845+R847</f>
        <v>0</v>
      </c>
      <c r="S849" s="22">
        <f>S845+S847</f>
        <v>0</v>
      </c>
      <c r="T849" s="20"/>
      <c r="U849" s="299">
        <f>SUM(I849:T849)</f>
        <v>0</v>
      </c>
      <c r="V849" s="67"/>
      <c r="W849" s="726">
        <f t="shared" si="281"/>
        <v>0</v>
      </c>
    </row>
    <row r="850" spans="1:23" ht="16.5" thickBot="1">
      <c r="A850" s="47"/>
      <c r="B850" s="17">
        <f t="shared" si="277"/>
        <v>32</v>
      </c>
      <c r="C850" s="1"/>
      <c r="D850" s="366"/>
      <c r="E850" s="17"/>
      <c r="F850" s="19"/>
      <c r="G850" s="17"/>
      <c r="H850" s="17"/>
      <c r="I850" s="17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7"/>
      <c r="U850" s="1"/>
      <c r="V850" s="67"/>
      <c r="W850" s="726">
        <f t="shared" si="281"/>
        <v>0</v>
      </c>
    </row>
    <row r="851" spans="1:23" ht="16.5" thickBot="1">
      <c r="A851" s="47"/>
      <c r="B851" s="17">
        <f t="shared" si="277"/>
        <v>33</v>
      </c>
      <c r="C851" s="870" t="s">
        <v>670</v>
      </c>
      <c r="D851" s="1017"/>
      <c r="E851" s="1013" t="s">
        <v>279</v>
      </c>
      <c r="F851" s="1014">
        <f>F834+F849</f>
        <v>763.54999999999995</v>
      </c>
      <c r="G851" s="1013"/>
      <c r="H851" s="1013"/>
      <c r="I851" s="1016"/>
      <c r="J851" s="1014">
        <f t="shared" si="291" ref="J851:Q851">J834+J849</f>
        <v>0</v>
      </c>
      <c r="K851" s="1014">
        <f t="shared" si="291"/>
        <v>0</v>
      </c>
      <c r="L851" s="1014">
        <f t="shared" si="291"/>
        <v>0</v>
      </c>
      <c r="M851" s="1014">
        <f t="shared" si="291"/>
        <v>0</v>
      </c>
      <c r="N851" s="1014">
        <f t="shared" si="291"/>
        <v>0</v>
      </c>
      <c r="O851" s="1014">
        <f>O834+O849</f>
        <v>0</v>
      </c>
      <c r="P851" s="1014">
        <f t="shared" si="291"/>
        <v>0</v>
      </c>
      <c r="Q851" s="1014">
        <f t="shared" si="291"/>
        <v>763.54999999999995</v>
      </c>
      <c r="R851" s="1014">
        <f>R834+R849</f>
        <v>0</v>
      </c>
      <c r="S851" s="1014">
        <f>S834+S849</f>
        <v>0</v>
      </c>
      <c r="T851" s="1016"/>
      <c r="U851" s="1015">
        <f>SUM(I851:T851)</f>
        <v>763.54999999999995</v>
      </c>
      <c r="V851" s="67"/>
      <c r="W851" s="726">
        <f t="shared" si="281"/>
        <v>0</v>
      </c>
    </row>
    <row r="852" spans="1:23" ht="15.75" thickBot="1">
      <c r="A852" s="47"/>
      <c r="B852" s="17"/>
      <c r="C852" s="1"/>
      <c r="D852" s="1"/>
      <c r="E852" s="17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"/>
      <c r="V852" s="67"/>
      <c r="W852" s="167"/>
    </row>
    <row r="853" spans="1:23" ht="15.75">
      <c r="A853" s="47"/>
      <c r="B853" s="920" t="str">
        <f>+$B$4</f>
        <v>2022 RATE CASE</v>
      </c>
      <c r="C853" s="935"/>
      <c r="D853" s="620"/>
      <c r="F853" s="12"/>
      <c r="H853" s="134"/>
      <c r="U853" s="134"/>
      <c r="V853" s="134">
        <f>$H$2</f>
        <v>0</v>
      </c>
      <c r="W853" s="167"/>
    </row>
    <row r="854" spans="1:23" ht="15.75">
      <c r="A854" s="47"/>
      <c r="B854" s="917" t="str">
        <f>+$B$5</f>
        <v>ONCOR ELECTRIC DELIVERY COMPANY LLC</v>
      </c>
      <c r="C854" s="8"/>
      <c r="D854" s="621"/>
      <c r="F854" s="12"/>
      <c r="U854" s="134"/>
      <c r="V854" s="67"/>
      <c r="W854" s="167"/>
    </row>
    <row r="855" spans="1:23" ht="15.75">
      <c r="A855" s="47"/>
      <c r="B855" s="917" t="str">
        <f>+$B$6</f>
        <v>II-I-1-TBILLTDCS:  CLASS REVENUE REQUIREMENT</v>
      </c>
      <c r="C855" s="85"/>
      <c r="D855" s="621"/>
      <c r="F855" s="12"/>
      <c r="U855" s="12"/>
      <c r="V855" s="67"/>
      <c r="W855" s="167"/>
    </row>
    <row r="856" spans="1:23" ht="15.75">
      <c r="A856" s="47"/>
      <c r="B856" s="406" t="str">
        <f>+$B$7</f>
        <v>TEST YEAR ENDING 12/31/2021</v>
      </c>
      <c r="C856" s="85"/>
      <c r="D856" s="621"/>
      <c r="F856" s="12"/>
      <c r="U856" s="12"/>
      <c r="V856" s="67"/>
      <c r="W856" s="167"/>
    </row>
    <row r="857" spans="1:23" ht="15.75">
      <c r="A857" s="47"/>
      <c r="B857" s="406" t="str">
        <f>+$B$8</f>
        <v>SPONSOR:  MATTHEW A. TROXLE</v>
      </c>
      <c r="C857" s="85"/>
      <c r="D857" s="621"/>
      <c r="F857" s="12"/>
      <c r="U857" s="12"/>
      <c r="V857" s="67"/>
      <c r="W857" s="167"/>
    </row>
    <row r="858" spans="1:23" ht="16.5" thickBot="1">
      <c r="A858" s="47"/>
      <c r="B858" s="410"/>
      <c r="C858" s="934"/>
      <c r="D858" s="622"/>
      <c r="F858" s="12"/>
      <c r="U858" s="12"/>
      <c r="V858" s="67"/>
      <c r="W858" s="167"/>
    </row>
    <row r="859" spans="1:23" ht="15.75" thickBot="1">
      <c r="A859" s="47"/>
      <c r="B859" s="13"/>
      <c r="C859" s="14"/>
      <c r="D859" s="14"/>
      <c r="E859" s="14"/>
      <c r="F859" s="13"/>
      <c r="G859" s="14"/>
      <c r="H859" s="14"/>
      <c r="I859" s="14"/>
      <c r="J859" s="238"/>
      <c r="K859" s="238"/>
      <c r="L859" s="14"/>
      <c r="M859" s="238"/>
      <c r="N859" s="238"/>
      <c r="O859" s="238"/>
      <c r="P859" s="238"/>
      <c r="Q859" s="14"/>
      <c r="R859" s="393" t="str">
        <f>R$10</f>
        <v xml:space="preserve"> </v>
      </c>
      <c r="S859" s="394"/>
      <c r="T859" s="238"/>
      <c r="U859" s="13"/>
      <c r="V859" s="67"/>
      <c r="W859" s="167"/>
    </row>
    <row r="860" spans="1:23" ht="15.75">
      <c r="A860" s="47"/>
      <c r="B860" s="15" t="s">
        <v>2</v>
      </c>
      <c r="C860" s="15" t="s">
        <v>370</v>
      </c>
      <c r="D860" s="287" t="s">
        <v>671</v>
      </c>
      <c r="E860" s="15" t="s">
        <v>371</v>
      </c>
      <c r="F860" s="287" t="str">
        <f>F$11</f>
        <v>TBILLTDCS</v>
      </c>
      <c r="G860" s="242" t="s">
        <v>741</v>
      </c>
      <c r="H860" s="242" t="s">
        <v>376</v>
      </c>
      <c r="I860" s="15"/>
      <c r="J860" s="242" t="s">
        <v>730</v>
      </c>
      <c r="K860" s="242" t="s">
        <v>409</v>
      </c>
      <c r="L860" s="15" t="s">
        <v>409</v>
      </c>
      <c r="M860" s="242" t="s">
        <v>410</v>
      </c>
      <c r="N860" s="242" t="s">
        <v>410</v>
      </c>
      <c r="O860" s="242" t="s">
        <v>410</v>
      </c>
      <c r="P860" s="242" t="s">
        <v>411</v>
      </c>
      <c r="Q860" s="15" t="s">
        <v>412</v>
      </c>
      <c r="R860" s="396" t="str">
        <f>R$11</f>
        <v>Wholesale</v>
      </c>
      <c r="S860" s="13" t="str">
        <f>S$11</f>
        <v>Wholesale</v>
      </c>
      <c r="T860" s="242"/>
      <c r="U860" s="15" t="s">
        <v>10</v>
      </c>
      <c r="V860" s="67"/>
      <c r="W860" s="167"/>
    </row>
    <row r="861" spans="1:23" ht="15">
      <c r="A861" s="47"/>
      <c r="B861" s="15"/>
      <c r="C861" s="15"/>
      <c r="D861" s="15"/>
      <c r="E861" s="15"/>
      <c r="F861" s="15"/>
      <c r="G861" s="242" t="s">
        <v>742</v>
      </c>
      <c r="H861" s="242" t="s">
        <v>743</v>
      </c>
      <c r="I861" s="15"/>
      <c r="J861" s="242"/>
      <c r="K861" s="242" t="s">
        <v>731</v>
      </c>
      <c r="L861" s="15" t="s">
        <v>732</v>
      </c>
      <c r="M861" s="242" t="s">
        <v>731</v>
      </c>
      <c r="N861" s="242" t="s">
        <v>732</v>
      </c>
      <c r="O861" s="242" t="s">
        <v>414</v>
      </c>
      <c r="P861" s="242"/>
      <c r="Q861" s="15"/>
      <c r="R861" s="235" t="str">
        <f>R$12</f>
        <v>XFMR</v>
      </c>
      <c r="S861" s="15" t="str">
        <f>S$12</f>
        <v>DLS</v>
      </c>
      <c r="T861" s="242"/>
      <c r="U861" s="15"/>
      <c r="V861" s="67"/>
      <c r="W861" s="167"/>
    </row>
    <row r="862" spans="1:23" ht="15.75" thickBot="1">
      <c r="A862" s="47"/>
      <c r="B862" s="16"/>
      <c r="C862" s="16"/>
      <c r="D862" s="16"/>
      <c r="E862" s="16"/>
      <c r="F862" s="16" t="s">
        <v>13</v>
      </c>
      <c r="G862" s="16" t="s">
        <v>14</v>
      </c>
      <c r="H862" s="16" t="s">
        <v>15</v>
      </c>
      <c r="I862" s="16"/>
      <c r="J862" s="243" t="str">
        <f t="shared" si="292" ref="J862:Q862">J$13</f>
        <v>(d)</v>
      </c>
      <c r="K862" s="243" t="str">
        <f t="shared" si="292"/>
        <v>(e)</v>
      </c>
      <c r="L862" s="16" t="str">
        <f t="shared" si="292"/>
        <v>(f)</v>
      </c>
      <c r="M862" s="243" t="str">
        <f t="shared" si="292"/>
        <v>(g)</v>
      </c>
      <c r="N862" s="243" t="str">
        <f t="shared" si="292"/>
        <v>(h)</v>
      </c>
      <c r="O862" s="243" t="str">
        <f>O$13</f>
        <v>(i)</v>
      </c>
      <c r="P862" s="243" t="str">
        <f t="shared" si="292"/>
        <v>(j)</v>
      </c>
      <c r="Q862" s="243" t="str">
        <f t="shared" si="292"/>
        <v>(k)</v>
      </c>
      <c r="R862" s="243" t="str">
        <f>R$13</f>
        <v>(l)</v>
      </c>
      <c r="S862" s="16" t="str">
        <f>S$13</f>
        <v>(m)</v>
      </c>
      <c r="T862" s="16"/>
      <c r="U862" s="16" t="s">
        <v>734</v>
      </c>
      <c r="V862" s="67"/>
      <c r="W862" s="167"/>
    </row>
    <row r="863" spans="1:23" ht="15">
      <c r="A863" s="47"/>
      <c r="B863" s="67"/>
      <c r="C863" s="100"/>
      <c r="D863" s="100"/>
      <c r="E863" s="315"/>
      <c r="F863" s="373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1"/>
      <c r="V863" s="67"/>
      <c r="W863" s="167"/>
    </row>
    <row r="864" spans="1:23" ht="15.75">
      <c r="A864" s="47"/>
      <c r="B864" s="17">
        <f t="shared" si="293" ref="B864:B902">B863+1</f>
        <v>1</v>
      </c>
      <c r="C864" s="8"/>
      <c r="D864" s="366" t="s">
        <v>283</v>
      </c>
      <c r="E864" s="20" t="s">
        <v>279</v>
      </c>
      <c r="F864" s="22"/>
      <c r="G864" s="20"/>
      <c r="H864" s="20"/>
      <c r="I864" s="1010"/>
      <c r="J864" s="1059"/>
      <c r="K864" s="1059"/>
      <c r="L864" s="1059"/>
      <c r="M864" s="1059"/>
      <c r="N864" s="1059"/>
      <c r="O864" s="1059"/>
      <c r="P864" s="1059"/>
      <c r="Q864" s="1059"/>
      <c r="R864" s="1059"/>
      <c r="S864" s="1059"/>
      <c r="T864" s="20"/>
      <c r="U864" s="8"/>
      <c r="V864" s="67"/>
      <c r="W864" s="167"/>
    </row>
    <row r="865" spans="1:23" ht="15">
      <c r="A865" s="47"/>
      <c r="B865" s="17">
        <f t="shared" si="293"/>
        <v>2</v>
      </c>
      <c r="C865" s="1" t="s">
        <v>224</v>
      </c>
      <c r="D865" s="1" t="s">
        <v>225</v>
      </c>
      <c r="E865" s="17"/>
      <c r="F865" s="118">
        <f>' WP II-I-1.4'!I865</f>
        <v>0</v>
      </c>
      <c r="G865" s="17">
        <v>6</v>
      </c>
      <c r="H865" s="47" t="str">
        <f>VLOOKUP(G865,FactorTable,2)</f>
        <v>CUS W ALL</v>
      </c>
      <c r="I865" s="17"/>
      <c r="J865" s="434">
        <f t="shared" si="294" ref="J865:S866">$F865*HLOOKUP(J$1318,FactorTable,$G865+1)</f>
        <v>0</v>
      </c>
      <c r="K865" s="434">
        <f t="shared" si="294"/>
        <v>0</v>
      </c>
      <c r="L865" s="434">
        <f t="shared" si="294"/>
        <v>0</v>
      </c>
      <c r="M865" s="434">
        <f t="shared" si="294"/>
        <v>0</v>
      </c>
      <c r="N865" s="434">
        <f t="shared" si="294"/>
        <v>0</v>
      </c>
      <c r="O865" s="434">
        <f t="shared" si="294"/>
        <v>0</v>
      </c>
      <c r="P865" s="434">
        <f t="shared" si="294"/>
        <v>0</v>
      </c>
      <c r="Q865" s="434">
        <f t="shared" si="294"/>
        <v>0</v>
      </c>
      <c r="R865" s="434">
        <f t="shared" si="294"/>
        <v>0</v>
      </c>
      <c r="S865" s="434">
        <f t="shared" si="294"/>
        <v>0</v>
      </c>
      <c r="T865" s="17"/>
      <c r="U865" s="118">
        <f>SUM(I865:T865)</f>
        <v>0</v>
      </c>
      <c r="V865" s="67"/>
      <c r="W865" s="726">
        <f t="shared" si="295" ref="W865:W902">F865-U865</f>
        <v>0</v>
      </c>
    </row>
    <row r="866" spans="1:23" ht="15">
      <c r="A866" s="47"/>
      <c r="B866" s="17">
        <f t="shared" si="293"/>
        <v>3</v>
      </c>
      <c r="C866" s="1" t="s">
        <v>226</v>
      </c>
      <c r="D866" s="1" t="s">
        <v>227</v>
      </c>
      <c r="E866" s="17"/>
      <c r="F866" s="118">
        <f>' WP II-I-1.4'!I866</f>
        <v>1248666.01</v>
      </c>
      <c r="G866" s="17">
        <v>6</v>
      </c>
      <c r="H866" s="47" t="str">
        <f>VLOOKUP(G866,FactorTable,2)</f>
        <v>CUS W ALL</v>
      </c>
      <c r="I866" s="17"/>
      <c r="J866" s="435">
        <f t="shared" si="294"/>
        <v>696137.31257049693</v>
      </c>
      <c r="K866" s="435">
        <f t="shared" si="294"/>
        <v>107326.44609984121</v>
      </c>
      <c r="L866" s="435">
        <f t="shared" si="294"/>
        <v>331052.13576550444</v>
      </c>
      <c r="M866" s="435">
        <f t="shared" si="294"/>
        <v>4648.4746389139573</v>
      </c>
      <c r="N866" s="435">
        <f t="shared" si="294"/>
        <v>97001.143660879185</v>
      </c>
      <c r="O866" s="435">
        <f t="shared" si="294"/>
        <v>3314.820658399768</v>
      </c>
      <c r="P866" s="435">
        <f t="shared" si="294"/>
        <v>7216.1095871318021</v>
      </c>
      <c r="Q866" s="435">
        <f t="shared" si="294"/>
        <v>693.92505477020313</v>
      </c>
      <c r="R866" s="435">
        <f t="shared" si="294"/>
        <v>382.47930673843479</v>
      </c>
      <c r="S866" s="435">
        <f t="shared" si="294"/>
        <v>893.16265732410909</v>
      </c>
      <c r="T866" s="17"/>
      <c r="U866" s="118">
        <f>SUM(I866:T866)</f>
        <v>1248666.01</v>
      </c>
      <c r="V866" s="67"/>
      <c r="W866" s="726">
        <f t="shared" si="295"/>
        <v>0</v>
      </c>
    </row>
    <row r="867" spans="1:23" ht="15.75">
      <c r="A867" s="47"/>
      <c r="B867" s="17">
        <f t="shared" si="293"/>
        <v>4</v>
      </c>
      <c r="C867" s="8"/>
      <c r="D867" s="26" t="s">
        <v>649</v>
      </c>
      <c r="E867" s="20"/>
      <c r="F867" s="22">
        <f>+F865+F866</f>
        <v>1248666.01</v>
      </c>
      <c r="G867" s="20"/>
      <c r="H867" s="20"/>
      <c r="I867" s="1010"/>
      <c r="J867" s="896">
        <f t="shared" si="296" ref="J867:Q867">+J865+J866</f>
        <v>696137.31257049693</v>
      </c>
      <c r="K867" s="896">
        <f t="shared" si="296"/>
        <v>107326.44609984121</v>
      </c>
      <c r="L867" s="896">
        <f t="shared" si="296"/>
        <v>331052.13576550444</v>
      </c>
      <c r="M867" s="896">
        <f t="shared" si="296"/>
        <v>4648.4746389139573</v>
      </c>
      <c r="N867" s="896">
        <f t="shared" si="296"/>
        <v>97001.143660879185</v>
      </c>
      <c r="O867" s="896">
        <f>+O865+O866</f>
        <v>3314.820658399768</v>
      </c>
      <c r="P867" s="896">
        <f t="shared" si="296"/>
        <v>7216.1095871318021</v>
      </c>
      <c r="Q867" s="896">
        <f t="shared" si="296"/>
        <v>693.92505477020313</v>
      </c>
      <c r="R867" s="896">
        <f>+R865+R866</f>
        <v>382.47930673843479</v>
      </c>
      <c r="S867" s="896">
        <f>+S865+S866</f>
        <v>893.16265732410909</v>
      </c>
      <c r="T867" s="1010"/>
      <c r="U867" s="299">
        <f>SUM(I867:T867)</f>
        <v>1248666.01</v>
      </c>
      <c r="V867" s="67"/>
      <c r="W867" s="726">
        <f t="shared" si="295"/>
        <v>0</v>
      </c>
    </row>
    <row r="868" spans="1:23" ht="15.75">
      <c r="A868" s="47"/>
      <c r="B868" s="17">
        <f t="shared" si="293"/>
        <v>5</v>
      </c>
      <c r="C868" s="1"/>
      <c r="D868" s="26"/>
      <c r="E868" s="17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"/>
      <c r="V868" s="67"/>
      <c r="W868" s="726">
        <f t="shared" si="295"/>
        <v>0</v>
      </c>
    </row>
    <row r="869" spans="1:23" ht="15">
      <c r="A869" s="47"/>
      <c r="B869" s="17">
        <f t="shared" si="293"/>
        <v>6</v>
      </c>
      <c r="C869" s="1" t="s">
        <v>222</v>
      </c>
      <c r="D869" s="1" t="s">
        <v>223</v>
      </c>
      <c r="E869" s="17"/>
      <c r="F869" s="118">
        <f>' WP II-I-1.4'!I869</f>
        <v>1485.77</v>
      </c>
      <c r="G869" s="17">
        <v>84</v>
      </c>
      <c r="H869" s="47" t="str">
        <f>VLOOKUP(G869,FactorTable,2)</f>
        <v>PAY CUS ACCT</v>
      </c>
      <c r="I869" s="17"/>
      <c r="J869" s="434">
        <f t="shared" si="297" ref="J869:S871">$F869*HLOOKUP(J$1318,FactorTable,$G869+1)</f>
        <v>828.32392858829178</v>
      </c>
      <c r="K869" s="434">
        <f t="shared" si="297"/>
        <v>127.70621811172795</v>
      </c>
      <c r="L869" s="434">
        <f t="shared" si="297"/>
        <v>393.91424753871013</v>
      </c>
      <c r="M869" s="434">
        <f t="shared" si="297"/>
        <v>5.5311541348508317</v>
      </c>
      <c r="N869" s="434">
        <f t="shared" si="297"/>
        <v>115.42028698052287</v>
      </c>
      <c r="O869" s="434">
        <f t="shared" si="297"/>
        <v>3.944258152450729</v>
      </c>
      <c r="P869" s="434">
        <f t="shared" si="297"/>
        <v>8.5863465934119709</v>
      </c>
      <c r="Q869" s="434">
        <f t="shared" si="297"/>
        <v>0.82569159436471296</v>
      </c>
      <c r="R869" s="434">
        <f t="shared" si="297"/>
        <v>0.45510670989816104</v>
      </c>
      <c r="S869" s="434">
        <f t="shared" si="297"/>
        <v>1.0627615957708672</v>
      </c>
      <c r="T869" s="17"/>
      <c r="U869" s="118">
        <f>SUM(I869:T869)</f>
        <v>1485.7699999999998</v>
      </c>
      <c r="V869" s="67"/>
      <c r="W869" s="726">
        <f t="shared" si="295"/>
        <v>0</v>
      </c>
    </row>
    <row r="870" spans="1:23" ht="15">
      <c r="A870" s="47"/>
      <c r="B870" s="17">
        <f t="shared" si="293"/>
        <v>7</v>
      </c>
      <c r="C870" s="1" t="s">
        <v>228</v>
      </c>
      <c r="D870" s="1" t="s">
        <v>229</v>
      </c>
      <c r="E870" s="17"/>
      <c r="F870" s="118">
        <f>' WP II-I-1.4'!I870</f>
        <v>0</v>
      </c>
      <c r="G870" s="17">
        <v>14</v>
      </c>
      <c r="H870" s="47" t="str">
        <f>VLOOKUP(G870,FactorTable,2)</f>
        <v>REVENUE</v>
      </c>
      <c r="I870" s="17"/>
      <c r="J870" s="434">
        <f t="shared" si="297"/>
        <v>0</v>
      </c>
      <c r="K870" s="434">
        <f t="shared" si="297"/>
        <v>0</v>
      </c>
      <c r="L870" s="434">
        <f t="shared" si="297"/>
        <v>0</v>
      </c>
      <c r="M870" s="434">
        <f t="shared" si="297"/>
        <v>0</v>
      </c>
      <c r="N870" s="434">
        <f t="shared" si="297"/>
        <v>0</v>
      </c>
      <c r="O870" s="434">
        <f t="shared" si="297"/>
        <v>0</v>
      </c>
      <c r="P870" s="434">
        <f t="shared" si="297"/>
        <v>0</v>
      </c>
      <c r="Q870" s="434">
        <f t="shared" si="297"/>
        <v>0</v>
      </c>
      <c r="R870" s="434">
        <f t="shared" si="297"/>
        <v>0</v>
      </c>
      <c r="S870" s="434">
        <f t="shared" si="297"/>
        <v>0</v>
      </c>
      <c r="T870" s="17"/>
      <c r="U870" s="118">
        <f>SUM(I870:T870)</f>
        <v>0</v>
      </c>
      <c r="V870" s="67"/>
      <c r="W870" s="726">
        <f t="shared" si="295"/>
        <v>0</v>
      </c>
    </row>
    <row r="871" spans="1:23" ht="15">
      <c r="A871" s="47"/>
      <c r="B871" s="17">
        <f t="shared" si="293"/>
        <v>8</v>
      </c>
      <c r="C871" s="1" t="s">
        <v>230</v>
      </c>
      <c r="D871" s="31" t="s">
        <v>231</v>
      </c>
      <c r="E871" s="17"/>
      <c r="F871" s="118">
        <f>' WP II-I-1.4'!I871</f>
        <v>0</v>
      </c>
      <c r="G871" s="17">
        <v>84</v>
      </c>
      <c r="H871" s="47" t="str">
        <f>VLOOKUP(G871,FactorTable,2)</f>
        <v>PAY CUS ACCT</v>
      </c>
      <c r="I871" s="17"/>
      <c r="J871" s="435">
        <f t="shared" si="297"/>
        <v>0</v>
      </c>
      <c r="K871" s="435">
        <f t="shared" si="297"/>
        <v>0</v>
      </c>
      <c r="L871" s="435">
        <f t="shared" si="297"/>
        <v>0</v>
      </c>
      <c r="M871" s="435">
        <f t="shared" si="297"/>
        <v>0</v>
      </c>
      <c r="N871" s="435">
        <f t="shared" si="297"/>
        <v>0</v>
      </c>
      <c r="O871" s="435">
        <f t="shared" si="297"/>
        <v>0</v>
      </c>
      <c r="P871" s="435">
        <f t="shared" si="297"/>
        <v>0</v>
      </c>
      <c r="Q871" s="435">
        <f t="shared" si="297"/>
        <v>0</v>
      </c>
      <c r="R871" s="435">
        <f t="shared" si="297"/>
        <v>0</v>
      </c>
      <c r="S871" s="435">
        <f t="shared" si="297"/>
        <v>0</v>
      </c>
      <c r="T871" s="17"/>
      <c r="U871" s="118">
        <f>SUM(I871:T871)</f>
        <v>0</v>
      </c>
      <c r="V871" s="67"/>
      <c r="W871" s="726">
        <f t="shared" si="295"/>
        <v>0</v>
      </c>
    </row>
    <row r="872" spans="1:23" ht="15.75">
      <c r="A872" s="47"/>
      <c r="B872" s="17">
        <f t="shared" si="293"/>
        <v>9</v>
      </c>
      <c r="C872" s="8"/>
      <c r="D872" s="26" t="s">
        <v>672</v>
      </c>
      <c r="E872" s="20"/>
      <c r="F872" s="22">
        <f>SUM(F869:F871)</f>
        <v>1485.77</v>
      </c>
      <c r="G872" s="20"/>
      <c r="H872" s="20"/>
      <c r="I872" s="1010"/>
      <c r="J872" s="896">
        <f t="shared" si="298" ref="J872:Q872">SUM(J869:J871)</f>
        <v>828.32392858829178</v>
      </c>
      <c r="K872" s="896">
        <f t="shared" si="298"/>
        <v>127.70621811172795</v>
      </c>
      <c r="L872" s="896">
        <f t="shared" si="298"/>
        <v>393.91424753871013</v>
      </c>
      <c r="M872" s="896">
        <f t="shared" si="298"/>
        <v>5.5311541348508317</v>
      </c>
      <c r="N872" s="896">
        <f t="shared" si="298"/>
        <v>115.42028698052287</v>
      </c>
      <c r="O872" s="896">
        <f>SUM(O869:O871)</f>
        <v>3.944258152450729</v>
      </c>
      <c r="P872" s="896">
        <f t="shared" si="298"/>
        <v>8.5863465934119709</v>
      </c>
      <c r="Q872" s="896">
        <f t="shared" si="298"/>
        <v>0.82569159436471296</v>
      </c>
      <c r="R872" s="896">
        <f>SUM(R869:R871)</f>
        <v>0.45510670989816104</v>
      </c>
      <c r="S872" s="896">
        <f>SUM(S869:S871)</f>
        <v>1.0627615957708672</v>
      </c>
      <c r="T872" s="1010"/>
      <c r="U872" s="299">
        <f>SUM(I872:T872)</f>
        <v>1485.7699999999998</v>
      </c>
      <c r="V872" s="67"/>
      <c r="W872" s="726">
        <f t="shared" si="295"/>
        <v>0</v>
      </c>
    </row>
    <row r="873" spans="1:23" ht="15.75">
      <c r="A873" s="47"/>
      <c r="B873" s="17">
        <f t="shared" si="293"/>
        <v>10</v>
      </c>
      <c r="C873" s="1"/>
      <c r="D873" s="26"/>
      <c r="E873" s="17"/>
      <c r="F873" s="19"/>
      <c r="G873" s="17"/>
      <c r="H873" s="17"/>
      <c r="I873" s="17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7"/>
      <c r="U873" s="1"/>
      <c r="V873" s="67"/>
      <c r="W873" s="726">
        <f t="shared" si="295"/>
        <v>0</v>
      </c>
    </row>
    <row r="874" spans="1:23" ht="15.75">
      <c r="A874" s="47"/>
      <c r="B874" s="17">
        <f t="shared" si="293"/>
        <v>11</v>
      </c>
      <c r="C874" s="8"/>
      <c r="D874" s="297" t="s">
        <v>673</v>
      </c>
      <c r="E874" s="20"/>
      <c r="F874" s="22">
        <f>+F867+F872</f>
        <v>1250151.78</v>
      </c>
      <c r="G874" s="20"/>
      <c r="H874" s="20"/>
      <c r="I874" s="1010"/>
      <c r="J874" s="896">
        <f t="shared" si="299" ref="J874:Q874">+J867+J872</f>
        <v>696965.63649908523</v>
      </c>
      <c r="K874" s="896">
        <f t="shared" si="299"/>
        <v>107454.15231795293</v>
      </c>
      <c r="L874" s="896">
        <f t="shared" si="299"/>
        <v>331446.05001304316</v>
      </c>
      <c r="M874" s="896">
        <f t="shared" si="299"/>
        <v>4654.0057930488083</v>
      </c>
      <c r="N874" s="896">
        <f t="shared" si="299"/>
        <v>97116.5639478597</v>
      </c>
      <c r="O874" s="896">
        <f>+O867+O872</f>
        <v>3318.7649165522189</v>
      </c>
      <c r="P874" s="896">
        <f t="shared" si="299"/>
        <v>7224.6959337252138</v>
      </c>
      <c r="Q874" s="896">
        <f t="shared" si="299"/>
        <v>694.75074636456782</v>
      </c>
      <c r="R874" s="896">
        <f>+R867+R872</f>
        <v>382.93441344833298</v>
      </c>
      <c r="S874" s="896">
        <f>+S867+S872</f>
        <v>894.22541891987998</v>
      </c>
      <c r="T874" s="1010"/>
      <c r="U874" s="299">
        <f>SUM(I874:T874)</f>
        <v>1250151.78</v>
      </c>
      <c r="V874" s="67"/>
      <c r="W874" s="726">
        <f t="shared" si="295"/>
        <v>0</v>
      </c>
    </row>
    <row r="875" spans="1:23" ht="15">
      <c r="A875" s="47"/>
      <c r="B875" s="17">
        <f t="shared" si="293"/>
        <v>12</v>
      </c>
      <c r="C875" s="1"/>
      <c r="D875" s="1"/>
      <c r="E875" s="17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"/>
      <c r="V875" s="67"/>
      <c r="W875" s="726">
        <f t="shared" si="295"/>
        <v>0</v>
      </c>
    </row>
    <row r="876" spans="1:23" ht="15.75">
      <c r="A876" s="47"/>
      <c r="B876" s="17">
        <f t="shared" si="293"/>
        <v>13</v>
      </c>
      <c r="C876" s="8"/>
      <c r="D876" s="366" t="s">
        <v>674</v>
      </c>
      <c r="E876" s="20" t="s">
        <v>279</v>
      </c>
      <c r="F876" s="22"/>
      <c r="G876" s="20"/>
      <c r="H876" s="20"/>
      <c r="I876" s="1010"/>
      <c r="J876" s="1059"/>
      <c r="K876" s="1059"/>
      <c r="L876" s="1059"/>
      <c r="M876" s="1059"/>
      <c r="N876" s="1059"/>
      <c r="O876" s="1059"/>
      <c r="P876" s="1059"/>
      <c r="Q876" s="1059"/>
      <c r="R876" s="1059"/>
      <c r="S876" s="1059"/>
      <c r="T876" s="1010"/>
      <c r="U876" s="8"/>
      <c r="V876" s="67"/>
      <c r="W876" s="726">
        <f t="shared" si="295"/>
        <v>0</v>
      </c>
    </row>
    <row r="877" spans="1:23" ht="15">
      <c r="A877" s="47"/>
      <c r="B877" s="17">
        <f t="shared" si="293"/>
        <v>14</v>
      </c>
      <c r="C877" s="1" t="s">
        <v>233</v>
      </c>
      <c r="D877" s="1" t="s">
        <v>234</v>
      </c>
      <c r="E877" s="17"/>
      <c r="F877" s="118">
        <f>' WP II-I-1.4'!I877</f>
        <v>0</v>
      </c>
      <c r="G877" s="17">
        <v>9</v>
      </c>
      <c r="H877" s="47" t="str">
        <f>VLOOKUP(G877,FactorTable,2)</f>
        <v>CUS U ALL</v>
      </c>
      <c r="I877" s="17"/>
      <c r="J877" s="434">
        <f t="shared" si="300" ref="J877:S879">$F877*HLOOKUP(J$1318,FactorTable,$G877+1)</f>
        <v>0</v>
      </c>
      <c r="K877" s="434">
        <f t="shared" si="300"/>
        <v>0</v>
      </c>
      <c r="L877" s="434">
        <f t="shared" si="300"/>
        <v>0</v>
      </c>
      <c r="M877" s="434">
        <f t="shared" si="300"/>
        <v>0</v>
      </c>
      <c r="N877" s="434">
        <f t="shared" si="300"/>
        <v>0</v>
      </c>
      <c r="O877" s="434">
        <f t="shared" si="300"/>
        <v>0</v>
      </c>
      <c r="P877" s="434">
        <f t="shared" si="300"/>
        <v>0</v>
      </c>
      <c r="Q877" s="434">
        <f t="shared" si="300"/>
        <v>0</v>
      </c>
      <c r="R877" s="434">
        <f t="shared" si="300"/>
        <v>0</v>
      </c>
      <c r="S877" s="434">
        <f t="shared" si="300"/>
        <v>0</v>
      </c>
      <c r="T877" s="17"/>
      <c r="U877" s="118">
        <f>SUM(I877:T877)</f>
        <v>0</v>
      </c>
      <c r="V877" s="67"/>
      <c r="W877" s="726">
        <f t="shared" si="295"/>
        <v>0</v>
      </c>
    </row>
    <row r="878" spans="1:23" ht="15">
      <c r="A878" s="47"/>
      <c r="B878" s="17">
        <f t="shared" si="293"/>
        <v>15</v>
      </c>
      <c r="C878" s="1" t="s">
        <v>236</v>
      </c>
      <c r="D878" s="31" t="s">
        <v>237</v>
      </c>
      <c r="E878" s="17"/>
      <c r="F878" s="118">
        <f>' WP II-I-1.4'!I878</f>
        <v>0</v>
      </c>
      <c r="G878" s="17">
        <v>9</v>
      </c>
      <c r="H878" s="47" t="str">
        <f>VLOOKUP(G878,FactorTable,2)</f>
        <v>CUS U ALL</v>
      </c>
      <c r="I878" s="17"/>
      <c r="J878" s="434">
        <f t="shared" si="300"/>
        <v>0</v>
      </c>
      <c r="K878" s="434">
        <f t="shared" si="300"/>
        <v>0</v>
      </c>
      <c r="L878" s="434">
        <f t="shared" si="300"/>
        <v>0</v>
      </c>
      <c r="M878" s="434">
        <f t="shared" si="300"/>
        <v>0</v>
      </c>
      <c r="N878" s="434">
        <f t="shared" si="300"/>
        <v>0</v>
      </c>
      <c r="O878" s="434">
        <f t="shared" si="300"/>
        <v>0</v>
      </c>
      <c r="P878" s="434">
        <f t="shared" si="300"/>
        <v>0</v>
      </c>
      <c r="Q878" s="434">
        <f t="shared" si="300"/>
        <v>0</v>
      </c>
      <c r="R878" s="434">
        <f t="shared" si="300"/>
        <v>0</v>
      </c>
      <c r="S878" s="434">
        <f t="shared" si="300"/>
        <v>0</v>
      </c>
      <c r="T878" s="17"/>
      <c r="U878" s="118">
        <f>SUM(I878:T878)</f>
        <v>0</v>
      </c>
      <c r="V878" s="67"/>
      <c r="W878" s="726">
        <f t="shared" si="295"/>
        <v>0</v>
      </c>
    </row>
    <row r="879" spans="1:23" ht="15">
      <c r="A879" s="47"/>
      <c r="B879" s="17">
        <f t="shared" si="293"/>
        <v>16</v>
      </c>
      <c r="C879" s="1" t="s">
        <v>238</v>
      </c>
      <c r="D879" s="1" t="s">
        <v>239</v>
      </c>
      <c r="E879" s="17"/>
      <c r="F879" s="118">
        <f>' WP II-I-1.4'!I879</f>
        <v>0</v>
      </c>
      <c r="G879" s="17">
        <v>9</v>
      </c>
      <c r="H879" s="47" t="str">
        <f>VLOOKUP(G879,FactorTable,2)</f>
        <v>CUS U ALL</v>
      </c>
      <c r="I879" s="17"/>
      <c r="J879" s="435">
        <f t="shared" si="300"/>
        <v>0</v>
      </c>
      <c r="K879" s="435">
        <f t="shared" si="300"/>
        <v>0</v>
      </c>
      <c r="L879" s="435">
        <f t="shared" si="300"/>
        <v>0</v>
      </c>
      <c r="M879" s="435">
        <f t="shared" si="300"/>
        <v>0</v>
      </c>
      <c r="N879" s="435">
        <f t="shared" si="300"/>
        <v>0</v>
      </c>
      <c r="O879" s="435">
        <f t="shared" si="300"/>
        <v>0</v>
      </c>
      <c r="P879" s="435">
        <f t="shared" si="300"/>
        <v>0</v>
      </c>
      <c r="Q879" s="435">
        <f t="shared" si="300"/>
        <v>0</v>
      </c>
      <c r="R879" s="435">
        <f t="shared" si="300"/>
        <v>0</v>
      </c>
      <c r="S879" s="435">
        <f t="shared" si="300"/>
        <v>0</v>
      </c>
      <c r="T879" s="17"/>
      <c r="U879" s="118">
        <f>SUM(I879:T879)</f>
        <v>0</v>
      </c>
      <c r="V879" s="67"/>
      <c r="W879" s="726">
        <f t="shared" si="295"/>
        <v>0</v>
      </c>
    </row>
    <row r="880" spans="1:23" ht="15.75">
      <c r="A880" s="47"/>
      <c r="B880" s="17">
        <f t="shared" si="293"/>
        <v>17</v>
      </c>
      <c r="C880" s="8"/>
      <c r="D880" s="26" t="s">
        <v>675</v>
      </c>
      <c r="E880" s="20"/>
      <c r="F880" s="22">
        <f>SUM(F877:F879)</f>
        <v>0</v>
      </c>
      <c r="G880" s="20"/>
      <c r="H880" s="20"/>
      <c r="I880" s="1010"/>
      <c r="J880" s="896">
        <f t="shared" si="301" ref="J880:Q880">SUM(J877:J879)</f>
        <v>0</v>
      </c>
      <c r="K880" s="896">
        <f t="shared" si="301"/>
        <v>0</v>
      </c>
      <c r="L880" s="896">
        <f t="shared" si="301"/>
        <v>0</v>
      </c>
      <c r="M880" s="896">
        <f t="shared" si="301"/>
        <v>0</v>
      </c>
      <c r="N880" s="896">
        <f t="shared" si="301"/>
        <v>0</v>
      </c>
      <c r="O880" s="896">
        <f>SUM(O877:O879)</f>
        <v>0</v>
      </c>
      <c r="P880" s="896">
        <f t="shared" si="301"/>
        <v>0</v>
      </c>
      <c r="Q880" s="896">
        <f t="shared" si="301"/>
        <v>0</v>
      </c>
      <c r="R880" s="896">
        <f>SUM(R877:R879)</f>
        <v>0</v>
      </c>
      <c r="S880" s="896">
        <f>SUM(S877:S879)</f>
        <v>0</v>
      </c>
      <c r="T880" s="1010"/>
      <c r="U880" s="299">
        <f>SUM(I880:T880)</f>
        <v>0</v>
      </c>
      <c r="V880" s="67"/>
      <c r="W880" s="726">
        <f t="shared" si="295"/>
        <v>0</v>
      </c>
    </row>
    <row r="881" spans="1:23" ht="15">
      <c r="A881" s="47"/>
      <c r="B881" s="17">
        <f t="shared" si="293"/>
        <v>18</v>
      </c>
      <c r="C881" s="1"/>
      <c r="D881" s="1"/>
      <c r="E881" s="17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"/>
      <c r="V881" s="67"/>
      <c r="W881" s="726">
        <f t="shared" si="295"/>
        <v>0</v>
      </c>
    </row>
    <row r="882" spans="1:23" ht="15">
      <c r="A882" s="47"/>
      <c r="B882" s="17">
        <f t="shared" si="293"/>
        <v>19</v>
      </c>
      <c r="C882" s="1" t="s">
        <v>235</v>
      </c>
      <c r="D882" s="1" t="s">
        <v>223</v>
      </c>
      <c r="E882" s="17"/>
      <c r="F882" s="118">
        <f>' WP II-I-1.4'!I882</f>
        <v>0</v>
      </c>
      <c r="G882" s="17">
        <v>85</v>
      </c>
      <c r="H882" s="47" t="str">
        <f>VLOOKUP(G882,FactorTable,2)</f>
        <v>PAY CUS SV INF</v>
      </c>
      <c r="I882" s="17"/>
      <c r="J882" s="434">
        <f t="shared" si="302" ref="J882:S883">$F882*HLOOKUP(J$1318,FactorTable,$G882+1)</f>
        <v>0</v>
      </c>
      <c r="K882" s="434">
        <f t="shared" si="302"/>
        <v>0</v>
      </c>
      <c r="L882" s="434">
        <f t="shared" si="302"/>
        <v>0</v>
      </c>
      <c r="M882" s="434">
        <f t="shared" si="302"/>
        <v>0</v>
      </c>
      <c r="N882" s="434">
        <f t="shared" si="302"/>
        <v>0</v>
      </c>
      <c r="O882" s="434">
        <f t="shared" si="302"/>
        <v>0</v>
      </c>
      <c r="P882" s="434">
        <f t="shared" si="302"/>
        <v>0</v>
      </c>
      <c r="Q882" s="434">
        <f t="shared" si="302"/>
        <v>0</v>
      </c>
      <c r="R882" s="434">
        <f t="shared" si="302"/>
        <v>0</v>
      </c>
      <c r="S882" s="434">
        <f t="shared" si="302"/>
        <v>0</v>
      </c>
      <c r="T882" s="17"/>
      <c r="U882" s="118">
        <f>SUM(I882:T882)</f>
        <v>0</v>
      </c>
      <c r="V882" s="67"/>
      <c r="W882" s="726">
        <f t="shared" si="295"/>
        <v>0</v>
      </c>
    </row>
    <row r="883" spans="1:23" ht="15">
      <c r="A883" s="47"/>
      <c r="B883" s="17">
        <f t="shared" si="293"/>
        <v>20</v>
      </c>
      <c r="C883" s="1" t="s">
        <v>240</v>
      </c>
      <c r="D883" s="1" t="s">
        <v>676</v>
      </c>
      <c r="E883" s="17"/>
      <c r="F883" s="118">
        <f>' WP II-I-1.4'!I883</f>
        <v>0</v>
      </c>
      <c r="G883" s="17">
        <v>85</v>
      </c>
      <c r="H883" s="47" t="str">
        <f>VLOOKUP(G883,FactorTable,2)</f>
        <v>PAY CUS SV INF</v>
      </c>
      <c r="I883" s="17"/>
      <c r="J883" s="435">
        <f t="shared" si="302"/>
        <v>0</v>
      </c>
      <c r="K883" s="435">
        <f t="shared" si="302"/>
        <v>0</v>
      </c>
      <c r="L883" s="435">
        <f t="shared" si="302"/>
        <v>0</v>
      </c>
      <c r="M883" s="435">
        <f t="shared" si="302"/>
        <v>0</v>
      </c>
      <c r="N883" s="435">
        <f t="shared" si="302"/>
        <v>0</v>
      </c>
      <c r="O883" s="435">
        <f t="shared" si="302"/>
        <v>0</v>
      </c>
      <c r="P883" s="435">
        <f t="shared" si="302"/>
        <v>0</v>
      </c>
      <c r="Q883" s="435">
        <f t="shared" si="302"/>
        <v>0</v>
      </c>
      <c r="R883" s="435">
        <f t="shared" si="302"/>
        <v>0</v>
      </c>
      <c r="S883" s="435">
        <f t="shared" si="302"/>
        <v>0</v>
      </c>
      <c r="T883" s="17"/>
      <c r="U883" s="118">
        <f>SUM(I883:T883)</f>
        <v>0</v>
      </c>
      <c r="V883" s="67"/>
      <c r="W883" s="726">
        <f t="shared" si="295"/>
        <v>0</v>
      </c>
    </row>
    <row r="884" spans="1:23" ht="15.75">
      <c r="A884" s="47"/>
      <c r="B884" s="17">
        <f t="shared" si="293"/>
        <v>21</v>
      </c>
      <c r="C884" s="8"/>
      <c r="D884" s="26" t="s">
        <v>677</v>
      </c>
      <c r="E884" s="20"/>
      <c r="F884" s="22">
        <f>SUM(F882:F883)</f>
        <v>0</v>
      </c>
      <c r="G884" s="20"/>
      <c r="H884" s="20"/>
      <c r="I884" s="1010"/>
      <c r="J884" s="896">
        <f t="shared" si="303" ref="J884:Q884">SUM(J882:J883)</f>
        <v>0</v>
      </c>
      <c r="K884" s="896">
        <f t="shared" si="303"/>
        <v>0</v>
      </c>
      <c r="L884" s="896">
        <f t="shared" si="303"/>
        <v>0</v>
      </c>
      <c r="M884" s="896">
        <f t="shared" si="303"/>
        <v>0</v>
      </c>
      <c r="N884" s="896">
        <f t="shared" si="303"/>
        <v>0</v>
      </c>
      <c r="O884" s="896">
        <f>SUM(O882:O883)</f>
        <v>0</v>
      </c>
      <c r="P884" s="896">
        <f t="shared" si="303"/>
        <v>0</v>
      </c>
      <c r="Q884" s="896">
        <f t="shared" si="303"/>
        <v>0</v>
      </c>
      <c r="R884" s="896">
        <f>SUM(R882:R883)</f>
        <v>0</v>
      </c>
      <c r="S884" s="896">
        <f>SUM(S882:S883)</f>
        <v>0</v>
      </c>
      <c r="T884" s="1010"/>
      <c r="U884" s="299">
        <f>SUM(I884:T884)</f>
        <v>0</v>
      </c>
      <c r="V884" s="67"/>
      <c r="W884" s="726">
        <f t="shared" si="295"/>
        <v>0</v>
      </c>
    </row>
    <row r="885" spans="1:23" ht="15">
      <c r="A885" s="47"/>
      <c r="B885" s="17">
        <f t="shared" si="293"/>
        <v>22</v>
      </c>
      <c r="C885" s="1"/>
      <c r="D885" s="1"/>
      <c r="E885" s="17"/>
      <c r="F885" s="19"/>
      <c r="G885" s="17"/>
      <c r="H885" s="17"/>
      <c r="I885" s="17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7"/>
      <c r="U885" s="1"/>
      <c r="V885" s="67"/>
      <c r="W885" s="726">
        <f t="shared" si="295"/>
        <v>0</v>
      </c>
    </row>
    <row r="886" spans="1:23" ht="15.75">
      <c r="A886" s="47"/>
      <c r="B886" s="17">
        <f t="shared" si="293"/>
        <v>23</v>
      </c>
      <c r="C886" s="8"/>
      <c r="D886" s="297" t="s">
        <v>678</v>
      </c>
      <c r="E886" s="20"/>
      <c r="F886" s="22">
        <f>+F884+F880</f>
        <v>0</v>
      </c>
      <c r="G886" s="20"/>
      <c r="H886" s="20"/>
      <c r="I886" s="1010"/>
      <c r="J886" s="896">
        <f t="shared" si="304" ref="J886:Q886">+J884+J880</f>
        <v>0</v>
      </c>
      <c r="K886" s="896">
        <f t="shared" si="304"/>
        <v>0</v>
      </c>
      <c r="L886" s="896">
        <f t="shared" si="304"/>
        <v>0</v>
      </c>
      <c r="M886" s="896">
        <f t="shared" si="304"/>
        <v>0</v>
      </c>
      <c r="N886" s="896">
        <f t="shared" si="304"/>
        <v>0</v>
      </c>
      <c r="O886" s="896">
        <f>+O884+O880</f>
        <v>0</v>
      </c>
      <c r="P886" s="896">
        <f t="shared" si="304"/>
        <v>0</v>
      </c>
      <c r="Q886" s="896">
        <f t="shared" si="304"/>
        <v>0</v>
      </c>
      <c r="R886" s="896">
        <f>+R884+R880</f>
        <v>0</v>
      </c>
      <c r="S886" s="896">
        <f>+S884+S880</f>
        <v>0</v>
      </c>
      <c r="T886" s="1010"/>
      <c r="U886" s="299">
        <f>SUM(I886:T886)</f>
        <v>0</v>
      </c>
      <c r="V886" s="67"/>
      <c r="W886" s="726">
        <f t="shared" si="295"/>
        <v>0</v>
      </c>
    </row>
    <row r="887" spans="1:23" ht="15">
      <c r="A887" s="47"/>
      <c r="B887" s="17">
        <f t="shared" si="293"/>
        <v>24</v>
      </c>
      <c r="C887" s="1"/>
      <c r="D887" s="1"/>
      <c r="E887" s="17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"/>
      <c r="V887" s="67"/>
      <c r="W887" s="726">
        <f t="shared" si="295"/>
        <v>0</v>
      </c>
    </row>
    <row r="888" spans="1:23" ht="15.75">
      <c r="A888" s="47"/>
      <c r="B888" s="17">
        <f t="shared" si="293"/>
        <v>25</v>
      </c>
      <c r="C888" s="8"/>
      <c r="D888" s="368" t="s">
        <v>285</v>
      </c>
      <c r="E888" s="20" t="s">
        <v>279</v>
      </c>
      <c r="F888" s="22"/>
      <c r="G888" s="20"/>
      <c r="H888" s="20"/>
      <c r="I888" s="1010"/>
      <c r="J888" s="1059"/>
      <c r="K888" s="1059"/>
      <c r="L888" s="1059"/>
      <c r="M888" s="1059"/>
      <c r="N888" s="1059"/>
      <c r="O888" s="1059"/>
      <c r="P888" s="1059"/>
      <c r="Q888" s="1059"/>
      <c r="R888" s="1059"/>
      <c r="S888" s="1059"/>
      <c r="T888" s="1010"/>
      <c r="U888" s="8"/>
      <c r="V888" s="67"/>
      <c r="W888" s="726">
        <f t="shared" si="295"/>
        <v>0</v>
      </c>
    </row>
    <row r="889" spans="1:23" ht="15">
      <c r="A889" s="47"/>
      <c r="B889" s="17">
        <f t="shared" si="293"/>
        <v>26</v>
      </c>
      <c r="C889" s="1" t="s">
        <v>244</v>
      </c>
      <c r="D889" s="51" t="s">
        <v>679</v>
      </c>
      <c r="E889" s="17"/>
      <c r="F889" s="118">
        <f>' WP II-I-1.4'!I889</f>
        <v>0</v>
      </c>
      <c r="G889" s="17">
        <v>9</v>
      </c>
      <c r="H889" s="47" t="str">
        <f>VLOOKUP(G889,FactorTable,2)</f>
        <v>CUS U ALL</v>
      </c>
      <c r="I889" s="17"/>
      <c r="J889" s="434">
        <f t="shared" si="305" ref="J889:S891">$F889*HLOOKUP(J$1318,FactorTable,$G889+1)</f>
        <v>0</v>
      </c>
      <c r="K889" s="434">
        <f t="shared" si="305"/>
        <v>0</v>
      </c>
      <c r="L889" s="434">
        <f t="shared" si="305"/>
        <v>0</v>
      </c>
      <c r="M889" s="434">
        <f t="shared" si="305"/>
        <v>0</v>
      </c>
      <c r="N889" s="434">
        <f t="shared" si="305"/>
        <v>0</v>
      </c>
      <c r="O889" s="434">
        <f t="shared" si="305"/>
        <v>0</v>
      </c>
      <c r="P889" s="434">
        <f t="shared" si="305"/>
        <v>0</v>
      </c>
      <c r="Q889" s="434">
        <f t="shared" si="305"/>
        <v>0</v>
      </c>
      <c r="R889" s="434">
        <f t="shared" si="305"/>
        <v>0</v>
      </c>
      <c r="S889" s="434">
        <f t="shared" si="305"/>
        <v>0</v>
      </c>
      <c r="T889" s="17"/>
      <c r="U889" s="118">
        <f>SUM(I889:T889)</f>
        <v>0</v>
      </c>
      <c r="V889" s="67"/>
      <c r="W889" s="726">
        <f t="shared" si="295"/>
        <v>0</v>
      </c>
    </row>
    <row r="890" spans="1:23" ht="15">
      <c r="A890" s="47"/>
      <c r="B890" s="17">
        <f t="shared" si="293"/>
        <v>27</v>
      </c>
      <c r="C890" s="1" t="s">
        <v>246</v>
      </c>
      <c r="D890" s="51" t="s">
        <v>680</v>
      </c>
      <c r="E890" s="17"/>
      <c r="F890" s="118">
        <f>' WP II-I-1.4'!I890</f>
        <v>0</v>
      </c>
      <c r="G890" s="17">
        <v>9</v>
      </c>
      <c r="H890" s="47" t="str">
        <f>VLOOKUP(G890,FactorTable,2)</f>
        <v>CUS U ALL</v>
      </c>
      <c r="I890" s="17"/>
      <c r="J890" s="434">
        <f t="shared" si="305"/>
        <v>0</v>
      </c>
      <c r="K890" s="434">
        <f t="shared" si="305"/>
        <v>0</v>
      </c>
      <c r="L890" s="434">
        <f t="shared" si="305"/>
        <v>0</v>
      </c>
      <c r="M890" s="434">
        <f t="shared" si="305"/>
        <v>0</v>
      </c>
      <c r="N890" s="434">
        <f t="shared" si="305"/>
        <v>0</v>
      </c>
      <c r="O890" s="434">
        <f t="shared" si="305"/>
        <v>0</v>
      </c>
      <c r="P890" s="434">
        <f t="shared" si="305"/>
        <v>0</v>
      </c>
      <c r="Q890" s="434">
        <f t="shared" si="305"/>
        <v>0</v>
      </c>
      <c r="R890" s="434">
        <f t="shared" si="305"/>
        <v>0</v>
      </c>
      <c r="S890" s="434">
        <f t="shared" si="305"/>
        <v>0</v>
      </c>
      <c r="T890" s="17"/>
      <c r="U890" s="118">
        <f>SUM(I890:T890)</f>
        <v>0</v>
      </c>
      <c r="V890" s="67"/>
      <c r="W890" s="726">
        <f t="shared" si="295"/>
        <v>0</v>
      </c>
    </row>
    <row r="891" spans="1:23" ht="15">
      <c r="A891" s="47"/>
      <c r="B891" s="17">
        <f t="shared" si="293"/>
        <v>28</v>
      </c>
      <c r="C891" s="1" t="s">
        <v>250</v>
      </c>
      <c r="D891" s="51" t="s">
        <v>242</v>
      </c>
      <c r="E891" s="17"/>
      <c r="F891" s="118">
        <f>' WP II-I-1.4'!I891</f>
        <v>0</v>
      </c>
      <c r="G891" s="17">
        <v>9</v>
      </c>
      <c r="H891" s="47" t="str">
        <f>VLOOKUP(G891,FactorTable,2)</f>
        <v>CUS U ALL</v>
      </c>
      <c r="I891" s="17"/>
      <c r="J891" s="435">
        <f t="shared" si="305"/>
        <v>0</v>
      </c>
      <c r="K891" s="435">
        <f t="shared" si="305"/>
        <v>0</v>
      </c>
      <c r="L891" s="435">
        <f t="shared" si="305"/>
        <v>0</v>
      </c>
      <c r="M891" s="435">
        <f t="shared" si="305"/>
        <v>0</v>
      </c>
      <c r="N891" s="435">
        <f t="shared" si="305"/>
        <v>0</v>
      </c>
      <c r="O891" s="435">
        <f t="shared" si="305"/>
        <v>0</v>
      </c>
      <c r="P891" s="435">
        <f t="shared" si="305"/>
        <v>0</v>
      </c>
      <c r="Q891" s="435">
        <f t="shared" si="305"/>
        <v>0</v>
      </c>
      <c r="R891" s="435">
        <f t="shared" si="305"/>
        <v>0</v>
      </c>
      <c r="S891" s="435">
        <f t="shared" si="305"/>
        <v>0</v>
      </c>
      <c r="T891" s="17"/>
      <c r="U891" s="118">
        <f>SUM(I891:T891)</f>
        <v>0</v>
      </c>
      <c r="V891" s="67"/>
      <c r="W891" s="726">
        <f t="shared" si="295"/>
        <v>0</v>
      </c>
    </row>
    <row r="892" spans="1:23" ht="15.75">
      <c r="A892" s="47"/>
      <c r="B892" s="17">
        <f t="shared" si="293"/>
        <v>29</v>
      </c>
      <c r="C892" s="8"/>
      <c r="D892" s="297" t="s">
        <v>681</v>
      </c>
      <c r="E892" s="20"/>
      <c r="F892" s="22">
        <f>+F889+F890+F891</f>
        <v>0</v>
      </c>
      <c r="G892" s="20"/>
      <c r="H892" s="20"/>
      <c r="I892" s="1010"/>
      <c r="J892" s="896">
        <f t="shared" si="306" ref="J892:Q892">+J889+J890+J891</f>
        <v>0</v>
      </c>
      <c r="K892" s="896">
        <f t="shared" si="306"/>
        <v>0</v>
      </c>
      <c r="L892" s="896">
        <f t="shared" si="306"/>
        <v>0</v>
      </c>
      <c r="M892" s="896">
        <f t="shared" si="306"/>
        <v>0</v>
      </c>
      <c r="N892" s="896">
        <f t="shared" si="306"/>
        <v>0</v>
      </c>
      <c r="O892" s="896">
        <f>+O889+O890+O891</f>
        <v>0</v>
      </c>
      <c r="P892" s="896">
        <f t="shared" si="306"/>
        <v>0</v>
      </c>
      <c r="Q892" s="896">
        <f t="shared" si="306"/>
        <v>0</v>
      </c>
      <c r="R892" s="896">
        <f>+R889+R890+R891</f>
        <v>0</v>
      </c>
      <c r="S892" s="896">
        <f>+S889+S890+S891</f>
        <v>0</v>
      </c>
      <c r="T892" s="1010"/>
      <c r="U892" s="299">
        <f>SUM(I892:T892)</f>
        <v>0</v>
      </c>
      <c r="V892" s="67"/>
      <c r="W892" s="726">
        <f t="shared" si="295"/>
        <v>0</v>
      </c>
    </row>
    <row r="893" spans="1:23" ht="15.75">
      <c r="A893" s="47"/>
      <c r="B893" s="17">
        <f t="shared" si="293"/>
        <v>30</v>
      </c>
      <c r="C893" s="1"/>
      <c r="D893" s="297"/>
      <c r="E893" s="17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"/>
      <c r="V893" s="67"/>
      <c r="W893" s="726">
        <f t="shared" si="295"/>
        <v>0</v>
      </c>
    </row>
    <row r="894" spans="1:23" ht="15">
      <c r="A894" s="47"/>
      <c r="B894" s="17">
        <f t="shared" si="293"/>
        <v>31</v>
      </c>
      <c r="C894" s="1" t="s">
        <v>243</v>
      </c>
      <c r="D894" s="51" t="s">
        <v>223</v>
      </c>
      <c r="E894" s="17"/>
      <c r="F894" s="118">
        <f>' WP II-I-1.4'!I894</f>
        <v>0</v>
      </c>
      <c r="G894" s="17">
        <v>9</v>
      </c>
      <c r="H894" s="47" t="str">
        <f>VLOOKUP(G894,FactorTable,2)</f>
        <v>CUS U ALL</v>
      </c>
      <c r="I894" s="17"/>
      <c r="J894" s="434">
        <f t="shared" si="307" ref="J894:S895">$F894*HLOOKUP(J$1318,FactorTable,$G894+1)</f>
        <v>0</v>
      </c>
      <c r="K894" s="434">
        <f t="shared" si="307"/>
        <v>0</v>
      </c>
      <c r="L894" s="434">
        <f t="shared" si="307"/>
        <v>0</v>
      </c>
      <c r="M894" s="434">
        <f t="shared" si="307"/>
        <v>0</v>
      </c>
      <c r="N894" s="434">
        <f t="shared" si="307"/>
        <v>0</v>
      </c>
      <c r="O894" s="434">
        <f t="shared" si="307"/>
        <v>0</v>
      </c>
      <c r="P894" s="434">
        <f t="shared" si="307"/>
        <v>0</v>
      </c>
      <c r="Q894" s="434">
        <f t="shared" si="307"/>
        <v>0</v>
      </c>
      <c r="R894" s="434">
        <f t="shared" si="307"/>
        <v>0</v>
      </c>
      <c r="S894" s="434">
        <f t="shared" si="307"/>
        <v>0</v>
      </c>
      <c r="T894" s="17"/>
      <c r="U894" s="118">
        <f>SUM(I894:T894)</f>
        <v>0</v>
      </c>
      <c r="V894" s="67"/>
      <c r="W894" s="726">
        <f t="shared" si="295"/>
        <v>0</v>
      </c>
    </row>
    <row r="895" spans="1:23" ht="15">
      <c r="A895" s="47"/>
      <c r="B895" s="17">
        <f t="shared" si="293"/>
        <v>32</v>
      </c>
      <c r="C895" s="1" t="s">
        <v>248</v>
      </c>
      <c r="D895" s="51" t="s">
        <v>682</v>
      </c>
      <c r="E895" s="17"/>
      <c r="F895" s="118">
        <f>' WP II-I-1.4'!I895</f>
        <v>0</v>
      </c>
      <c r="G895" s="17">
        <v>9</v>
      </c>
      <c r="H895" s="47" t="str">
        <f>VLOOKUP(G895,FactorTable,2)</f>
        <v>CUS U ALL</v>
      </c>
      <c r="I895" s="17"/>
      <c r="J895" s="435">
        <f t="shared" si="307"/>
        <v>0</v>
      </c>
      <c r="K895" s="435">
        <f t="shared" si="307"/>
        <v>0</v>
      </c>
      <c r="L895" s="435">
        <f t="shared" si="307"/>
        <v>0</v>
      </c>
      <c r="M895" s="435">
        <f t="shared" si="307"/>
        <v>0</v>
      </c>
      <c r="N895" s="435">
        <f t="shared" si="307"/>
        <v>0</v>
      </c>
      <c r="O895" s="435">
        <f t="shared" si="307"/>
        <v>0</v>
      </c>
      <c r="P895" s="435">
        <f t="shared" si="307"/>
        <v>0</v>
      </c>
      <c r="Q895" s="435">
        <f t="shared" si="307"/>
        <v>0</v>
      </c>
      <c r="R895" s="435">
        <f t="shared" si="307"/>
        <v>0</v>
      </c>
      <c r="S895" s="435">
        <f t="shared" si="307"/>
        <v>0</v>
      </c>
      <c r="T895" s="17"/>
      <c r="U895" s="118">
        <f>SUM(I895:T895)</f>
        <v>0</v>
      </c>
      <c r="V895" s="67"/>
      <c r="W895" s="726">
        <f t="shared" si="295"/>
        <v>0</v>
      </c>
    </row>
    <row r="896" spans="1:23" ht="15.75">
      <c r="A896" s="47"/>
      <c r="B896" s="17">
        <f t="shared" si="293"/>
        <v>33</v>
      </c>
      <c r="C896" s="8"/>
      <c r="D896" s="26" t="s">
        <v>683</v>
      </c>
      <c r="E896" s="20"/>
      <c r="F896" s="22">
        <f>SUM(F894:F895)</f>
        <v>0</v>
      </c>
      <c r="G896" s="20"/>
      <c r="H896" s="20"/>
      <c r="I896" s="1010"/>
      <c r="J896" s="896">
        <f t="shared" si="308" ref="J896:Q896">SUM(J894:J895)</f>
        <v>0</v>
      </c>
      <c r="K896" s="896">
        <f t="shared" si="308"/>
        <v>0</v>
      </c>
      <c r="L896" s="896">
        <f t="shared" si="308"/>
        <v>0</v>
      </c>
      <c r="M896" s="896">
        <f t="shared" si="308"/>
        <v>0</v>
      </c>
      <c r="N896" s="896">
        <f t="shared" si="308"/>
        <v>0</v>
      </c>
      <c r="O896" s="896">
        <f>SUM(O894:O895)</f>
        <v>0</v>
      </c>
      <c r="P896" s="896">
        <f t="shared" si="308"/>
        <v>0</v>
      </c>
      <c r="Q896" s="896">
        <f t="shared" si="308"/>
        <v>0</v>
      </c>
      <c r="R896" s="896">
        <f>SUM(R894:R895)</f>
        <v>0</v>
      </c>
      <c r="S896" s="896">
        <f>SUM(S894:S895)</f>
        <v>0</v>
      </c>
      <c r="T896" s="20"/>
      <c r="U896" s="299">
        <f>SUM(I896:T896)</f>
        <v>0</v>
      </c>
      <c r="V896" s="67"/>
      <c r="W896" s="726">
        <f t="shared" si="295"/>
        <v>0</v>
      </c>
    </row>
    <row r="897" spans="1:23" ht="15">
      <c r="A897" s="47"/>
      <c r="B897" s="17">
        <f t="shared" si="293"/>
        <v>34</v>
      </c>
      <c r="C897" s="1"/>
      <c r="D897" s="1"/>
      <c r="E897" s="17"/>
      <c r="F897" s="19"/>
      <c r="G897" s="17"/>
      <c r="H897" s="17"/>
      <c r="I897" s="17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7"/>
      <c r="U897" s="1"/>
      <c r="V897" s="67"/>
      <c r="W897" s="726">
        <f t="shared" si="295"/>
        <v>0</v>
      </c>
    </row>
    <row r="898" spans="1:23" ht="15.75">
      <c r="A898" s="47"/>
      <c r="B898" s="17">
        <f t="shared" si="293"/>
        <v>35</v>
      </c>
      <c r="C898" s="8"/>
      <c r="D898" s="297" t="s">
        <v>684</v>
      </c>
      <c r="E898" s="20"/>
      <c r="F898" s="22">
        <f>+F892+F896</f>
        <v>0</v>
      </c>
      <c r="G898" s="20"/>
      <c r="H898" s="20"/>
      <c r="I898" s="20"/>
      <c r="J898" s="896">
        <f t="shared" si="309" ref="J898:Q898">+J892+J896</f>
        <v>0</v>
      </c>
      <c r="K898" s="896">
        <f t="shared" si="309"/>
        <v>0</v>
      </c>
      <c r="L898" s="896">
        <f t="shared" si="309"/>
        <v>0</v>
      </c>
      <c r="M898" s="896">
        <f t="shared" si="309"/>
        <v>0</v>
      </c>
      <c r="N898" s="896">
        <f t="shared" si="309"/>
        <v>0</v>
      </c>
      <c r="O898" s="896">
        <f>+O892+O896</f>
        <v>0</v>
      </c>
      <c r="P898" s="896">
        <f t="shared" si="309"/>
        <v>0</v>
      </c>
      <c r="Q898" s="896">
        <f t="shared" si="309"/>
        <v>0</v>
      </c>
      <c r="R898" s="896">
        <f>+R892+R896</f>
        <v>0</v>
      </c>
      <c r="S898" s="896">
        <f>+S892+S896</f>
        <v>0</v>
      </c>
      <c r="T898" s="20"/>
      <c r="U898" s="118">
        <f>SUM(I898:T898)</f>
        <v>0</v>
      </c>
      <c r="V898" s="67"/>
      <c r="W898" s="726">
        <f t="shared" si="295"/>
        <v>0</v>
      </c>
    </row>
    <row r="899" spans="1:23" ht="15.75" thickBot="1">
      <c r="A899" s="47"/>
      <c r="B899" s="17">
        <f t="shared" si="293"/>
        <v>36</v>
      </c>
      <c r="C899" s="1"/>
      <c r="D899" s="51"/>
      <c r="E899" s="17"/>
      <c r="F899" s="19"/>
      <c r="G899" s="17"/>
      <c r="H899" s="17"/>
      <c r="I899" s="17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7"/>
      <c r="U899" s="1"/>
      <c r="V899" s="67"/>
      <c r="W899" s="726">
        <f t="shared" si="295"/>
        <v>0</v>
      </c>
    </row>
    <row r="900" spans="1:23" ht="16.5" thickBot="1">
      <c r="A900" s="47"/>
      <c r="B900" s="17">
        <f t="shared" si="293"/>
        <v>37</v>
      </c>
      <c r="C900" s="870" t="s">
        <v>685</v>
      </c>
      <c r="D900" s="1017"/>
      <c r="E900" s="1013"/>
      <c r="F900" s="1014">
        <f>+F898+F886+F874</f>
        <v>1250151.78</v>
      </c>
      <c r="G900" s="1013"/>
      <c r="H900" s="1013"/>
      <c r="I900" s="1075"/>
      <c r="J900" s="1072">
        <f t="shared" si="310" ref="J900:Q900">+J898+J886+J874</f>
        <v>696965.63649908523</v>
      </c>
      <c r="K900" s="1014">
        <f t="shared" si="310"/>
        <v>107454.15231795293</v>
      </c>
      <c r="L900" s="1014">
        <f t="shared" si="310"/>
        <v>331446.05001304316</v>
      </c>
      <c r="M900" s="1014">
        <f t="shared" si="310"/>
        <v>4654.0057930488083</v>
      </c>
      <c r="N900" s="1014">
        <f t="shared" si="310"/>
        <v>97116.5639478597</v>
      </c>
      <c r="O900" s="1014">
        <f>+O898+O886+O874</f>
        <v>3318.7649165522189</v>
      </c>
      <c r="P900" s="1014">
        <f t="shared" si="310"/>
        <v>7224.6959337252138</v>
      </c>
      <c r="Q900" s="1014">
        <f t="shared" si="310"/>
        <v>694.75074636456782</v>
      </c>
      <c r="R900" s="1014">
        <f>+R898+R886+R874</f>
        <v>382.93441344833298</v>
      </c>
      <c r="S900" s="1053">
        <f>+S898+S886+S874</f>
        <v>894.22541891987998</v>
      </c>
      <c r="T900" s="1076"/>
      <c r="U900" s="1015">
        <f>SUM(I900:T900)</f>
        <v>1250151.78</v>
      </c>
      <c r="V900" s="67"/>
      <c r="W900" s="726">
        <f t="shared" si="295"/>
        <v>0</v>
      </c>
    </row>
    <row r="901" spans="1:23" ht="16.5" thickBot="1">
      <c r="A901" s="47"/>
      <c r="B901" s="17">
        <f t="shared" si="293"/>
        <v>38</v>
      </c>
      <c r="C901" s="1"/>
      <c r="D901" s="8"/>
      <c r="E901" s="17"/>
      <c r="F901" s="19"/>
      <c r="G901" s="17"/>
      <c r="H901" s="17"/>
      <c r="I901" s="17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7"/>
      <c r="U901" s="1"/>
      <c r="V901" s="67"/>
      <c r="W901" s="726">
        <f t="shared" si="295"/>
        <v>0</v>
      </c>
    </row>
    <row r="902" spans="1:23" ht="16.5" thickBot="1">
      <c r="A902" s="47"/>
      <c r="B902" s="17">
        <f t="shared" si="293"/>
        <v>39</v>
      </c>
      <c r="C902" s="284" t="s">
        <v>1201</v>
      </c>
      <c r="D902" s="285"/>
      <c r="E902" s="374" t="s">
        <v>279</v>
      </c>
      <c r="F902" s="255">
        <f>+F900+F851+F804</f>
        <v>1250915.3300000001</v>
      </c>
      <c r="G902" s="374"/>
      <c r="H902" s="467"/>
      <c r="I902" s="1066"/>
      <c r="J902" s="446">
        <f t="shared" si="311" ref="J902:Q902">+J900+J851+J804</f>
        <v>696965.63649908523</v>
      </c>
      <c r="K902" s="903">
        <f t="shared" si="311"/>
        <v>107454.15231795293</v>
      </c>
      <c r="L902" s="903">
        <f t="shared" si="311"/>
        <v>331446.05001304316</v>
      </c>
      <c r="M902" s="903">
        <f t="shared" si="311"/>
        <v>4654.0057930488083</v>
      </c>
      <c r="N902" s="903">
        <f t="shared" si="311"/>
        <v>97116.5639478597</v>
      </c>
      <c r="O902" s="903">
        <f>+O900+O851+O804</f>
        <v>3318.7649165522189</v>
      </c>
      <c r="P902" s="903">
        <f t="shared" si="311"/>
        <v>7224.6959337252138</v>
      </c>
      <c r="Q902" s="903">
        <f t="shared" si="311"/>
        <v>1458.3007463645677</v>
      </c>
      <c r="R902" s="903">
        <f>+R900+R851+R804</f>
        <v>382.93441344833298</v>
      </c>
      <c r="S902" s="380">
        <f>+S900+S851+S804</f>
        <v>894.22541891987998</v>
      </c>
      <c r="T902" s="467"/>
      <c r="U902" s="256">
        <f>SUM(I902:T902)</f>
        <v>1250915.3300000001</v>
      </c>
      <c r="V902" s="67"/>
      <c r="W902" s="726">
        <f t="shared" si="295"/>
        <v>0</v>
      </c>
    </row>
    <row r="903" spans="1:23" ht="15">
      <c r="A903" s="47"/>
      <c r="B903" s="17"/>
      <c r="C903" s="17"/>
      <c r="D903" s="17"/>
      <c r="E903" s="17"/>
      <c r="F903" s="17"/>
      <c r="G903" s="17"/>
      <c r="H903" s="13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34"/>
      <c r="V903" s="134">
        <f>$H$2</f>
        <v>0</v>
      </c>
      <c r="W903" s="167"/>
    </row>
    <row r="904" spans="1:23" ht="15.75" thickBot="1">
      <c r="A904" s="4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67"/>
      <c r="W904" s="167"/>
    </row>
    <row r="905" spans="1:23" ht="15.75">
      <c r="A905" s="47"/>
      <c r="B905" s="920" t="str">
        <f>+$B$4</f>
        <v>2022 RATE CASE</v>
      </c>
      <c r="C905" s="935"/>
      <c r="D905" s="620"/>
      <c r="F905" s="12"/>
      <c r="U905" s="134"/>
      <c r="W905" s="167"/>
    </row>
    <row r="906" spans="1:23" ht="15.75">
      <c r="A906" s="47"/>
      <c r="B906" s="917" t="str">
        <f>+$B$5</f>
        <v>ONCOR ELECTRIC DELIVERY COMPANY LLC</v>
      </c>
      <c r="C906" s="8"/>
      <c r="D906" s="621"/>
      <c r="F906" s="12"/>
      <c r="U906" s="134"/>
      <c r="V906" s="67"/>
      <c r="W906" s="167"/>
    </row>
    <row r="907" spans="1:23" ht="15.75">
      <c r="A907" s="47"/>
      <c r="B907" s="917" t="str">
        <f>+$B$6</f>
        <v>II-I-1-TBILLTDCS:  CLASS REVENUE REQUIREMENT</v>
      </c>
      <c r="C907" s="85"/>
      <c r="D907" s="621"/>
      <c r="F907" s="12"/>
      <c r="U907" s="12"/>
      <c r="V907" s="67"/>
      <c r="W907" s="167"/>
    </row>
    <row r="908" spans="1:23" ht="15.75">
      <c r="A908" s="47"/>
      <c r="B908" s="406" t="str">
        <f>+$B$7</f>
        <v>TEST YEAR ENDING 12/31/2021</v>
      </c>
      <c r="C908" s="85"/>
      <c r="D908" s="621"/>
      <c r="F908" s="12"/>
      <c r="U908" s="12"/>
      <c r="V908" s="67"/>
      <c r="W908" s="167"/>
    </row>
    <row r="909" spans="1:23" ht="15.75">
      <c r="A909" s="47"/>
      <c r="B909" s="406" t="str">
        <f>+$B$8</f>
        <v>SPONSOR:  MATTHEW A. TROXLE</v>
      </c>
      <c r="C909" s="85"/>
      <c r="D909" s="621"/>
      <c r="F909" s="12"/>
      <c r="U909" s="12"/>
      <c r="V909" s="67"/>
      <c r="W909" s="167"/>
    </row>
    <row r="910" spans="1:23" ht="16.5" thickBot="1">
      <c r="A910" s="47"/>
      <c r="B910" s="410"/>
      <c r="C910" s="934"/>
      <c r="D910" s="622"/>
      <c r="F910" s="12"/>
      <c r="U910" s="12"/>
      <c r="V910" s="67"/>
      <c r="W910" s="167"/>
    </row>
    <row r="911" spans="1:23" ht="15.75" thickBot="1">
      <c r="A911" s="47"/>
      <c r="B911" s="13"/>
      <c r="C911" s="14"/>
      <c r="D911" s="14"/>
      <c r="E911" s="14"/>
      <c r="F911" s="13"/>
      <c r="G911" s="14"/>
      <c r="H911" s="14"/>
      <c r="I911" s="14"/>
      <c r="J911" s="238"/>
      <c r="K911" s="238"/>
      <c r="L911" s="14"/>
      <c r="M911" s="238"/>
      <c r="N911" s="238"/>
      <c r="O911" s="238"/>
      <c r="P911" s="238"/>
      <c r="Q911" s="14"/>
      <c r="R911" s="393" t="str">
        <f>R$10</f>
        <v xml:space="preserve"> </v>
      </c>
      <c r="S911" s="394"/>
      <c r="T911" s="238"/>
      <c r="U911" s="13"/>
      <c r="V911" s="67"/>
      <c r="W911" s="167"/>
    </row>
    <row r="912" spans="1:23" ht="15.75">
      <c r="A912" s="47"/>
      <c r="B912" s="15" t="s">
        <v>2</v>
      </c>
      <c r="C912" s="15" t="s">
        <v>370</v>
      </c>
      <c r="D912" s="287" t="s">
        <v>686</v>
      </c>
      <c r="E912" s="15" t="s">
        <v>371</v>
      </c>
      <c r="F912" s="287" t="str">
        <f>F$11</f>
        <v>TBILLTDCS</v>
      </c>
      <c r="G912" s="242" t="s">
        <v>741</v>
      </c>
      <c r="H912" s="242" t="s">
        <v>376</v>
      </c>
      <c r="I912" s="15"/>
      <c r="J912" s="242" t="s">
        <v>730</v>
      </c>
      <c r="K912" s="242" t="s">
        <v>409</v>
      </c>
      <c r="L912" s="15" t="s">
        <v>409</v>
      </c>
      <c r="M912" s="242" t="s">
        <v>410</v>
      </c>
      <c r="N912" s="242" t="s">
        <v>410</v>
      </c>
      <c r="O912" s="242" t="s">
        <v>410</v>
      </c>
      <c r="P912" s="242" t="s">
        <v>411</v>
      </c>
      <c r="Q912" s="15" t="s">
        <v>412</v>
      </c>
      <c r="R912" s="396" t="str">
        <f>R$11</f>
        <v>Wholesale</v>
      </c>
      <c r="S912" s="13" t="str">
        <f>S$11</f>
        <v>Wholesale</v>
      </c>
      <c r="T912" s="242"/>
      <c r="U912" s="15" t="s">
        <v>10</v>
      </c>
      <c r="V912" s="67"/>
      <c r="W912" s="167"/>
    </row>
    <row r="913" spans="1:23" ht="15">
      <c r="A913" s="47"/>
      <c r="B913" s="15"/>
      <c r="C913" s="15"/>
      <c r="D913" s="15"/>
      <c r="E913" s="15"/>
      <c r="F913" s="15"/>
      <c r="G913" s="242" t="s">
        <v>742</v>
      </c>
      <c r="H913" s="242" t="s">
        <v>743</v>
      </c>
      <c r="I913" s="15"/>
      <c r="J913" s="242"/>
      <c r="K913" s="242" t="s">
        <v>731</v>
      </c>
      <c r="L913" s="15" t="s">
        <v>732</v>
      </c>
      <c r="M913" s="242" t="s">
        <v>731</v>
      </c>
      <c r="N913" s="242" t="s">
        <v>732</v>
      </c>
      <c r="O913" s="242" t="s">
        <v>414</v>
      </c>
      <c r="P913" s="242"/>
      <c r="Q913" s="15"/>
      <c r="R913" s="235" t="str">
        <f>R$12</f>
        <v>XFMR</v>
      </c>
      <c r="S913" s="15" t="str">
        <f>S$12</f>
        <v>DLS</v>
      </c>
      <c r="T913" s="242"/>
      <c r="U913" s="15"/>
      <c r="V913" s="67"/>
      <c r="W913" s="167"/>
    </row>
    <row r="914" spans="1:23" ht="15.75" thickBot="1">
      <c r="A914" s="47"/>
      <c r="B914" s="16"/>
      <c r="C914" s="16"/>
      <c r="D914" s="16"/>
      <c r="E914" s="16"/>
      <c r="F914" s="16" t="s">
        <v>13</v>
      </c>
      <c r="G914" s="16" t="s">
        <v>14</v>
      </c>
      <c r="H914" s="16" t="s">
        <v>15</v>
      </c>
      <c r="I914" s="16"/>
      <c r="J914" s="243" t="str">
        <f t="shared" si="312" ref="J914:Q914">J$13</f>
        <v>(d)</v>
      </c>
      <c r="K914" s="243" t="str">
        <f t="shared" si="312"/>
        <v>(e)</v>
      </c>
      <c r="L914" s="16" t="str">
        <f t="shared" si="312"/>
        <v>(f)</v>
      </c>
      <c r="M914" s="243" t="str">
        <f t="shared" si="312"/>
        <v>(g)</v>
      </c>
      <c r="N914" s="243" t="str">
        <f t="shared" si="312"/>
        <v>(h)</v>
      </c>
      <c r="O914" s="243" t="str">
        <f>O$13</f>
        <v>(i)</v>
      </c>
      <c r="P914" s="243" t="str">
        <f t="shared" si="312"/>
        <v>(j)</v>
      </c>
      <c r="Q914" s="243" t="str">
        <f t="shared" si="312"/>
        <v>(k)</v>
      </c>
      <c r="R914" s="243" t="str">
        <f>R$13</f>
        <v>(l)</v>
      </c>
      <c r="S914" s="16" t="str">
        <f>S$13</f>
        <v>(m)</v>
      </c>
      <c r="T914" s="16"/>
      <c r="U914" s="16" t="s">
        <v>734</v>
      </c>
      <c r="V914" s="67"/>
      <c r="W914" s="167"/>
    </row>
    <row r="915" spans="1:23" ht="15.75">
      <c r="A915" s="47"/>
      <c r="B915" s="17"/>
      <c r="C915" s="1"/>
      <c r="D915" s="8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"/>
      <c r="V915" s="67"/>
      <c r="W915" s="167"/>
    </row>
    <row r="916" spans="1:23" ht="15.75">
      <c r="A916" s="47"/>
      <c r="B916" s="17">
        <f t="shared" si="313" ref="B916:B934">B915+1</f>
        <v>1</v>
      </c>
      <c r="C916" s="8" t="s">
        <v>686</v>
      </c>
      <c r="D916" s="8"/>
      <c r="E916" s="20" t="s">
        <v>279</v>
      </c>
      <c r="F916" s="22"/>
      <c r="G916" s="20"/>
      <c r="H916" s="20"/>
      <c r="I916" s="1010"/>
      <c r="J916" s="1059"/>
      <c r="K916" s="1059"/>
      <c r="L916" s="1059"/>
      <c r="M916" s="1059"/>
      <c r="N916" s="1059"/>
      <c r="O916" s="1059"/>
      <c r="P916" s="1059"/>
      <c r="Q916" s="1059"/>
      <c r="R916" s="1059"/>
      <c r="S916" s="1059"/>
      <c r="T916" s="20"/>
      <c r="U916" s="8"/>
      <c r="V916" s="67"/>
      <c r="W916" s="726">
        <f t="shared" si="314" ref="W916:W934">F916-U916</f>
        <v>0</v>
      </c>
    </row>
    <row r="917" spans="1:23" ht="15.75">
      <c r="A917" s="47"/>
      <c r="B917" s="17">
        <f t="shared" si="313"/>
        <v>2</v>
      </c>
      <c r="C917" s="1" t="s">
        <v>254</v>
      </c>
      <c r="D917" s="1" t="s">
        <v>255</v>
      </c>
      <c r="E917" s="19"/>
      <c r="F917" s="118">
        <f>' WP II-I-1.4'!I917</f>
        <v>17818909.5</v>
      </c>
      <c r="G917" s="17">
        <v>77</v>
      </c>
      <c r="H917" s="47" t="str">
        <f t="shared" si="315" ref="H917:H929">VLOOKUP(G917,FactorTable,2)</f>
        <v>O&amp;M x565</v>
      </c>
      <c r="I917" s="19"/>
      <c r="J917" s="434">
        <f t="shared" si="316" ref="J917:S929">$F917*HLOOKUP(J$1318,FactorTable,$G917+1)</f>
        <v>9599933.7247447278</v>
      </c>
      <c r="K917" s="434">
        <f t="shared" si="316"/>
        <v>1350838.4168393372</v>
      </c>
      <c r="L917" s="434">
        <f t="shared" si="316"/>
        <v>4784363.3593531353</v>
      </c>
      <c r="M917" s="434">
        <f t="shared" si="316"/>
        <v>56047.693819520748</v>
      </c>
      <c r="N917" s="434">
        <f t="shared" si="316"/>
        <v>1304022.1285127776</v>
      </c>
      <c r="O917" s="434">
        <f t="shared" si="316"/>
        <v>57102.79062608198</v>
      </c>
      <c r="P917" s="434">
        <f t="shared" si="316"/>
        <v>150185.06600792709</v>
      </c>
      <c r="Q917" s="434">
        <f t="shared" si="316"/>
        <v>501290.40217619837</v>
      </c>
      <c r="R917" s="434">
        <f t="shared" si="316"/>
        <v>4534.9299553574747</v>
      </c>
      <c r="S917" s="434">
        <f t="shared" si="316"/>
        <v>10590.987964935013</v>
      </c>
      <c r="T917" s="19"/>
      <c r="U917" s="299">
        <f t="shared" si="317" ref="U917:U930">SUM(I917:T917)</f>
        <v>17818909.5</v>
      </c>
      <c r="V917" s="67"/>
      <c r="W917" s="726">
        <f t="shared" si="314"/>
        <v>0</v>
      </c>
    </row>
    <row r="918" spans="1:23" ht="15">
      <c r="A918" s="47"/>
      <c r="B918" s="17">
        <f t="shared" si="313"/>
        <v>3</v>
      </c>
      <c r="C918" s="1" t="s">
        <v>256</v>
      </c>
      <c r="D918" s="1" t="s">
        <v>257</v>
      </c>
      <c r="E918" s="19"/>
      <c r="F918" s="118">
        <f>' WP II-I-1.4'!I918</f>
        <v>0</v>
      </c>
      <c r="G918" s="17">
        <v>77</v>
      </c>
      <c r="H918" s="47" t="str">
        <f t="shared" si="315"/>
        <v>O&amp;M x565</v>
      </c>
      <c r="I918" s="19"/>
      <c r="J918" s="434">
        <f t="shared" si="316"/>
        <v>0</v>
      </c>
      <c r="K918" s="434">
        <f t="shared" si="316"/>
        <v>0</v>
      </c>
      <c r="L918" s="434">
        <f t="shared" si="316"/>
        <v>0</v>
      </c>
      <c r="M918" s="434">
        <f t="shared" si="316"/>
        <v>0</v>
      </c>
      <c r="N918" s="434">
        <f t="shared" si="316"/>
        <v>0</v>
      </c>
      <c r="O918" s="434">
        <f t="shared" si="316"/>
        <v>0</v>
      </c>
      <c r="P918" s="434">
        <f t="shared" si="316"/>
        <v>0</v>
      </c>
      <c r="Q918" s="434">
        <f t="shared" si="316"/>
        <v>0</v>
      </c>
      <c r="R918" s="434">
        <f t="shared" si="316"/>
        <v>0</v>
      </c>
      <c r="S918" s="434">
        <f t="shared" si="316"/>
        <v>0</v>
      </c>
      <c r="T918" s="19"/>
      <c r="U918" s="118">
        <f t="shared" si="317"/>
        <v>0</v>
      </c>
      <c r="V918" s="67"/>
      <c r="W918" s="726">
        <f t="shared" si="314"/>
        <v>0</v>
      </c>
    </row>
    <row r="919" spans="1:23" ht="15">
      <c r="A919" s="47"/>
      <c r="B919" s="17">
        <f t="shared" si="313"/>
        <v>4</v>
      </c>
      <c r="C919" s="1" t="s">
        <v>258</v>
      </c>
      <c r="D919" s="1" t="s">
        <v>259</v>
      </c>
      <c r="E919" s="19"/>
      <c r="F919" s="118">
        <f>' WP II-I-1.4'!I919</f>
        <v>0</v>
      </c>
      <c r="G919" s="17">
        <v>77</v>
      </c>
      <c r="H919" s="47" t="str">
        <f t="shared" si="315"/>
        <v>O&amp;M x565</v>
      </c>
      <c r="I919" s="19"/>
      <c r="J919" s="434">
        <f t="shared" si="316"/>
        <v>0</v>
      </c>
      <c r="K919" s="434">
        <f t="shared" si="316"/>
        <v>0</v>
      </c>
      <c r="L919" s="434">
        <f t="shared" si="316"/>
        <v>0</v>
      </c>
      <c r="M919" s="434">
        <f t="shared" si="316"/>
        <v>0</v>
      </c>
      <c r="N919" s="434">
        <f t="shared" si="316"/>
        <v>0</v>
      </c>
      <c r="O919" s="434">
        <f t="shared" si="316"/>
        <v>0</v>
      </c>
      <c r="P919" s="434">
        <f t="shared" si="316"/>
        <v>0</v>
      </c>
      <c r="Q919" s="434">
        <f t="shared" si="316"/>
        <v>0</v>
      </c>
      <c r="R919" s="434">
        <f t="shared" si="316"/>
        <v>0</v>
      </c>
      <c r="S919" s="434">
        <f t="shared" si="316"/>
        <v>0</v>
      </c>
      <c r="T919" s="19"/>
      <c r="U919" s="118">
        <f t="shared" si="317"/>
        <v>0</v>
      </c>
      <c r="V919" s="67"/>
      <c r="W919" s="726">
        <f t="shared" si="314"/>
        <v>0</v>
      </c>
    </row>
    <row r="920" spans="1:23" ht="15">
      <c r="A920" s="47"/>
      <c r="B920" s="17">
        <f t="shared" si="313"/>
        <v>5</v>
      </c>
      <c r="C920" s="1" t="s">
        <v>260</v>
      </c>
      <c r="D920" s="1" t="s">
        <v>261</v>
      </c>
      <c r="E920" s="19"/>
      <c r="F920" s="118">
        <f>' WP II-I-1.4'!I920</f>
        <v>0</v>
      </c>
      <c r="G920" s="17">
        <v>77</v>
      </c>
      <c r="H920" s="47" t="str">
        <f t="shared" si="315"/>
        <v>O&amp;M x565</v>
      </c>
      <c r="I920" s="19"/>
      <c r="J920" s="434">
        <f t="shared" si="316"/>
        <v>0</v>
      </c>
      <c r="K920" s="434">
        <f t="shared" si="316"/>
        <v>0</v>
      </c>
      <c r="L920" s="434">
        <f t="shared" si="316"/>
        <v>0</v>
      </c>
      <c r="M920" s="434">
        <f t="shared" si="316"/>
        <v>0</v>
      </c>
      <c r="N920" s="434">
        <f t="shared" si="316"/>
        <v>0</v>
      </c>
      <c r="O920" s="434">
        <f t="shared" si="316"/>
        <v>0</v>
      </c>
      <c r="P920" s="434">
        <f t="shared" si="316"/>
        <v>0</v>
      </c>
      <c r="Q920" s="434">
        <f t="shared" si="316"/>
        <v>0</v>
      </c>
      <c r="R920" s="434">
        <f t="shared" si="316"/>
        <v>0</v>
      </c>
      <c r="S920" s="434">
        <f t="shared" si="316"/>
        <v>0</v>
      </c>
      <c r="T920" s="19"/>
      <c r="U920" s="118">
        <f t="shared" si="317"/>
        <v>0</v>
      </c>
      <c r="V920" s="67"/>
      <c r="W920" s="726">
        <f t="shared" si="314"/>
        <v>0</v>
      </c>
    </row>
    <row r="921" spans="1:23" ht="15">
      <c r="A921" s="47"/>
      <c r="B921" s="17">
        <f t="shared" si="313"/>
        <v>6</v>
      </c>
      <c r="C921" s="31" t="s">
        <v>262</v>
      </c>
      <c r="D921" s="1" t="s">
        <v>263</v>
      </c>
      <c r="E921" s="19"/>
      <c r="F921" s="118">
        <f>' WP II-I-1.4'!I921</f>
        <v>0</v>
      </c>
      <c r="G921" s="17">
        <v>64</v>
      </c>
      <c r="H921" s="47" t="str">
        <f t="shared" si="315"/>
        <v>PLANT</v>
      </c>
      <c r="I921" s="19"/>
      <c r="J921" s="434">
        <f t="shared" si="316"/>
        <v>0</v>
      </c>
      <c r="K921" s="434">
        <f t="shared" si="316"/>
        <v>0</v>
      </c>
      <c r="L921" s="434">
        <f t="shared" si="316"/>
        <v>0</v>
      </c>
      <c r="M921" s="434">
        <f t="shared" si="316"/>
        <v>0</v>
      </c>
      <c r="N921" s="434">
        <f t="shared" si="316"/>
        <v>0</v>
      </c>
      <c r="O921" s="434">
        <f t="shared" si="316"/>
        <v>0</v>
      </c>
      <c r="P921" s="434">
        <f t="shared" si="316"/>
        <v>0</v>
      </c>
      <c r="Q921" s="434">
        <f t="shared" si="316"/>
        <v>0</v>
      </c>
      <c r="R921" s="434">
        <f t="shared" si="316"/>
        <v>0</v>
      </c>
      <c r="S921" s="434">
        <f t="shared" si="316"/>
        <v>0</v>
      </c>
      <c r="T921" s="19"/>
      <c r="U921" s="118">
        <f t="shared" si="317"/>
        <v>0</v>
      </c>
      <c r="V921" s="67"/>
      <c r="W921" s="726">
        <f t="shared" si="314"/>
        <v>0</v>
      </c>
    </row>
    <row r="922" spans="1:23" ht="15">
      <c r="A922" s="47"/>
      <c r="B922" s="17">
        <f t="shared" si="313"/>
        <v>7</v>
      </c>
      <c r="C922" s="31" t="s">
        <v>264</v>
      </c>
      <c r="D922" s="1" t="s">
        <v>265</v>
      </c>
      <c r="E922" s="19"/>
      <c r="F922" s="118">
        <f>' WP II-I-1.4'!I922</f>
        <v>0</v>
      </c>
      <c r="G922" s="17">
        <v>77</v>
      </c>
      <c r="H922" s="47" t="str">
        <f t="shared" si="315"/>
        <v>O&amp;M x565</v>
      </c>
      <c r="I922" s="19"/>
      <c r="J922" s="434">
        <f t="shared" si="316"/>
        <v>0</v>
      </c>
      <c r="K922" s="434">
        <f t="shared" si="316"/>
        <v>0</v>
      </c>
      <c r="L922" s="434">
        <f t="shared" si="316"/>
        <v>0</v>
      </c>
      <c r="M922" s="434">
        <f t="shared" si="316"/>
        <v>0</v>
      </c>
      <c r="N922" s="434">
        <f t="shared" si="316"/>
        <v>0</v>
      </c>
      <c r="O922" s="434">
        <f t="shared" si="316"/>
        <v>0</v>
      </c>
      <c r="P922" s="434">
        <f t="shared" si="316"/>
        <v>0</v>
      </c>
      <c r="Q922" s="434">
        <f t="shared" si="316"/>
        <v>0</v>
      </c>
      <c r="R922" s="434">
        <f t="shared" si="316"/>
        <v>0</v>
      </c>
      <c r="S922" s="434">
        <f t="shared" si="316"/>
        <v>0</v>
      </c>
      <c r="T922" s="19"/>
      <c r="U922" s="118">
        <f t="shared" si="317"/>
        <v>0</v>
      </c>
      <c r="V922" s="67"/>
      <c r="W922" s="726">
        <f t="shared" si="314"/>
        <v>0</v>
      </c>
    </row>
    <row r="923" spans="1:23" ht="15">
      <c r="A923" s="47"/>
      <c r="B923" s="17">
        <f t="shared" si="313"/>
        <v>8</v>
      </c>
      <c r="C923" s="1" t="s">
        <v>266</v>
      </c>
      <c r="D923" s="1" t="s">
        <v>267</v>
      </c>
      <c r="E923" s="19"/>
      <c r="F923" s="118">
        <f>' WP II-I-1.4'!I923</f>
        <v>0</v>
      </c>
      <c r="G923" s="17">
        <v>77</v>
      </c>
      <c r="H923" s="47" t="str">
        <f t="shared" si="315"/>
        <v>O&amp;M x565</v>
      </c>
      <c r="I923" s="19"/>
      <c r="J923" s="434">
        <f t="shared" si="316"/>
        <v>0</v>
      </c>
      <c r="K923" s="434">
        <f t="shared" si="316"/>
        <v>0</v>
      </c>
      <c r="L923" s="434">
        <f t="shared" si="316"/>
        <v>0</v>
      </c>
      <c r="M923" s="434">
        <f t="shared" si="316"/>
        <v>0</v>
      </c>
      <c r="N923" s="434">
        <f t="shared" si="316"/>
        <v>0</v>
      </c>
      <c r="O923" s="434">
        <f t="shared" si="316"/>
        <v>0</v>
      </c>
      <c r="P923" s="434">
        <f t="shared" si="316"/>
        <v>0</v>
      </c>
      <c r="Q923" s="434">
        <f t="shared" si="316"/>
        <v>0</v>
      </c>
      <c r="R923" s="434">
        <f t="shared" si="316"/>
        <v>0</v>
      </c>
      <c r="S923" s="434">
        <f t="shared" si="316"/>
        <v>0</v>
      </c>
      <c r="T923" s="19"/>
      <c r="U923" s="118">
        <f t="shared" si="317"/>
        <v>0</v>
      </c>
      <c r="V923" s="67"/>
      <c r="W923" s="726">
        <f t="shared" si="314"/>
        <v>0</v>
      </c>
    </row>
    <row r="924" spans="1:23" ht="15">
      <c r="A924" s="47"/>
      <c r="B924" s="17">
        <f t="shared" si="313"/>
        <v>9</v>
      </c>
      <c r="C924" s="1" t="s">
        <v>268</v>
      </c>
      <c r="D924" s="1" t="s">
        <v>269</v>
      </c>
      <c r="E924" s="19"/>
      <c r="F924" s="118">
        <f>' WP II-I-1.4'!I924</f>
        <v>0</v>
      </c>
      <c r="G924" s="17">
        <v>14</v>
      </c>
      <c r="H924" s="47" t="str">
        <f t="shared" si="315"/>
        <v>REVENUE</v>
      </c>
      <c r="I924" s="19"/>
      <c r="J924" s="434">
        <f t="shared" si="316"/>
        <v>0</v>
      </c>
      <c r="K924" s="434">
        <f t="shared" si="316"/>
        <v>0</v>
      </c>
      <c r="L924" s="434">
        <f t="shared" si="316"/>
        <v>0</v>
      </c>
      <c r="M924" s="434">
        <f t="shared" si="316"/>
        <v>0</v>
      </c>
      <c r="N924" s="434">
        <f t="shared" si="316"/>
        <v>0</v>
      </c>
      <c r="O924" s="434">
        <f t="shared" si="316"/>
        <v>0</v>
      </c>
      <c r="P924" s="434">
        <f t="shared" si="316"/>
        <v>0</v>
      </c>
      <c r="Q924" s="434">
        <f t="shared" si="316"/>
        <v>0</v>
      </c>
      <c r="R924" s="434">
        <f t="shared" si="316"/>
        <v>0</v>
      </c>
      <c r="S924" s="434">
        <f t="shared" si="316"/>
        <v>0</v>
      </c>
      <c r="T924" s="19"/>
      <c r="U924" s="118">
        <f t="shared" si="317"/>
        <v>0</v>
      </c>
      <c r="V924" s="67"/>
      <c r="W924" s="726">
        <f t="shared" si="314"/>
        <v>0</v>
      </c>
    </row>
    <row r="925" spans="1:23" ht="15">
      <c r="A925" s="47"/>
      <c r="B925" s="17">
        <f t="shared" si="313"/>
        <v>10</v>
      </c>
      <c r="C925" s="1" t="s">
        <v>270</v>
      </c>
      <c r="D925" s="1" t="s">
        <v>271</v>
      </c>
      <c r="E925" s="19"/>
      <c r="F925" s="118">
        <f>' WP II-I-1.4'!I925</f>
        <v>0</v>
      </c>
      <c r="G925" s="17">
        <v>77</v>
      </c>
      <c r="H925" s="47" t="str">
        <f t="shared" si="315"/>
        <v>O&amp;M x565</v>
      </c>
      <c r="I925" s="19"/>
      <c r="J925" s="434">
        <f t="shared" si="316"/>
        <v>0</v>
      </c>
      <c r="K925" s="434">
        <f t="shared" si="316"/>
        <v>0</v>
      </c>
      <c r="L925" s="434">
        <f t="shared" si="316"/>
        <v>0</v>
      </c>
      <c r="M925" s="434">
        <f t="shared" si="316"/>
        <v>0</v>
      </c>
      <c r="N925" s="434">
        <f t="shared" si="316"/>
        <v>0</v>
      </c>
      <c r="O925" s="434">
        <f t="shared" si="316"/>
        <v>0</v>
      </c>
      <c r="P925" s="434">
        <f t="shared" si="316"/>
        <v>0</v>
      </c>
      <c r="Q925" s="434">
        <f t="shared" si="316"/>
        <v>0</v>
      </c>
      <c r="R925" s="434">
        <f t="shared" si="316"/>
        <v>0</v>
      </c>
      <c r="S925" s="434">
        <f t="shared" si="316"/>
        <v>0</v>
      </c>
      <c r="T925" s="19"/>
      <c r="U925" s="118">
        <f t="shared" si="317"/>
        <v>0</v>
      </c>
      <c r="V925" s="67"/>
      <c r="W925" s="726">
        <f t="shared" si="314"/>
        <v>0</v>
      </c>
    </row>
    <row r="926" spans="1:23" ht="15">
      <c r="A926" s="47"/>
      <c r="B926" s="17">
        <f t="shared" si="313"/>
        <v>11</v>
      </c>
      <c r="C926" s="1" t="s">
        <v>272</v>
      </c>
      <c r="D926" s="1" t="s">
        <v>273</v>
      </c>
      <c r="E926" s="19"/>
      <c r="F926" s="118">
        <f>' WP II-I-1.4'!I926</f>
        <v>0</v>
      </c>
      <c r="G926" s="17">
        <v>77</v>
      </c>
      <c r="H926" s="47" t="str">
        <f t="shared" si="315"/>
        <v>O&amp;M x565</v>
      </c>
      <c r="I926" s="19"/>
      <c r="J926" s="434">
        <f t="shared" si="316"/>
        <v>0</v>
      </c>
      <c r="K926" s="434">
        <f t="shared" si="316"/>
        <v>0</v>
      </c>
      <c r="L926" s="434">
        <f t="shared" si="316"/>
        <v>0</v>
      </c>
      <c r="M926" s="434">
        <f t="shared" si="316"/>
        <v>0</v>
      </c>
      <c r="N926" s="434">
        <f t="shared" si="316"/>
        <v>0</v>
      </c>
      <c r="O926" s="434">
        <f t="shared" si="316"/>
        <v>0</v>
      </c>
      <c r="P926" s="434">
        <f t="shared" si="316"/>
        <v>0</v>
      </c>
      <c r="Q926" s="434">
        <f t="shared" si="316"/>
        <v>0</v>
      </c>
      <c r="R926" s="434">
        <f t="shared" si="316"/>
        <v>0</v>
      </c>
      <c r="S926" s="434">
        <f t="shared" si="316"/>
        <v>0</v>
      </c>
      <c r="T926" s="19"/>
      <c r="U926" s="118">
        <f t="shared" si="317"/>
        <v>0</v>
      </c>
      <c r="V926" s="67"/>
      <c r="W926" s="726">
        <f t="shared" si="314"/>
        <v>0</v>
      </c>
    </row>
    <row r="927" spans="1:23" ht="15">
      <c r="A927" s="47"/>
      <c r="B927" s="17">
        <f t="shared" si="313"/>
        <v>12</v>
      </c>
      <c r="C927" s="31" t="s">
        <v>274</v>
      </c>
      <c r="D927" s="1" t="s">
        <v>206</v>
      </c>
      <c r="E927" s="19"/>
      <c r="F927" s="118">
        <f>' WP II-I-1.4'!I927</f>
        <v>0</v>
      </c>
      <c r="G927" s="17">
        <v>77</v>
      </c>
      <c r="H927" s="47" t="str">
        <f t="shared" si="315"/>
        <v>O&amp;M x565</v>
      </c>
      <c r="I927" s="19"/>
      <c r="J927" s="434">
        <f t="shared" si="316"/>
        <v>0</v>
      </c>
      <c r="K927" s="434">
        <f t="shared" si="316"/>
        <v>0</v>
      </c>
      <c r="L927" s="434">
        <f t="shared" si="316"/>
        <v>0</v>
      </c>
      <c r="M927" s="434">
        <f t="shared" si="316"/>
        <v>0</v>
      </c>
      <c r="N927" s="434">
        <f t="shared" si="316"/>
        <v>0</v>
      </c>
      <c r="O927" s="434">
        <f t="shared" si="316"/>
        <v>0</v>
      </c>
      <c r="P927" s="434">
        <f t="shared" si="316"/>
        <v>0</v>
      </c>
      <c r="Q927" s="434">
        <f t="shared" si="316"/>
        <v>0</v>
      </c>
      <c r="R927" s="434">
        <f t="shared" si="316"/>
        <v>0</v>
      </c>
      <c r="S927" s="434">
        <f t="shared" si="316"/>
        <v>0</v>
      </c>
      <c r="T927" s="19"/>
      <c r="U927" s="118">
        <f t="shared" si="317"/>
        <v>0</v>
      </c>
      <c r="V927" s="67"/>
      <c r="W927" s="726">
        <f t="shared" si="314"/>
        <v>0</v>
      </c>
    </row>
    <row r="928" spans="1:23" ht="15">
      <c r="A928" s="47"/>
      <c r="B928" s="17">
        <f t="shared" si="313"/>
        <v>13</v>
      </c>
      <c r="C928" s="31" t="s">
        <v>275</v>
      </c>
      <c r="D928" s="1" t="s">
        <v>276</v>
      </c>
      <c r="E928" s="19"/>
      <c r="F928" s="118">
        <f>' WP II-I-1.4'!I928</f>
        <v>0</v>
      </c>
      <c r="G928" s="17">
        <v>62</v>
      </c>
      <c r="H928" s="47" t="str">
        <f t="shared" si="315"/>
        <v>PLTGEN</v>
      </c>
      <c r="I928" s="19"/>
      <c r="J928" s="434">
        <f t="shared" si="316"/>
        <v>0</v>
      </c>
      <c r="K928" s="434">
        <f t="shared" si="316"/>
        <v>0</v>
      </c>
      <c r="L928" s="434">
        <f t="shared" si="316"/>
        <v>0</v>
      </c>
      <c r="M928" s="434">
        <f t="shared" si="316"/>
        <v>0</v>
      </c>
      <c r="N928" s="434">
        <f t="shared" si="316"/>
        <v>0</v>
      </c>
      <c r="O928" s="434">
        <f t="shared" si="316"/>
        <v>0</v>
      </c>
      <c r="P928" s="434">
        <f t="shared" si="316"/>
        <v>0</v>
      </c>
      <c r="Q928" s="434">
        <f t="shared" si="316"/>
        <v>0</v>
      </c>
      <c r="R928" s="434">
        <f t="shared" si="316"/>
        <v>0</v>
      </c>
      <c r="S928" s="434">
        <f t="shared" si="316"/>
        <v>0</v>
      </c>
      <c r="T928" s="19"/>
      <c r="U928" s="118">
        <f t="shared" si="317"/>
        <v>0</v>
      </c>
      <c r="V928" s="67"/>
      <c r="W928" s="726">
        <f t="shared" si="314"/>
        <v>0</v>
      </c>
    </row>
    <row r="929" spans="1:23" ht="15">
      <c r="A929" s="47"/>
      <c r="B929" s="17">
        <f t="shared" si="313"/>
        <v>14</v>
      </c>
      <c r="C929" s="28" t="s">
        <v>277</v>
      </c>
      <c r="D929" s="1" t="s">
        <v>276</v>
      </c>
      <c r="E929" s="19"/>
      <c r="F929" s="118">
        <f>' WP II-I-1.4'!I929</f>
        <v>4.4100000000000001</v>
      </c>
      <c r="G929" s="17">
        <v>62</v>
      </c>
      <c r="H929" s="47" t="str">
        <f t="shared" si="315"/>
        <v>PLTGEN</v>
      </c>
      <c r="I929" s="19"/>
      <c r="J929" s="435">
        <f t="shared" si="316"/>
        <v>2.4570955229727383</v>
      </c>
      <c r="K929" s="435">
        <f t="shared" si="316"/>
        <v>0.37882085250499925</v>
      </c>
      <c r="L929" s="435">
        <f t="shared" si="316"/>
        <v>1.1684860241959945</v>
      </c>
      <c r="M929" s="435">
        <f t="shared" si="316"/>
        <v>0.016407317949605149</v>
      </c>
      <c r="N929" s="435">
        <f t="shared" si="316"/>
        <v>0.34237652760244075</v>
      </c>
      <c r="O929" s="435">
        <f t="shared" si="316"/>
        <v>0.011700035111085643</v>
      </c>
      <c r="P929" s="435">
        <f t="shared" si="316"/>
        <v>0.025470076434132592</v>
      </c>
      <c r="Q929" s="435">
        <f t="shared" si="316"/>
        <v>0.0051411203758033267</v>
      </c>
      <c r="R929" s="435">
        <f t="shared" si="316"/>
        <v>0.0013500040512791128</v>
      </c>
      <c r="S929" s="435">
        <f t="shared" si="316"/>
        <v>0.0031525188019213665</v>
      </c>
      <c r="T929" s="19"/>
      <c r="U929" s="118">
        <f t="shared" si="317"/>
        <v>4.4100000000000001</v>
      </c>
      <c r="V929" s="67"/>
      <c r="W929" s="726">
        <f t="shared" si="314"/>
        <v>0</v>
      </c>
    </row>
    <row r="930" spans="1:23" ht="15.75">
      <c r="A930" s="47"/>
      <c r="B930" s="17">
        <f t="shared" si="313"/>
        <v>15</v>
      </c>
      <c r="C930" s="8" t="s">
        <v>687</v>
      </c>
      <c r="D930" s="34"/>
      <c r="E930" s="22"/>
      <c r="F930" s="22">
        <f>SUM(F917:F929)</f>
        <v>17818913.91</v>
      </c>
      <c r="G930" s="22"/>
      <c r="H930" s="22"/>
      <c r="I930" s="896"/>
      <c r="J930" s="896">
        <f t="shared" si="318" ref="J930:Q930">SUM(J917:J929)</f>
        <v>9599936.1818402503</v>
      </c>
      <c r="K930" s="896">
        <f t="shared" si="318"/>
        <v>1350838.7956601898</v>
      </c>
      <c r="L930" s="896">
        <f t="shared" si="318"/>
        <v>4784364.5278391596</v>
      </c>
      <c r="M930" s="896">
        <f t="shared" si="318"/>
        <v>56047.710226838695</v>
      </c>
      <c r="N930" s="896">
        <f t="shared" si="318"/>
        <v>1304022.4708893052</v>
      </c>
      <c r="O930" s="896">
        <f>SUM(O917:O929)</f>
        <v>57102.802326117089</v>
      </c>
      <c r="P930" s="896">
        <f t="shared" si="318"/>
        <v>150185.09147800351</v>
      </c>
      <c r="Q930" s="896">
        <f t="shared" si="318"/>
        <v>501290.40731731878</v>
      </c>
      <c r="R930" s="896">
        <f>SUM(R917:R929)</f>
        <v>4534.931305361526</v>
      </c>
      <c r="S930" s="896">
        <f>SUM(S917:S929)</f>
        <v>10590.991117453816</v>
      </c>
      <c r="T930" s="22"/>
      <c r="U930" s="299">
        <f t="shared" si="317"/>
        <v>17818913.91</v>
      </c>
      <c r="V930" s="67"/>
      <c r="W930" s="726">
        <f t="shared" si="314"/>
        <v>0</v>
      </c>
    </row>
    <row r="931" spans="1:23" ht="15">
      <c r="A931" s="47"/>
      <c r="B931" s="17">
        <f t="shared" si="313"/>
        <v>16</v>
      </c>
      <c r="C931" s="1"/>
      <c r="D931" s="1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"/>
      <c r="V931" s="67"/>
      <c r="W931" s="726">
        <f t="shared" si="314"/>
        <v>0</v>
      </c>
    </row>
    <row r="932" spans="1:23" ht="15.75">
      <c r="A932" s="47"/>
      <c r="B932" s="17">
        <f t="shared" si="313"/>
        <v>17</v>
      </c>
      <c r="C932" s="8"/>
      <c r="D932" s="297" t="s">
        <v>688</v>
      </c>
      <c r="E932" s="20"/>
      <c r="F932" s="22">
        <f>SUM(F918:F929)</f>
        <v>4.4100000000000001</v>
      </c>
      <c r="G932" s="20"/>
      <c r="H932" s="20"/>
      <c r="I932" s="20"/>
      <c r="J932" s="896">
        <f t="shared" si="319" ref="J932:Q932">SUM(J918:J929)</f>
        <v>2.4570955229727383</v>
      </c>
      <c r="K932" s="896">
        <f t="shared" si="319"/>
        <v>0.37882085250499925</v>
      </c>
      <c r="L932" s="896">
        <f t="shared" si="319"/>
        <v>1.1684860241959945</v>
      </c>
      <c r="M932" s="896">
        <f t="shared" si="319"/>
        <v>0.016407317949605149</v>
      </c>
      <c r="N932" s="896">
        <f t="shared" si="319"/>
        <v>0.34237652760244075</v>
      </c>
      <c r="O932" s="896">
        <f>SUM(O918:O929)</f>
        <v>0.011700035111085643</v>
      </c>
      <c r="P932" s="896">
        <f t="shared" si="319"/>
        <v>0.025470076434132592</v>
      </c>
      <c r="Q932" s="896">
        <f t="shared" si="319"/>
        <v>0.0051411203758033267</v>
      </c>
      <c r="R932" s="896">
        <f>SUM(R918:R929)</f>
        <v>0.0013500040512791128</v>
      </c>
      <c r="S932" s="896">
        <f>SUM(S918:S929)</f>
        <v>0.0031525188019213665</v>
      </c>
      <c r="T932" s="20"/>
      <c r="U932" s="299">
        <f>SUM(I932:T932)</f>
        <v>4.4100000000000001</v>
      </c>
      <c r="V932" s="67"/>
      <c r="W932" s="726">
        <f t="shared" si="314"/>
        <v>0</v>
      </c>
    </row>
    <row r="933" spans="1:23" ht="15.75" thickBot="1">
      <c r="A933" s="47"/>
      <c r="B933" s="17">
        <f t="shared" si="313"/>
        <v>18</v>
      </c>
      <c r="C933" s="1"/>
      <c r="D933" s="51"/>
      <c r="E933" s="17"/>
      <c r="F933" s="19"/>
      <c r="G933" s="17"/>
      <c r="H933" s="17"/>
      <c r="I933" s="17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7"/>
      <c r="U933" s="1"/>
      <c r="V933" s="67"/>
      <c r="W933" s="726">
        <f t="shared" si="314"/>
        <v>0</v>
      </c>
    </row>
    <row r="934" spans="1:23" ht="16.5" thickBot="1">
      <c r="A934" s="47"/>
      <c r="B934" s="17">
        <f t="shared" si="313"/>
        <v>19</v>
      </c>
      <c r="C934" s="284" t="s">
        <v>689</v>
      </c>
      <c r="D934" s="285"/>
      <c r="E934" s="374" t="s">
        <v>279</v>
      </c>
      <c r="F934" s="255">
        <f>+F902+F930</f>
        <v>19069829.240000002</v>
      </c>
      <c r="G934" s="374"/>
      <c r="H934" s="467"/>
      <c r="I934" s="1066"/>
      <c r="J934" s="446">
        <f t="shared" si="320" ref="J934:Q934">+J902+J930</f>
        <v>10296901.818339335</v>
      </c>
      <c r="K934" s="903">
        <f t="shared" si="320"/>
        <v>1458292.9479781427</v>
      </c>
      <c r="L934" s="903">
        <f t="shared" si="320"/>
        <v>5115810.5778522026</v>
      </c>
      <c r="M934" s="903">
        <f t="shared" si="320"/>
        <v>60701.716019887506</v>
      </c>
      <c r="N934" s="903">
        <f t="shared" si="320"/>
        <v>1401139.0348371649</v>
      </c>
      <c r="O934" s="903">
        <f>+O902+O930</f>
        <v>60421.567242669305</v>
      </c>
      <c r="P934" s="903">
        <f t="shared" si="320"/>
        <v>157409.78741172873</v>
      </c>
      <c r="Q934" s="903">
        <f t="shared" si="320"/>
        <v>502748.70806368336</v>
      </c>
      <c r="R934" s="903">
        <f>+R902+R930</f>
        <v>4917.8657188098587</v>
      </c>
      <c r="S934" s="380">
        <f>+S902+S930</f>
        <v>11485.216536373695</v>
      </c>
      <c r="T934" s="467"/>
      <c r="U934" s="256">
        <f>SUM(I934:T934)</f>
        <v>19069829.239999995</v>
      </c>
      <c r="V934" s="67"/>
      <c r="W934" s="726">
        <f t="shared" si="314"/>
        <v>0</v>
      </c>
    </row>
    <row r="935" spans="1:23" ht="15">
      <c r="A935" s="4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167"/>
    </row>
    <row r="936" spans="1:23" ht="15">
      <c r="A936" s="47"/>
      <c r="B936" s="67"/>
      <c r="C936" s="67"/>
      <c r="D936" s="67"/>
      <c r="E936" s="67"/>
      <c r="F936" s="67"/>
      <c r="G936" s="67"/>
      <c r="H936" s="134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134"/>
      <c r="V936" s="134">
        <f>$H$2</f>
        <v>0</v>
      </c>
      <c r="W936" s="167"/>
    </row>
    <row r="937" spans="1:23" ht="15.75" thickBot="1">
      <c r="A937" s="4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167"/>
    </row>
    <row r="938" spans="1:23" ht="15.75">
      <c r="A938" s="47"/>
      <c r="B938" s="920" t="str">
        <f>+$B$4</f>
        <v>2022 RATE CASE</v>
      </c>
      <c r="C938" s="935"/>
      <c r="D938" s="969"/>
      <c r="F938" s="332"/>
      <c r="U938" s="134"/>
      <c r="W938" s="167"/>
    </row>
    <row r="939" spans="1:23" ht="15.75">
      <c r="A939" s="47"/>
      <c r="B939" s="917" t="str">
        <f>+$B$5</f>
        <v>ONCOR ELECTRIC DELIVERY COMPANY LLC</v>
      </c>
      <c r="C939" s="8"/>
      <c r="D939" s="970"/>
      <c r="F939" s="332"/>
      <c r="U939" s="134"/>
      <c r="V939" s="67"/>
      <c r="W939" s="167"/>
    </row>
    <row r="940" spans="1:23" ht="15.75">
      <c r="A940" s="47"/>
      <c r="B940" s="917" t="str">
        <f>+$B$6</f>
        <v>II-I-1-TBILLTDCS:  CLASS REVENUE REQUIREMENT</v>
      </c>
      <c r="C940" s="85"/>
      <c r="D940" s="970"/>
      <c r="F940" s="332"/>
      <c r="U940" s="332"/>
      <c r="V940" s="67"/>
      <c r="W940" s="167"/>
    </row>
    <row r="941" spans="1:23" ht="15.75">
      <c r="A941" s="47"/>
      <c r="B941" s="406" t="str">
        <f>+$B$7</f>
        <v>TEST YEAR ENDING 12/31/2021</v>
      </c>
      <c r="C941" s="85"/>
      <c r="D941" s="970"/>
      <c r="F941" s="332"/>
      <c r="U941" s="332"/>
      <c r="V941" s="67"/>
      <c r="W941" s="167"/>
    </row>
    <row r="942" spans="1:23" ht="15.75">
      <c r="A942" s="47"/>
      <c r="B942" s="406" t="str">
        <f>+$B$8</f>
        <v>SPONSOR:  MATTHEW A. TROXLE</v>
      </c>
      <c r="C942" s="85"/>
      <c r="D942" s="970"/>
      <c r="F942" s="332"/>
      <c r="U942" s="332"/>
      <c r="V942" s="67"/>
      <c r="W942" s="167"/>
    </row>
    <row r="943" spans="1:23" ht="16.5" thickBot="1">
      <c r="A943" s="47"/>
      <c r="B943" s="410"/>
      <c r="C943" s="934"/>
      <c r="D943" s="936"/>
      <c r="F943" s="332"/>
      <c r="U943" s="332"/>
      <c r="V943" s="67"/>
      <c r="W943" s="167"/>
    </row>
    <row r="944" spans="1:23" ht="15.75" thickBot="1">
      <c r="A944" s="47"/>
      <c r="B944" s="13"/>
      <c r="C944" s="14"/>
      <c r="D944" s="14"/>
      <c r="E944" s="14"/>
      <c r="F944" s="13"/>
      <c r="G944" s="14"/>
      <c r="H944" s="14"/>
      <c r="I944" s="14"/>
      <c r="J944" s="14"/>
      <c r="K944" s="238"/>
      <c r="L944" s="14"/>
      <c r="M944" s="238"/>
      <c r="N944" s="238"/>
      <c r="O944" s="238"/>
      <c r="P944" s="238"/>
      <c r="Q944" s="14"/>
      <c r="R944" s="393" t="str">
        <f>R$10</f>
        <v xml:space="preserve"> </v>
      </c>
      <c r="S944" s="394"/>
      <c r="T944" s="238"/>
      <c r="U944" s="13"/>
      <c r="V944" s="67"/>
      <c r="W944" s="167"/>
    </row>
    <row r="945" spans="1:23" ht="15.75">
      <c r="A945" s="47"/>
      <c r="B945" s="15" t="s">
        <v>2</v>
      </c>
      <c r="C945" s="15" t="s">
        <v>370</v>
      </c>
      <c r="D945" s="287" t="s">
        <v>690</v>
      </c>
      <c r="E945" s="15" t="s">
        <v>371</v>
      </c>
      <c r="F945" s="287" t="str">
        <f>F$11</f>
        <v>TBILLTDCS</v>
      </c>
      <c r="G945" s="242" t="s">
        <v>741</v>
      </c>
      <c r="H945" s="242" t="s">
        <v>376</v>
      </c>
      <c r="I945" s="15"/>
      <c r="J945" s="15" t="s">
        <v>730</v>
      </c>
      <c r="K945" s="242" t="s">
        <v>409</v>
      </c>
      <c r="L945" s="15" t="s">
        <v>409</v>
      </c>
      <c r="M945" s="242" t="s">
        <v>410</v>
      </c>
      <c r="N945" s="242" t="s">
        <v>410</v>
      </c>
      <c r="O945" s="242" t="s">
        <v>410</v>
      </c>
      <c r="P945" s="242" t="s">
        <v>411</v>
      </c>
      <c r="Q945" s="15" t="s">
        <v>412</v>
      </c>
      <c r="R945" s="396" t="str">
        <f>R$11</f>
        <v>Wholesale</v>
      </c>
      <c r="S945" s="13" t="str">
        <f>S$11</f>
        <v>Wholesale</v>
      </c>
      <c r="T945" s="242"/>
      <c r="U945" s="15" t="s">
        <v>10</v>
      </c>
      <c r="V945" s="67"/>
      <c r="W945" s="167"/>
    </row>
    <row r="946" spans="1:23" ht="15">
      <c r="A946" s="47"/>
      <c r="B946" s="15"/>
      <c r="C946" s="15"/>
      <c r="D946" s="15"/>
      <c r="E946" s="15"/>
      <c r="F946" s="15"/>
      <c r="G946" s="242" t="s">
        <v>742</v>
      </c>
      <c r="H946" s="242" t="s">
        <v>743</v>
      </c>
      <c r="I946" s="15"/>
      <c r="J946" s="15"/>
      <c r="K946" s="242" t="s">
        <v>731</v>
      </c>
      <c r="L946" s="15" t="s">
        <v>732</v>
      </c>
      <c r="M946" s="242" t="s">
        <v>731</v>
      </c>
      <c r="N946" s="242" t="s">
        <v>732</v>
      </c>
      <c r="O946" s="242" t="s">
        <v>414</v>
      </c>
      <c r="P946" s="242"/>
      <c r="Q946" s="15"/>
      <c r="R946" s="235" t="str">
        <f>R$12</f>
        <v>XFMR</v>
      </c>
      <c r="S946" s="15" t="str">
        <f>S$12</f>
        <v>DLS</v>
      </c>
      <c r="T946" s="242"/>
      <c r="U946" s="15"/>
      <c r="V946" s="67"/>
      <c r="W946" s="167"/>
    </row>
    <row r="947" spans="1:23" ht="15.75" thickBot="1">
      <c r="A947" s="47"/>
      <c r="B947" s="16"/>
      <c r="C947" s="16"/>
      <c r="D947" s="16"/>
      <c r="E947" s="16"/>
      <c r="F947" s="16" t="s">
        <v>13</v>
      </c>
      <c r="G947" s="16" t="s">
        <v>14</v>
      </c>
      <c r="H947" s="16" t="s">
        <v>15</v>
      </c>
      <c r="I947" s="16"/>
      <c r="J947" s="243" t="str">
        <f t="shared" si="321" ref="J947:Q947">J$13</f>
        <v>(d)</v>
      </c>
      <c r="K947" s="243" t="str">
        <f t="shared" si="321"/>
        <v>(e)</v>
      </c>
      <c r="L947" s="16" t="str">
        <f t="shared" si="321"/>
        <v>(f)</v>
      </c>
      <c r="M947" s="243" t="str">
        <f t="shared" si="321"/>
        <v>(g)</v>
      </c>
      <c r="N947" s="243" t="str">
        <f t="shared" si="321"/>
        <v>(h)</v>
      </c>
      <c r="O947" s="243" t="str">
        <f>O$13</f>
        <v>(i)</v>
      </c>
      <c r="P947" s="243" t="str">
        <f t="shared" si="321"/>
        <v>(j)</v>
      </c>
      <c r="Q947" s="243" t="str">
        <f t="shared" si="321"/>
        <v>(k)</v>
      </c>
      <c r="R947" s="243" t="str">
        <f>R$13</f>
        <v>(l)</v>
      </c>
      <c r="S947" s="16" t="str">
        <f>S$13</f>
        <v>(m)</v>
      </c>
      <c r="T947" s="16"/>
      <c r="U947" s="16" t="s">
        <v>734</v>
      </c>
      <c r="V947" s="67"/>
      <c r="W947" s="167"/>
    </row>
    <row r="948" spans="1:23" ht="15.75">
      <c r="A948" s="47"/>
      <c r="B948" s="67"/>
      <c r="C948" s="333"/>
      <c r="D948" s="333"/>
      <c r="E948" s="37"/>
      <c r="F948" s="333"/>
      <c r="G948" s="37"/>
      <c r="H948" s="37"/>
      <c r="I948" s="37"/>
      <c r="J948" s="897"/>
      <c r="K948" s="897"/>
      <c r="L948" s="897"/>
      <c r="M948" s="897"/>
      <c r="N948" s="897"/>
      <c r="O948" s="897"/>
      <c r="P948" s="897"/>
      <c r="Q948" s="897"/>
      <c r="R948" s="897"/>
      <c r="S948" s="897"/>
      <c r="T948" s="37"/>
      <c r="U948" s="43"/>
      <c r="V948" s="67"/>
      <c r="W948" s="167"/>
    </row>
    <row r="949" spans="1:23" ht="15.75">
      <c r="A949" s="47"/>
      <c r="B949" s="17">
        <f t="shared" si="322" ref="B949:B955">B948+1</f>
        <v>1</v>
      </c>
      <c r="C949" s="376"/>
      <c r="D949" s="43" t="s">
        <v>289</v>
      </c>
      <c r="E949" s="37" t="s">
        <v>290</v>
      </c>
      <c r="F949" s="377">
        <f>' WP II-I-1.4'!I949</f>
        <v>0</v>
      </c>
      <c r="G949" s="17">
        <v>6</v>
      </c>
      <c r="H949" s="47" t="str">
        <f>VLOOKUP(G949,FactorTable,2)</f>
        <v>CUS W ALL</v>
      </c>
      <c r="I949" s="897"/>
      <c r="J949" s="434">
        <f t="shared" si="323" ref="J949:S953">$F949*HLOOKUP(J$1318,FactorTable,$G949+1)</f>
        <v>0</v>
      </c>
      <c r="K949" s="434">
        <f t="shared" si="323"/>
        <v>0</v>
      </c>
      <c r="L949" s="434">
        <f t="shared" si="323"/>
        <v>0</v>
      </c>
      <c r="M949" s="434">
        <f t="shared" si="323"/>
        <v>0</v>
      </c>
      <c r="N949" s="434">
        <f t="shared" si="323"/>
        <v>0</v>
      </c>
      <c r="O949" s="434">
        <f t="shared" si="323"/>
        <v>0</v>
      </c>
      <c r="P949" s="434">
        <f t="shared" si="323"/>
        <v>0</v>
      </c>
      <c r="Q949" s="434">
        <f t="shared" si="323"/>
        <v>0</v>
      </c>
      <c r="R949" s="434">
        <f t="shared" si="323"/>
        <v>0</v>
      </c>
      <c r="S949" s="434">
        <f t="shared" si="323"/>
        <v>0</v>
      </c>
      <c r="T949" s="897"/>
      <c r="U949" s="118">
        <f>SUM(I949:T949)</f>
        <v>0</v>
      </c>
      <c r="V949" s="67"/>
      <c r="W949" s="726">
        <f t="shared" si="324" ref="W949:W955">F949-U949</f>
        <v>0</v>
      </c>
    </row>
    <row r="950" spans="1:23" ht="15.75">
      <c r="A950" s="47"/>
      <c r="B950" s="17">
        <f t="shared" si="322"/>
        <v>2</v>
      </c>
      <c r="C950" s="334"/>
      <c r="D950" s="43" t="s">
        <v>291</v>
      </c>
      <c r="E950" s="37" t="s">
        <v>290</v>
      </c>
      <c r="F950" s="377">
        <f>' WP II-I-1.4'!I950</f>
        <v>0</v>
      </c>
      <c r="G950" s="17">
        <v>6</v>
      </c>
      <c r="H950" s="47" t="str">
        <f>VLOOKUP(G950,FactorTable,2)</f>
        <v>CUS W ALL</v>
      </c>
      <c r="I950" s="897"/>
      <c r="J950" s="434">
        <f t="shared" si="323"/>
        <v>0</v>
      </c>
      <c r="K950" s="434">
        <f t="shared" si="323"/>
        <v>0</v>
      </c>
      <c r="L950" s="434">
        <f t="shared" si="323"/>
        <v>0</v>
      </c>
      <c r="M950" s="434">
        <f t="shared" si="323"/>
        <v>0</v>
      </c>
      <c r="N950" s="434">
        <f t="shared" si="323"/>
        <v>0</v>
      </c>
      <c r="O950" s="434">
        <f t="shared" si="323"/>
        <v>0</v>
      </c>
      <c r="P950" s="434">
        <f t="shared" si="323"/>
        <v>0</v>
      </c>
      <c r="Q950" s="434">
        <f t="shared" si="323"/>
        <v>0</v>
      </c>
      <c r="R950" s="434">
        <f t="shared" si="323"/>
        <v>0</v>
      </c>
      <c r="S950" s="434">
        <f t="shared" si="323"/>
        <v>0</v>
      </c>
      <c r="T950" s="897"/>
      <c r="U950" s="118">
        <f>SUM(I950:T950)</f>
        <v>0</v>
      </c>
      <c r="V950" s="67"/>
      <c r="W950" s="726">
        <f t="shared" si="324"/>
        <v>0</v>
      </c>
    </row>
    <row r="951" spans="1:23" ht="15.75">
      <c r="A951" s="47"/>
      <c r="B951" s="17">
        <f t="shared" si="322"/>
        <v>3</v>
      </c>
      <c r="C951" s="43"/>
      <c r="D951" s="43" t="s">
        <v>292</v>
      </c>
      <c r="E951" s="37" t="s">
        <v>293</v>
      </c>
      <c r="F951" s="377">
        <f>' WP II-I-1.4'!I951</f>
        <v>0</v>
      </c>
      <c r="G951" s="17">
        <v>6</v>
      </c>
      <c r="H951" s="47" t="str">
        <f>VLOOKUP(G951,FactorTable,2)</f>
        <v>CUS W ALL</v>
      </c>
      <c r="I951" s="897"/>
      <c r="J951" s="434">
        <f t="shared" si="323"/>
        <v>0</v>
      </c>
      <c r="K951" s="434">
        <f t="shared" si="323"/>
        <v>0</v>
      </c>
      <c r="L951" s="434">
        <f t="shared" si="323"/>
        <v>0</v>
      </c>
      <c r="M951" s="434">
        <f t="shared" si="323"/>
        <v>0</v>
      </c>
      <c r="N951" s="434">
        <f t="shared" si="323"/>
        <v>0</v>
      </c>
      <c r="O951" s="434">
        <f t="shared" si="323"/>
        <v>0</v>
      </c>
      <c r="P951" s="434">
        <f t="shared" si="323"/>
        <v>0</v>
      </c>
      <c r="Q951" s="434">
        <f t="shared" si="323"/>
        <v>0</v>
      </c>
      <c r="R951" s="434">
        <f t="shared" si="323"/>
        <v>0</v>
      </c>
      <c r="S951" s="434">
        <f t="shared" si="323"/>
        <v>0</v>
      </c>
      <c r="T951" s="897"/>
      <c r="U951" s="118">
        <f>SUM(I951:T951)</f>
        <v>0</v>
      </c>
      <c r="V951" s="67"/>
      <c r="W951" s="726">
        <f t="shared" si="324"/>
        <v>0</v>
      </c>
    </row>
    <row r="952" spans="1:23" ht="15.75">
      <c r="A952" s="47"/>
      <c r="B952" s="17">
        <f t="shared" si="322"/>
        <v>4</v>
      </c>
      <c r="C952" s="43"/>
      <c r="D952" s="43" t="s">
        <v>294</v>
      </c>
      <c r="E952" s="37" t="s">
        <v>293</v>
      </c>
      <c r="F952" s="377">
        <f>' WP II-I-1.4'!I952</f>
        <v>0</v>
      </c>
      <c r="G952" s="17">
        <v>6</v>
      </c>
      <c r="H952" s="47" t="str">
        <f>VLOOKUP(G952,FactorTable,2)</f>
        <v>CUS W ALL</v>
      </c>
      <c r="I952" s="897"/>
      <c r="J952" s="434">
        <f t="shared" si="323"/>
        <v>0</v>
      </c>
      <c r="K952" s="434">
        <f t="shared" si="323"/>
        <v>0</v>
      </c>
      <c r="L952" s="434">
        <f t="shared" si="323"/>
        <v>0</v>
      </c>
      <c r="M952" s="434">
        <f t="shared" si="323"/>
        <v>0</v>
      </c>
      <c r="N952" s="434">
        <f t="shared" si="323"/>
        <v>0</v>
      </c>
      <c r="O952" s="434">
        <f t="shared" si="323"/>
        <v>0</v>
      </c>
      <c r="P952" s="434">
        <f t="shared" si="323"/>
        <v>0</v>
      </c>
      <c r="Q952" s="434">
        <f t="shared" si="323"/>
        <v>0</v>
      </c>
      <c r="R952" s="434">
        <f t="shared" si="323"/>
        <v>0</v>
      </c>
      <c r="S952" s="434">
        <f t="shared" si="323"/>
        <v>0</v>
      </c>
      <c r="T952" s="897"/>
      <c r="U952" s="118">
        <f>SUM(I952:T952)</f>
        <v>0</v>
      </c>
      <c r="V952" s="67"/>
      <c r="W952" s="726">
        <f t="shared" si="324"/>
        <v>0</v>
      </c>
    </row>
    <row r="953" spans="1:23" ht="15.75">
      <c r="A953" s="47"/>
      <c r="B953" s="17">
        <f t="shared" si="322"/>
        <v>5</v>
      </c>
      <c r="C953" s="43"/>
      <c r="D953" s="43" t="s">
        <v>295</v>
      </c>
      <c r="E953" s="37" t="s">
        <v>293</v>
      </c>
      <c r="F953" s="377">
        <f>' WP II-I-1.4'!I953</f>
        <v>0</v>
      </c>
      <c r="G953" s="17">
        <v>6</v>
      </c>
      <c r="H953" s="47" t="str">
        <f>VLOOKUP(G953,FactorTable,2)</f>
        <v>CUS W ALL</v>
      </c>
      <c r="I953" s="897"/>
      <c r="J953" s="434">
        <f t="shared" si="323"/>
        <v>0</v>
      </c>
      <c r="K953" s="434">
        <f t="shared" si="323"/>
        <v>0</v>
      </c>
      <c r="L953" s="434">
        <f t="shared" si="323"/>
        <v>0</v>
      </c>
      <c r="M953" s="434">
        <f t="shared" si="323"/>
        <v>0</v>
      </c>
      <c r="N953" s="434">
        <f t="shared" si="323"/>
        <v>0</v>
      </c>
      <c r="O953" s="434">
        <f t="shared" si="323"/>
        <v>0</v>
      </c>
      <c r="P953" s="434">
        <f t="shared" si="323"/>
        <v>0</v>
      </c>
      <c r="Q953" s="434">
        <f t="shared" si="323"/>
        <v>0</v>
      </c>
      <c r="R953" s="434">
        <f t="shared" si="323"/>
        <v>0</v>
      </c>
      <c r="S953" s="434">
        <f t="shared" si="323"/>
        <v>0</v>
      </c>
      <c r="T953" s="897"/>
      <c r="U953" s="118">
        <f>SUM(I953:T953)</f>
        <v>0</v>
      </c>
      <c r="V953" s="67"/>
      <c r="W953" s="726">
        <f t="shared" si="324"/>
        <v>0</v>
      </c>
    </row>
    <row r="954" spans="1:23" ht="16.5" thickBot="1">
      <c r="A954" s="47"/>
      <c r="B954" s="17">
        <f t="shared" si="322"/>
        <v>6</v>
      </c>
      <c r="C954" s="43"/>
      <c r="D954" s="43"/>
      <c r="E954" s="37"/>
      <c r="F954" s="377"/>
      <c r="G954" s="37"/>
      <c r="H954" s="37"/>
      <c r="I954" s="37"/>
      <c r="J954" s="897"/>
      <c r="K954" s="897"/>
      <c r="L954" s="897"/>
      <c r="M954" s="897"/>
      <c r="N954" s="897"/>
      <c r="O954" s="897"/>
      <c r="P954" s="897"/>
      <c r="Q954" s="897"/>
      <c r="R954" s="897"/>
      <c r="S954" s="897"/>
      <c r="T954" s="37"/>
      <c r="U954" s="118"/>
      <c r="V954" s="67"/>
      <c r="W954" s="726">
        <f t="shared" si="324"/>
        <v>0</v>
      </c>
    </row>
    <row r="955" spans="1:23" ht="16.5" thickBot="1">
      <c r="A955" s="47"/>
      <c r="B955" s="17">
        <f t="shared" si="322"/>
        <v>7</v>
      </c>
      <c r="C955" s="341" t="s">
        <v>691</v>
      </c>
      <c r="D955" s="336"/>
      <c r="E955" s="337"/>
      <c r="F955" s="278">
        <f>+F949+F950+F951+F952</f>
        <v>0</v>
      </c>
      <c r="G955" s="337"/>
      <c r="H955" s="457"/>
      <c r="I955" s="643"/>
      <c r="J955" s="356">
        <f t="shared" si="325" ref="J955:Q955">+J949+J950+J951+J952</f>
        <v>0</v>
      </c>
      <c r="K955" s="905">
        <f t="shared" si="325"/>
        <v>0</v>
      </c>
      <c r="L955" s="905">
        <f t="shared" si="325"/>
        <v>0</v>
      </c>
      <c r="M955" s="905">
        <f t="shared" si="325"/>
        <v>0</v>
      </c>
      <c r="N955" s="905">
        <f t="shared" si="325"/>
        <v>0</v>
      </c>
      <c r="O955" s="905">
        <f>+O949+O950+O951+O952</f>
        <v>0</v>
      </c>
      <c r="P955" s="905">
        <f t="shared" si="325"/>
        <v>0</v>
      </c>
      <c r="Q955" s="905">
        <f t="shared" si="325"/>
        <v>0</v>
      </c>
      <c r="R955" s="905">
        <f>+R949+R950+R951+R952</f>
        <v>0</v>
      </c>
      <c r="S955" s="279">
        <f>+S949+S950+S951+S952</f>
        <v>0</v>
      </c>
      <c r="T955" s="457"/>
      <c r="U955" s="256">
        <f>SUM(I955:T955)</f>
        <v>0</v>
      </c>
      <c r="V955" s="67"/>
      <c r="W955" s="726">
        <f t="shared" si="324"/>
        <v>0</v>
      </c>
    </row>
    <row r="956" spans="1:23" ht="15">
      <c r="A956" s="4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167"/>
    </row>
    <row r="957" spans="1:23" ht="15.75" thickBot="1">
      <c r="A957" s="47"/>
      <c r="B957" s="67"/>
      <c r="C957" s="67"/>
      <c r="D957" s="67"/>
      <c r="E957" s="67"/>
      <c r="F957" s="67"/>
      <c r="G957" s="67"/>
      <c r="H957" s="134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134"/>
      <c r="V957" s="134">
        <f>$H$2</f>
        <v>0</v>
      </c>
      <c r="W957" s="167"/>
    </row>
    <row r="958" spans="1:23" ht="15.75">
      <c r="A958" s="47"/>
      <c r="B958" s="920" t="str">
        <f>+$B$4</f>
        <v>2022 RATE CASE</v>
      </c>
      <c r="C958" s="935"/>
      <c r="D958" s="969"/>
      <c r="F958" s="332"/>
      <c r="U958" s="134"/>
      <c r="W958" s="167"/>
    </row>
    <row r="959" spans="1:23" ht="15.75">
      <c r="A959" s="47"/>
      <c r="B959" s="917" t="str">
        <f>+$B$5</f>
        <v>ONCOR ELECTRIC DELIVERY COMPANY LLC</v>
      </c>
      <c r="C959" s="8"/>
      <c r="D959" s="970"/>
      <c r="F959" s="332"/>
      <c r="U959" s="134"/>
      <c r="V959" s="67"/>
      <c r="W959" s="167"/>
    </row>
    <row r="960" spans="1:23" ht="15.75">
      <c r="A960" s="47"/>
      <c r="B960" s="917" t="str">
        <f>+$B$6</f>
        <v>II-I-1-TBILLTDCS:  CLASS REVENUE REQUIREMENT</v>
      </c>
      <c r="C960" s="85"/>
      <c r="D960" s="970"/>
      <c r="F960" s="332"/>
      <c r="U960" s="332"/>
      <c r="V960" s="67"/>
      <c r="W960" s="167"/>
    </row>
    <row r="961" spans="1:23" ht="15.75">
      <c r="A961" s="47"/>
      <c r="B961" s="406" t="str">
        <f>+$B$7</f>
        <v>TEST YEAR ENDING 12/31/2021</v>
      </c>
      <c r="C961" s="85"/>
      <c r="D961" s="970"/>
      <c r="F961" s="332"/>
      <c r="U961" s="332"/>
      <c r="V961" s="67"/>
      <c r="W961" s="167"/>
    </row>
    <row r="962" spans="1:23" ht="15.75">
      <c r="A962" s="47"/>
      <c r="B962" s="406" t="str">
        <f>+$B$8</f>
        <v>SPONSOR:  MATTHEW A. TROXLE</v>
      </c>
      <c r="C962" s="85"/>
      <c r="D962" s="970"/>
      <c r="F962" s="332"/>
      <c r="U962" s="332"/>
      <c r="V962" s="67"/>
      <c r="W962" s="167"/>
    </row>
    <row r="963" spans="1:23" ht="16.5" thickBot="1">
      <c r="A963" s="47"/>
      <c r="B963" s="410"/>
      <c r="C963" s="934"/>
      <c r="D963" s="936"/>
      <c r="F963" s="332"/>
      <c r="U963" s="332"/>
      <c r="V963" s="67"/>
      <c r="W963" s="167"/>
    </row>
    <row r="964" spans="1:23" ht="15.75" thickBot="1">
      <c r="A964" s="47"/>
      <c r="B964" s="13"/>
      <c r="C964" s="14"/>
      <c r="D964" s="14"/>
      <c r="E964" s="14"/>
      <c r="F964" s="13"/>
      <c r="G964" s="14"/>
      <c r="H964" s="14"/>
      <c r="I964" s="14"/>
      <c r="J964" s="238"/>
      <c r="K964" s="238"/>
      <c r="L964" s="14"/>
      <c r="M964" s="238"/>
      <c r="N964" s="238"/>
      <c r="O964" s="238"/>
      <c r="P964" s="238"/>
      <c r="Q964" s="14"/>
      <c r="R964" s="393" t="str">
        <f>R$10</f>
        <v xml:space="preserve"> </v>
      </c>
      <c r="S964" s="394"/>
      <c r="T964" s="238"/>
      <c r="U964" s="13"/>
      <c r="V964" s="67"/>
      <c r="W964" s="167"/>
    </row>
    <row r="965" spans="1:23" ht="15.75">
      <c r="A965" s="47"/>
      <c r="B965" s="15" t="s">
        <v>2</v>
      </c>
      <c r="C965" s="15" t="s">
        <v>370</v>
      </c>
      <c r="D965" s="287" t="s">
        <v>692</v>
      </c>
      <c r="E965" s="15" t="s">
        <v>371</v>
      </c>
      <c r="F965" s="287" t="str">
        <f>F$11</f>
        <v>TBILLTDCS</v>
      </c>
      <c r="G965" s="242" t="s">
        <v>741</v>
      </c>
      <c r="H965" s="242" t="s">
        <v>376</v>
      </c>
      <c r="I965" s="15"/>
      <c r="J965" s="242" t="s">
        <v>730</v>
      </c>
      <c r="K965" s="242" t="s">
        <v>409</v>
      </c>
      <c r="L965" s="15" t="s">
        <v>409</v>
      </c>
      <c r="M965" s="242" t="s">
        <v>410</v>
      </c>
      <c r="N965" s="242" t="s">
        <v>410</v>
      </c>
      <c r="O965" s="242" t="s">
        <v>410</v>
      </c>
      <c r="P965" s="242" t="s">
        <v>411</v>
      </c>
      <c r="Q965" s="15" t="s">
        <v>412</v>
      </c>
      <c r="R965" s="396" t="str">
        <f>R$11</f>
        <v>Wholesale</v>
      </c>
      <c r="S965" s="13" t="str">
        <f>S$11</f>
        <v>Wholesale</v>
      </c>
      <c r="T965" s="242"/>
      <c r="U965" s="15" t="s">
        <v>10</v>
      </c>
      <c r="V965" s="67"/>
      <c r="W965" s="167"/>
    </row>
    <row r="966" spans="1:23" ht="15">
      <c r="A966" s="47"/>
      <c r="B966" s="15"/>
      <c r="C966" s="15"/>
      <c r="D966" s="15"/>
      <c r="E966" s="15"/>
      <c r="F966" s="15"/>
      <c r="G966" s="242" t="s">
        <v>742</v>
      </c>
      <c r="H966" s="242" t="s">
        <v>743</v>
      </c>
      <c r="I966" s="15"/>
      <c r="J966" s="242"/>
      <c r="K966" s="242" t="s">
        <v>731</v>
      </c>
      <c r="L966" s="15" t="s">
        <v>732</v>
      </c>
      <c r="M966" s="242" t="s">
        <v>731</v>
      </c>
      <c r="N966" s="242" t="s">
        <v>732</v>
      </c>
      <c r="O966" s="242" t="s">
        <v>414</v>
      </c>
      <c r="P966" s="242"/>
      <c r="Q966" s="15"/>
      <c r="R966" s="235" t="str">
        <f>R$12</f>
        <v>XFMR</v>
      </c>
      <c r="S966" s="15" t="str">
        <f>S$12</f>
        <v>DLS</v>
      </c>
      <c r="T966" s="242"/>
      <c r="U966" s="15"/>
      <c r="V966" s="67"/>
      <c r="W966" s="167"/>
    </row>
    <row r="967" spans="1:23" ht="15.75" thickBot="1">
      <c r="A967" s="47"/>
      <c r="B967" s="16"/>
      <c r="C967" s="16"/>
      <c r="D967" s="16"/>
      <c r="E967" s="16"/>
      <c r="F967" s="16" t="s">
        <v>13</v>
      </c>
      <c r="G967" s="16" t="s">
        <v>14</v>
      </c>
      <c r="H967" s="16" t="s">
        <v>15</v>
      </c>
      <c r="I967" s="16"/>
      <c r="J967" s="243" t="str">
        <f t="shared" si="326" ref="J967:Q967">J$13</f>
        <v>(d)</v>
      </c>
      <c r="K967" s="243" t="str">
        <f t="shared" si="326"/>
        <v>(e)</v>
      </c>
      <c r="L967" s="16" t="str">
        <f t="shared" si="326"/>
        <v>(f)</v>
      </c>
      <c r="M967" s="243" t="str">
        <f t="shared" si="326"/>
        <v>(g)</v>
      </c>
      <c r="N967" s="243" t="str">
        <f t="shared" si="326"/>
        <v>(h)</v>
      </c>
      <c r="O967" s="243" t="str">
        <f>O$13</f>
        <v>(i)</v>
      </c>
      <c r="P967" s="243" t="str">
        <f t="shared" si="326"/>
        <v>(j)</v>
      </c>
      <c r="Q967" s="243" t="str">
        <f t="shared" si="326"/>
        <v>(k)</v>
      </c>
      <c r="R967" s="243" t="str">
        <f>R$13</f>
        <v>(l)</v>
      </c>
      <c r="S967" s="16" t="str">
        <f>S$13</f>
        <v>(m)</v>
      </c>
      <c r="T967" s="16"/>
      <c r="U967" s="16" t="s">
        <v>734</v>
      </c>
      <c r="V967" s="67"/>
      <c r="W967" s="167"/>
    </row>
    <row r="968" spans="1:23" ht="15">
      <c r="A968" s="47"/>
      <c r="B968" s="67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43"/>
      <c r="V968" s="67"/>
      <c r="W968" s="167"/>
    </row>
    <row r="969" spans="1:23" ht="15.75">
      <c r="A969" s="47"/>
      <c r="B969" s="17">
        <f t="shared" si="327" ref="B969:B1004">B968+1</f>
        <v>1</v>
      </c>
      <c r="C969" s="366" t="s">
        <v>296</v>
      </c>
      <c r="D969" s="8"/>
      <c r="E969" s="20"/>
      <c r="F969" s="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8"/>
      <c r="V969" s="67"/>
      <c r="W969" s="167"/>
    </row>
    <row r="970" spans="1:23" ht="15">
      <c r="A970" s="47"/>
      <c r="B970" s="17">
        <f t="shared" si="327"/>
        <v>2</v>
      </c>
      <c r="C970" s="1"/>
      <c r="D970" s="1"/>
      <c r="E970" s="17"/>
      <c r="F970" s="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"/>
      <c r="V970" s="67"/>
      <c r="W970" s="167"/>
    </row>
    <row r="971" spans="1:23" ht="15.75">
      <c r="A971" s="47"/>
      <c r="B971" s="17">
        <f t="shared" si="327"/>
        <v>3</v>
      </c>
      <c r="C971" s="8" t="s">
        <v>693</v>
      </c>
      <c r="D971" s="8"/>
      <c r="E971" s="20" t="s">
        <v>297</v>
      </c>
      <c r="F971" s="378"/>
      <c r="G971" s="20"/>
      <c r="H971" s="20"/>
      <c r="I971" s="20"/>
      <c r="J971" s="1059"/>
      <c r="K971" s="1059"/>
      <c r="L971" s="1059"/>
      <c r="M971" s="1059"/>
      <c r="N971" s="1059"/>
      <c r="O971" s="1059"/>
      <c r="P971" s="1059"/>
      <c r="Q971" s="1059"/>
      <c r="R971" s="1059"/>
      <c r="S971" s="1059"/>
      <c r="T971" s="1010"/>
      <c r="U971" s="8"/>
      <c r="V971" s="67"/>
      <c r="W971" s="726">
        <f t="shared" si="328" ref="W971:W1004">F971-U971</f>
        <v>0</v>
      </c>
    </row>
    <row r="972" spans="1:23" ht="15">
      <c r="A972" s="47"/>
      <c r="B972" s="17">
        <f t="shared" si="327"/>
        <v>4</v>
      </c>
      <c r="C972" s="1" t="s">
        <v>25</v>
      </c>
      <c r="D972" s="1" t="s">
        <v>26</v>
      </c>
      <c r="E972" s="17"/>
      <c r="F972" s="118">
        <f>' WP II-I-1.4'!I972</f>
        <v>0</v>
      </c>
      <c r="G972" s="17">
        <v>66</v>
      </c>
      <c r="H972" s="47" t="str">
        <f>VLOOKUP(G972,FactorTable,2)</f>
        <v>PLT INT_N</v>
      </c>
      <c r="I972" s="17"/>
      <c r="J972" s="434">
        <f t="shared" si="329" ref="J972:S974">$F972*HLOOKUP(J$1318,FactorTable,$G972+1)</f>
        <v>0</v>
      </c>
      <c r="K972" s="434">
        <f t="shared" si="329"/>
        <v>0</v>
      </c>
      <c r="L972" s="434">
        <f t="shared" si="329"/>
        <v>0</v>
      </c>
      <c r="M972" s="434">
        <f t="shared" si="329"/>
        <v>0</v>
      </c>
      <c r="N972" s="434">
        <f t="shared" si="329"/>
        <v>0</v>
      </c>
      <c r="O972" s="434">
        <f t="shared" si="329"/>
        <v>0</v>
      </c>
      <c r="P972" s="434">
        <f t="shared" si="329"/>
        <v>0</v>
      </c>
      <c r="Q972" s="434">
        <f t="shared" si="329"/>
        <v>0</v>
      </c>
      <c r="R972" s="434">
        <f t="shared" si="329"/>
        <v>0</v>
      </c>
      <c r="S972" s="434">
        <f t="shared" si="329"/>
        <v>0</v>
      </c>
      <c r="T972" s="17"/>
      <c r="U972" s="118">
        <f>SUM(I972:T972)</f>
        <v>0</v>
      </c>
      <c r="V972" s="67"/>
      <c r="W972" s="726">
        <f t="shared" si="328"/>
        <v>0</v>
      </c>
    </row>
    <row r="973" spans="1:23" ht="15">
      <c r="A973" s="47"/>
      <c r="B973" s="17">
        <f t="shared" si="327"/>
        <v>5</v>
      </c>
      <c r="C973" s="1" t="s">
        <v>27</v>
      </c>
      <c r="D973" s="1" t="s">
        <v>37</v>
      </c>
      <c r="E973" s="17"/>
      <c r="F973" s="118">
        <f>' WP II-I-1.4'!I973</f>
        <v>0</v>
      </c>
      <c r="G973" s="17">
        <v>66</v>
      </c>
      <c r="H973" s="47" t="str">
        <f>VLOOKUP(G973,FactorTable,2)</f>
        <v>PLT INT_N</v>
      </c>
      <c r="I973" s="17"/>
      <c r="J973" s="434">
        <f t="shared" si="329"/>
        <v>0</v>
      </c>
      <c r="K973" s="434">
        <f t="shared" si="329"/>
        <v>0</v>
      </c>
      <c r="L973" s="434">
        <f t="shared" si="329"/>
        <v>0</v>
      </c>
      <c r="M973" s="434">
        <f t="shared" si="329"/>
        <v>0</v>
      </c>
      <c r="N973" s="434">
        <f t="shared" si="329"/>
        <v>0</v>
      </c>
      <c r="O973" s="434">
        <f t="shared" si="329"/>
        <v>0</v>
      </c>
      <c r="P973" s="434">
        <f t="shared" si="329"/>
        <v>0</v>
      </c>
      <c r="Q973" s="434">
        <f t="shared" si="329"/>
        <v>0</v>
      </c>
      <c r="R973" s="434">
        <f t="shared" si="329"/>
        <v>0</v>
      </c>
      <c r="S973" s="434">
        <f t="shared" si="329"/>
        <v>0</v>
      </c>
      <c r="T973" s="17"/>
      <c r="U973" s="118">
        <f>SUM(I973:T973)</f>
        <v>0</v>
      </c>
      <c r="V973" s="67"/>
      <c r="W973" s="726">
        <f t="shared" si="328"/>
        <v>0</v>
      </c>
    </row>
    <row r="974" spans="1:23" ht="15">
      <c r="A974" s="47"/>
      <c r="B974" s="17">
        <f t="shared" si="327"/>
        <v>6</v>
      </c>
      <c r="C974" s="1" t="s">
        <v>29</v>
      </c>
      <c r="D974" s="1" t="s">
        <v>34</v>
      </c>
      <c r="E974" s="17"/>
      <c r="F974" s="118">
        <f>' WP II-I-1.4'!I974</f>
        <v>22267461.890000001</v>
      </c>
      <c r="G974" s="17">
        <v>66</v>
      </c>
      <c r="H974" s="47" t="str">
        <f>VLOOKUP(G974,FactorTable,2)</f>
        <v>PLT INT_N</v>
      </c>
      <c r="I974" s="17"/>
      <c r="J974" s="435">
        <f t="shared" si="329"/>
        <v>12406639.663919518</v>
      </c>
      <c r="K974" s="435">
        <f t="shared" si="329"/>
        <v>1912784.3302250297</v>
      </c>
      <c r="L974" s="435">
        <f t="shared" si="329"/>
        <v>5900049.4360049721</v>
      </c>
      <c r="M974" s="435">
        <f t="shared" si="329"/>
        <v>82845.652417221208</v>
      </c>
      <c r="N974" s="435">
        <f t="shared" si="329"/>
        <v>1728765.5964666405</v>
      </c>
      <c r="O974" s="435">
        <f t="shared" si="329"/>
        <v>59077.116994957272</v>
      </c>
      <c r="P974" s="435">
        <f t="shared" si="329"/>
        <v>128606.33930440695</v>
      </c>
      <c r="Q974" s="435">
        <f t="shared" si="329"/>
        <v>25959.116108866914</v>
      </c>
      <c r="R974" s="435">
        <f t="shared" si="329"/>
        <v>6816.59042249507</v>
      </c>
      <c r="S974" s="435">
        <f t="shared" si="329"/>
        <v>15918.048135893987</v>
      </c>
      <c r="T974" s="17"/>
      <c r="U974" s="118">
        <f>SUM(I974:T974)</f>
        <v>22267461.890000004</v>
      </c>
      <c r="V974" s="67"/>
      <c r="W974" s="726">
        <f t="shared" si="328"/>
        <v>0</v>
      </c>
    </row>
    <row r="975" spans="1:23" ht="15.75">
      <c r="A975" s="47"/>
      <c r="B975" s="17">
        <f t="shared" si="327"/>
        <v>7</v>
      </c>
      <c r="C975" s="22"/>
      <c r="D975" s="379" t="s">
        <v>491</v>
      </c>
      <c r="E975" s="22"/>
      <c r="F975" s="22">
        <f>+F972+F973+F974</f>
        <v>22267461.890000001</v>
      </c>
      <c r="G975" s="22"/>
      <c r="H975" s="22"/>
      <c r="I975" s="896"/>
      <c r="J975" s="896">
        <f t="shared" si="330" ref="J975:Q975">+J972+J973+J974</f>
        <v>12406639.663919518</v>
      </c>
      <c r="K975" s="896">
        <f t="shared" si="330"/>
        <v>1912784.3302250297</v>
      </c>
      <c r="L975" s="896">
        <f t="shared" si="330"/>
        <v>5900049.4360049721</v>
      </c>
      <c r="M975" s="896">
        <f t="shared" si="330"/>
        <v>82845.652417221208</v>
      </c>
      <c r="N975" s="896">
        <f t="shared" si="330"/>
        <v>1728765.5964666405</v>
      </c>
      <c r="O975" s="896">
        <f>+O972+O973+O974</f>
        <v>59077.116994957272</v>
      </c>
      <c r="P975" s="896">
        <f t="shared" si="330"/>
        <v>128606.33930440695</v>
      </c>
      <c r="Q975" s="896">
        <f t="shared" si="330"/>
        <v>25959.116108866914</v>
      </c>
      <c r="R975" s="896">
        <f>+R972+R973+R974</f>
        <v>6816.59042249507</v>
      </c>
      <c r="S975" s="896">
        <f>+S972+S973+S974</f>
        <v>15918.048135893987</v>
      </c>
      <c r="T975" s="896"/>
      <c r="U975" s="299">
        <f>SUM(I975:T975)</f>
        <v>22267461.890000004</v>
      </c>
      <c r="V975" s="67"/>
      <c r="W975" s="726">
        <f t="shared" si="328"/>
        <v>0</v>
      </c>
    </row>
    <row r="976" spans="1:23" ht="15">
      <c r="A976" s="47"/>
      <c r="B976" s="17">
        <f t="shared" si="327"/>
        <v>8</v>
      </c>
      <c r="C976" s="1"/>
      <c r="D976" s="1"/>
      <c r="E976" s="17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"/>
      <c r="V976" s="67"/>
      <c r="W976" s="726">
        <f t="shared" si="328"/>
        <v>0</v>
      </c>
    </row>
    <row r="977" spans="1:23" ht="15.75">
      <c r="A977" s="47"/>
      <c r="B977" s="17">
        <f t="shared" si="327"/>
        <v>9</v>
      </c>
      <c r="C977" s="8" t="s">
        <v>694</v>
      </c>
      <c r="D977" s="8"/>
      <c r="E977" s="20" t="s">
        <v>297</v>
      </c>
      <c r="F977" s="22"/>
      <c r="G977" s="20"/>
      <c r="H977" s="20"/>
      <c r="I977" s="1010"/>
      <c r="J977" s="1059"/>
      <c r="K977" s="1059"/>
      <c r="L977" s="1059"/>
      <c r="M977" s="1059"/>
      <c r="N977" s="1059"/>
      <c r="O977" s="1059"/>
      <c r="P977" s="1059"/>
      <c r="Q977" s="1059"/>
      <c r="R977" s="1059"/>
      <c r="S977" s="1059"/>
      <c r="T977" s="20"/>
      <c r="U977" s="8"/>
      <c r="V977" s="67"/>
      <c r="W977" s="726">
        <f t="shared" si="328"/>
        <v>0</v>
      </c>
    </row>
    <row r="978" spans="1:23" ht="15">
      <c r="A978" s="47"/>
      <c r="B978" s="17">
        <f t="shared" si="327"/>
        <v>10</v>
      </c>
      <c r="C978" s="1" t="s">
        <v>41</v>
      </c>
      <c r="D978" s="1" t="s">
        <v>42</v>
      </c>
      <c r="E978" s="17"/>
      <c r="F978" s="118">
        <f>' WP II-I-1.4'!I978</f>
        <v>0</v>
      </c>
      <c r="G978" s="17">
        <v>67</v>
      </c>
      <c r="H978" s="47" t="str">
        <f t="shared" si="331" ref="H978:H986">VLOOKUP(G978,FactorTable,2)</f>
        <v>PLTTRAN_N</v>
      </c>
      <c r="I978" s="17"/>
      <c r="J978" s="434">
        <f t="shared" si="332" ref="J978:S986">$F978*HLOOKUP(J$1318,FactorTable,$G978+1)</f>
        <v>0</v>
      </c>
      <c r="K978" s="434">
        <f t="shared" si="332"/>
        <v>0</v>
      </c>
      <c r="L978" s="434">
        <f t="shared" si="332"/>
        <v>0</v>
      </c>
      <c r="M978" s="434">
        <f t="shared" si="332"/>
        <v>0</v>
      </c>
      <c r="N978" s="434">
        <f t="shared" si="332"/>
        <v>0</v>
      </c>
      <c r="O978" s="434">
        <f t="shared" si="332"/>
        <v>0</v>
      </c>
      <c r="P978" s="434">
        <f t="shared" si="332"/>
        <v>0</v>
      </c>
      <c r="Q978" s="434">
        <f t="shared" si="332"/>
        <v>0</v>
      </c>
      <c r="R978" s="434">
        <f t="shared" si="332"/>
        <v>0</v>
      </c>
      <c r="S978" s="434">
        <f t="shared" si="332"/>
        <v>0</v>
      </c>
      <c r="T978" s="17"/>
      <c r="U978" s="118">
        <f t="shared" si="333" ref="U978:U987">SUM(I978:T978)</f>
        <v>0</v>
      </c>
      <c r="V978" s="67"/>
      <c r="W978" s="726">
        <f t="shared" si="328"/>
        <v>0</v>
      </c>
    </row>
    <row r="979" spans="1:23" ht="15">
      <c r="A979" s="47"/>
      <c r="B979" s="17">
        <f t="shared" si="327"/>
        <v>11</v>
      </c>
      <c r="C979" s="1" t="s">
        <v>43</v>
      </c>
      <c r="D979" s="1" t="s">
        <v>44</v>
      </c>
      <c r="E979" s="17"/>
      <c r="F979" s="118">
        <f>' WP II-I-1.4'!I979</f>
        <v>0</v>
      </c>
      <c r="G979" s="17">
        <v>67</v>
      </c>
      <c r="H979" s="47" t="str">
        <f t="shared" si="331"/>
        <v>PLTTRAN_N</v>
      </c>
      <c r="I979" s="17"/>
      <c r="J979" s="434">
        <f t="shared" si="332"/>
        <v>0</v>
      </c>
      <c r="K979" s="434">
        <f t="shared" si="332"/>
        <v>0</v>
      </c>
      <c r="L979" s="434">
        <f t="shared" si="332"/>
        <v>0</v>
      </c>
      <c r="M979" s="434">
        <f t="shared" si="332"/>
        <v>0</v>
      </c>
      <c r="N979" s="434">
        <f t="shared" si="332"/>
        <v>0</v>
      </c>
      <c r="O979" s="434">
        <f t="shared" si="332"/>
        <v>0</v>
      </c>
      <c r="P979" s="434">
        <f t="shared" si="332"/>
        <v>0</v>
      </c>
      <c r="Q979" s="434">
        <f t="shared" si="332"/>
        <v>0</v>
      </c>
      <c r="R979" s="434">
        <f t="shared" si="332"/>
        <v>0</v>
      </c>
      <c r="S979" s="434">
        <f t="shared" si="332"/>
        <v>0</v>
      </c>
      <c r="T979" s="17"/>
      <c r="U979" s="118">
        <f t="shared" si="333"/>
        <v>0</v>
      </c>
      <c r="V979" s="67"/>
      <c r="W979" s="726">
        <f t="shared" si="328"/>
        <v>0</v>
      </c>
    </row>
    <row r="980" spans="1:23" ht="15">
      <c r="A980" s="47"/>
      <c r="B980" s="17">
        <f t="shared" si="327"/>
        <v>12</v>
      </c>
      <c r="C980" s="1" t="s">
        <v>45</v>
      </c>
      <c r="D980" s="1" t="s">
        <v>46</v>
      </c>
      <c r="E980" s="17"/>
      <c r="F980" s="118">
        <f>' WP II-I-1.4'!I980</f>
        <v>0</v>
      </c>
      <c r="G980" s="17">
        <v>67</v>
      </c>
      <c r="H980" s="47" t="str">
        <f t="shared" si="331"/>
        <v>PLTTRAN_N</v>
      </c>
      <c r="I980" s="17"/>
      <c r="J980" s="434">
        <f t="shared" si="332"/>
        <v>0</v>
      </c>
      <c r="K980" s="434">
        <f t="shared" si="332"/>
        <v>0</v>
      </c>
      <c r="L980" s="434">
        <f t="shared" si="332"/>
        <v>0</v>
      </c>
      <c r="M980" s="434">
        <f t="shared" si="332"/>
        <v>0</v>
      </c>
      <c r="N980" s="434">
        <f t="shared" si="332"/>
        <v>0</v>
      </c>
      <c r="O980" s="434">
        <f t="shared" si="332"/>
        <v>0</v>
      </c>
      <c r="P980" s="434">
        <f t="shared" si="332"/>
        <v>0</v>
      </c>
      <c r="Q980" s="434">
        <f t="shared" si="332"/>
        <v>0</v>
      </c>
      <c r="R980" s="434">
        <f t="shared" si="332"/>
        <v>0</v>
      </c>
      <c r="S980" s="434">
        <f t="shared" si="332"/>
        <v>0</v>
      </c>
      <c r="T980" s="17"/>
      <c r="U980" s="118">
        <f t="shared" si="333"/>
        <v>0</v>
      </c>
      <c r="V980" s="67"/>
      <c r="W980" s="726">
        <f t="shared" si="328"/>
        <v>0</v>
      </c>
    </row>
    <row r="981" spans="1:23" ht="15">
      <c r="A981" s="47"/>
      <c r="B981" s="17">
        <f t="shared" si="327"/>
        <v>13</v>
      </c>
      <c r="C981" s="1" t="s">
        <v>47</v>
      </c>
      <c r="D981" s="1" t="s">
        <v>48</v>
      </c>
      <c r="E981" s="17"/>
      <c r="F981" s="118">
        <f>' WP II-I-1.4'!I981</f>
        <v>0</v>
      </c>
      <c r="G981" s="17">
        <v>67</v>
      </c>
      <c r="H981" s="47" t="str">
        <f t="shared" si="331"/>
        <v>PLTTRAN_N</v>
      </c>
      <c r="I981" s="17"/>
      <c r="J981" s="434">
        <f t="shared" si="332"/>
        <v>0</v>
      </c>
      <c r="K981" s="434">
        <f t="shared" si="332"/>
        <v>0</v>
      </c>
      <c r="L981" s="434">
        <f t="shared" si="332"/>
        <v>0</v>
      </c>
      <c r="M981" s="434">
        <f t="shared" si="332"/>
        <v>0</v>
      </c>
      <c r="N981" s="434">
        <f t="shared" si="332"/>
        <v>0</v>
      </c>
      <c r="O981" s="434">
        <f t="shared" si="332"/>
        <v>0</v>
      </c>
      <c r="P981" s="434">
        <f t="shared" si="332"/>
        <v>0</v>
      </c>
      <c r="Q981" s="434">
        <f t="shared" si="332"/>
        <v>0</v>
      </c>
      <c r="R981" s="434">
        <f t="shared" si="332"/>
        <v>0</v>
      </c>
      <c r="S981" s="434">
        <f t="shared" si="332"/>
        <v>0</v>
      </c>
      <c r="T981" s="17"/>
      <c r="U981" s="118">
        <f t="shared" si="333"/>
        <v>0</v>
      </c>
      <c r="V981" s="67"/>
      <c r="W981" s="726">
        <f t="shared" si="328"/>
        <v>0</v>
      </c>
    </row>
    <row r="982" spans="1:23" ht="15">
      <c r="A982" s="47"/>
      <c r="B982" s="17">
        <f t="shared" si="327"/>
        <v>14</v>
      </c>
      <c r="C982" s="1" t="s">
        <v>49</v>
      </c>
      <c r="D982" s="1" t="s">
        <v>50</v>
      </c>
      <c r="E982" s="17"/>
      <c r="F982" s="118">
        <f>' WP II-I-1.4'!I982</f>
        <v>0</v>
      </c>
      <c r="G982" s="17">
        <v>67</v>
      </c>
      <c r="H982" s="47" t="str">
        <f t="shared" si="331"/>
        <v>PLTTRAN_N</v>
      </c>
      <c r="I982" s="17"/>
      <c r="J982" s="434">
        <f t="shared" si="332"/>
        <v>0</v>
      </c>
      <c r="K982" s="434">
        <f t="shared" si="332"/>
        <v>0</v>
      </c>
      <c r="L982" s="434">
        <f t="shared" si="332"/>
        <v>0</v>
      </c>
      <c r="M982" s="434">
        <f t="shared" si="332"/>
        <v>0</v>
      </c>
      <c r="N982" s="434">
        <f t="shared" si="332"/>
        <v>0</v>
      </c>
      <c r="O982" s="434">
        <f t="shared" si="332"/>
        <v>0</v>
      </c>
      <c r="P982" s="434">
        <f t="shared" si="332"/>
        <v>0</v>
      </c>
      <c r="Q982" s="434">
        <f t="shared" si="332"/>
        <v>0</v>
      </c>
      <c r="R982" s="434">
        <f t="shared" si="332"/>
        <v>0</v>
      </c>
      <c r="S982" s="434">
        <f t="shared" si="332"/>
        <v>0</v>
      </c>
      <c r="T982" s="17"/>
      <c r="U982" s="118">
        <f t="shared" si="333"/>
        <v>0</v>
      </c>
      <c r="V982" s="67"/>
      <c r="W982" s="726">
        <f t="shared" si="328"/>
        <v>0</v>
      </c>
    </row>
    <row r="983" spans="1:23" ht="15">
      <c r="A983" s="47"/>
      <c r="B983" s="17">
        <f t="shared" si="327"/>
        <v>15</v>
      </c>
      <c r="C983" s="1" t="s">
        <v>51</v>
      </c>
      <c r="D983" s="1" t="s">
        <v>534</v>
      </c>
      <c r="E983" s="17"/>
      <c r="F983" s="118">
        <f>' WP II-I-1.4'!I983</f>
        <v>0</v>
      </c>
      <c r="G983" s="17">
        <v>67</v>
      </c>
      <c r="H983" s="47" t="str">
        <f t="shared" si="331"/>
        <v>PLTTRAN_N</v>
      </c>
      <c r="I983" s="17"/>
      <c r="J983" s="434">
        <f t="shared" si="332"/>
        <v>0</v>
      </c>
      <c r="K983" s="434">
        <f t="shared" si="332"/>
        <v>0</v>
      </c>
      <c r="L983" s="434">
        <f t="shared" si="332"/>
        <v>0</v>
      </c>
      <c r="M983" s="434">
        <f t="shared" si="332"/>
        <v>0</v>
      </c>
      <c r="N983" s="434">
        <f t="shared" si="332"/>
        <v>0</v>
      </c>
      <c r="O983" s="434">
        <f t="shared" si="332"/>
        <v>0</v>
      </c>
      <c r="P983" s="434">
        <f t="shared" si="332"/>
        <v>0</v>
      </c>
      <c r="Q983" s="434">
        <f t="shared" si="332"/>
        <v>0</v>
      </c>
      <c r="R983" s="434">
        <f t="shared" si="332"/>
        <v>0</v>
      </c>
      <c r="S983" s="434">
        <f t="shared" si="332"/>
        <v>0</v>
      </c>
      <c r="T983" s="17"/>
      <c r="U983" s="118">
        <f t="shared" si="333"/>
        <v>0</v>
      </c>
      <c r="V983" s="67"/>
      <c r="W983" s="726">
        <f t="shared" si="328"/>
        <v>0</v>
      </c>
    </row>
    <row r="984" spans="1:23" ht="15">
      <c r="A984" s="47"/>
      <c r="B984" s="17">
        <f t="shared" si="327"/>
        <v>16</v>
      </c>
      <c r="C984" s="1" t="s">
        <v>53</v>
      </c>
      <c r="D984" s="1" t="s">
        <v>695</v>
      </c>
      <c r="E984" s="17"/>
      <c r="F984" s="118">
        <f>' WP II-I-1.4'!I984</f>
        <v>0</v>
      </c>
      <c r="G984" s="17">
        <v>67</v>
      </c>
      <c r="H984" s="47" t="str">
        <f t="shared" si="331"/>
        <v>PLTTRAN_N</v>
      </c>
      <c r="I984" s="17"/>
      <c r="J984" s="434">
        <f t="shared" si="332"/>
        <v>0</v>
      </c>
      <c r="K984" s="434">
        <f t="shared" si="332"/>
        <v>0</v>
      </c>
      <c r="L984" s="434">
        <f t="shared" si="332"/>
        <v>0</v>
      </c>
      <c r="M984" s="434">
        <f t="shared" si="332"/>
        <v>0</v>
      </c>
      <c r="N984" s="434">
        <f t="shared" si="332"/>
        <v>0</v>
      </c>
      <c r="O984" s="434">
        <f t="shared" si="332"/>
        <v>0</v>
      </c>
      <c r="P984" s="434">
        <f t="shared" si="332"/>
        <v>0</v>
      </c>
      <c r="Q984" s="434">
        <f t="shared" si="332"/>
        <v>0</v>
      </c>
      <c r="R984" s="434">
        <f t="shared" si="332"/>
        <v>0</v>
      </c>
      <c r="S984" s="434">
        <f t="shared" si="332"/>
        <v>0</v>
      </c>
      <c r="T984" s="17"/>
      <c r="U984" s="118">
        <f t="shared" si="333"/>
        <v>0</v>
      </c>
      <c r="V984" s="67"/>
      <c r="W984" s="726">
        <f t="shared" si="328"/>
        <v>0</v>
      </c>
    </row>
    <row r="985" spans="1:23" ht="15">
      <c r="A985" s="47"/>
      <c r="B985" s="17">
        <f t="shared" si="327"/>
        <v>17</v>
      </c>
      <c r="C985" s="1" t="s">
        <v>55</v>
      </c>
      <c r="D985" s="31" t="s">
        <v>535</v>
      </c>
      <c r="E985" s="17"/>
      <c r="F985" s="118">
        <f>' WP II-I-1.4'!I985</f>
        <v>0</v>
      </c>
      <c r="G985" s="17">
        <v>67</v>
      </c>
      <c r="H985" s="47" t="str">
        <f t="shared" si="331"/>
        <v>PLTTRAN_N</v>
      </c>
      <c r="I985" s="17"/>
      <c r="J985" s="434">
        <f t="shared" si="332"/>
        <v>0</v>
      </c>
      <c r="K985" s="434">
        <f t="shared" si="332"/>
        <v>0</v>
      </c>
      <c r="L985" s="434">
        <f t="shared" si="332"/>
        <v>0</v>
      </c>
      <c r="M985" s="434">
        <f t="shared" si="332"/>
        <v>0</v>
      </c>
      <c r="N985" s="434">
        <f t="shared" si="332"/>
        <v>0</v>
      </c>
      <c r="O985" s="434">
        <f t="shared" si="332"/>
        <v>0</v>
      </c>
      <c r="P985" s="434">
        <f t="shared" si="332"/>
        <v>0</v>
      </c>
      <c r="Q985" s="434">
        <f t="shared" si="332"/>
        <v>0</v>
      </c>
      <c r="R985" s="434">
        <f t="shared" si="332"/>
        <v>0</v>
      </c>
      <c r="S985" s="434">
        <f t="shared" si="332"/>
        <v>0</v>
      </c>
      <c r="T985" s="17"/>
      <c r="U985" s="118">
        <f t="shared" si="333"/>
        <v>0</v>
      </c>
      <c r="V985" s="67"/>
      <c r="W985" s="726">
        <f t="shared" si="328"/>
        <v>0</v>
      </c>
    </row>
    <row r="986" spans="1:23" ht="15">
      <c r="A986" s="47"/>
      <c r="B986" s="17">
        <f t="shared" si="327"/>
        <v>18</v>
      </c>
      <c r="C986" s="1" t="s">
        <v>57</v>
      </c>
      <c r="D986" s="1" t="s">
        <v>58</v>
      </c>
      <c r="E986" s="17"/>
      <c r="F986" s="118">
        <f>' WP II-I-1.4'!I986</f>
        <v>0</v>
      </c>
      <c r="G986" s="17">
        <v>67</v>
      </c>
      <c r="H986" s="47" t="str">
        <f t="shared" si="331"/>
        <v>PLTTRAN_N</v>
      </c>
      <c r="I986" s="17"/>
      <c r="J986" s="435">
        <f t="shared" si="332"/>
        <v>0</v>
      </c>
      <c r="K986" s="435">
        <f t="shared" si="332"/>
        <v>0</v>
      </c>
      <c r="L986" s="435">
        <f t="shared" si="332"/>
        <v>0</v>
      </c>
      <c r="M986" s="435">
        <f t="shared" si="332"/>
        <v>0</v>
      </c>
      <c r="N986" s="435">
        <f t="shared" si="332"/>
        <v>0</v>
      </c>
      <c r="O986" s="435">
        <f t="shared" si="332"/>
        <v>0</v>
      </c>
      <c r="P986" s="435">
        <f t="shared" si="332"/>
        <v>0</v>
      </c>
      <c r="Q986" s="435">
        <f t="shared" si="332"/>
        <v>0</v>
      </c>
      <c r="R986" s="435">
        <f t="shared" si="332"/>
        <v>0</v>
      </c>
      <c r="S986" s="435">
        <f t="shared" si="332"/>
        <v>0</v>
      </c>
      <c r="T986" s="17"/>
      <c r="U986" s="118">
        <f t="shared" si="333"/>
        <v>0</v>
      </c>
      <c r="V986" s="67"/>
      <c r="W986" s="726">
        <f t="shared" si="328"/>
        <v>0</v>
      </c>
    </row>
    <row r="987" spans="1:23" ht="15.75">
      <c r="A987" s="47"/>
      <c r="B987" s="17">
        <f t="shared" si="327"/>
        <v>19</v>
      </c>
      <c r="C987" s="8"/>
      <c r="D987" s="297" t="s">
        <v>491</v>
      </c>
      <c r="E987" s="20"/>
      <c r="F987" s="22">
        <f>SUM(F978:F986)</f>
        <v>0</v>
      </c>
      <c r="G987" s="20"/>
      <c r="H987" s="20"/>
      <c r="I987" s="1010"/>
      <c r="J987" s="896">
        <f t="shared" si="334" ref="J987:Q987">SUM(J978:J986)</f>
        <v>0</v>
      </c>
      <c r="K987" s="896">
        <f t="shared" si="334"/>
        <v>0</v>
      </c>
      <c r="L987" s="896">
        <f t="shared" si="334"/>
        <v>0</v>
      </c>
      <c r="M987" s="896">
        <f t="shared" si="334"/>
        <v>0</v>
      </c>
      <c r="N987" s="896">
        <f t="shared" si="334"/>
        <v>0</v>
      </c>
      <c r="O987" s="896">
        <f>SUM(O978:O986)</f>
        <v>0</v>
      </c>
      <c r="P987" s="896">
        <f t="shared" si="334"/>
        <v>0</v>
      </c>
      <c r="Q987" s="896">
        <f t="shared" si="334"/>
        <v>0</v>
      </c>
      <c r="R987" s="896">
        <f>SUM(R978:R986)</f>
        <v>0</v>
      </c>
      <c r="S987" s="896">
        <f>SUM(S978:S986)</f>
        <v>0</v>
      </c>
      <c r="T987" s="1010"/>
      <c r="U987" s="299">
        <f t="shared" si="333"/>
        <v>0</v>
      </c>
      <c r="V987" s="67"/>
      <c r="W987" s="726">
        <f t="shared" si="328"/>
        <v>0</v>
      </c>
    </row>
    <row r="988" spans="1:23" ht="15">
      <c r="A988" s="47"/>
      <c r="B988" s="17">
        <f t="shared" si="327"/>
        <v>20</v>
      </c>
      <c r="C988" s="1"/>
      <c r="D988" s="1"/>
      <c r="E988" s="17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"/>
      <c r="V988" s="67"/>
      <c r="W988" s="726">
        <f t="shared" si="328"/>
        <v>0</v>
      </c>
    </row>
    <row r="989" spans="1:23" ht="15.75">
      <c r="A989" s="47"/>
      <c r="B989" s="17">
        <f t="shared" si="327"/>
        <v>21</v>
      </c>
      <c r="C989" s="8" t="s">
        <v>696</v>
      </c>
      <c r="D989" s="8"/>
      <c r="E989" s="20" t="s">
        <v>297</v>
      </c>
      <c r="F989" s="22"/>
      <c r="G989" s="20"/>
      <c r="H989" s="20"/>
      <c r="I989" s="1010"/>
      <c r="J989" s="1059"/>
      <c r="K989" s="1059"/>
      <c r="L989" s="1059"/>
      <c r="M989" s="1059"/>
      <c r="N989" s="1059"/>
      <c r="O989" s="1059"/>
      <c r="P989" s="1059"/>
      <c r="Q989" s="1059"/>
      <c r="R989" s="1059"/>
      <c r="S989" s="1059"/>
      <c r="T989" s="1010"/>
      <c r="U989" s="8"/>
      <c r="V989" s="67"/>
      <c r="W989" s="726">
        <f t="shared" si="328"/>
        <v>0</v>
      </c>
    </row>
    <row r="990" spans="1:23" ht="15">
      <c r="A990" s="47"/>
      <c r="B990" s="17">
        <f t="shared" si="327"/>
        <v>22</v>
      </c>
      <c r="C990" s="1" t="s">
        <v>61</v>
      </c>
      <c r="D990" s="1" t="s">
        <v>42</v>
      </c>
      <c r="E990" s="17"/>
      <c r="F990" s="118">
        <f>' WP II-I-1.4'!I990</f>
        <v>0</v>
      </c>
      <c r="G990" s="17">
        <v>54</v>
      </c>
      <c r="H990" s="47" t="str">
        <f t="shared" si="335" ref="H990:H1003">VLOOKUP(G990,FactorTable,2)</f>
        <v>PLT 362-373</v>
      </c>
      <c r="I990" s="17"/>
      <c r="J990" s="434">
        <f t="shared" si="336" ref="J990:S1003">$F990*HLOOKUP(J$1318,FactorTable,$G990+1)</f>
        <v>0</v>
      </c>
      <c r="K990" s="434">
        <f t="shared" si="336"/>
        <v>0</v>
      </c>
      <c r="L990" s="434">
        <f t="shared" si="336"/>
        <v>0</v>
      </c>
      <c r="M990" s="434">
        <f t="shared" si="336"/>
        <v>0</v>
      </c>
      <c r="N990" s="434">
        <f t="shared" si="336"/>
        <v>0</v>
      </c>
      <c r="O990" s="434">
        <f t="shared" si="336"/>
        <v>0</v>
      </c>
      <c r="P990" s="434">
        <f t="shared" si="336"/>
        <v>0</v>
      </c>
      <c r="Q990" s="434">
        <f t="shared" si="336"/>
        <v>0</v>
      </c>
      <c r="R990" s="434">
        <f t="shared" si="336"/>
        <v>0</v>
      </c>
      <c r="S990" s="434">
        <f t="shared" si="336"/>
        <v>0</v>
      </c>
      <c r="T990" s="17"/>
      <c r="U990" s="118">
        <f t="shared" si="337" ref="U990:U1004">SUM(I990:T990)</f>
        <v>0</v>
      </c>
      <c r="V990" s="67"/>
      <c r="W990" s="726">
        <f t="shared" si="328"/>
        <v>0</v>
      </c>
    </row>
    <row r="991" spans="1:23" ht="15">
      <c r="A991" s="47"/>
      <c r="B991" s="17">
        <f t="shared" si="327"/>
        <v>23</v>
      </c>
      <c r="C991" s="1" t="s">
        <v>62</v>
      </c>
      <c r="D991" s="31" t="s">
        <v>44</v>
      </c>
      <c r="E991" s="17"/>
      <c r="F991" s="118">
        <f>' WP II-I-1.4'!I991</f>
        <v>0</v>
      </c>
      <c r="G991" s="17">
        <v>43</v>
      </c>
      <c r="H991" s="47" t="str">
        <f t="shared" si="335"/>
        <v>PLT 361</v>
      </c>
      <c r="I991" s="17"/>
      <c r="J991" s="434">
        <f t="shared" si="336"/>
        <v>0</v>
      </c>
      <c r="K991" s="434">
        <f t="shared" si="336"/>
        <v>0</v>
      </c>
      <c r="L991" s="434">
        <f t="shared" si="336"/>
        <v>0</v>
      </c>
      <c r="M991" s="434">
        <f t="shared" si="336"/>
        <v>0</v>
      </c>
      <c r="N991" s="434">
        <f t="shared" si="336"/>
        <v>0</v>
      </c>
      <c r="O991" s="434">
        <f t="shared" si="336"/>
        <v>0</v>
      </c>
      <c r="P991" s="434">
        <f t="shared" si="336"/>
        <v>0</v>
      </c>
      <c r="Q991" s="434">
        <f t="shared" si="336"/>
        <v>0</v>
      </c>
      <c r="R991" s="434">
        <f t="shared" si="336"/>
        <v>0</v>
      </c>
      <c r="S991" s="434">
        <f t="shared" si="336"/>
        <v>0</v>
      </c>
      <c r="T991" s="17"/>
      <c r="U991" s="118">
        <f t="shared" si="337"/>
        <v>0</v>
      </c>
      <c r="V991" s="67"/>
      <c r="W991" s="726">
        <f t="shared" si="328"/>
        <v>0</v>
      </c>
    </row>
    <row r="992" spans="1:23" ht="15">
      <c r="A992" s="47"/>
      <c r="B992" s="17">
        <f t="shared" si="327"/>
        <v>24</v>
      </c>
      <c r="C992" s="1" t="s">
        <v>63</v>
      </c>
      <c r="D992" s="1" t="s">
        <v>46</v>
      </c>
      <c r="E992" s="17"/>
      <c r="F992" s="118">
        <f>' WP II-I-1.4'!I992</f>
        <v>0</v>
      </c>
      <c r="G992" s="17">
        <v>44</v>
      </c>
      <c r="H992" s="47" t="str">
        <f t="shared" si="335"/>
        <v>PLT 362</v>
      </c>
      <c r="I992" s="17"/>
      <c r="J992" s="434">
        <f t="shared" si="336"/>
        <v>0</v>
      </c>
      <c r="K992" s="434">
        <f t="shared" si="336"/>
        <v>0</v>
      </c>
      <c r="L992" s="434">
        <f t="shared" si="336"/>
        <v>0</v>
      </c>
      <c r="M992" s="434">
        <f t="shared" si="336"/>
        <v>0</v>
      </c>
      <c r="N992" s="434">
        <f t="shared" si="336"/>
        <v>0</v>
      </c>
      <c r="O992" s="434">
        <f t="shared" si="336"/>
        <v>0</v>
      </c>
      <c r="P992" s="434">
        <f t="shared" si="336"/>
        <v>0</v>
      </c>
      <c r="Q992" s="434">
        <f t="shared" si="336"/>
        <v>0</v>
      </c>
      <c r="R992" s="434">
        <f t="shared" si="336"/>
        <v>0</v>
      </c>
      <c r="S992" s="434">
        <f t="shared" si="336"/>
        <v>0</v>
      </c>
      <c r="T992" s="17"/>
      <c r="U992" s="118">
        <f t="shared" si="337"/>
        <v>0</v>
      </c>
      <c r="V992" s="67"/>
      <c r="W992" s="726">
        <f t="shared" si="328"/>
        <v>0</v>
      </c>
    </row>
    <row r="993" spans="1:23" ht="15">
      <c r="A993" s="47"/>
      <c r="B993" s="17">
        <f t="shared" si="327"/>
        <v>25</v>
      </c>
      <c r="C993" s="1" t="s">
        <v>64</v>
      </c>
      <c r="D993" s="1" t="s">
        <v>65</v>
      </c>
      <c r="E993" s="17"/>
      <c r="F993" s="290">
        <f>' WP II-I-1.4'!I993</f>
        <v>0</v>
      </c>
      <c r="G993" s="17">
        <v>28</v>
      </c>
      <c r="H993" s="47" t="str">
        <f t="shared" si="335"/>
        <v>NCP XHV</v>
      </c>
      <c r="I993" s="17"/>
      <c r="J993" s="434">
        <f t="shared" si="336"/>
        <v>0</v>
      </c>
      <c r="K993" s="434">
        <f t="shared" si="336"/>
        <v>0</v>
      </c>
      <c r="L993" s="434">
        <f t="shared" si="336"/>
        <v>0</v>
      </c>
      <c r="M993" s="434">
        <f t="shared" si="336"/>
        <v>0</v>
      </c>
      <c r="N993" s="434">
        <f t="shared" si="336"/>
        <v>0</v>
      </c>
      <c r="O993" s="434">
        <f t="shared" si="336"/>
        <v>0</v>
      </c>
      <c r="P993" s="434">
        <f t="shared" si="336"/>
        <v>0</v>
      </c>
      <c r="Q993" s="434">
        <f t="shared" si="336"/>
        <v>0</v>
      </c>
      <c r="R993" s="434">
        <f t="shared" si="336"/>
        <v>0</v>
      </c>
      <c r="S993" s="434">
        <f t="shared" si="336"/>
        <v>0</v>
      </c>
      <c r="T993" s="17"/>
      <c r="U993" s="118">
        <f t="shared" si="337"/>
        <v>0</v>
      </c>
      <c r="V993" s="67"/>
      <c r="W993" s="726">
        <f t="shared" si="328"/>
        <v>0</v>
      </c>
    </row>
    <row r="994" spans="1:23" ht="15">
      <c r="A994" s="47"/>
      <c r="B994" s="17">
        <f t="shared" si="327"/>
        <v>26</v>
      </c>
      <c r="C994" s="1" t="s">
        <v>66</v>
      </c>
      <c r="D994" s="31" t="s">
        <v>697</v>
      </c>
      <c r="E994" s="17"/>
      <c r="F994" s="118">
        <f>' WP II-I-1.4'!I994</f>
        <v>0</v>
      </c>
      <c r="G994" s="17">
        <v>45</v>
      </c>
      <c r="H994" s="47" t="str">
        <f t="shared" si="335"/>
        <v>PLT 364</v>
      </c>
      <c r="I994" s="17"/>
      <c r="J994" s="434">
        <f t="shared" si="336"/>
        <v>0</v>
      </c>
      <c r="K994" s="434">
        <f t="shared" si="336"/>
        <v>0</v>
      </c>
      <c r="L994" s="434">
        <f t="shared" si="336"/>
        <v>0</v>
      </c>
      <c r="M994" s="434">
        <f t="shared" si="336"/>
        <v>0</v>
      </c>
      <c r="N994" s="434">
        <f t="shared" si="336"/>
        <v>0</v>
      </c>
      <c r="O994" s="434">
        <f t="shared" si="336"/>
        <v>0</v>
      </c>
      <c r="P994" s="434">
        <f t="shared" si="336"/>
        <v>0</v>
      </c>
      <c r="Q994" s="434">
        <f t="shared" si="336"/>
        <v>0</v>
      </c>
      <c r="R994" s="434">
        <f t="shared" si="336"/>
        <v>0</v>
      </c>
      <c r="S994" s="434">
        <f t="shared" si="336"/>
        <v>0</v>
      </c>
      <c r="T994" s="17"/>
      <c r="U994" s="118">
        <f t="shared" si="337"/>
        <v>0</v>
      </c>
      <c r="V994" s="67"/>
      <c r="W994" s="726">
        <f t="shared" si="328"/>
        <v>0</v>
      </c>
    </row>
    <row r="995" spans="1:23" ht="15">
      <c r="A995" s="47"/>
      <c r="B995" s="17">
        <f t="shared" si="327"/>
        <v>27</v>
      </c>
      <c r="C995" s="1" t="s">
        <v>68</v>
      </c>
      <c r="D995" s="1" t="s">
        <v>534</v>
      </c>
      <c r="E995" s="17"/>
      <c r="F995" s="118">
        <f>' WP II-I-1.4'!I995</f>
        <v>0</v>
      </c>
      <c r="G995" s="17">
        <v>46</v>
      </c>
      <c r="H995" s="47" t="str">
        <f t="shared" si="335"/>
        <v>PLT 365</v>
      </c>
      <c r="I995" s="17"/>
      <c r="J995" s="434">
        <f t="shared" si="336"/>
        <v>0</v>
      </c>
      <c r="K995" s="434">
        <f t="shared" si="336"/>
        <v>0</v>
      </c>
      <c r="L995" s="434">
        <f t="shared" si="336"/>
        <v>0</v>
      </c>
      <c r="M995" s="434">
        <f t="shared" si="336"/>
        <v>0</v>
      </c>
      <c r="N995" s="434">
        <f t="shared" si="336"/>
        <v>0</v>
      </c>
      <c r="O995" s="434">
        <f t="shared" si="336"/>
        <v>0</v>
      </c>
      <c r="P995" s="434">
        <f t="shared" si="336"/>
        <v>0</v>
      </c>
      <c r="Q995" s="434">
        <f t="shared" si="336"/>
        <v>0</v>
      </c>
      <c r="R995" s="434">
        <f t="shared" si="336"/>
        <v>0</v>
      </c>
      <c r="S995" s="434">
        <f t="shared" si="336"/>
        <v>0</v>
      </c>
      <c r="T995" s="17"/>
      <c r="U995" s="118">
        <f t="shared" si="337"/>
        <v>0</v>
      </c>
      <c r="V995" s="67"/>
      <c r="W995" s="726">
        <f t="shared" si="328"/>
        <v>0</v>
      </c>
    </row>
    <row r="996" spans="1:23" ht="15">
      <c r="A996" s="47"/>
      <c r="B996" s="17">
        <f t="shared" si="327"/>
        <v>28</v>
      </c>
      <c r="C996" s="1" t="s">
        <v>70</v>
      </c>
      <c r="D996" s="1" t="s">
        <v>698</v>
      </c>
      <c r="E996" s="17"/>
      <c r="F996" s="118">
        <f>' WP II-I-1.4'!I996</f>
        <v>0</v>
      </c>
      <c r="G996" s="17">
        <v>47</v>
      </c>
      <c r="H996" s="47" t="str">
        <f t="shared" si="335"/>
        <v>PLT 366</v>
      </c>
      <c r="I996" s="17"/>
      <c r="J996" s="434">
        <f t="shared" si="336"/>
        <v>0</v>
      </c>
      <c r="K996" s="434">
        <f t="shared" si="336"/>
        <v>0</v>
      </c>
      <c r="L996" s="434">
        <f t="shared" si="336"/>
        <v>0</v>
      </c>
      <c r="M996" s="434">
        <f t="shared" si="336"/>
        <v>0</v>
      </c>
      <c r="N996" s="434">
        <f t="shared" si="336"/>
        <v>0</v>
      </c>
      <c r="O996" s="434">
        <f t="shared" si="336"/>
        <v>0</v>
      </c>
      <c r="P996" s="434">
        <f t="shared" si="336"/>
        <v>0</v>
      </c>
      <c r="Q996" s="434">
        <f t="shared" si="336"/>
        <v>0</v>
      </c>
      <c r="R996" s="434">
        <f t="shared" si="336"/>
        <v>0</v>
      </c>
      <c r="S996" s="434">
        <f t="shared" si="336"/>
        <v>0</v>
      </c>
      <c r="T996" s="17"/>
      <c r="U996" s="118">
        <f t="shared" si="337"/>
        <v>0</v>
      </c>
      <c r="V996" s="67"/>
      <c r="W996" s="726">
        <f t="shared" si="328"/>
        <v>0</v>
      </c>
    </row>
    <row r="997" spans="1:23" ht="15">
      <c r="A997" s="47"/>
      <c r="B997" s="17">
        <f t="shared" si="327"/>
        <v>29</v>
      </c>
      <c r="C997" s="1" t="s">
        <v>72</v>
      </c>
      <c r="D997" s="31" t="s">
        <v>699</v>
      </c>
      <c r="E997" s="17"/>
      <c r="F997" s="118">
        <f>' WP II-I-1.4'!I997</f>
        <v>0</v>
      </c>
      <c r="G997" s="17">
        <v>48</v>
      </c>
      <c r="H997" s="47" t="str">
        <f t="shared" si="335"/>
        <v>PLT 367</v>
      </c>
      <c r="I997" s="17"/>
      <c r="J997" s="434">
        <f t="shared" si="336"/>
        <v>0</v>
      </c>
      <c r="K997" s="434">
        <f t="shared" si="336"/>
        <v>0</v>
      </c>
      <c r="L997" s="434">
        <f t="shared" si="336"/>
        <v>0</v>
      </c>
      <c r="M997" s="434">
        <f t="shared" si="336"/>
        <v>0</v>
      </c>
      <c r="N997" s="434">
        <f t="shared" si="336"/>
        <v>0</v>
      </c>
      <c r="O997" s="434">
        <f t="shared" si="336"/>
        <v>0</v>
      </c>
      <c r="P997" s="434">
        <f t="shared" si="336"/>
        <v>0</v>
      </c>
      <c r="Q997" s="434">
        <f t="shared" si="336"/>
        <v>0</v>
      </c>
      <c r="R997" s="434">
        <f t="shared" si="336"/>
        <v>0</v>
      </c>
      <c r="S997" s="434">
        <f t="shared" si="336"/>
        <v>0</v>
      </c>
      <c r="T997" s="17"/>
      <c r="U997" s="118">
        <f t="shared" si="337"/>
        <v>0</v>
      </c>
      <c r="V997" s="67"/>
      <c r="W997" s="726">
        <f t="shared" si="328"/>
        <v>0</v>
      </c>
    </row>
    <row r="998" spans="1:23" ht="15">
      <c r="A998" s="47"/>
      <c r="B998" s="17">
        <f t="shared" si="327"/>
        <v>30</v>
      </c>
      <c r="C998" s="1" t="s">
        <v>74</v>
      </c>
      <c r="D998" s="1" t="s">
        <v>700</v>
      </c>
      <c r="E998" s="17"/>
      <c r="F998" s="118">
        <f>' WP II-I-1.4'!I998</f>
        <v>0</v>
      </c>
      <c r="G998" s="17">
        <v>49</v>
      </c>
      <c r="H998" s="47" t="str">
        <f t="shared" si="335"/>
        <v>PLT 368</v>
      </c>
      <c r="I998" s="17"/>
      <c r="J998" s="434">
        <f t="shared" si="336"/>
        <v>0</v>
      </c>
      <c r="K998" s="434">
        <f t="shared" si="336"/>
        <v>0</v>
      </c>
      <c r="L998" s="434">
        <f t="shared" si="336"/>
        <v>0</v>
      </c>
      <c r="M998" s="434">
        <f t="shared" si="336"/>
        <v>0</v>
      </c>
      <c r="N998" s="434">
        <f t="shared" si="336"/>
        <v>0</v>
      </c>
      <c r="O998" s="434">
        <f t="shared" si="336"/>
        <v>0</v>
      </c>
      <c r="P998" s="434">
        <f t="shared" si="336"/>
        <v>0</v>
      </c>
      <c r="Q998" s="434">
        <f t="shared" si="336"/>
        <v>0</v>
      </c>
      <c r="R998" s="434">
        <f t="shared" si="336"/>
        <v>0</v>
      </c>
      <c r="S998" s="434">
        <f t="shared" si="336"/>
        <v>0</v>
      </c>
      <c r="T998" s="17"/>
      <c r="U998" s="118">
        <f t="shared" si="337"/>
        <v>0</v>
      </c>
      <c r="V998" s="67"/>
      <c r="W998" s="726">
        <f t="shared" si="328"/>
        <v>0</v>
      </c>
    </row>
    <row r="999" spans="1:23" ht="15">
      <c r="A999" s="47"/>
      <c r="B999" s="17">
        <f t="shared" si="327"/>
        <v>31</v>
      </c>
      <c r="C999" s="1" t="s">
        <v>76</v>
      </c>
      <c r="D999" s="31" t="s">
        <v>77</v>
      </c>
      <c r="E999" s="17"/>
      <c r="F999" s="118">
        <f>' WP II-I-1.4'!I999</f>
        <v>0</v>
      </c>
      <c r="G999" s="17">
        <v>50</v>
      </c>
      <c r="H999" s="47" t="str">
        <f t="shared" si="335"/>
        <v>PLT 369</v>
      </c>
      <c r="I999" s="17"/>
      <c r="J999" s="434">
        <f t="shared" si="336"/>
        <v>0</v>
      </c>
      <c r="K999" s="434">
        <f t="shared" si="336"/>
        <v>0</v>
      </c>
      <c r="L999" s="434">
        <f t="shared" si="336"/>
        <v>0</v>
      </c>
      <c r="M999" s="434">
        <f t="shared" si="336"/>
        <v>0</v>
      </c>
      <c r="N999" s="434">
        <f t="shared" si="336"/>
        <v>0</v>
      </c>
      <c r="O999" s="434">
        <f t="shared" si="336"/>
        <v>0</v>
      </c>
      <c r="P999" s="434">
        <f t="shared" si="336"/>
        <v>0</v>
      </c>
      <c r="Q999" s="434">
        <f t="shared" si="336"/>
        <v>0</v>
      </c>
      <c r="R999" s="434">
        <f t="shared" si="336"/>
        <v>0</v>
      </c>
      <c r="S999" s="434">
        <f t="shared" si="336"/>
        <v>0</v>
      </c>
      <c r="T999" s="17"/>
      <c r="U999" s="118">
        <f t="shared" si="337"/>
        <v>0</v>
      </c>
      <c r="V999" s="67"/>
      <c r="W999" s="726">
        <f t="shared" si="328"/>
        <v>0</v>
      </c>
    </row>
    <row r="1000" spans="1:23" ht="15">
      <c r="A1000" s="47"/>
      <c r="B1000" s="17">
        <f t="shared" si="327"/>
        <v>32</v>
      </c>
      <c r="C1000" s="1" t="s">
        <v>78</v>
      </c>
      <c r="D1000" s="1" t="s">
        <v>79</v>
      </c>
      <c r="E1000" s="17"/>
      <c r="F1000" s="118">
        <f>' WP II-I-1.4'!I1000</f>
        <v>0</v>
      </c>
      <c r="G1000" s="17">
        <v>6</v>
      </c>
      <c r="H1000" s="47" t="str">
        <f t="shared" si="335"/>
        <v>CUS W ALL</v>
      </c>
      <c r="I1000" s="17"/>
      <c r="J1000" s="434">
        <f t="shared" si="336"/>
        <v>0</v>
      </c>
      <c r="K1000" s="434">
        <f t="shared" si="336"/>
        <v>0</v>
      </c>
      <c r="L1000" s="434">
        <f t="shared" si="336"/>
        <v>0</v>
      </c>
      <c r="M1000" s="434">
        <f t="shared" si="336"/>
        <v>0</v>
      </c>
      <c r="N1000" s="434">
        <f t="shared" si="336"/>
        <v>0</v>
      </c>
      <c r="O1000" s="434">
        <f t="shared" si="336"/>
        <v>0</v>
      </c>
      <c r="P1000" s="434">
        <f t="shared" si="336"/>
        <v>0</v>
      </c>
      <c r="Q1000" s="434">
        <f t="shared" si="336"/>
        <v>0</v>
      </c>
      <c r="R1000" s="434">
        <f t="shared" si="336"/>
        <v>0</v>
      </c>
      <c r="S1000" s="434">
        <f t="shared" si="336"/>
        <v>0</v>
      </c>
      <c r="T1000" s="17"/>
      <c r="U1000" s="118">
        <f t="shared" si="337"/>
        <v>0</v>
      </c>
      <c r="V1000" s="67"/>
      <c r="W1000" s="726">
        <f t="shared" si="328"/>
        <v>0</v>
      </c>
    </row>
    <row r="1001" spans="1:23" ht="15">
      <c r="A1001" s="47"/>
      <c r="B1001" s="17">
        <f t="shared" si="327"/>
        <v>33</v>
      </c>
      <c r="C1001" s="1" t="s">
        <v>80</v>
      </c>
      <c r="D1001" s="1" t="s">
        <v>543</v>
      </c>
      <c r="E1001" s="17"/>
      <c r="F1001" s="118">
        <f>' WP II-I-1.4'!I1001</f>
        <v>0</v>
      </c>
      <c r="G1001" s="17">
        <v>33</v>
      </c>
      <c r="H1001" s="47" t="str">
        <f t="shared" si="335"/>
        <v>NCP LGT</v>
      </c>
      <c r="I1001" s="17"/>
      <c r="J1001" s="434">
        <f t="shared" si="336"/>
        <v>0</v>
      </c>
      <c r="K1001" s="434">
        <f t="shared" si="336"/>
        <v>0</v>
      </c>
      <c r="L1001" s="434">
        <f t="shared" si="336"/>
        <v>0</v>
      </c>
      <c r="M1001" s="434">
        <f t="shared" si="336"/>
        <v>0</v>
      </c>
      <c r="N1001" s="434">
        <f t="shared" si="336"/>
        <v>0</v>
      </c>
      <c r="O1001" s="434">
        <f t="shared" si="336"/>
        <v>0</v>
      </c>
      <c r="P1001" s="434">
        <f t="shared" si="336"/>
        <v>0</v>
      </c>
      <c r="Q1001" s="434">
        <f t="shared" si="336"/>
        <v>0</v>
      </c>
      <c r="R1001" s="434">
        <f t="shared" si="336"/>
        <v>0</v>
      </c>
      <c r="S1001" s="434">
        <f t="shared" si="336"/>
        <v>0</v>
      </c>
      <c r="T1001" s="17"/>
      <c r="U1001" s="118">
        <f t="shared" si="337"/>
        <v>0</v>
      </c>
      <c r="V1001" s="67"/>
      <c r="W1001" s="726">
        <f t="shared" si="328"/>
        <v>0</v>
      </c>
    </row>
    <row r="1002" spans="1:23" ht="15">
      <c r="A1002" s="47"/>
      <c r="B1002" s="17">
        <f t="shared" si="327"/>
        <v>34</v>
      </c>
      <c r="C1002" s="1" t="s">
        <v>82</v>
      </c>
      <c r="D1002" s="1" t="s">
        <v>544</v>
      </c>
      <c r="E1002" s="17"/>
      <c r="F1002" s="118">
        <f>' WP II-I-1.4'!I1002</f>
        <v>0</v>
      </c>
      <c r="G1002" s="17">
        <v>6</v>
      </c>
      <c r="H1002" s="47" t="str">
        <f t="shared" si="335"/>
        <v>CUS W ALL</v>
      </c>
      <c r="I1002" s="17"/>
      <c r="J1002" s="434">
        <f t="shared" si="336"/>
        <v>0</v>
      </c>
      <c r="K1002" s="434">
        <f t="shared" si="336"/>
        <v>0</v>
      </c>
      <c r="L1002" s="434">
        <f t="shared" si="336"/>
        <v>0</v>
      </c>
      <c r="M1002" s="434">
        <f t="shared" si="336"/>
        <v>0</v>
      </c>
      <c r="N1002" s="434">
        <f t="shared" si="336"/>
        <v>0</v>
      </c>
      <c r="O1002" s="434">
        <f t="shared" si="336"/>
        <v>0</v>
      </c>
      <c r="P1002" s="434">
        <f t="shared" si="336"/>
        <v>0</v>
      </c>
      <c r="Q1002" s="434">
        <f t="shared" si="336"/>
        <v>0</v>
      </c>
      <c r="R1002" s="434">
        <f t="shared" si="336"/>
        <v>0</v>
      </c>
      <c r="S1002" s="434">
        <f t="shared" si="336"/>
        <v>0</v>
      </c>
      <c r="T1002" s="17"/>
      <c r="U1002" s="118">
        <f t="shared" si="337"/>
        <v>0</v>
      </c>
      <c r="V1002" s="67"/>
      <c r="W1002" s="726">
        <f t="shared" si="328"/>
        <v>0</v>
      </c>
    </row>
    <row r="1003" spans="1:23" ht="15">
      <c r="A1003" s="47"/>
      <c r="B1003" s="17">
        <f t="shared" si="327"/>
        <v>35</v>
      </c>
      <c r="C1003" s="1" t="s">
        <v>84</v>
      </c>
      <c r="D1003" s="1" t="s">
        <v>88</v>
      </c>
      <c r="E1003" s="17"/>
      <c r="F1003" s="118">
        <f>' WP II-I-1.4'!I1003</f>
        <v>0</v>
      </c>
      <c r="G1003" s="17">
        <v>33</v>
      </c>
      <c r="H1003" s="47" t="str">
        <f t="shared" si="335"/>
        <v>NCP LGT</v>
      </c>
      <c r="I1003" s="17"/>
      <c r="J1003" s="435">
        <f t="shared" si="336"/>
        <v>0</v>
      </c>
      <c r="K1003" s="435">
        <f t="shared" si="336"/>
        <v>0</v>
      </c>
      <c r="L1003" s="435">
        <f t="shared" si="336"/>
        <v>0</v>
      </c>
      <c r="M1003" s="435">
        <f t="shared" si="336"/>
        <v>0</v>
      </c>
      <c r="N1003" s="435">
        <f t="shared" si="336"/>
        <v>0</v>
      </c>
      <c r="O1003" s="435">
        <f t="shared" si="336"/>
        <v>0</v>
      </c>
      <c r="P1003" s="435">
        <f t="shared" si="336"/>
        <v>0</v>
      </c>
      <c r="Q1003" s="435">
        <f t="shared" si="336"/>
        <v>0</v>
      </c>
      <c r="R1003" s="435">
        <f t="shared" si="336"/>
        <v>0</v>
      </c>
      <c r="S1003" s="435">
        <f t="shared" si="336"/>
        <v>0</v>
      </c>
      <c r="T1003" s="17"/>
      <c r="U1003" s="118">
        <f t="shared" si="337"/>
        <v>0</v>
      </c>
      <c r="V1003" s="67"/>
      <c r="W1003" s="726">
        <f t="shared" si="328"/>
        <v>0</v>
      </c>
    </row>
    <row r="1004" spans="1:23" ht="15.75">
      <c r="A1004" s="47"/>
      <c r="B1004" s="17">
        <f t="shared" si="327"/>
        <v>36</v>
      </c>
      <c r="C1004" s="8"/>
      <c r="D1004" s="297" t="s">
        <v>491</v>
      </c>
      <c r="E1004" s="20"/>
      <c r="F1004" s="22">
        <f>SUM(F990:F1003)</f>
        <v>0</v>
      </c>
      <c r="G1004" s="20"/>
      <c r="H1004" s="20"/>
      <c r="I1004" s="1010"/>
      <c r="J1004" s="896">
        <f t="shared" si="338" ref="J1004:Q1004">SUM(J990:J1003)</f>
        <v>0</v>
      </c>
      <c r="K1004" s="896">
        <f t="shared" si="338"/>
        <v>0</v>
      </c>
      <c r="L1004" s="896">
        <f t="shared" si="338"/>
        <v>0</v>
      </c>
      <c r="M1004" s="896">
        <f t="shared" si="338"/>
        <v>0</v>
      </c>
      <c r="N1004" s="896">
        <f t="shared" si="338"/>
        <v>0</v>
      </c>
      <c r="O1004" s="896">
        <f>SUM(O990:O1003)</f>
        <v>0</v>
      </c>
      <c r="P1004" s="896">
        <f t="shared" si="338"/>
        <v>0</v>
      </c>
      <c r="Q1004" s="896">
        <f t="shared" si="338"/>
        <v>0</v>
      </c>
      <c r="R1004" s="896">
        <f>SUM(R990:R1003)</f>
        <v>0</v>
      </c>
      <c r="S1004" s="896">
        <f>SUM(S990:S1003)</f>
        <v>0</v>
      </c>
      <c r="T1004" s="20"/>
      <c r="U1004" s="299">
        <f t="shared" si="337"/>
        <v>0</v>
      </c>
      <c r="V1004" s="67"/>
      <c r="W1004" s="726">
        <f t="shared" si="328"/>
        <v>0</v>
      </c>
    </row>
    <row r="1005" spans="1:23" ht="15">
      <c r="A1005" s="47"/>
      <c r="B1005" s="17"/>
      <c r="C1005" s="1"/>
      <c r="D1005" s="1"/>
      <c r="E1005" s="17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"/>
      <c r="V1005" s="67"/>
      <c r="W1005" s="167"/>
    </row>
    <row r="1006" spans="1:23" ht="15">
      <c r="A1006" s="47"/>
      <c r="B1006" s="17"/>
      <c r="C1006" s="1"/>
      <c r="D1006" s="1"/>
      <c r="E1006" s="17"/>
      <c r="F1006" s="19"/>
      <c r="G1006" s="17"/>
      <c r="H1006" s="134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34"/>
      <c r="V1006" s="134">
        <f>$H$2</f>
        <v>0</v>
      </c>
      <c r="W1006" s="167"/>
    </row>
    <row r="1007" spans="1:23" ht="15.75" thickBot="1">
      <c r="A1007" s="47"/>
      <c r="B1007" s="17"/>
      <c r="C1007" s="1"/>
      <c r="D1007" s="1"/>
      <c r="E1007" s="17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"/>
      <c r="V1007" s="67"/>
      <c r="W1007" s="167"/>
    </row>
    <row r="1008" spans="1:23" ht="15.75">
      <c r="A1008" s="47"/>
      <c r="B1008" s="920" t="str">
        <f>+$B$4</f>
        <v>2022 RATE CASE</v>
      </c>
      <c r="C1008" s="935"/>
      <c r="D1008" s="969"/>
      <c r="F1008" s="332"/>
      <c r="U1008" s="134"/>
      <c r="W1008" s="167"/>
    </row>
    <row r="1009" spans="1:23" ht="15.75">
      <c r="A1009" s="47"/>
      <c r="B1009" s="917" t="str">
        <f>+$B$5</f>
        <v>ONCOR ELECTRIC DELIVERY COMPANY LLC</v>
      </c>
      <c r="C1009" s="8"/>
      <c r="D1009" s="970"/>
      <c r="F1009" s="332"/>
      <c r="U1009" s="134"/>
      <c r="V1009" s="67"/>
      <c r="W1009" s="167"/>
    </row>
    <row r="1010" spans="1:23" ht="15.75">
      <c r="A1010" s="47"/>
      <c r="B1010" s="917" t="str">
        <f>+$B$6</f>
        <v>II-I-1-TBILLTDCS:  CLASS REVENUE REQUIREMENT</v>
      </c>
      <c r="C1010" s="85"/>
      <c r="D1010" s="970"/>
      <c r="F1010" s="332"/>
      <c r="U1010" s="332"/>
      <c r="V1010" s="67"/>
      <c r="W1010" s="167"/>
    </row>
    <row r="1011" spans="1:23" ht="15.75">
      <c r="A1011" s="47"/>
      <c r="B1011" s="406" t="str">
        <f>+$B$7</f>
        <v>TEST YEAR ENDING 12/31/2021</v>
      </c>
      <c r="C1011" s="85"/>
      <c r="D1011" s="970"/>
      <c r="F1011" s="332"/>
      <c r="U1011" s="332"/>
      <c r="V1011" s="67"/>
      <c r="W1011" s="167"/>
    </row>
    <row r="1012" spans="1:23" ht="15.75">
      <c r="A1012" s="47"/>
      <c r="B1012" s="406" t="str">
        <f>+$B$8</f>
        <v>SPONSOR:  MATTHEW A. TROXLE</v>
      </c>
      <c r="C1012" s="85"/>
      <c r="D1012" s="970"/>
      <c r="F1012" s="332"/>
      <c r="U1012" s="332"/>
      <c r="V1012" s="67"/>
      <c r="W1012" s="167"/>
    </row>
    <row r="1013" spans="1:23" ht="16.5" thickBot="1">
      <c r="A1013" s="47"/>
      <c r="B1013" s="410"/>
      <c r="C1013" s="934"/>
      <c r="D1013" s="936"/>
      <c r="F1013" s="332"/>
      <c r="U1013" s="332"/>
      <c r="V1013" s="67"/>
      <c r="W1013" s="167"/>
    </row>
    <row r="1014" spans="1:23" ht="15.75" thickBot="1">
      <c r="A1014" s="47"/>
      <c r="B1014" s="13"/>
      <c r="C1014" s="14"/>
      <c r="D1014" s="14"/>
      <c r="E1014" s="14"/>
      <c r="F1014" s="13"/>
      <c r="G1014" s="14"/>
      <c r="H1014" s="14"/>
      <c r="I1014" s="14"/>
      <c r="J1014" s="238"/>
      <c r="K1014" s="238"/>
      <c r="L1014" s="14"/>
      <c r="M1014" s="238"/>
      <c r="N1014" s="238"/>
      <c r="O1014" s="238"/>
      <c r="P1014" s="238"/>
      <c r="Q1014" s="14"/>
      <c r="R1014" s="393" t="str">
        <f>R$10</f>
        <v xml:space="preserve"> </v>
      </c>
      <c r="S1014" s="394"/>
      <c r="T1014" s="238"/>
      <c r="U1014" s="13"/>
      <c r="V1014" s="67"/>
      <c r="W1014" s="167"/>
    </row>
    <row r="1015" spans="1:23" ht="15.75">
      <c r="A1015" s="47"/>
      <c r="B1015" s="15" t="s">
        <v>2</v>
      </c>
      <c r="C1015" s="15" t="s">
        <v>370</v>
      </c>
      <c r="D1015" s="287" t="s">
        <v>701</v>
      </c>
      <c r="E1015" s="15" t="s">
        <v>371</v>
      </c>
      <c r="F1015" s="287" t="str">
        <f>F$11</f>
        <v>TBILLTDCS</v>
      </c>
      <c r="G1015" s="242" t="s">
        <v>741</v>
      </c>
      <c r="H1015" s="242" t="s">
        <v>376</v>
      </c>
      <c r="I1015" s="15"/>
      <c r="J1015" s="242" t="s">
        <v>730</v>
      </c>
      <c r="K1015" s="242" t="s">
        <v>409</v>
      </c>
      <c r="L1015" s="15" t="s">
        <v>409</v>
      </c>
      <c r="M1015" s="242" t="s">
        <v>410</v>
      </c>
      <c r="N1015" s="242" t="s">
        <v>410</v>
      </c>
      <c r="O1015" s="242" t="s">
        <v>410</v>
      </c>
      <c r="P1015" s="242" t="s">
        <v>411</v>
      </c>
      <c r="Q1015" s="15" t="s">
        <v>412</v>
      </c>
      <c r="R1015" s="396" t="str">
        <f>R$11</f>
        <v>Wholesale</v>
      </c>
      <c r="S1015" s="13" t="str">
        <f>S$11</f>
        <v>Wholesale</v>
      </c>
      <c r="T1015" s="242"/>
      <c r="U1015" s="15" t="s">
        <v>10</v>
      </c>
      <c r="V1015" s="67"/>
      <c r="W1015" s="167"/>
    </row>
    <row r="1016" spans="1:23" ht="15">
      <c r="A1016" s="47"/>
      <c r="B1016" s="15"/>
      <c r="C1016" s="15"/>
      <c r="D1016" s="15"/>
      <c r="E1016" s="15"/>
      <c r="F1016" s="15"/>
      <c r="G1016" s="242" t="s">
        <v>742</v>
      </c>
      <c r="H1016" s="242" t="s">
        <v>743</v>
      </c>
      <c r="I1016" s="15"/>
      <c r="J1016" s="242"/>
      <c r="K1016" s="242" t="s">
        <v>731</v>
      </c>
      <c r="L1016" s="15" t="s">
        <v>732</v>
      </c>
      <c r="M1016" s="242" t="s">
        <v>731</v>
      </c>
      <c r="N1016" s="242" t="s">
        <v>732</v>
      </c>
      <c r="O1016" s="242" t="s">
        <v>414</v>
      </c>
      <c r="P1016" s="242"/>
      <c r="Q1016" s="15"/>
      <c r="R1016" s="235" t="str">
        <f>R$12</f>
        <v>XFMR</v>
      </c>
      <c r="S1016" s="15" t="str">
        <f>S$12</f>
        <v>DLS</v>
      </c>
      <c r="T1016" s="242"/>
      <c r="U1016" s="15"/>
      <c r="V1016" s="67"/>
      <c r="W1016" s="167"/>
    </row>
    <row r="1017" spans="1:23" ht="15.75" thickBot="1">
      <c r="A1017" s="47"/>
      <c r="B1017" s="16"/>
      <c r="C1017" s="16"/>
      <c r="D1017" s="16"/>
      <c r="E1017" s="16"/>
      <c r="F1017" s="16" t="s">
        <v>13</v>
      </c>
      <c r="G1017" s="16" t="s">
        <v>14</v>
      </c>
      <c r="H1017" s="16" t="s">
        <v>15</v>
      </c>
      <c r="I1017" s="16"/>
      <c r="J1017" s="243" t="str">
        <f t="shared" si="339" ref="J1017:Q1017">J$13</f>
        <v>(d)</v>
      </c>
      <c r="K1017" s="243" t="str">
        <f t="shared" si="339"/>
        <v>(e)</v>
      </c>
      <c r="L1017" s="16" t="str">
        <f t="shared" si="339"/>
        <v>(f)</v>
      </c>
      <c r="M1017" s="243" t="str">
        <f t="shared" si="339"/>
        <v>(g)</v>
      </c>
      <c r="N1017" s="243" t="str">
        <f t="shared" si="339"/>
        <v>(h)</v>
      </c>
      <c r="O1017" s="243" t="str">
        <f>O$13</f>
        <v>(i)</v>
      </c>
      <c r="P1017" s="243" t="str">
        <f t="shared" si="339"/>
        <v>(j)</v>
      </c>
      <c r="Q1017" s="243" t="str">
        <f t="shared" si="339"/>
        <v>(k)</v>
      </c>
      <c r="R1017" s="243" t="str">
        <f>R$13</f>
        <v>(l)</v>
      </c>
      <c r="S1017" s="16" t="str">
        <f>S$13</f>
        <v>(m)</v>
      </c>
      <c r="T1017" s="16"/>
      <c r="U1017" s="16" t="s">
        <v>734</v>
      </c>
      <c r="V1017" s="67"/>
      <c r="W1017" s="167"/>
    </row>
    <row r="1018" spans="1:23" ht="15">
      <c r="A1018" s="47"/>
      <c r="B1018" s="67"/>
      <c r="C1018" s="333"/>
      <c r="D1018" s="333"/>
      <c r="E1018" s="333"/>
      <c r="F1018" s="333"/>
      <c r="G1018" s="333"/>
      <c r="H1018" s="333"/>
      <c r="I1018" s="333"/>
      <c r="J1018" s="333"/>
      <c r="K1018" s="333"/>
      <c r="L1018" s="333"/>
      <c r="M1018" s="333"/>
      <c r="N1018" s="333"/>
      <c r="O1018" s="333"/>
      <c r="P1018" s="333"/>
      <c r="Q1018" s="333"/>
      <c r="R1018" s="333"/>
      <c r="S1018" s="333"/>
      <c r="T1018" s="333"/>
      <c r="U1018" s="43"/>
      <c r="V1018" s="67"/>
      <c r="W1018" s="167"/>
    </row>
    <row r="1019" spans="1:23" ht="15.75">
      <c r="A1019" s="47"/>
      <c r="B1019" s="17">
        <f>B1005+1</f>
        <v>1</v>
      </c>
      <c r="C1019" s="34" t="s">
        <v>702</v>
      </c>
      <c r="D1019" s="8"/>
      <c r="E1019" s="20" t="s">
        <v>297</v>
      </c>
      <c r="F1019" s="22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8"/>
      <c r="V1019" s="67"/>
      <c r="W1019" s="167"/>
    </row>
    <row r="1020" spans="1:23" ht="15">
      <c r="A1020" s="47"/>
      <c r="B1020" s="17">
        <f t="shared" si="340" ref="B1020:B1040">B1019+1</f>
        <v>2</v>
      </c>
      <c r="C1020" s="1"/>
      <c r="D1020" s="1"/>
      <c r="E1020" s="17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"/>
      <c r="V1020" s="67"/>
      <c r="W1020" s="167"/>
    </row>
    <row r="1021" spans="1:23" ht="15">
      <c r="A1021" s="47"/>
      <c r="B1021" s="17">
        <f t="shared" si="340"/>
        <v>3</v>
      </c>
      <c r="C1021" s="1" t="s">
        <v>703</v>
      </c>
      <c r="D1021" s="1" t="s">
        <v>42</v>
      </c>
      <c r="E1021" s="17"/>
      <c r="F1021" s="118">
        <f>' WP II-I-1.4'!I1021</f>
        <v>0.26000000000000001</v>
      </c>
      <c r="G1021" s="17">
        <v>63</v>
      </c>
      <c r="H1021" s="47" t="str">
        <f t="shared" si="341" ref="H1021:H1032">VLOOKUP(G1021,FactorTable,2)</f>
        <v>PLTGEN_N</v>
      </c>
      <c r="I1021" s="17"/>
      <c r="J1021" s="434">
        <f t="shared" si="342" ref="J1021:S1032">$F1021*HLOOKUP(J$1318,FactorTable,$G1021+1)</f>
        <v>0.1448627745970322</v>
      </c>
      <c r="K1021" s="434">
        <f t="shared" si="342"/>
        <v>0.022334109217981811</v>
      </c>
      <c r="L1021" s="434">
        <f t="shared" si="342"/>
        <v>0.068890332492280854</v>
      </c>
      <c r="M1021" s="434">
        <f t="shared" si="342"/>
        <v>0.00096732486777717432</v>
      </c>
      <c r="N1021" s="434">
        <f t="shared" si="342"/>
        <v>0.020185464212388801</v>
      </c>
      <c r="O1021" s="434">
        <f t="shared" si="342"/>
        <v>0.00068979798840867752</v>
      </c>
      <c r="P1021" s="434">
        <f t="shared" si="342"/>
        <v>0.0015016371593819665</v>
      </c>
      <c r="Q1021" s="434">
        <f t="shared" si="342"/>
        <v>0.00030310460265507141</v>
      </c>
      <c r="R1021" s="434">
        <f t="shared" si="342"/>
        <v>7.9592075585616629E-05</v>
      </c>
      <c r="S1021" s="434">
        <f t="shared" si="342"/>
        <v>0.00018586278650783563</v>
      </c>
      <c r="T1021" s="17"/>
      <c r="U1021" s="118">
        <f t="shared" si="343" ref="U1021:U1033">SUM(I1021:T1021)</f>
        <v>0.26000000000000001</v>
      </c>
      <c r="V1021" s="67"/>
      <c r="W1021" s="726">
        <f t="shared" si="344" ref="W1021:W1040">F1021-U1021</f>
        <v>0</v>
      </c>
    </row>
    <row r="1022" spans="1:23" ht="15">
      <c r="A1022" s="47"/>
      <c r="B1022" s="17">
        <f t="shared" si="340"/>
        <v>4</v>
      </c>
      <c r="C1022" s="1" t="s">
        <v>93</v>
      </c>
      <c r="D1022" s="1" t="s">
        <v>44</v>
      </c>
      <c r="E1022" s="17"/>
      <c r="F1022" s="118">
        <f>' WP II-I-1.4'!I1022</f>
        <v>269972.15999999997</v>
      </c>
      <c r="G1022" s="17">
        <v>63</v>
      </c>
      <c r="H1022" s="47" t="str">
        <f t="shared" si="341"/>
        <v>PLTGEN_N</v>
      </c>
      <c r="I1022" s="17"/>
      <c r="J1022" s="434">
        <f t="shared" si="342"/>
        <v>150418.90831366886</v>
      </c>
      <c r="K1022" s="434">
        <f t="shared" si="342"/>
        <v>23190.721950978692</v>
      </c>
      <c r="L1022" s="434">
        <f t="shared" si="342"/>
        <v>71532.584100227847</v>
      </c>
      <c r="M1022" s="434">
        <f t="shared" si="342"/>
        <v>1004.4260922135312</v>
      </c>
      <c r="N1022" s="434">
        <f t="shared" si="342"/>
        <v>20959.666823158856</v>
      </c>
      <c r="O1022" s="434">
        <f t="shared" si="342"/>
        <v>716.25481882440613</v>
      </c>
      <c r="P1022" s="434">
        <f t="shared" si="342"/>
        <v>1559.2316440562067</v>
      </c>
      <c r="Q1022" s="434">
        <f t="shared" si="342"/>
        <v>314.73001647973598</v>
      </c>
      <c r="R1022" s="434">
        <f t="shared" si="342"/>
        <v>82.644786787431485</v>
      </c>
      <c r="S1022" s="434">
        <f t="shared" si="342"/>
        <v>192.99145360438169</v>
      </c>
      <c r="T1022" s="17"/>
      <c r="U1022" s="118">
        <f t="shared" si="343"/>
        <v>269972.15999999997</v>
      </c>
      <c r="V1022" s="67"/>
      <c r="W1022" s="726">
        <f t="shared" si="344"/>
        <v>0</v>
      </c>
    </row>
    <row r="1023" spans="1:23" ht="15">
      <c r="A1023" s="47"/>
      <c r="B1023" s="17">
        <f t="shared" si="340"/>
        <v>5</v>
      </c>
      <c r="C1023" s="1" t="s">
        <v>94</v>
      </c>
      <c r="D1023" s="1" t="s">
        <v>95</v>
      </c>
      <c r="E1023" s="17"/>
      <c r="F1023" s="118">
        <f>' WP II-I-1.4'!I1023</f>
        <v>10258435.65</v>
      </c>
      <c r="G1023" s="17">
        <v>63</v>
      </c>
      <c r="H1023" s="47" t="str">
        <f t="shared" si="341"/>
        <v>PLTGEN_N</v>
      </c>
      <c r="I1023" s="17"/>
      <c r="J1023" s="434">
        <f t="shared" si="342"/>
        <v>5715636.3510927288</v>
      </c>
      <c r="K1023" s="434">
        <f t="shared" si="342"/>
        <v>881203.93158745475</v>
      </c>
      <c r="L1023" s="434">
        <f t="shared" si="342"/>
        <v>2718104.0106891044</v>
      </c>
      <c r="M1023" s="434">
        <f t="shared" si="342"/>
        <v>38166.307341295775</v>
      </c>
      <c r="N1023" s="434">
        <f t="shared" si="342"/>
        <v>796428.02187757101</v>
      </c>
      <c r="O1023" s="434">
        <f t="shared" si="342"/>
        <v>27216.339521499478</v>
      </c>
      <c r="P1023" s="434">
        <f t="shared" si="342"/>
        <v>59247.87757372576</v>
      </c>
      <c r="Q1023" s="434">
        <f t="shared" si="342"/>
        <v>11959.150236753345</v>
      </c>
      <c r="R1023" s="434">
        <f t="shared" si="342"/>
        <v>3140.3468678653244</v>
      </c>
      <c r="S1023" s="434">
        <f t="shared" si="342"/>
        <v>7333.3132120012306</v>
      </c>
      <c r="T1023" s="17"/>
      <c r="U1023" s="118">
        <f t="shared" si="343"/>
        <v>10258435.649999999</v>
      </c>
      <c r="V1023" s="67"/>
      <c r="W1023" s="726">
        <f t="shared" si="344"/>
        <v>0</v>
      </c>
    </row>
    <row r="1024" spans="1:23" ht="15">
      <c r="A1024" s="47"/>
      <c r="B1024" s="17">
        <f t="shared" si="340"/>
        <v>6</v>
      </c>
      <c r="C1024" s="1" t="s">
        <v>96</v>
      </c>
      <c r="D1024" s="1" t="s">
        <v>704</v>
      </c>
      <c r="E1024" s="17"/>
      <c r="F1024" s="118">
        <f>' WP II-I-1.4'!I1024</f>
        <v>0</v>
      </c>
      <c r="G1024" s="17">
        <v>63</v>
      </c>
      <c r="H1024" s="47" t="str">
        <f t="shared" si="341"/>
        <v>PLTGEN_N</v>
      </c>
      <c r="I1024" s="17"/>
      <c r="J1024" s="434">
        <f t="shared" si="342"/>
        <v>0</v>
      </c>
      <c r="K1024" s="434">
        <f t="shared" si="342"/>
        <v>0</v>
      </c>
      <c r="L1024" s="434">
        <f t="shared" si="342"/>
        <v>0</v>
      </c>
      <c r="M1024" s="434">
        <f t="shared" si="342"/>
        <v>0</v>
      </c>
      <c r="N1024" s="434">
        <f t="shared" si="342"/>
        <v>0</v>
      </c>
      <c r="O1024" s="434">
        <f t="shared" si="342"/>
        <v>0</v>
      </c>
      <c r="P1024" s="434">
        <f t="shared" si="342"/>
        <v>0</v>
      </c>
      <c r="Q1024" s="434">
        <f t="shared" si="342"/>
        <v>0</v>
      </c>
      <c r="R1024" s="434">
        <f t="shared" si="342"/>
        <v>0</v>
      </c>
      <c r="S1024" s="434">
        <f t="shared" si="342"/>
        <v>0</v>
      </c>
      <c r="T1024" s="17"/>
      <c r="U1024" s="118">
        <f t="shared" si="343"/>
        <v>0</v>
      </c>
      <c r="V1024" s="67"/>
      <c r="W1024" s="726">
        <f t="shared" si="344"/>
        <v>0</v>
      </c>
    </row>
    <row r="1025" spans="1:23" ht="15">
      <c r="A1025" s="47"/>
      <c r="B1025" s="17">
        <f t="shared" si="340"/>
        <v>7</v>
      </c>
      <c r="C1025" s="1" t="s">
        <v>99</v>
      </c>
      <c r="D1025" s="1" t="s">
        <v>705</v>
      </c>
      <c r="E1025" s="17"/>
      <c r="F1025" s="118">
        <f>' WP II-I-1.4'!I1025</f>
        <v>0</v>
      </c>
      <c r="G1025" s="17">
        <v>63</v>
      </c>
      <c r="H1025" s="47" t="str">
        <f t="shared" si="341"/>
        <v>PLTGEN_N</v>
      </c>
      <c r="I1025" s="17"/>
      <c r="J1025" s="434">
        <f t="shared" si="342"/>
        <v>0</v>
      </c>
      <c r="K1025" s="434">
        <f t="shared" si="342"/>
        <v>0</v>
      </c>
      <c r="L1025" s="434">
        <f t="shared" si="342"/>
        <v>0</v>
      </c>
      <c r="M1025" s="434">
        <f t="shared" si="342"/>
        <v>0</v>
      </c>
      <c r="N1025" s="434">
        <f t="shared" si="342"/>
        <v>0</v>
      </c>
      <c r="O1025" s="434">
        <f t="shared" si="342"/>
        <v>0</v>
      </c>
      <c r="P1025" s="434">
        <f t="shared" si="342"/>
        <v>0</v>
      </c>
      <c r="Q1025" s="434">
        <f t="shared" si="342"/>
        <v>0</v>
      </c>
      <c r="R1025" s="434">
        <f t="shared" si="342"/>
        <v>0</v>
      </c>
      <c r="S1025" s="434">
        <f t="shared" si="342"/>
        <v>0</v>
      </c>
      <c r="T1025" s="17"/>
      <c r="U1025" s="118">
        <f t="shared" si="343"/>
        <v>0</v>
      </c>
      <c r="V1025" s="67"/>
      <c r="W1025" s="726">
        <f t="shared" si="344"/>
        <v>0</v>
      </c>
    </row>
    <row r="1026" spans="1:23" ht="15">
      <c r="A1026" s="47"/>
      <c r="B1026" s="17">
        <f t="shared" si="340"/>
        <v>8</v>
      </c>
      <c r="C1026" s="1" t="s">
        <v>101</v>
      </c>
      <c r="D1026" s="1" t="s">
        <v>706</v>
      </c>
      <c r="E1026" s="17"/>
      <c r="F1026" s="118">
        <f>' WP II-I-1.4'!I1026</f>
        <v>0</v>
      </c>
      <c r="G1026" s="17">
        <v>63</v>
      </c>
      <c r="H1026" s="47" t="str">
        <f t="shared" si="341"/>
        <v>PLTGEN_N</v>
      </c>
      <c r="I1026" s="17"/>
      <c r="J1026" s="434">
        <f t="shared" si="342"/>
        <v>0</v>
      </c>
      <c r="K1026" s="434">
        <f t="shared" si="342"/>
        <v>0</v>
      </c>
      <c r="L1026" s="434">
        <f t="shared" si="342"/>
        <v>0</v>
      </c>
      <c r="M1026" s="434">
        <f t="shared" si="342"/>
        <v>0</v>
      </c>
      <c r="N1026" s="434">
        <f t="shared" si="342"/>
        <v>0</v>
      </c>
      <c r="O1026" s="434">
        <f t="shared" si="342"/>
        <v>0</v>
      </c>
      <c r="P1026" s="434">
        <f t="shared" si="342"/>
        <v>0</v>
      </c>
      <c r="Q1026" s="434">
        <f t="shared" si="342"/>
        <v>0</v>
      </c>
      <c r="R1026" s="434">
        <f t="shared" si="342"/>
        <v>0</v>
      </c>
      <c r="S1026" s="434">
        <f t="shared" si="342"/>
        <v>0</v>
      </c>
      <c r="T1026" s="17"/>
      <c r="U1026" s="118">
        <f t="shared" si="343"/>
        <v>0</v>
      </c>
      <c r="V1026" s="67"/>
      <c r="W1026" s="726">
        <f t="shared" si="344"/>
        <v>0</v>
      </c>
    </row>
    <row r="1027" spans="1:23" ht="15">
      <c r="A1027" s="47"/>
      <c r="B1027" s="17">
        <f t="shared" si="340"/>
        <v>9</v>
      </c>
      <c r="C1027" s="1" t="s">
        <v>103</v>
      </c>
      <c r="D1027" s="1" t="s">
        <v>707</v>
      </c>
      <c r="E1027" s="17"/>
      <c r="F1027" s="118">
        <f>' WP II-I-1.4'!I1027</f>
        <v>0</v>
      </c>
      <c r="G1027" s="17">
        <v>63</v>
      </c>
      <c r="H1027" s="47" t="str">
        <f t="shared" si="341"/>
        <v>PLTGEN_N</v>
      </c>
      <c r="I1027" s="17"/>
      <c r="J1027" s="434">
        <f t="shared" si="342"/>
        <v>0</v>
      </c>
      <c r="K1027" s="434">
        <f t="shared" si="342"/>
        <v>0</v>
      </c>
      <c r="L1027" s="434">
        <f t="shared" si="342"/>
        <v>0</v>
      </c>
      <c r="M1027" s="434">
        <f t="shared" si="342"/>
        <v>0</v>
      </c>
      <c r="N1027" s="434">
        <f t="shared" si="342"/>
        <v>0</v>
      </c>
      <c r="O1027" s="434">
        <f t="shared" si="342"/>
        <v>0</v>
      </c>
      <c r="P1027" s="434">
        <f t="shared" si="342"/>
        <v>0</v>
      </c>
      <c r="Q1027" s="434">
        <f t="shared" si="342"/>
        <v>0</v>
      </c>
      <c r="R1027" s="434">
        <f t="shared" si="342"/>
        <v>0</v>
      </c>
      <c r="S1027" s="434">
        <f t="shared" si="342"/>
        <v>0</v>
      </c>
      <c r="T1027" s="17"/>
      <c r="U1027" s="118">
        <f t="shared" si="343"/>
        <v>0</v>
      </c>
      <c r="V1027" s="67"/>
      <c r="W1027" s="726">
        <f t="shared" si="344"/>
        <v>0</v>
      </c>
    </row>
    <row r="1028" spans="1:23" ht="15">
      <c r="A1028" s="47"/>
      <c r="B1028" s="17">
        <f t="shared" si="340"/>
        <v>10</v>
      </c>
      <c r="C1028" s="1" t="s">
        <v>105</v>
      </c>
      <c r="D1028" s="1" t="s">
        <v>106</v>
      </c>
      <c r="E1028" s="17"/>
      <c r="F1028" s="118">
        <f>' WP II-I-1.4'!I1028</f>
        <v>0</v>
      </c>
      <c r="G1028" s="17">
        <v>63</v>
      </c>
      <c r="H1028" s="47" t="str">
        <f t="shared" si="341"/>
        <v>PLTGEN_N</v>
      </c>
      <c r="I1028" s="17"/>
      <c r="J1028" s="434">
        <f t="shared" si="342"/>
        <v>0</v>
      </c>
      <c r="K1028" s="434">
        <f t="shared" si="342"/>
        <v>0</v>
      </c>
      <c r="L1028" s="434">
        <f t="shared" si="342"/>
        <v>0</v>
      </c>
      <c r="M1028" s="434">
        <f t="shared" si="342"/>
        <v>0</v>
      </c>
      <c r="N1028" s="434">
        <f t="shared" si="342"/>
        <v>0</v>
      </c>
      <c r="O1028" s="434">
        <f t="shared" si="342"/>
        <v>0</v>
      </c>
      <c r="P1028" s="434">
        <f t="shared" si="342"/>
        <v>0</v>
      </c>
      <c r="Q1028" s="434">
        <f t="shared" si="342"/>
        <v>0</v>
      </c>
      <c r="R1028" s="434">
        <f t="shared" si="342"/>
        <v>0</v>
      </c>
      <c r="S1028" s="434">
        <f t="shared" si="342"/>
        <v>0</v>
      </c>
      <c r="T1028" s="17"/>
      <c r="U1028" s="118">
        <f t="shared" si="343"/>
        <v>0</v>
      </c>
      <c r="V1028" s="67"/>
      <c r="W1028" s="726">
        <f t="shared" si="344"/>
        <v>0</v>
      </c>
    </row>
    <row r="1029" spans="1:23" ht="15">
      <c r="A1029" s="47"/>
      <c r="B1029" s="17">
        <f t="shared" si="340"/>
        <v>11</v>
      </c>
      <c r="C1029" s="1" t="s">
        <v>107</v>
      </c>
      <c r="D1029" s="1" t="s">
        <v>108</v>
      </c>
      <c r="E1029" s="17"/>
      <c r="F1029" s="118">
        <f>' WP II-I-1.4'!I1029</f>
        <v>133407.13000000001</v>
      </c>
      <c r="G1029" s="17">
        <v>63</v>
      </c>
      <c r="H1029" s="47" t="str">
        <f t="shared" si="341"/>
        <v>PLTGEN_N</v>
      </c>
      <c r="I1029" s="17"/>
      <c r="J1029" s="434">
        <f t="shared" si="342"/>
        <v>74329.719241642204</v>
      </c>
      <c r="K1029" s="434">
        <f t="shared" si="342"/>
        <v>11459.728507221145</v>
      </c>
      <c r="L1029" s="434">
        <f t="shared" si="342"/>
        <v>35347.92900977283</v>
      </c>
      <c r="M1029" s="434">
        <f t="shared" si="342"/>
        <v>496.33859379916271</v>
      </c>
      <c r="N1029" s="434">
        <f t="shared" si="342"/>
        <v>10357.249416509618</v>
      </c>
      <c r="O1029" s="434">
        <f t="shared" si="342"/>
        <v>353.93834582067285</v>
      </c>
      <c r="P1029" s="434">
        <f t="shared" si="342"/>
        <v>770.49655282500282</v>
      </c>
      <c r="Q1029" s="434">
        <f t="shared" si="342"/>
        <v>155.52428896155178</v>
      </c>
      <c r="R1029" s="434">
        <f t="shared" si="342"/>
        <v>40.839039902385323</v>
      </c>
      <c r="S1029" s="434">
        <f t="shared" si="342"/>
        <v>95.367003545434898</v>
      </c>
      <c r="T1029" s="17"/>
      <c r="U1029" s="118">
        <f t="shared" si="343"/>
        <v>133407.13000000001</v>
      </c>
      <c r="V1029" s="67"/>
      <c r="W1029" s="726">
        <f t="shared" si="344"/>
        <v>0</v>
      </c>
    </row>
    <row r="1030" spans="1:23" ht="15">
      <c r="A1030" s="47"/>
      <c r="B1030" s="17">
        <f t="shared" si="340"/>
        <v>12</v>
      </c>
      <c r="C1030" s="1" t="s">
        <v>110</v>
      </c>
      <c r="D1030" s="1" t="s">
        <v>708</v>
      </c>
      <c r="E1030" s="17"/>
      <c r="F1030" s="118">
        <f>' WP II-I-1.4'!I1030</f>
        <v>0</v>
      </c>
      <c r="G1030" s="17">
        <v>63</v>
      </c>
      <c r="H1030" s="47" t="str">
        <f t="shared" si="341"/>
        <v>PLTGEN_N</v>
      </c>
      <c r="I1030" s="17"/>
      <c r="J1030" s="434">
        <f t="shared" si="342"/>
        <v>0</v>
      </c>
      <c r="K1030" s="434">
        <f t="shared" si="342"/>
        <v>0</v>
      </c>
      <c r="L1030" s="434">
        <f t="shared" si="342"/>
        <v>0</v>
      </c>
      <c r="M1030" s="434">
        <f t="shared" si="342"/>
        <v>0</v>
      </c>
      <c r="N1030" s="434">
        <f t="shared" si="342"/>
        <v>0</v>
      </c>
      <c r="O1030" s="434">
        <f t="shared" si="342"/>
        <v>0</v>
      </c>
      <c r="P1030" s="434">
        <f t="shared" si="342"/>
        <v>0</v>
      </c>
      <c r="Q1030" s="434">
        <f t="shared" si="342"/>
        <v>0</v>
      </c>
      <c r="R1030" s="434">
        <f t="shared" si="342"/>
        <v>0</v>
      </c>
      <c r="S1030" s="434">
        <f t="shared" si="342"/>
        <v>0</v>
      </c>
      <c r="T1030" s="17"/>
      <c r="U1030" s="118">
        <f t="shared" si="343"/>
        <v>0</v>
      </c>
      <c r="V1030" s="67"/>
      <c r="W1030" s="726">
        <f t="shared" si="344"/>
        <v>0</v>
      </c>
    </row>
    <row r="1031" spans="1:23" ht="15">
      <c r="A1031" s="47"/>
      <c r="B1031" s="17">
        <f t="shared" si="340"/>
        <v>13</v>
      </c>
      <c r="C1031" s="1" t="s">
        <v>112</v>
      </c>
      <c r="D1031" s="1" t="s">
        <v>302</v>
      </c>
      <c r="E1031" s="17"/>
      <c r="F1031" s="118">
        <f>' WP II-I-1.4'!I1031</f>
        <v>0</v>
      </c>
      <c r="G1031" s="17">
        <v>63</v>
      </c>
      <c r="H1031" s="47" t="str">
        <f t="shared" si="341"/>
        <v>PLTGEN_N</v>
      </c>
      <c r="I1031" s="17"/>
      <c r="J1031" s="434">
        <f t="shared" si="342"/>
        <v>0</v>
      </c>
      <c r="K1031" s="434">
        <f t="shared" si="342"/>
        <v>0</v>
      </c>
      <c r="L1031" s="434">
        <f t="shared" si="342"/>
        <v>0</v>
      </c>
      <c r="M1031" s="434">
        <f t="shared" si="342"/>
        <v>0</v>
      </c>
      <c r="N1031" s="434">
        <f t="shared" si="342"/>
        <v>0</v>
      </c>
      <c r="O1031" s="434">
        <f t="shared" si="342"/>
        <v>0</v>
      </c>
      <c r="P1031" s="434">
        <f t="shared" si="342"/>
        <v>0</v>
      </c>
      <c r="Q1031" s="434">
        <f t="shared" si="342"/>
        <v>0</v>
      </c>
      <c r="R1031" s="434">
        <f t="shared" si="342"/>
        <v>0</v>
      </c>
      <c r="S1031" s="434">
        <f t="shared" si="342"/>
        <v>0</v>
      </c>
      <c r="T1031" s="17"/>
      <c r="U1031" s="118">
        <f t="shared" si="343"/>
        <v>0</v>
      </c>
      <c r="V1031" s="67"/>
      <c r="W1031" s="726">
        <f t="shared" si="344"/>
        <v>0</v>
      </c>
    </row>
    <row r="1032" spans="1:23" ht="15">
      <c r="A1032" s="47"/>
      <c r="B1032" s="17">
        <f t="shared" si="340"/>
        <v>14</v>
      </c>
      <c r="C1032" s="1" t="s">
        <v>112</v>
      </c>
      <c r="D1032" s="1" t="s">
        <v>303</v>
      </c>
      <c r="E1032" s="17"/>
      <c r="F1032" s="118">
        <f>' WP II-I-1.4'!I1032</f>
        <v>0</v>
      </c>
      <c r="G1032" s="17">
        <v>63</v>
      </c>
      <c r="H1032" s="47" t="str">
        <f t="shared" si="341"/>
        <v>PLTGEN_N</v>
      </c>
      <c r="I1032" s="17"/>
      <c r="J1032" s="435">
        <f t="shared" si="342"/>
        <v>0</v>
      </c>
      <c r="K1032" s="435">
        <f t="shared" si="342"/>
        <v>0</v>
      </c>
      <c r="L1032" s="435">
        <f t="shared" si="342"/>
        <v>0</v>
      </c>
      <c r="M1032" s="435">
        <f t="shared" si="342"/>
        <v>0</v>
      </c>
      <c r="N1032" s="435">
        <f t="shared" si="342"/>
        <v>0</v>
      </c>
      <c r="O1032" s="435">
        <f t="shared" si="342"/>
        <v>0</v>
      </c>
      <c r="P1032" s="435">
        <f t="shared" si="342"/>
        <v>0</v>
      </c>
      <c r="Q1032" s="435">
        <f t="shared" si="342"/>
        <v>0</v>
      </c>
      <c r="R1032" s="435">
        <f t="shared" si="342"/>
        <v>0</v>
      </c>
      <c r="S1032" s="435">
        <f t="shared" si="342"/>
        <v>0</v>
      </c>
      <c r="T1032" s="17"/>
      <c r="U1032" s="118">
        <f t="shared" si="343"/>
        <v>0</v>
      </c>
      <c r="V1032" s="67"/>
      <c r="W1032" s="726">
        <f t="shared" si="344"/>
        <v>0</v>
      </c>
    </row>
    <row r="1033" spans="1:23" ht="15.75">
      <c r="A1033" s="47"/>
      <c r="B1033" s="17">
        <f t="shared" si="340"/>
        <v>15</v>
      </c>
      <c r="C1033" s="8"/>
      <c r="D1033" s="297" t="s">
        <v>491</v>
      </c>
      <c r="E1033" s="20"/>
      <c r="F1033" s="22">
        <f>SUM(F1021:F1032)</f>
        <v>10661815.200000001</v>
      </c>
      <c r="G1033" s="20"/>
      <c r="H1033" s="20"/>
      <c r="I1033" s="1010"/>
      <c r="J1033" s="896">
        <f t="shared" si="345" ref="J1033:Q1033">SUM(J1021:J1032)</f>
        <v>5940385.1235108143</v>
      </c>
      <c r="K1033" s="896">
        <f t="shared" si="345"/>
        <v>915854.40437976376</v>
      </c>
      <c r="L1033" s="896">
        <f t="shared" si="345"/>
        <v>2824984.5926894378</v>
      </c>
      <c r="M1033" s="896">
        <f t="shared" si="345"/>
        <v>39667.072994633338</v>
      </c>
      <c r="N1033" s="896">
        <f t="shared" si="345"/>
        <v>827744.95830270369</v>
      </c>
      <c r="O1033" s="896">
        <f>SUM(O1021:O1032)</f>
        <v>28286.533375942545</v>
      </c>
      <c r="P1033" s="896">
        <f t="shared" si="345"/>
        <v>61577.607272244131</v>
      </c>
      <c r="Q1033" s="896">
        <f t="shared" si="345"/>
        <v>12429.404845299234</v>
      </c>
      <c r="R1033" s="896">
        <f>SUM(R1021:R1032)</f>
        <v>3263.8307741472167</v>
      </c>
      <c r="S1033" s="896">
        <f>SUM(S1021:S1032)</f>
        <v>7621.6718550138339</v>
      </c>
      <c r="T1033" s="20"/>
      <c r="U1033" s="299">
        <f t="shared" si="343"/>
        <v>10661815.199999999</v>
      </c>
      <c r="V1033" s="67"/>
      <c r="W1033" s="726">
        <f t="shared" si="344"/>
        <v>0</v>
      </c>
    </row>
    <row r="1034" spans="1:23" ht="16.5" thickBot="1">
      <c r="A1034" s="47"/>
      <c r="B1034" s="17">
        <f t="shared" si="340"/>
        <v>16</v>
      </c>
      <c r="C1034" s="8"/>
      <c r="D1034" s="297"/>
      <c r="E1034" s="20"/>
      <c r="F1034" s="22"/>
      <c r="G1034" s="20"/>
      <c r="H1034" s="20"/>
      <c r="I1034" s="20"/>
      <c r="J1034" s="896"/>
      <c r="K1034" s="896"/>
      <c r="L1034" s="896"/>
      <c r="M1034" s="896"/>
      <c r="N1034" s="896"/>
      <c r="O1034" s="896"/>
      <c r="P1034" s="896"/>
      <c r="Q1034" s="896"/>
      <c r="R1034" s="896"/>
      <c r="S1034" s="896"/>
      <c r="T1034" s="20"/>
      <c r="U1034" s="299"/>
      <c r="V1034" s="67"/>
      <c r="W1034" s="726">
        <f t="shared" si="344"/>
        <v>0</v>
      </c>
    </row>
    <row r="1035" spans="1:23" ht="16.5" thickBot="1">
      <c r="A1035" s="47"/>
      <c r="B1035" s="17">
        <f t="shared" si="340"/>
        <v>17</v>
      </c>
      <c r="C1035" s="284" t="s">
        <v>709</v>
      </c>
      <c r="D1035" s="285"/>
      <c r="E1035" s="374" t="s">
        <v>297</v>
      </c>
      <c r="F1035" s="255">
        <f>F975+F987+F1004+F1033</f>
        <v>32929277.090000004</v>
      </c>
      <c r="G1035" s="374"/>
      <c r="H1035" s="467"/>
      <c r="I1035" s="1066"/>
      <c r="J1035" s="446">
        <f t="shared" si="346" ref="J1035:Q1035">J975+J987+J1004+J1033</f>
        <v>18347024.787430331</v>
      </c>
      <c r="K1035" s="903">
        <f t="shared" si="346"/>
        <v>2828638.7346047936</v>
      </c>
      <c r="L1035" s="903">
        <f t="shared" si="346"/>
        <v>8725034.0286944099</v>
      </c>
      <c r="M1035" s="903">
        <f t="shared" si="346"/>
        <v>122512.72541185454</v>
      </c>
      <c r="N1035" s="903">
        <f t="shared" si="346"/>
        <v>2556510.5547693442</v>
      </c>
      <c r="O1035" s="903">
        <f>O975+O987+O1004+O1033</f>
        <v>87363.650370899821</v>
      </c>
      <c r="P1035" s="903">
        <f t="shared" si="346"/>
        <v>190183.94657665107</v>
      </c>
      <c r="Q1035" s="903">
        <f t="shared" si="346"/>
        <v>38388.520954166146</v>
      </c>
      <c r="R1035" s="903">
        <f>R975+R987+R1004+R1033</f>
        <v>10080.421196642286</v>
      </c>
      <c r="S1035" s="380">
        <f>S975+S987+S1004+S1033</f>
        <v>23539.719990907819</v>
      </c>
      <c r="T1035" s="467"/>
      <c r="U1035" s="380">
        <f>SUM(I1035:T1035)</f>
        <v>32929277.090000004</v>
      </c>
      <c r="V1035" s="67"/>
      <c r="W1035" s="726">
        <f t="shared" si="344"/>
        <v>0</v>
      </c>
    </row>
    <row r="1036" spans="1:23" ht="15.75">
      <c r="A1036" s="47"/>
      <c r="B1036" s="17">
        <f t="shared" si="340"/>
        <v>18</v>
      </c>
      <c r="C1036" s="8"/>
      <c r="D1036" s="297"/>
      <c r="E1036" s="20"/>
      <c r="F1036" s="22"/>
      <c r="G1036" s="20"/>
      <c r="H1036" s="20"/>
      <c r="I1036" s="20"/>
      <c r="J1036" s="1059"/>
      <c r="K1036" s="1059"/>
      <c r="L1036" s="1059"/>
      <c r="M1036" s="1059"/>
      <c r="N1036" s="1059"/>
      <c r="O1036" s="1059"/>
      <c r="P1036" s="1059"/>
      <c r="Q1036" s="1059"/>
      <c r="R1036" s="1059"/>
      <c r="S1036" s="1059"/>
      <c r="T1036" s="20"/>
      <c r="U1036" s="299"/>
      <c r="V1036" s="67"/>
      <c r="W1036" s="726">
        <f t="shared" si="344"/>
        <v>0</v>
      </c>
    </row>
    <row r="1037" spans="1:23" ht="15.75">
      <c r="A1037" s="47"/>
      <c r="B1037" s="17">
        <f t="shared" si="340"/>
        <v>19</v>
      </c>
      <c r="C1037" s="8" t="s">
        <v>710</v>
      </c>
      <c r="D1037" s="297"/>
      <c r="E1037" s="20" t="s">
        <v>330</v>
      </c>
      <c r="F1037" s="118">
        <f>' WP II-I-1.4'!I1037</f>
        <v>0</v>
      </c>
      <c r="G1037" s="17">
        <v>10</v>
      </c>
      <c r="H1037" s="47" t="str">
        <f>VLOOKUP(G1037,FactorTable,2)</f>
        <v>CUS U RTL</v>
      </c>
      <c r="I1037" s="1010"/>
      <c r="J1037" s="434">
        <f t="shared" si="347" ref="J1037:S1038">$F1037*HLOOKUP(J$1318,FactorTable,$G1037+1)</f>
        <v>0</v>
      </c>
      <c r="K1037" s="434">
        <f t="shared" si="347"/>
        <v>0</v>
      </c>
      <c r="L1037" s="434">
        <f t="shared" si="347"/>
        <v>0</v>
      </c>
      <c r="M1037" s="434">
        <f t="shared" si="347"/>
        <v>0</v>
      </c>
      <c r="N1037" s="434">
        <f t="shared" si="347"/>
        <v>0</v>
      </c>
      <c r="O1037" s="434">
        <f t="shared" si="347"/>
        <v>0</v>
      </c>
      <c r="P1037" s="434">
        <f t="shared" si="347"/>
        <v>0</v>
      </c>
      <c r="Q1037" s="434">
        <f t="shared" si="347"/>
        <v>0</v>
      </c>
      <c r="R1037" s="434">
        <f t="shared" si="347"/>
        <v>0</v>
      </c>
      <c r="S1037" s="434">
        <f t="shared" si="347"/>
        <v>0</v>
      </c>
      <c r="T1037" s="1010"/>
      <c r="U1037" s="118">
        <f>SUM(I1037:T1037)</f>
        <v>0</v>
      </c>
      <c r="V1037" s="67"/>
      <c r="W1037" s="726">
        <f t="shared" si="344"/>
        <v>0</v>
      </c>
    </row>
    <row r="1038" spans="1:23" ht="15.75">
      <c r="A1038" s="47"/>
      <c r="B1038" s="17">
        <f t="shared" si="340"/>
        <v>20</v>
      </c>
      <c r="C1038" s="8" t="s">
        <v>711</v>
      </c>
      <c r="D1038" s="297"/>
      <c r="E1038" s="20" t="s">
        <v>333</v>
      </c>
      <c r="F1038" s="118">
        <f>' WP II-I-1.4'!I1038</f>
        <v>0</v>
      </c>
      <c r="G1038" s="17">
        <v>65</v>
      </c>
      <c r="H1038" s="47" t="str">
        <f>VLOOKUP(G1038,FactorTable,2)</f>
        <v>PLT_N XINT</v>
      </c>
      <c r="I1038" s="1010"/>
      <c r="J1038" s="434">
        <f t="shared" si="347"/>
        <v>0</v>
      </c>
      <c r="K1038" s="434">
        <f t="shared" si="347"/>
        <v>0</v>
      </c>
      <c r="L1038" s="434">
        <f t="shared" si="347"/>
        <v>0</v>
      </c>
      <c r="M1038" s="434">
        <f t="shared" si="347"/>
        <v>0</v>
      </c>
      <c r="N1038" s="434">
        <f t="shared" si="347"/>
        <v>0</v>
      </c>
      <c r="O1038" s="434">
        <f t="shared" si="347"/>
        <v>0</v>
      </c>
      <c r="P1038" s="434">
        <f t="shared" si="347"/>
        <v>0</v>
      </c>
      <c r="Q1038" s="434">
        <f t="shared" si="347"/>
        <v>0</v>
      </c>
      <c r="R1038" s="434">
        <f t="shared" si="347"/>
        <v>0</v>
      </c>
      <c r="S1038" s="434">
        <f t="shared" si="347"/>
        <v>0</v>
      </c>
      <c r="T1038" s="1010"/>
      <c r="U1038" s="118">
        <f>SUM(I1038:T1038)</f>
        <v>0</v>
      </c>
      <c r="V1038" s="67"/>
      <c r="W1038" s="726">
        <f t="shared" si="344"/>
        <v>0</v>
      </c>
    </row>
    <row r="1039" spans="1:23" ht="16.5" thickBot="1">
      <c r="A1039" s="47"/>
      <c r="B1039" s="17">
        <f t="shared" si="340"/>
        <v>21</v>
      </c>
      <c r="C1039" s="8"/>
      <c r="D1039" s="297"/>
      <c r="E1039" s="20"/>
      <c r="F1039" s="22"/>
      <c r="G1039" s="20"/>
      <c r="H1039" s="20"/>
      <c r="I1039" s="20"/>
      <c r="J1039" s="1059"/>
      <c r="K1039" s="1059"/>
      <c r="L1039" s="1059"/>
      <c r="M1039" s="1059"/>
      <c r="N1039" s="1059"/>
      <c r="O1039" s="1059"/>
      <c r="P1039" s="1059"/>
      <c r="Q1039" s="1059"/>
      <c r="R1039" s="1059"/>
      <c r="S1039" s="1059"/>
      <c r="T1039" s="20"/>
      <c r="U1039" s="299"/>
      <c r="V1039" s="67"/>
      <c r="W1039" s="726">
        <f t="shared" si="344"/>
        <v>0</v>
      </c>
    </row>
    <row r="1040" spans="1:23" ht="16.5" thickBot="1">
      <c r="A1040" s="47"/>
      <c r="B1040" s="17">
        <f t="shared" si="340"/>
        <v>22</v>
      </c>
      <c r="C1040" s="284" t="s">
        <v>712</v>
      </c>
      <c r="D1040" s="285"/>
      <c r="E1040" s="374"/>
      <c r="F1040" s="255">
        <f>SUM(F1035:F1038)</f>
        <v>32929277.090000004</v>
      </c>
      <c r="G1040" s="374"/>
      <c r="H1040" s="467"/>
      <c r="I1040" s="1066"/>
      <c r="J1040" s="446">
        <f t="shared" si="348" ref="J1040:Q1040">SUM(J1035:J1038)</f>
        <v>18347024.787430331</v>
      </c>
      <c r="K1040" s="903">
        <f t="shared" si="348"/>
        <v>2828638.7346047936</v>
      </c>
      <c r="L1040" s="903">
        <f t="shared" si="348"/>
        <v>8725034.0286944099</v>
      </c>
      <c r="M1040" s="903">
        <f t="shared" si="348"/>
        <v>122512.72541185454</v>
      </c>
      <c r="N1040" s="903">
        <f t="shared" si="348"/>
        <v>2556510.5547693442</v>
      </c>
      <c r="O1040" s="903">
        <f>SUM(O1035:O1038)</f>
        <v>87363.650370899821</v>
      </c>
      <c r="P1040" s="903">
        <f t="shared" si="348"/>
        <v>190183.94657665107</v>
      </c>
      <c r="Q1040" s="903">
        <f t="shared" si="348"/>
        <v>38388.520954166146</v>
      </c>
      <c r="R1040" s="903">
        <f>SUM(R1035:R1038)</f>
        <v>10080.421196642286</v>
      </c>
      <c r="S1040" s="380">
        <f>SUM(S1035:S1038)</f>
        <v>23539.719990907819</v>
      </c>
      <c r="T1040" s="467"/>
      <c r="U1040" s="380">
        <f>SUM(I1040:T1040)</f>
        <v>32929277.090000004</v>
      </c>
      <c r="V1040" s="67"/>
      <c r="W1040" s="726">
        <f t="shared" si="344"/>
        <v>0</v>
      </c>
    </row>
    <row r="1041" spans="1:23" ht="15">
      <c r="A1041" s="4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167"/>
    </row>
    <row r="1042" spans="1:23" ht="15">
      <c r="A1042" s="47"/>
      <c r="B1042" s="67"/>
      <c r="C1042" s="67"/>
      <c r="D1042" s="67"/>
      <c r="E1042" s="67"/>
      <c r="F1042" s="67"/>
      <c r="G1042" s="67"/>
      <c r="H1042" s="134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134"/>
      <c r="V1042" s="134">
        <f>$H$2</f>
        <v>0</v>
      </c>
      <c r="W1042" s="167"/>
    </row>
    <row r="1043" spans="1:23" ht="15.75" thickBot="1">
      <c r="A1043" s="47"/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167"/>
    </row>
    <row r="1044" spans="1:23" ht="15.75">
      <c r="A1044" s="47"/>
      <c r="B1044" s="920" t="str">
        <f>+$B$4</f>
        <v>2022 RATE CASE</v>
      </c>
      <c r="C1044" s="935"/>
      <c r="D1044" s="969"/>
      <c r="F1044" s="332"/>
      <c r="U1044" s="134"/>
      <c r="W1044" s="167"/>
    </row>
    <row r="1045" spans="1:23" ht="15.75">
      <c r="A1045" s="47"/>
      <c r="B1045" s="917" t="str">
        <f>+$B$5</f>
        <v>ONCOR ELECTRIC DELIVERY COMPANY LLC</v>
      </c>
      <c r="C1045" s="8"/>
      <c r="D1045" s="970"/>
      <c r="F1045" s="332"/>
      <c r="U1045" s="134"/>
      <c r="V1045" s="67"/>
      <c r="W1045" s="167"/>
    </row>
    <row r="1046" spans="1:23" ht="15.75">
      <c r="A1046" s="47"/>
      <c r="B1046" s="917" t="str">
        <f>+$B$6</f>
        <v>II-I-1-TBILLTDCS:  CLASS REVENUE REQUIREMENT</v>
      </c>
      <c r="C1046" s="85"/>
      <c r="D1046" s="970"/>
      <c r="F1046" s="332"/>
      <c r="U1046" s="332"/>
      <c r="V1046" s="67"/>
      <c r="W1046" s="167"/>
    </row>
    <row r="1047" spans="1:23" ht="15.75">
      <c r="A1047" s="47"/>
      <c r="B1047" s="406" t="str">
        <f>+$B$7</f>
        <v>TEST YEAR ENDING 12/31/2021</v>
      </c>
      <c r="C1047" s="85"/>
      <c r="D1047" s="970"/>
      <c r="F1047" s="332"/>
      <c r="U1047" s="332"/>
      <c r="V1047" s="67"/>
      <c r="W1047" s="167"/>
    </row>
    <row r="1048" spans="1:23" ht="15.75">
      <c r="A1048" s="47"/>
      <c r="B1048" s="406" t="str">
        <f>+$B$8</f>
        <v>SPONSOR:  MATTHEW A. TROXLE</v>
      </c>
      <c r="C1048" s="85"/>
      <c r="D1048" s="970"/>
      <c r="F1048" s="332"/>
      <c r="U1048" s="332"/>
      <c r="V1048" s="67"/>
      <c r="W1048" s="167"/>
    </row>
    <row r="1049" spans="1:23" ht="16.5" thickBot="1">
      <c r="A1049" s="47"/>
      <c r="B1049" s="410"/>
      <c r="C1049" s="934"/>
      <c r="D1049" s="936"/>
      <c r="F1049" s="332"/>
      <c r="U1049" s="332"/>
      <c r="V1049" s="67"/>
      <c r="W1049" s="167"/>
    </row>
    <row r="1050" spans="1:23" ht="15.75" thickBot="1">
      <c r="A1050" s="47"/>
      <c r="B1050" s="13"/>
      <c r="C1050" s="14"/>
      <c r="D1050" s="14"/>
      <c r="E1050" s="14"/>
      <c r="F1050" s="13"/>
      <c r="G1050" s="14"/>
      <c r="H1050" s="14"/>
      <c r="I1050" s="14"/>
      <c r="J1050" s="238"/>
      <c r="K1050" s="238"/>
      <c r="L1050" s="14"/>
      <c r="M1050" s="238"/>
      <c r="N1050" s="238"/>
      <c r="O1050" s="238"/>
      <c r="P1050" s="238"/>
      <c r="Q1050" s="14"/>
      <c r="R1050" s="393" t="str">
        <f>R$10</f>
        <v xml:space="preserve"> </v>
      </c>
      <c r="S1050" s="394"/>
      <c r="T1050" s="238"/>
      <c r="U1050" s="13"/>
      <c r="V1050" s="67"/>
      <c r="W1050" s="167"/>
    </row>
    <row r="1051" spans="1:23" ht="15.75">
      <c r="A1051" s="47"/>
      <c r="B1051" s="15" t="s">
        <v>2</v>
      </c>
      <c r="C1051" s="15" t="s">
        <v>370</v>
      </c>
      <c r="D1051" s="287" t="s">
        <v>304</v>
      </c>
      <c r="E1051" s="15" t="s">
        <v>371</v>
      </c>
      <c r="F1051" s="287" t="str">
        <f>F$11</f>
        <v>TBILLTDCS</v>
      </c>
      <c r="G1051" s="242" t="s">
        <v>741</v>
      </c>
      <c r="H1051" s="242" t="s">
        <v>376</v>
      </c>
      <c r="I1051" s="15"/>
      <c r="J1051" s="242" t="s">
        <v>730</v>
      </c>
      <c r="K1051" s="242" t="s">
        <v>409</v>
      </c>
      <c r="L1051" s="15" t="s">
        <v>409</v>
      </c>
      <c r="M1051" s="242" t="s">
        <v>410</v>
      </c>
      <c r="N1051" s="242" t="s">
        <v>410</v>
      </c>
      <c r="O1051" s="242" t="s">
        <v>410</v>
      </c>
      <c r="P1051" s="242" t="s">
        <v>411</v>
      </c>
      <c r="Q1051" s="15" t="s">
        <v>412</v>
      </c>
      <c r="R1051" s="396" t="str">
        <f>R$11</f>
        <v>Wholesale</v>
      </c>
      <c r="S1051" s="13" t="str">
        <f>S$11</f>
        <v>Wholesale</v>
      </c>
      <c r="T1051" s="242"/>
      <c r="U1051" s="15" t="s">
        <v>10</v>
      </c>
      <c r="V1051" s="67"/>
      <c r="W1051" s="167"/>
    </row>
    <row r="1052" spans="1:23" ht="15">
      <c r="A1052" s="47"/>
      <c r="B1052" s="15"/>
      <c r="C1052" s="15"/>
      <c r="D1052" s="15"/>
      <c r="E1052" s="15"/>
      <c r="F1052" s="15"/>
      <c r="G1052" s="242" t="s">
        <v>742</v>
      </c>
      <c r="H1052" s="242" t="s">
        <v>743</v>
      </c>
      <c r="I1052" s="15"/>
      <c r="J1052" s="242"/>
      <c r="K1052" s="242" t="s">
        <v>731</v>
      </c>
      <c r="L1052" s="15" t="s">
        <v>732</v>
      </c>
      <c r="M1052" s="242" t="s">
        <v>731</v>
      </c>
      <c r="N1052" s="242" t="s">
        <v>732</v>
      </c>
      <c r="O1052" s="242" t="s">
        <v>414</v>
      </c>
      <c r="P1052" s="242"/>
      <c r="Q1052" s="15"/>
      <c r="R1052" s="235" t="str">
        <f>R$12</f>
        <v>XFMR</v>
      </c>
      <c r="S1052" s="15" t="str">
        <f>S$12</f>
        <v>DLS</v>
      </c>
      <c r="T1052" s="242"/>
      <c r="U1052" s="15"/>
      <c r="V1052" s="67"/>
      <c r="W1052" s="167"/>
    </row>
    <row r="1053" spans="1:23" ht="15.75" thickBot="1">
      <c r="A1053" s="47"/>
      <c r="B1053" s="16"/>
      <c r="C1053" s="16"/>
      <c r="D1053" s="16"/>
      <c r="E1053" s="16"/>
      <c r="F1053" s="16" t="s">
        <v>13</v>
      </c>
      <c r="G1053" s="16" t="s">
        <v>14</v>
      </c>
      <c r="H1053" s="16" t="s">
        <v>15</v>
      </c>
      <c r="I1053" s="16"/>
      <c r="J1053" s="243" t="str">
        <f t="shared" si="349" ref="J1053:Q1053">J$13</f>
        <v>(d)</v>
      </c>
      <c r="K1053" s="243" t="str">
        <f t="shared" si="349"/>
        <v>(e)</v>
      </c>
      <c r="L1053" s="16" t="str">
        <f t="shared" si="349"/>
        <v>(f)</v>
      </c>
      <c r="M1053" s="243" t="str">
        <f t="shared" si="349"/>
        <v>(g)</v>
      </c>
      <c r="N1053" s="243" t="str">
        <f t="shared" si="349"/>
        <v>(h)</v>
      </c>
      <c r="O1053" s="243" t="str">
        <f>O$13</f>
        <v>(i)</v>
      </c>
      <c r="P1053" s="243" t="str">
        <f t="shared" si="349"/>
        <v>(j)</v>
      </c>
      <c r="Q1053" s="243" t="str">
        <f t="shared" si="349"/>
        <v>(k)</v>
      </c>
      <c r="R1053" s="243" t="str">
        <f>R$13</f>
        <v>(l)</v>
      </c>
      <c r="S1053" s="16" t="str">
        <f>S$13</f>
        <v>(m)</v>
      </c>
      <c r="T1053" s="16"/>
      <c r="U1053" s="16" t="s">
        <v>734</v>
      </c>
      <c r="V1053" s="67"/>
      <c r="W1053" s="167"/>
    </row>
    <row r="1054" spans="1:23" ht="15">
      <c r="A1054" s="47"/>
      <c r="B1054" s="67"/>
      <c r="C1054" s="333"/>
      <c r="D1054" s="333"/>
      <c r="E1054" s="333"/>
      <c r="F1054" s="333"/>
      <c r="G1054" s="333"/>
      <c r="H1054" s="333"/>
      <c r="I1054" s="333"/>
      <c r="J1054" s="333"/>
      <c r="K1054" s="333"/>
      <c r="L1054" s="333"/>
      <c r="M1054" s="333"/>
      <c r="N1054" s="333"/>
      <c r="O1054" s="333"/>
      <c r="P1054" s="333"/>
      <c r="Q1054" s="333"/>
      <c r="R1054" s="333"/>
      <c r="S1054" s="333"/>
      <c r="T1054" s="333"/>
      <c r="U1054" s="43"/>
      <c r="V1054" s="67"/>
      <c r="W1054" s="167"/>
    </row>
    <row r="1055" spans="1:23" ht="15.75">
      <c r="A1055" s="47"/>
      <c r="B1055" s="17">
        <f t="shared" si="350" ref="B1055:B1072">B1054+1</f>
        <v>1</v>
      </c>
      <c r="C1055" s="366" t="s">
        <v>304</v>
      </c>
      <c r="D1055" s="366"/>
      <c r="E1055" s="20"/>
      <c r="F1055" s="22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8"/>
      <c r="V1055" s="67"/>
      <c r="W1055" s="167"/>
    </row>
    <row r="1056" spans="1:23" ht="15">
      <c r="A1056" s="47"/>
      <c r="B1056" s="17">
        <f t="shared" si="350"/>
        <v>2</v>
      </c>
      <c r="C1056" s="1"/>
      <c r="D1056" s="1"/>
      <c r="E1056" s="17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"/>
      <c r="V1056" s="67"/>
      <c r="W1056" s="167"/>
    </row>
    <row r="1057" spans="1:23" ht="15.75">
      <c r="A1057" s="47"/>
      <c r="B1057" s="17">
        <f t="shared" si="350"/>
        <v>3</v>
      </c>
      <c r="C1057" s="8" t="s">
        <v>306</v>
      </c>
      <c r="D1057" s="8"/>
      <c r="E1057" s="20" t="s">
        <v>305</v>
      </c>
      <c r="F1057" s="22"/>
      <c r="G1057" s="20"/>
      <c r="H1057" s="20"/>
      <c r="I1057" s="20"/>
      <c r="J1057" s="1059"/>
      <c r="K1057" s="1059"/>
      <c r="L1057" s="1059"/>
      <c r="M1057" s="1059"/>
      <c r="N1057" s="1059"/>
      <c r="O1057" s="1059"/>
      <c r="P1057" s="1059"/>
      <c r="Q1057" s="1059"/>
      <c r="R1057" s="1059"/>
      <c r="S1057" s="1059"/>
      <c r="T1057" s="1010"/>
      <c r="U1057" s="8"/>
      <c r="V1057" s="67"/>
      <c r="W1057" s="167"/>
    </row>
    <row r="1058" spans="1:23" ht="15">
      <c r="A1058" s="47"/>
      <c r="B1058" s="17">
        <f t="shared" si="350"/>
        <v>4</v>
      </c>
      <c r="C1058" s="1"/>
      <c r="D1058" s="1" t="s">
        <v>307</v>
      </c>
      <c r="E1058" s="17"/>
      <c r="F1058" s="118">
        <f>' WP II-I-1.4'!I1058</f>
        <v>115481.33000000194</v>
      </c>
      <c r="G1058" s="17">
        <v>88</v>
      </c>
      <c r="H1058" s="47" t="str">
        <f>VLOOKUP(G1058,FactorTable,2)</f>
        <v>PAYROLL</v>
      </c>
      <c r="I1058" s="17"/>
      <c r="J1058" s="434">
        <f t="shared" si="351" ref="J1058:S1060">$F1058*HLOOKUP(J$1318,FactorTable,$G1058+1)</f>
        <v>62355.037472861237</v>
      </c>
      <c r="K1058" s="434">
        <f t="shared" si="351"/>
        <v>8830.9972282761555</v>
      </c>
      <c r="L1058" s="434">
        <f t="shared" si="351"/>
        <v>30979.858399531789</v>
      </c>
      <c r="M1058" s="434">
        <f t="shared" si="351"/>
        <v>367.59190714489245</v>
      </c>
      <c r="N1058" s="434">
        <f t="shared" si="351"/>
        <v>8484.8897817353973</v>
      </c>
      <c r="O1058" s="434">
        <f t="shared" si="351"/>
        <v>365.89540776968187</v>
      </c>
      <c r="P1058" s="434">
        <f t="shared" si="351"/>
        <v>953.22781219219769</v>
      </c>
      <c r="Q1058" s="434">
        <f t="shared" si="351"/>
        <v>3044.4997032903098</v>
      </c>
      <c r="R1058" s="434">
        <f t="shared" si="351"/>
        <v>29.781162003188349</v>
      </c>
      <c r="S1058" s="434">
        <f t="shared" si="351"/>
        <v>69.551125197094336</v>
      </c>
      <c r="T1058" s="17"/>
      <c r="U1058" s="118">
        <f>SUM(I1058:T1058)</f>
        <v>115481.33000000194</v>
      </c>
      <c r="V1058" s="67"/>
      <c r="W1058" s="726">
        <f t="shared" si="352" ref="W1058:W1072">F1058-U1058</f>
        <v>0</v>
      </c>
    </row>
    <row r="1059" spans="1:23" ht="15">
      <c r="A1059" s="47"/>
      <c r="B1059" s="17">
        <f t="shared" si="350"/>
        <v>5</v>
      </c>
      <c r="C1059" s="1"/>
      <c r="D1059" s="1" t="s">
        <v>308</v>
      </c>
      <c r="E1059" s="17"/>
      <c r="F1059" s="118">
        <f>' WP II-I-1.4'!I1059</f>
        <v>1445.5200000000041</v>
      </c>
      <c r="G1059" s="17">
        <v>88</v>
      </c>
      <c r="H1059" s="47" t="str">
        <f>VLOOKUP(G1059,FactorTable,2)</f>
        <v>PAYROLL</v>
      </c>
      <c r="I1059" s="17"/>
      <c r="J1059" s="434">
        <f t="shared" si="351"/>
        <v>780.51970623969362</v>
      </c>
      <c r="K1059" s="434">
        <f t="shared" si="351"/>
        <v>110.54066586709358</v>
      </c>
      <c r="L1059" s="434">
        <f t="shared" si="351"/>
        <v>387.785669888722</v>
      </c>
      <c r="M1059" s="434">
        <f t="shared" si="351"/>
        <v>4.6012758392726996</v>
      </c>
      <c r="N1059" s="434">
        <f t="shared" si="351"/>
        <v>106.20831849870434</v>
      </c>
      <c r="O1059" s="434">
        <f t="shared" si="351"/>
        <v>4.58004016613961</v>
      </c>
      <c r="P1059" s="434">
        <f t="shared" si="351"/>
        <v>11.931884288828734</v>
      </c>
      <c r="Q1059" s="434">
        <f t="shared" si="351"/>
        <v>38.109062400823987</v>
      </c>
      <c r="R1059" s="434">
        <f t="shared" si="351"/>
        <v>0.3727811698986167</v>
      </c>
      <c r="S1059" s="434">
        <f t="shared" si="351"/>
        <v>0.87059564082698382</v>
      </c>
      <c r="T1059" s="17"/>
      <c r="U1059" s="118">
        <f>SUM(I1059:T1059)</f>
        <v>1445.5200000000041</v>
      </c>
      <c r="V1059" s="67"/>
      <c r="W1059" s="726">
        <f t="shared" si="352"/>
        <v>0</v>
      </c>
    </row>
    <row r="1060" spans="1:23" ht="15">
      <c r="A1060" s="47"/>
      <c r="B1060" s="17">
        <f t="shared" si="350"/>
        <v>6</v>
      </c>
      <c r="C1060" s="1"/>
      <c r="D1060" s="1" t="s">
        <v>309</v>
      </c>
      <c r="E1060" s="17"/>
      <c r="F1060" s="118">
        <f>' WP II-I-1.4'!I1060</f>
        <v>1986.7999999999884</v>
      </c>
      <c r="G1060" s="17">
        <v>88</v>
      </c>
      <c r="H1060" s="47" t="str">
        <f>VLOOKUP(G1060,FactorTable,2)</f>
        <v>PAYROLL</v>
      </c>
      <c r="I1060" s="17"/>
      <c r="J1060" s="435">
        <f t="shared" si="351"/>
        <v>1072.788029468295</v>
      </c>
      <c r="K1060" s="435">
        <f t="shared" si="351"/>
        <v>151.93300331004733</v>
      </c>
      <c r="L1060" s="435">
        <f t="shared" si="351"/>
        <v>532.99336497240176</v>
      </c>
      <c r="M1060" s="435">
        <f t="shared" si="351"/>
        <v>6.3242396075231886</v>
      </c>
      <c r="N1060" s="435">
        <f t="shared" si="351"/>
        <v>145.97839337624106</v>
      </c>
      <c r="O1060" s="435">
        <f t="shared" si="351"/>
        <v>6.2950521626031453</v>
      </c>
      <c r="P1060" s="435">
        <f t="shared" si="351"/>
        <v>16.399819929883172</v>
      </c>
      <c r="Q1060" s="435">
        <f t="shared" si="351"/>
        <v>52.379133583732106</v>
      </c>
      <c r="R1060" s="435">
        <f t="shared" si="351"/>
        <v>0.51237037768731342</v>
      </c>
      <c r="S1060" s="435">
        <f t="shared" si="351"/>
        <v>1.1965932115744067</v>
      </c>
      <c r="T1060" s="17"/>
      <c r="U1060" s="118">
        <f>SUM(I1060:T1060)</f>
        <v>1986.7999999999884</v>
      </c>
      <c r="V1060" s="67"/>
      <c r="W1060" s="726">
        <f t="shared" si="352"/>
        <v>0</v>
      </c>
    </row>
    <row r="1061" spans="1:23" ht="15.75">
      <c r="A1061" s="47"/>
      <c r="B1061" s="17">
        <f t="shared" si="350"/>
        <v>7</v>
      </c>
      <c r="C1061" s="8"/>
      <c r="D1061" s="297" t="s">
        <v>713</v>
      </c>
      <c r="E1061" s="20"/>
      <c r="F1061" s="252">
        <f>SUM(F1058:F1060)</f>
        <v>118913.65000000193</v>
      </c>
      <c r="G1061" s="20"/>
      <c r="H1061" s="20"/>
      <c r="I1061" s="1010"/>
      <c r="J1061" s="252">
        <f t="shared" si="353" ref="J1061:Q1061">SUM(J1058:J1060)</f>
        <v>64208.345208569226</v>
      </c>
      <c r="K1061" s="252">
        <f t="shared" si="353"/>
        <v>9093.470897453295</v>
      </c>
      <c r="L1061" s="252">
        <f t="shared" si="353"/>
        <v>31900.637434392913</v>
      </c>
      <c r="M1061" s="252">
        <f t="shared" si="353"/>
        <v>378.51742259168833</v>
      </c>
      <c r="N1061" s="252">
        <f t="shared" si="353"/>
        <v>8737.0764936103424</v>
      </c>
      <c r="O1061" s="252">
        <f>SUM(O1058:O1060)</f>
        <v>376.77050009842463</v>
      </c>
      <c r="P1061" s="252">
        <f t="shared" si="353"/>
        <v>981.55951641090962</v>
      </c>
      <c r="Q1061" s="252">
        <f t="shared" si="353"/>
        <v>3134.9878992748659</v>
      </c>
      <c r="R1061" s="252">
        <f>SUM(R1058:R1060)</f>
        <v>30.66631355077428</v>
      </c>
      <c r="S1061" s="252">
        <f>SUM(S1058:S1060)</f>
        <v>71.618314049495723</v>
      </c>
      <c r="T1061" s="1010"/>
      <c r="U1061" s="299">
        <f>SUM(I1061:T1061)</f>
        <v>118913.65000000194</v>
      </c>
      <c r="V1061" s="67"/>
      <c r="W1061" s="726">
        <f t="shared" si="352"/>
        <v>0</v>
      </c>
    </row>
    <row r="1062" spans="1:23" ht="15">
      <c r="A1062" s="47"/>
      <c r="B1062" s="17">
        <f t="shared" si="350"/>
        <v>8</v>
      </c>
      <c r="C1062" s="1"/>
      <c r="D1062" s="1"/>
      <c r="E1062" s="17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"/>
      <c r="V1062" s="67"/>
      <c r="W1062" s="726">
        <f t="shared" si="352"/>
        <v>0</v>
      </c>
    </row>
    <row r="1063" spans="1:23" ht="15.75">
      <c r="A1063" s="47"/>
      <c r="B1063" s="17">
        <f t="shared" si="350"/>
        <v>9</v>
      </c>
      <c r="C1063" s="8" t="s">
        <v>310</v>
      </c>
      <c r="D1063" s="8"/>
      <c r="E1063" s="20" t="s">
        <v>305</v>
      </c>
      <c r="F1063" s="22"/>
      <c r="G1063" s="20"/>
      <c r="H1063" s="20"/>
      <c r="I1063" s="1010"/>
      <c r="J1063" s="1059"/>
      <c r="K1063" s="1059"/>
      <c r="L1063" s="1059"/>
      <c r="M1063" s="1059"/>
      <c r="N1063" s="1059"/>
      <c r="O1063" s="1059"/>
      <c r="P1063" s="1059"/>
      <c r="Q1063" s="1059"/>
      <c r="R1063" s="1059"/>
      <c r="S1063" s="1059"/>
      <c r="T1063" s="1010"/>
      <c r="U1063" s="381"/>
      <c r="V1063" s="67"/>
      <c r="W1063" s="726">
        <f t="shared" si="352"/>
        <v>0</v>
      </c>
    </row>
    <row r="1064" spans="1:23" ht="15">
      <c r="A1064" s="613"/>
      <c r="B1064" s="17">
        <f t="shared" si="350"/>
        <v>10</v>
      </c>
      <c r="C1064" s="383"/>
      <c r="D1064" s="1" t="s">
        <v>311</v>
      </c>
      <c r="E1064" s="19"/>
      <c r="F1064" s="118">
        <f>' WP II-I-1.4'!$I$1064</f>
        <v>3841558.0100000342</v>
      </c>
      <c r="G1064" s="17">
        <v>64</v>
      </c>
      <c r="H1064" s="47" t="str">
        <f>VLOOKUP(G1064,FactorTable,2)</f>
        <v>PLANT</v>
      </c>
      <c r="I1064" s="19"/>
      <c r="J1064" s="435">
        <f t="shared" si="354" ref="J1064:S1064">$F1064*HLOOKUP(J$1318,FactorTable,$G1064+1)</f>
        <v>2140379.8157848408</v>
      </c>
      <c r="K1064" s="435">
        <f t="shared" si="354"/>
        <v>329991.44677905244</v>
      </c>
      <c r="L1064" s="435">
        <f t="shared" si="354"/>
        <v>1017870.033066489</v>
      </c>
      <c r="M1064" s="435">
        <f t="shared" si="354"/>
        <v>14292.440746467799</v>
      </c>
      <c r="N1064" s="435">
        <f t="shared" si="354"/>
        <v>298244.73742565856</v>
      </c>
      <c r="O1064" s="435">
        <f t="shared" si="354"/>
        <v>10191.919183281792</v>
      </c>
      <c r="P1064" s="435">
        <f t="shared" si="354"/>
        <v>22187.024068221126</v>
      </c>
      <c r="Q1064" s="435">
        <f t="shared" si="354"/>
        <v>4478.438131528721</v>
      </c>
      <c r="R1064" s="435">
        <f t="shared" si="354"/>
        <v>1175.9906749940531</v>
      </c>
      <c r="S1064" s="435">
        <f t="shared" si="354"/>
        <v>2746.1641395003935</v>
      </c>
      <c r="T1064" s="19"/>
      <c r="U1064" s="118">
        <f>SUM(I1064:T1064)</f>
        <v>3841558.0100000347</v>
      </c>
      <c r="V1064" s="382"/>
      <c r="W1064" s="726">
        <f t="shared" si="352"/>
        <v>0</v>
      </c>
    </row>
    <row r="1065" spans="1:23" ht="15.75">
      <c r="A1065" s="47"/>
      <c r="B1065" s="17">
        <f t="shared" si="350"/>
        <v>11</v>
      </c>
      <c r="C1065" s="8"/>
      <c r="D1065" s="297" t="s">
        <v>714</v>
      </c>
      <c r="E1065" s="20"/>
      <c r="F1065" s="22">
        <f>+F1064</f>
        <v>3841558.0100000342</v>
      </c>
      <c r="G1065" s="20"/>
      <c r="H1065" s="20"/>
      <c r="I1065" s="1010"/>
      <c r="J1065" s="896">
        <f t="shared" si="355" ref="J1065:Q1065">+J1064</f>
        <v>2140379.8157848408</v>
      </c>
      <c r="K1065" s="896">
        <f t="shared" si="355"/>
        <v>329991.44677905244</v>
      </c>
      <c r="L1065" s="896">
        <f t="shared" si="355"/>
        <v>1017870.033066489</v>
      </c>
      <c r="M1065" s="896">
        <f t="shared" si="355"/>
        <v>14292.440746467799</v>
      </c>
      <c r="N1065" s="896">
        <f t="shared" si="355"/>
        <v>298244.73742565856</v>
      </c>
      <c r="O1065" s="896">
        <f>+O1064</f>
        <v>10191.919183281792</v>
      </c>
      <c r="P1065" s="896">
        <f t="shared" si="355"/>
        <v>22187.024068221126</v>
      </c>
      <c r="Q1065" s="896">
        <f t="shared" si="355"/>
        <v>4478.438131528721</v>
      </c>
      <c r="R1065" s="896">
        <f>+R1064</f>
        <v>1175.9906749940531</v>
      </c>
      <c r="S1065" s="896">
        <f>+S1064</f>
        <v>2746.1641395003935</v>
      </c>
      <c r="T1065" s="1010"/>
      <c r="U1065" s="299">
        <f>SUM(I1065:T1065)</f>
        <v>3841558.0100000347</v>
      </c>
      <c r="V1065" s="67"/>
      <c r="W1065" s="726">
        <f t="shared" si="352"/>
        <v>0</v>
      </c>
    </row>
    <row r="1066" spans="1:23" ht="15">
      <c r="A1066" s="47"/>
      <c r="B1066" s="17">
        <f t="shared" si="350"/>
        <v>12</v>
      </c>
      <c r="C1066" s="1"/>
      <c r="D1066" s="1"/>
      <c r="E1066" s="17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"/>
      <c r="V1066" s="67"/>
      <c r="W1066" s="726">
        <f t="shared" si="352"/>
        <v>0</v>
      </c>
    </row>
    <row r="1067" spans="1:23" ht="15.75">
      <c r="A1067" s="47"/>
      <c r="B1067" s="17">
        <f t="shared" si="350"/>
        <v>13</v>
      </c>
      <c r="C1067" s="8" t="s">
        <v>312</v>
      </c>
      <c r="D1067" s="8"/>
      <c r="E1067" s="20" t="s">
        <v>305</v>
      </c>
      <c r="F1067" s="22"/>
      <c r="G1067" s="20"/>
      <c r="H1067" s="20"/>
      <c r="I1067" s="1010"/>
      <c r="J1067" s="1059"/>
      <c r="K1067" s="1059"/>
      <c r="L1067" s="1059"/>
      <c r="M1067" s="1059"/>
      <c r="N1067" s="1059"/>
      <c r="O1067" s="1059"/>
      <c r="P1067" s="1059"/>
      <c r="Q1067" s="1059"/>
      <c r="R1067" s="1059"/>
      <c r="S1067" s="1059"/>
      <c r="T1067" s="1010"/>
      <c r="U1067" s="8"/>
      <c r="V1067" s="67"/>
      <c r="W1067" s="726">
        <f t="shared" si="352"/>
        <v>0</v>
      </c>
    </row>
    <row r="1068" spans="1:23" ht="15">
      <c r="A1068" s="47"/>
      <c r="B1068" s="17">
        <f t="shared" si="350"/>
        <v>14</v>
      </c>
      <c r="C1068" s="1"/>
      <c r="D1068" s="1" t="s">
        <v>313</v>
      </c>
      <c r="E1068" s="17"/>
      <c r="F1068" s="118">
        <f>' WP II-I-1.4'!I1068</f>
        <v>549068.12999999966</v>
      </c>
      <c r="G1068" s="17">
        <v>91</v>
      </c>
      <c r="H1068" s="47" t="str">
        <f>VLOOKUP(G1068,FactorTable,2)</f>
        <v>TAX INC</v>
      </c>
      <c r="I1068" s="17"/>
      <c r="J1068" s="434">
        <f t="shared" si="356" ref="J1068:S1069">$F1068*HLOOKUP(J$1318,FactorTable,$G1068+1)</f>
        <v>305449.47061727935</v>
      </c>
      <c r="K1068" s="434">
        <f t="shared" si="356"/>
        <v>46940.89841349615</v>
      </c>
      <c r="L1068" s="434">
        <f t="shared" si="356"/>
        <v>145895.96255803286</v>
      </c>
      <c r="M1068" s="434">
        <f t="shared" si="356"/>
        <v>2030.9440627878082</v>
      </c>
      <c r="N1068" s="434">
        <f t="shared" si="356"/>
        <v>42583.960955164832</v>
      </c>
      <c r="O1068" s="434">
        <f t="shared" si="356"/>
        <v>1479.4222060348748</v>
      </c>
      <c r="P1068" s="434">
        <f t="shared" si="356"/>
        <v>3371.1782670834623</v>
      </c>
      <c r="Q1068" s="434">
        <f t="shared" si="356"/>
        <v>757.45288176353279</v>
      </c>
      <c r="R1068" s="434">
        <f t="shared" si="356"/>
        <v>168.08517297936746</v>
      </c>
      <c r="S1068" s="434">
        <f t="shared" si="356"/>
        <v>390.75486537731501</v>
      </c>
      <c r="T1068" s="17"/>
      <c r="U1068" s="118">
        <f>SUM(I1068:T1068)</f>
        <v>549068.12999999966</v>
      </c>
      <c r="V1068" s="67"/>
      <c r="W1068" s="726">
        <f t="shared" si="352"/>
        <v>0</v>
      </c>
    </row>
    <row r="1069" spans="1:23" ht="15">
      <c r="A1069" s="47"/>
      <c r="B1069" s="17">
        <f t="shared" si="350"/>
        <v>15</v>
      </c>
      <c r="C1069" s="1"/>
      <c r="D1069" s="1" t="s">
        <v>314</v>
      </c>
      <c r="E1069" s="17"/>
      <c r="F1069" s="118">
        <f>' WP II-I-1.4'!I1069</f>
        <v>0</v>
      </c>
      <c r="G1069" s="17">
        <v>19</v>
      </c>
      <c r="H1069" s="47" t="str">
        <f>VLOOKUP(G1069,FactorTable,2)</f>
        <v>ENERGY ICL</v>
      </c>
      <c r="I1069" s="17"/>
      <c r="J1069" s="435">
        <f t="shared" si="356"/>
        <v>0</v>
      </c>
      <c r="K1069" s="435">
        <f t="shared" si="356"/>
        <v>0</v>
      </c>
      <c r="L1069" s="435">
        <f t="shared" si="356"/>
        <v>0</v>
      </c>
      <c r="M1069" s="435">
        <f t="shared" si="356"/>
        <v>0</v>
      </c>
      <c r="N1069" s="435">
        <f t="shared" si="356"/>
        <v>0</v>
      </c>
      <c r="O1069" s="435">
        <f t="shared" si="356"/>
        <v>0</v>
      </c>
      <c r="P1069" s="435">
        <f t="shared" si="356"/>
        <v>0</v>
      </c>
      <c r="Q1069" s="435">
        <f t="shared" si="356"/>
        <v>0</v>
      </c>
      <c r="R1069" s="435">
        <f t="shared" si="356"/>
        <v>0</v>
      </c>
      <c r="S1069" s="435">
        <f t="shared" si="356"/>
        <v>0</v>
      </c>
      <c r="T1069" s="17"/>
      <c r="U1069" s="118">
        <f>SUM(I1069:T1069)</f>
        <v>0</v>
      </c>
      <c r="V1069" s="67"/>
      <c r="W1069" s="726">
        <f t="shared" si="352"/>
        <v>0</v>
      </c>
    </row>
    <row r="1070" spans="1:23" ht="15.75">
      <c r="A1070" s="47"/>
      <c r="B1070" s="17">
        <f t="shared" si="350"/>
        <v>16</v>
      </c>
      <c r="C1070" s="8"/>
      <c r="D1070" s="297" t="s">
        <v>715</v>
      </c>
      <c r="E1070" s="20"/>
      <c r="F1070" s="22">
        <f>SUM(F1068:F1069)</f>
        <v>549068.12999999966</v>
      </c>
      <c r="G1070" s="20"/>
      <c r="H1070" s="20"/>
      <c r="I1070" s="1010"/>
      <c r="J1070" s="896">
        <f t="shared" si="357" ref="J1070:Q1070">SUM(J1068:J1069)</f>
        <v>305449.47061727935</v>
      </c>
      <c r="K1070" s="896">
        <f t="shared" si="357"/>
        <v>46940.89841349615</v>
      </c>
      <c r="L1070" s="896">
        <f t="shared" si="357"/>
        <v>145895.96255803286</v>
      </c>
      <c r="M1070" s="896">
        <f t="shared" si="357"/>
        <v>2030.9440627878082</v>
      </c>
      <c r="N1070" s="896">
        <f t="shared" si="357"/>
        <v>42583.960955164832</v>
      </c>
      <c r="O1070" s="896">
        <f>SUM(O1068:O1069)</f>
        <v>1479.4222060348748</v>
      </c>
      <c r="P1070" s="896">
        <f t="shared" si="357"/>
        <v>3371.1782670834623</v>
      </c>
      <c r="Q1070" s="896">
        <f t="shared" si="357"/>
        <v>757.45288176353279</v>
      </c>
      <c r="R1070" s="896">
        <f>SUM(R1068:R1069)</f>
        <v>168.08517297936746</v>
      </c>
      <c r="S1070" s="896">
        <f>SUM(S1068:S1069)</f>
        <v>390.75486537731501</v>
      </c>
      <c r="T1070" s="1010"/>
      <c r="U1070" s="299">
        <f>SUM(I1070:T1070)</f>
        <v>549068.12999999966</v>
      </c>
      <c r="V1070" s="67"/>
      <c r="W1070" s="726">
        <f t="shared" si="352"/>
        <v>0</v>
      </c>
    </row>
    <row r="1071" spans="1:23" ht="15.75" thickBot="1">
      <c r="A1071" s="47"/>
      <c r="B1071" s="17">
        <f t="shared" si="350"/>
        <v>17</v>
      </c>
      <c r="C1071" s="1"/>
      <c r="D1071" s="1"/>
      <c r="E1071" s="17"/>
      <c r="F1071" s="385"/>
      <c r="G1071" s="17"/>
      <c r="H1071" s="17"/>
      <c r="I1071" s="17"/>
      <c r="J1071" s="385"/>
      <c r="K1071" s="385"/>
      <c r="L1071" s="385"/>
      <c r="M1071" s="385"/>
      <c r="N1071" s="385"/>
      <c r="O1071" s="385"/>
      <c r="P1071" s="385"/>
      <c r="Q1071" s="385"/>
      <c r="R1071" s="385"/>
      <c r="S1071" s="385"/>
      <c r="T1071" s="17"/>
      <c r="U1071" s="385"/>
      <c r="V1071" s="67"/>
      <c r="W1071" s="726">
        <f t="shared" si="352"/>
        <v>0</v>
      </c>
    </row>
    <row r="1072" spans="1:23" ht="16.5" thickBot="1">
      <c r="A1072" s="47"/>
      <c r="B1072" s="17">
        <f t="shared" si="350"/>
        <v>18</v>
      </c>
      <c r="C1072" s="284" t="s">
        <v>716</v>
      </c>
      <c r="D1072" s="285"/>
      <c r="E1072" s="374" t="s">
        <v>305</v>
      </c>
      <c r="F1072" s="255">
        <f>+F1070+F1065+F1061</f>
        <v>4509539.7900000364</v>
      </c>
      <c r="G1072" s="374"/>
      <c r="H1072" s="467"/>
      <c r="I1072" s="468"/>
      <c r="J1072" s="446">
        <f t="shared" si="358" ref="J1072:Q1072">+J1070+J1065+J1061</f>
        <v>2510037.6316106897</v>
      </c>
      <c r="K1072" s="903">
        <f t="shared" si="358"/>
        <v>386025.8160900019</v>
      </c>
      <c r="L1072" s="903">
        <f t="shared" si="358"/>
        <v>1195666.6330589149</v>
      </c>
      <c r="M1072" s="903">
        <f t="shared" si="358"/>
        <v>16701.902231847296</v>
      </c>
      <c r="N1072" s="903">
        <f t="shared" si="358"/>
        <v>349565.7748744337</v>
      </c>
      <c r="O1072" s="903">
        <f>+O1070+O1065+O1061</f>
        <v>12048.111889415091</v>
      </c>
      <c r="P1072" s="903">
        <f t="shared" si="358"/>
        <v>26539.761851715499</v>
      </c>
      <c r="Q1072" s="903">
        <f t="shared" si="358"/>
        <v>8370.8789125671192</v>
      </c>
      <c r="R1072" s="903">
        <f>+R1070+R1065+R1061</f>
        <v>1374.7421615241947</v>
      </c>
      <c r="S1072" s="380">
        <f>+S1070+S1065+S1061</f>
        <v>3208.5373189272045</v>
      </c>
      <c r="T1072" s="374"/>
      <c r="U1072" s="256">
        <f>SUM(I1072:T1072)</f>
        <v>4509539.7900000373</v>
      </c>
      <c r="V1072" s="67"/>
      <c r="W1072" s="726">
        <f t="shared" si="352"/>
        <v>0</v>
      </c>
    </row>
    <row r="1073" spans="1:23" ht="15.75" thickBot="1">
      <c r="A1073" s="47"/>
      <c r="B1073" s="67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167"/>
    </row>
    <row r="1074" spans="1:23" ht="15.75">
      <c r="A1074" s="47"/>
      <c r="B1074" s="920" t="str">
        <f>+$B$4</f>
        <v>2022 RATE CASE</v>
      </c>
      <c r="C1074" s="935"/>
      <c r="D1074" s="969"/>
      <c r="F1074" s="332"/>
      <c r="H1074" s="134"/>
      <c r="U1074" s="134"/>
      <c r="V1074" s="134">
        <f>$H$2</f>
        <v>0</v>
      </c>
      <c r="W1074" s="167"/>
    </row>
    <row r="1075" spans="1:23" ht="15.75">
      <c r="A1075" s="47"/>
      <c r="B1075" s="917" t="str">
        <f>+$B$5</f>
        <v>ONCOR ELECTRIC DELIVERY COMPANY LLC</v>
      </c>
      <c r="C1075" s="8"/>
      <c r="D1075" s="970"/>
      <c r="F1075" s="332"/>
      <c r="U1075" s="134"/>
      <c r="V1075" s="67"/>
      <c r="W1075" s="167"/>
    </row>
    <row r="1076" spans="1:23" ht="15.75">
      <c r="A1076" s="47"/>
      <c r="B1076" s="917" t="str">
        <f>+$B$6</f>
        <v>II-I-1-TBILLTDCS:  CLASS REVENUE REQUIREMENT</v>
      </c>
      <c r="C1076" s="85"/>
      <c r="D1076" s="970"/>
      <c r="F1076" s="332"/>
      <c r="U1076" s="332"/>
      <c r="V1076" s="67"/>
      <c r="W1076" s="167"/>
    </row>
    <row r="1077" spans="1:23" ht="15.75">
      <c r="A1077" s="47"/>
      <c r="B1077" s="406" t="str">
        <f>+$B$7</f>
        <v>TEST YEAR ENDING 12/31/2021</v>
      </c>
      <c r="C1077" s="85"/>
      <c r="D1077" s="970"/>
      <c r="F1077" s="19"/>
      <c r="U1077" s="332"/>
      <c r="V1077" s="67"/>
      <c r="W1077" s="167"/>
    </row>
    <row r="1078" spans="1:23" ht="15.75">
      <c r="A1078" s="47"/>
      <c r="B1078" s="406" t="str">
        <f>+$B$8</f>
        <v>SPONSOR:  MATTHEW A. TROXLE</v>
      </c>
      <c r="C1078" s="85"/>
      <c r="D1078" s="970"/>
      <c r="F1078" s="332"/>
      <c r="U1078" s="332"/>
      <c r="V1078" s="67"/>
      <c r="W1078" s="167"/>
    </row>
    <row r="1079" spans="1:23" ht="16.5" thickBot="1">
      <c r="A1079" s="47"/>
      <c r="B1079" s="410"/>
      <c r="C1079" s="934"/>
      <c r="D1079" s="936"/>
      <c r="F1079" s="332"/>
      <c r="U1079" s="332"/>
      <c r="V1079" s="67"/>
      <c r="W1079" s="167"/>
    </row>
    <row r="1080" spans="1:23" ht="15.75" thickBot="1">
      <c r="A1080" s="47"/>
      <c r="B1080" s="13"/>
      <c r="C1080" s="14"/>
      <c r="D1080" s="14"/>
      <c r="E1080" s="14"/>
      <c r="F1080" s="13"/>
      <c r="G1080" s="14"/>
      <c r="H1080" s="14"/>
      <c r="I1080" s="14"/>
      <c r="J1080" s="238"/>
      <c r="K1080" s="238"/>
      <c r="L1080" s="14"/>
      <c r="M1080" s="238"/>
      <c r="N1080" s="238"/>
      <c r="O1080" s="238"/>
      <c r="P1080" s="238"/>
      <c r="Q1080" s="14"/>
      <c r="R1080" s="393" t="str">
        <f>R$10</f>
        <v xml:space="preserve"> </v>
      </c>
      <c r="S1080" s="394"/>
      <c r="T1080" s="238"/>
      <c r="U1080" s="13"/>
      <c r="V1080" s="67"/>
      <c r="W1080" s="167"/>
    </row>
    <row r="1081" spans="1:23" ht="15.75">
      <c r="A1081" s="47"/>
      <c r="B1081" s="15" t="s">
        <v>2</v>
      </c>
      <c r="C1081" s="15" t="s">
        <v>370</v>
      </c>
      <c r="D1081" s="287" t="s">
        <v>315</v>
      </c>
      <c r="E1081" s="15" t="s">
        <v>371</v>
      </c>
      <c r="F1081" s="287" t="str">
        <f>F$11</f>
        <v>TBILLTDCS</v>
      </c>
      <c r="G1081" s="242" t="s">
        <v>741</v>
      </c>
      <c r="H1081" s="242" t="s">
        <v>376</v>
      </c>
      <c r="I1081" s="15"/>
      <c r="J1081" s="242" t="s">
        <v>730</v>
      </c>
      <c r="K1081" s="242" t="s">
        <v>409</v>
      </c>
      <c r="L1081" s="15" t="s">
        <v>409</v>
      </c>
      <c r="M1081" s="242" t="s">
        <v>410</v>
      </c>
      <c r="N1081" s="242" t="s">
        <v>410</v>
      </c>
      <c r="O1081" s="242" t="s">
        <v>410</v>
      </c>
      <c r="P1081" s="242" t="s">
        <v>411</v>
      </c>
      <c r="Q1081" s="15" t="s">
        <v>412</v>
      </c>
      <c r="R1081" s="396" t="str">
        <f>R$11</f>
        <v>Wholesale</v>
      </c>
      <c r="S1081" s="13" t="str">
        <f>S$11</f>
        <v>Wholesale</v>
      </c>
      <c r="T1081" s="242"/>
      <c r="U1081" s="15" t="s">
        <v>10</v>
      </c>
      <c r="V1081" s="67"/>
      <c r="W1081" s="167"/>
    </row>
    <row r="1082" spans="1:23" ht="15">
      <c r="A1082" s="47"/>
      <c r="B1082" s="15"/>
      <c r="C1082" s="15"/>
      <c r="D1082" s="15"/>
      <c r="E1082" s="15"/>
      <c r="F1082" s="15"/>
      <c r="G1082" s="242" t="s">
        <v>742</v>
      </c>
      <c r="H1082" s="242" t="s">
        <v>743</v>
      </c>
      <c r="I1082" s="15"/>
      <c r="J1082" s="242"/>
      <c r="K1082" s="242" t="s">
        <v>731</v>
      </c>
      <c r="L1082" s="15" t="s">
        <v>732</v>
      </c>
      <c r="M1082" s="242" t="s">
        <v>731</v>
      </c>
      <c r="N1082" s="242" t="s">
        <v>732</v>
      </c>
      <c r="O1082" s="242" t="s">
        <v>414</v>
      </c>
      <c r="P1082" s="242"/>
      <c r="Q1082" s="15"/>
      <c r="R1082" s="235" t="str">
        <f>R$12</f>
        <v>XFMR</v>
      </c>
      <c r="S1082" s="15" t="str">
        <f>S$12</f>
        <v>DLS</v>
      </c>
      <c r="T1082" s="242"/>
      <c r="U1082" s="15"/>
      <c r="V1082" s="67"/>
      <c r="W1082" s="167"/>
    </row>
    <row r="1083" spans="1:23" ht="15.75" thickBot="1">
      <c r="A1083" s="47"/>
      <c r="B1083" s="16"/>
      <c r="C1083" s="16"/>
      <c r="D1083" s="16"/>
      <c r="E1083" s="16"/>
      <c r="F1083" s="16" t="s">
        <v>13</v>
      </c>
      <c r="G1083" s="16" t="s">
        <v>14</v>
      </c>
      <c r="H1083" s="16" t="s">
        <v>15</v>
      </c>
      <c r="I1083" s="16"/>
      <c r="J1083" s="243" t="str">
        <f t="shared" si="359" ref="J1083:Q1083">J$13</f>
        <v>(d)</v>
      </c>
      <c r="K1083" s="243" t="str">
        <f t="shared" si="359"/>
        <v>(e)</v>
      </c>
      <c r="L1083" s="16" t="str">
        <f t="shared" si="359"/>
        <v>(f)</v>
      </c>
      <c r="M1083" s="243" t="str">
        <f t="shared" si="359"/>
        <v>(g)</v>
      </c>
      <c r="N1083" s="243" t="str">
        <f t="shared" si="359"/>
        <v>(h)</v>
      </c>
      <c r="O1083" s="243" t="str">
        <f>O$13</f>
        <v>(i)</v>
      </c>
      <c r="P1083" s="243" t="str">
        <f t="shared" si="359"/>
        <v>(j)</v>
      </c>
      <c r="Q1083" s="243" t="str">
        <f t="shared" si="359"/>
        <v>(k)</v>
      </c>
      <c r="R1083" s="243" t="str">
        <f>R$13</f>
        <v>(l)</v>
      </c>
      <c r="S1083" s="16" t="str">
        <f>S$13</f>
        <v>(m)</v>
      </c>
      <c r="T1083" s="16"/>
      <c r="U1083" s="16" t="s">
        <v>734</v>
      </c>
      <c r="V1083" s="67"/>
      <c r="W1083" s="167"/>
    </row>
    <row r="1084" spans="1:23" ht="15">
      <c r="A1084" s="47"/>
      <c r="B1084" s="67"/>
      <c r="C1084" s="333"/>
      <c r="D1084" s="333"/>
      <c r="E1084" s="333"/>
      <c r="F1084" s="333"/>
      <c r="G1084" s="333"/>
      <c r="H1084" s="333"/>
      <c r="I1084" s="333"/>
      <c r="J1084" s="333"/>
      <c r="K1084" s="333"/>
      <c r="L1084" s="333"/>
      <c r="M1084" s="333"/>
      <c r="N1084" s="333"/>
      <c r="O1084" s="333"/>
      <c r="P1084" s="333"/>
      <c r="Q1084" s="333"/>
      <c r="R1084" s="333"/>
      <c r="S1084" s="333"/>
      <c r="T1084" s="333"/>
      <c r="U1084" s="43"/>
      <c r="V1084" s="67"/>
      <c r="W1084" s="167"/>
    </row>
    <row r="1085" spans="1:23" ht="15.75">
      <c r="A1085" s="47"/>
      <c r="B1085" s="17">
        <f t="shared" si="360" ref="B1085:B1130">B1084+1</f>
        <v>1</v>
      </c>
      <c r="C1085" s="366" t="s">
        <v>315</v>
      </c>
      <c r="D1085" s="8"/>
      <c r="E1085" s="20"/>
      <c r="F1085" s="22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8"/>
      <c r="V1085" s="67"/>
      <c r="W1085" s="167"/>
    </row>
    <row r="1086" spans="1:23" ht="15">
      <c r="A1086" s="47"/>
      <c r="B1086" s="17">
        <f t="shared" si="360"/>
        <v>2</v>
      </c>
      <c r="C1086" s="1"/>
      <c r="D1086" s="1"/>
      <c r="E1086" s="17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"/>
      <c r="V1086" s="67"/>
      <c r="W1086" s="167"/>
    </row>
    <row r="1087" spans="1:23" ht="15.75">
      <c r="A1087" s="47"/>
      <c r="B1087" s="17">
        <f t="shared" si="360"/>
        <v>3</v>
      </c>
      <c r="C1087" s="8"/>
      <c r="D1087" s="34" t="s">
        <v>361</v>
      </c>
      <c r="E1087" s="20" t="s">
        <v>510</v>
      </c>
      <c r="F1087" s="22">
        <f>+F599</f>
        <v>14457604.669049725</v>
      </c>
      <c r="G1087" s="20"/>
      <c r="H1087" s="20"/>
      <c r="I1087" s="20"/>
      <c r="J1087" s="22">
        <f t="shared" si="361" ref="J1087:Q1087">+J599</f>
        <v>8036462.177727065</v>
      </c>
      <c r="K1087" s="22">
        <f t="shared" si="361"/>
        <v>1232489.1159806789</v>
      </c>
      <c r="L1087" s="22">
        <f t="shared" si="361"/>
        <v>3842610.4629393942</v>
      </c>
      <c r="M1087" s="22">
        <f t="shared" si="361"/>
        <v>53275.908031433457</v>
      </c>
      <c r="N1087" s="22">
        <f t="shared" si="361"/>
        <v>1119693.1521261467</v>
      </c>
      <c r="O1087" s="22">
        <f>+O599</f>
        <v>39139.977512166341</v>
      </c>
      <c r="P1087" s="22">
        <f t="shared" si="361"/>
        <v>89593.740388311722</v>
      </c>
      <c r="Q1087" s="22">
        <f t="shared" si="361"/>
        <v>29686.703588816006</v>
      </c>
      <c r="R1087" s="22">
        <f>+R599</f>
        <v>4407.0706957917582</v>
      </c>
      <c r="S1087" s="22">
        <f>+S599</f>
        <v>10246.360059917399</v>
      </c>
      <c r="T1087" s="20"/>
      <c r="U1087" s="21">
        <f>SUM(I1087:T1087)</f>
        <v>14457604.669049719</v>
      </c>
      <c r="V1087" s="47"/>
      <c r="W1087" s="726">
        <f t="shared" si="362" ref="W1087:W1130">F1087-U1087</f>
        <v>0</v>
      </c>
    </row>
    <row r="1088" spans="1:23" ht="15">
      <c r="A1088" s="47"/>
      <c r="B1088" s="17">
        <f t="shared" si="360"/>
        <v>4</v>
      </c>
      <c r="C1088" s="1"/>
      <c r="D1088" s="1"/>
      <c r="E1088" s="17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8"/>
      <c r="V1088" s="67"/>
      <c r="W1088" s="726">
        <f t="shared" si="362"/>
        <v>0</v>
      </c>
    </row>
    <row r="1089" spans="1:23" ht="15.75">
      <c r="A1089" s="47"/>
      <c r="B1089" s="17">
        <f t="shared" si="360"/>
        <v>5</v>
      </c>
      <c r="C1089" s="1"/>
      <c r="D1089" s="8" t="s">
        <v>317</v>
      </c>
      <c r="E1089" s="20" t="s">
        <v>316</v>
      </c>
      <c r="F1089" s="19"/>
      <c r="G1089" s="20"/>
      <c r="H1089" s="20"/>
      <c r="I1089" s="20"/>
      <c r="J1089" s="1059"/>
      <c r="K1089" s="1059"/>
      <c r="L1089" s="1059"/>
      <c r="M1089" s="1059"/>
      <c r="N1089" s="1059"/>
      <c r="O1089" s="1059"/>
      <c r="P1089" s="1059"/>
      <c r="Q1089" s="1059"/>
      <c r="R1089" s="1059"/>
      <c r="S1089" s="1059"/>
      <c r="T1089" s="1010"/>
      <c r="U1089" s="18"/>
      <c r="V1089" s="67"/>
      <c r="W1089" s="726">
        <f t="shared" si="362"/>
        <v>0</v>
      </c>
    </row>
    <row r="1090" spans="1:23" ht="15">
      <c r="A1090" s="47"/>
      <c r="B1090" s="17">
        <f t="shared" si="360"/>
        <v>6</v>
      </c>
      <c r="C1090" s="1"/>
      <c r="D1090" s="19" t="s">
        <v>318</v>
      </c>
      <c r="E1090" s="17"/>
      <c r="F1090" s="118">
        <f>' WP II-I-1.4'!I1090</f>
        <v>4942244.9999999348</v>
      </c>
      <c r="G1090" s="17">
        <v>68</v>
      </c>
      <c r="H1090" s="47" t="str">
        <f t="shared" si="363" ref="H1090:H1096">VLOOKUP(G1090,FactorTable,2)</f>
        <v>RATEBASE</v>
      </c>
      <c r="I1090" s="17"/>
      <c r="J1090" s="434">
        <f t="shared" si="364" ref="J1090:S1098">$F1090*HLOOKUP(J$1318,FactorTable,$G1090+1)</f>
        <v>2747216.1485081469</v>
      </c>
      <c r="K1090" s="434">
        <f t="shared" si="364"/>
        <v>421318.97436992376</v>
      </c>
      <c r="L1090" s="434">
        <f t="shared" si="364"/>
        <v>1313573.2219919604</v>
      </c>
      <c r="M1090" s="434">
        <f t="shared" si="364"/>
        <v>18212.04799246422</v>
      </c>
      <c r="N1090" s="434">
        <f t="shared" si="364"/>
        <v>382760.35410458792</v>
      </c>
      <c r="O1090" s="434">
        <f t="shared" si="364"/>
        <v>13379.76536138946</v>
      </c>
      <c r="P1090" s="434">
        <f t="shared" si="364"/>
        <v>30627.080045516977</v>
      </c>
      <c r="Q1090" s="434">
        <f t="shared" si="364"/>
        <v>10148.220658737217</v>
      </c>
      <c r="R1090" s="434">
        <f t="shared" si="364"/>
        <v>1506.5305498047399</v>
      </c>
      <c r="S1090" s="434">
        <f t="shared" si="364"/>
        <v>3502.6564174032223</v>
      </c>
      <c r="T1090" s="17"/>
      <c r="U1090" s="18">
        <f t="shared" si="365" ref="U1090:U1099">SUM(I1090:T1090)</f>
        <v>4942244.9999999339</v>
      </c>
      <c r="V1090" s="67"/>
      <c r="W1090" s="726">
        <f t="shared" si="362"/>
        <v>0</v>
      </c>
    </row>
    <row r="1091" spans="1:23" ht="15">
      <c r="A1091" s="47"/>
      <c r="B1091" s="17">
        <f t="shared" si="360"/>
        <v>7</v>
      </c>
      <c r="C1091" s="1"/>
      <c r="D1091" s="19" t="s">
        <v>319</v>
      </c>
      <c r="E1091" s="17"/>
      <c r="F1091" s="118">
        <f>' WP II-I-1.4'!I1091</f>
        <v>0</v>
      </c>
      <c r="G1091" s="17">
        <v>59</v>
      </c>
      <c r="H1091" s="47" t="str">
        <f t="shared" si="363"/>
        <v>PLANT_N</v>
      </c>
      <c r="I1091" s="17"/>
      <c r="J1091" s="434">
        <f t="shared" si="364"/>
        <v>0</v>
      </c>
      <c r="K1091" s="434">
        <f t="shared" si="364"/>
        <v>0</v>
      </c>
      <c r="L1091" s="434">
        <f t="shared" si="364"/>
        <v>0</v>
      </c>
      <c r="M1091" s="434">
        <f t="shared" si="364"/>
        <v>0</v>
      </c>
      <c r="N1091" s="434">
        <f t="shared" si="364"/>
        <v>0</v>
      </c>
      <c r="O1091" s="434">
        <f t="shared" si="364"/>
        <v>0</v>
      </c>
      <c r="P1091" s="434">
        <f t="shared" si="364"/>
        <v>0</v>
      </c>
      <c r="Q1091" s="434">
        <f t="shared" si="364"/>
        <v>0</v>
      </c>
      <c r="R1091" s="434">
        <f t="shared" si="364"/>
        <v>0</v>
      </c>
      <c r="S1091" s="434">
        <f t="shared" si="364"/>
        <v>0</v>
      </c>
      <c r="T1091" s="17"/>
      <c r="U1091" s="18">
        <f t="shared" si="365"/>
        <v>0</v>
      </c>
      <c r="V1091" s="67"/>
      <c r="W1091" s="726">
        <f t="shared" si="362"/>
        <v>0</v>
      </c>
    </row>
    <row r="1092" spans="1:23" ht="15">
      <c r="A1092" s="47"/>
      <c r="B1092" s="17">
        <f t="shared" si="360"/>
        <v>8</v>
      </c>
      <c r="C1092" s="1"/>
      <c r="D1092" s="19" t="s">
        <v>1247</v>
      </c>
      <c r="E1092" s="17"/>
      <c r="F1092" s="290">
        <f>' WP II-I-1.4'!I1092</f>
        <v>206880.70000000042</v>
      </c>
      <c r="G1092" s="17">
        <v>68</v>
      </c>
      <c r="H1092" s="47" t="str">
        <f t="shared" si="363"/>
        <v>RATEBASE</v>
      </c>
      <c r="I1092" s="17"/>
      <c r="J1092" s="434">
        <f t="shared" si="364"/>
        <v>114997.53651522294</v>
      </c>
      <c r="K1092" s="434">
        <f t="shared" si="364"/>
        <v>17636.269416213323</v>
      </c>
      <c r="L1092" s="434">
        <f t="shared" si="364"/>
        <v>54985.729697122726</v>
      </c>
      <c r="M1092" s="434">
        <f t="shared" si="364"/>
        <v>762.35015405238914</v>
      </c>
      <c r="N1092" s="434">
        <f t="shared" si="364"/>
        <v>16022.218645454894</v>
      </c>
      <c r="O1092" s="434">
        <f t="shared" si="364"/>
        <v>560.0724415321472</v>
      </c>
      <c r="P1092" s="434">
        <f t="shared" si="364"/>
        <v>1282.0391863966033</v>
      </c>
      <c r="Q1092" s="434">
        <f t="shared" si="364"/>
        <v>424.80107595516779</v>
      </c>
      <c r="R1092" s="434">
        <f t="shared" si="364"/>
        <v>63.062858015940975</v>
      </c>
      <c r="S1092" s="434">
        <f t="shared" si="364"/>
        <v>146.62001003428236</v>
      </c>
      <c r="T1092" s="17"/>
      <c r="U1092" s="18">
        <f t="shared" si="365"/>
        <v>206880.70000000042</v>
      </c>
      <c r="V1092" s="67"/>
      <c r="W1092" s="726">
        <f t="shared" si="362"/>
        <v>0</v>
      </c>
    </row>
    <row r="1093" spans="1:23" ht="15">
      <c r="A1093" s="47"/>
      <c r="B1093" s="17">
        <f t="shared" si="360"/>
        <v>9</v>
      </c>
      <c r="C1093" s="1"/>
      <c r="D1093" s="19" t="s">
        <v>1248</v>
      </c>
      <c r="E1093" s="17"/>
      <c r="F1093" s="290">
        <f>' WP II-I-1.4'!I1093</f>
        <v>-217593.92999998515</v>
      </c>
      <c r="G1093" s="17">
        <v>68</v>
      </c>
      <c r="H1093" s="47" t="str">
        <f t="shared" si="363"/>
        <v>RATEBASE</v>
      </c>
      <c r="I1093" s="17"/>
      <c r="J1093" s="434">
        <f t="shared" si="364"/>
        <v>-120952.63555597069</v>
      </c>
      <c r="K1093" s="434">
        <f t="shared" si="364"/>
        <v>-18549.556207091297</v>
      </c>
      <c r="L1093" s="434">
        <f t="shared" si="364"/>
        <v>-57833.142573056852</v>
      </c>
      <c r="M1093" s="434">
        <f t="shared" si="364"/>
        <v>-801.82813600472707</v>
      </c>
      <c r="N1093" s="434">
        <f t="shared" si="364"/>
        <v>-16851.922496315809</v>
      </c>
      <c r="O1093" s="434">
        <f t="shared" si="364"/>
        <v>-589.07555725433338</v>
      </c>
      <c r="P1093" s="434">
        <f t="shared" si="364"/>
        <v>-1348.4290462185204</v>
      </c>
      <c r="Q1093" s="434">
        <f t="shared" si="364"/>
        <v>-446.79922092929388</v>
      </c>
      <c r="R1093" s="434">
        <f t="shared" si="364"/>
        <v>-66.3285415832392</v>
      </c>
      <c r="S1093" s="434">
        <f t="shared" si="364"/>
        <v>-154.21266556037702</v>
      </c>
      <c r="T1093" s="17"/>
      <c r="U1093" s="18">
        <f t="shared" si="365"/>
        <v>-217593.92999998515</v>
      </c>
      <c r="V1093" s="67"/>
      <c r="W1093" s="726">
        <f t="shared" si="362"/>
        <v>0</v>
      </c>
    </row>
    <row r="1094" spans="1:23" ht="15">
      <c r="A1094" s="47"/>
      <c r="B1094" s="17">
        <f t="shared" si="360"/>
        <v>10</v>
      </c>
      <c r="C1094" s="1"/>
      <c r="D1094" s="19" t="s">
        <v>1249</v>
      </c>
      <c r="E1094" s="17"/>
      <c r="F1094" s="290">
        <f>' WP II-I-1.4'!I1094</f>
        <v>-48632.919999999918</v>
      </c>
      <c r="G1094" s="17">
        <v>68</v>
      </c>
      <c r="H1094" s="47" t="str">
        <f t="shared" si="363"/>
        <v>RATEBASE</v>
      </c>
      <c r="I1094" s="17"/>
      <c r="J1094" s="434">
        <f t="shared" si="364"/>
        <v>-27033.290169367636</v>
      </c>
      <c r="K1094" s="434">
        <f t="shared" si="364"/>
        <v>-4145.8834952566676</v>
      </c>
      <c r="L1094" s="434">
        <f t="shared" si="364"/>
        <v>-12925.887206983463</v>
      </c>
      <c r="M1094" s="434">
        <f t="shared" si="364"/>
        <v>-179.21108181680253</v>
      </c>
      <c r="N1094" s="434">
        <f t="shared" si="364"/>
        <v>-3766.4570818201664</v>
      </c>
      <c r="O1094" s="434">
        <f t="shared" si="364"/>
        <v>-131.66021887608409</v>
      </c>
      <c r="P1094" s="434">
        <f t="shared" si="364"/>
        <v>-301.37808499725139</v>
      </c>
      <c r="Q1094" s="434">
        <f t="shared" si="364"/>
        <v>-99.861015275187697</v>
      </c>
      <c r="R1094" s="434">
        <f t="shared" si="364"/>
        <v>-14.824635303634436</v>
      </c>
      <c r="S1094" s="434">
        <f t="shared" si="364"/>
        <v>-34.467010303022107</v>
      </c>
      <c r="T1094" s="17"/>
      <c r="U1094" s="18">
        <f t="shared" si="365"/>
        <v>-48632.919999999918</v>
      </c>
      <c r="V1094" s="67"/>
      <c r="W1094" s="726">
        <f t="shared" si="362"/>
        <v>0</v>
      </c>
    </row>
    <row r="1095" spans="1:23" ht="15">
      <c r="A1095" s="47"/>
      <c r="B1095" s="17">
        <f t="shared" si="360"/>
        <v>11</v>
      </c>
      <c r="C1095" s="1"/>
      <c r="D1095" s="386" t="s">
        <v>1250</v>
      </c>
      <c r="E1095" s="17"/>
      <c r="F1095" s="290">
        <f>' WP II-I-1.4'!I1095</f>
        <v>7346.580000000009</v>
      </c>
      <c r="G1095" s="17">
        <v>68</v>
      </c>
      <c r="H1095" s="47" t="str">
        <f t="shared" si="363"/>
        <v>RATEBASE</v>
      </c>
      <c r="I1095" s="17"/>
      <c r="J1095" s="434">
        <f t="shared" si="364"/>
        <v>4083.6994548645953</v>
      </c>
      <c r="K1095" s="434">
        <f t="shared" si="364"/>
        <v>626.28492734104418</v>
      </c>
      <c r="L1095" s="434">
        <f t="shared" si="364"/>
        <v>1952.6087357510273</v>
      </c>
      <c r="M1095" s="434">
        <f t="shared" si="364"/>
        <v>27.071961738133123</v>
      </c>
      <c r="N1095" s="434">
        <f t="shared" si="364"/>
        <v>568.96806254196702</v>
      </c>
      <c r="O1095" s="434">
        <f t="shared" si="364"/>
        <v>19.888839304542369</v>
      </c>
      <c r="P1095" s="434">
        <f t="shared" si="364"/>
        <v>45.526738095905273</v>
      </c>
      <c r="Q1095" s="434">
        <f t="shared" si="364"/>
        <v>15.085192038651814</v>
      </c>
      <c r="R1095" s="434">
        <f t="shared" si="364"/>
        <v>2.2394371801852531</v>
      </c>
      <c r="S1095" s="434">
        <f t="shared" si="364"/>
        <v>5.2066511439571563</v>
      </c>
      <c r="T1095" s="17"/>
      <c r="U1095" s="18">
        <f t="shared" si="365"/>
        <v>7346.580000000009</v>
      </c>
      <c r="V1095" s="67"/>
      <c r="W1095" s="726">
        <f t="shared" si="362"/>
        <v>0</v>
      </c>
    </row>
    <row r="1096" spans="1:23" ht="15">
      <c r="A1096" s="47"/>
      <c r="B1096" s="17">
        <f t="shared" si="360"/>
        <v>12</v>
      </c>
      <c r="C1096" s="1"/>
      <c r="D1096" s="386" t="s">
        <v>998</v>
      </c>
      <c r="E1096" s="17"/>
      <c r="F1096" s="290">
        <f>' WP II-I-1.4'!I1096</f>
        <v>2233.8599999999951</v>
      </c>
      <c r="G1096" s="17">
        <v>68</v>
      </c>
      <c r="H1096" s="47" t="str">
        <f t="shared" si="363"/>
        <v>RATEBASE</v>
      </c>
      <c r="I1096" s="17"/>
      <c r="J1096" s="434">
        <f t="shared" si="364"/>
        <v>1241.7223884098171</v>
      </c>
      <c r="K1096" s="434">
        <f t="shared" si="364"/>
        <v>190.43321488230717</v>
      </c>
      <c r="L1096" s="434">
        <f t="shared" si="364"/>
        <v>593.7258629790698</v>
      </c>
      <c r="M1096" s="434">
        <f t="shared" si="364"/>
        <v>8.2317176765713906</v>
      </c>
      <c r="N1096" s="434">
        <f t="shared" si="364"/>
        <v>173.00498955840598</v>
      </c>
      <c r="O1096" s="434">
        <f t="shared" si="364"/>
        <v>6.0475598943787263</v>
      </c>
      <c r="P1096" s="434">
        <f t="shared" si="364"/>
        <v>13.84322489687972</v>
      </c>
      <c r="Q1096" s="434">
        <f t="shared" si="364"/>
        <v>4.5869244039352495</v>
      </c>
      <c r="R1096" s="434">
        <f t="shared" si="364"/>
        <v>0.6809412188159133</v>
      </c>
      <c r="S1096" s="434">
        <f t="shared" si="364"/>
        <v>1.5831760798140213</v>
      </c>
      <c r="T1096" s="17"/>
      <c r="U1096" s="18">
        <f t="shared" si="365"/>
        <v>2233.8599999999951</v>
      </c>
      <c r="V1096" s="118"/>
      <c r="W1096" s="726">
        <f t="shared" si="362"/>
        <v>0</v>
      </c>
    </row>
    <row r="1097" spans="1:23" ht="15">
      <c r="A1097" s="47"/>
      <c r="B1097" s="17">
        <f t="shared" si="360"/>
        <v>13</v>
      </c>
      <c r="C1097" s="1"/>
      <c r="D1097" s="1"/>
      <c r="E1097" s="17"/>
      <c r="F1097" s="290">
        <f>' WP II-I-1.4'!I1097</f>
        <v>0</v>
      </c>
      <c r="G1097" s="17"/>
      <c r="H1097" s="47"/>
      <c r="I1097" s="17"/>
      <c r="J1097" s="434">
        <f t="shared" si="364"/>
        <v>0</v>
      </c>
      <c r="K1097" s="434">
        <f t="shared" si="364"/>
        <v>0</v>
      </c>
      <c r="L1097" s="434">
        <f t="shared" si="364"/>
        <v>0</v>
      </c>
      <c r="M1097" s="434">
        <f t="shared" si="364"/>
        <v>0</v>
      </c>
      <c r="N1097" s="434">
        <f t="shared" si="364"/>
        <v>0</v>
      </c>
      <c r="O1097" s="434">
        <f t="shared" si="364"/>
        <v>0</v>
      </c>
      <c r="P1097" s="434">
        <f t="shared" si="364"/>
        <v>0</v>
      </c>
      <c r="Q1097" s="434">
        <f t="shared" si="364"/>
        <v>0</v>
      </c>
      <c r="R1097" s="434">
        <f t="shared" si="364"/>
        <v>0</v>
      </c>
      <c r="S1097" s="434">
        <f t="shared" si="364"/>
        <v>0</v>
      </c>
      <c r="T1097" s="17"/>
      <c r="U1097" s="18">
        <f t="shared" si="365"/>
        <v>0</v>
      </c>
      <c r="V1097" s="67"/>
      <c r="W1097" s="726">
        <f t="shared" si="362"/>
        <v>0</v>
      </c>
    </row>
    <row r="1098" spans="1:23" ht="15">
      <c r="A1098" s="47"/>
      <c r="B1098" s="17">
        <f t="shared" si="360"/>
        <v>14</v>
      </c>
      <c r="C1098" s="1"/>
      <c r="D1098" s="1"/>
      <c r="E1098" s="17"/>
      <c r="F1098" s="290">
        <f>' WP II-I-1.4'!I1098</f>
        <v>0</v>
      </c>
      <c r="G1098" s="17"/>
      <c r="H1098" s="47"/>
      <c r="I1098" s="17"/>
      <c r="J1098" s="435">
        <f t="shared" si="364"/>
        <v>0</v>
      </c>
      <c r="K1098" s="435">
        <f t="shared" si="364"/>
        <v>0</v>
      </c>
      <c r="L1098" s="435">
        <f t="shared" si="364"/>
        <v>0</v>
      </c>
      <c r="M1098" s="435">
        <f t="shared" si="364"/>
        <v>0</v>
      </c>
      <c r="N1098" s="435">
        <f t="shared" si="364"/>
        <v>0</v>
      </c>
      <c r="O1098" s="435">
        <f t="shared" si="364"/>
        <v>0</v>
      </c>
      <c r="P1098" s="435">
        <f t="shared" si="364"/>
        <v>0</v>
      </c>
      <c r="Q1098" s="435">
        <f t="shared" si="364"/>
        <v>0</v>
      </c>
      <c r="R1098" s="435">
        <f t="shared" si="364"/>
        <v>0</v>
      </c>
      <c r="S1098" s="435">
        <f t="shared" si="364"/>
        <v>0</v>
      </c>
      <c r="T1098" s="17"/>
      <c r="U1098" s="18">
        <f t="shared" si="365"/>
        <v>0</v>
      </c>
      <c r="V1098" s="118"/>
      <c r="W1098" s="726">
        <f t="shared" si="362"/>
        <v>0</v>
      </c>
    </row>
    <row r="1099" spans="1:23" ht="15.75">
      <c r="A1099" s="47"/>
      <c r="B1099" s="17">
        <f t="shared" si="360"/>
        <v>15</v>
      </c>
      <c r="C1099" s="8"/>
      <c r="D1099" s="297" t="s">
        <v>491</v>
      </c>
      <c r="E1099" s="1135"/>
      <c r="F1099" s="896">
        <f>SUM(F1090:F1098)</f>
        <v>4892479.2899999507</v>
      </c>
      <c r="G1099" s="1135"/>
      <c r="H1099" s="1135"/>
      <c r="I1099" s="1135"/>
      <c r="J1099" s="896">
        <f t="shared" si="366" ref="J1099:Q1099">SUM(J1090:J1098)</f>
        <v>2719553.1811413062</v>
      </c>
      <c r="K1099" s="896">
        <f t="shared" si="366"/>
        <v>417076.52222601249</v>
      </c>
      <c r="L1099" s="896">
        <f t="shared" si="366"/>
        <v>1300346.256507773</v>
      </c>
      <c r="M1099" s="896">
        <f t="shared" si="366"/>
        <v>18028.662608109786</v>
      </c>
      <c r="N1099" s="896">
        <f t="shared" si="366"/>
        <v>378906.16622400726</v>
      </c>
      <c r="O1099" s="896">
        <f>SUM(O1090:O1098)</f>
        <v>13245.038425990111</v>
      </c>
      <c r="P1099" s="896">
        <f t="shared" si="366"/>
        <v>30318.682063690594</v>
      </c>
      <c r="Q1099" s="896">
        <f t="shared" si="366"/>
        <v>10046.033614930489</v>
      </c>
      <c r="R1099" s="896">
        <f>SUM(R1090:R1098)</f>
        <v>1491.3606093328081</v>
      </c>
      <c r="S1099" s="896">
        <f>SUM(S1090:S1098)</f>
        <v>3467.3865787978771</v>
      </c>
      <c r="T1099" s="1010"/>
      <c r="U1099" s="299">
        <f t="shared" si="365"/>
        <v>4892479.2899999516</v>
      </c>
      <c r="V1099" s="67"/>
      <c r="W1099" s="726">
        <f t="shared" si="362"/>
        <v>0</v>
      </c>
    </row>
    <row r="1100" spans="1:23" ht="15">
      <c r="A1100" s="47"/>
      <c r="B1100" s="17">
        <f t="shared" si="360"/>
        <v>16</v>
      </c>
      <c r="C1100" s="1"/>
      <c r="D1100" s="1"/>
      <c r="E1100" s="17"/>
      <c r="F1100" s="128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28"/>
      <c r="V1100" s="67"/>
      <c r="W1100" s="726">
        <f t="shared" si="362"/>
        <v>0</v>
      </c>
    </row>
    <row r="1101" spans="1:23" ht="15.75">
      <c r="A1101" s="47"/>
      <c r="B1101" s="17">
        <f t="shared" si="360"/>
        <v>17</v>
      </c>
      <c r="C1101" s="8"/>
      <c r="D1101" s="8" t="s">
        <v>321</v>
      </c>
      <c r="E1101" s="1135" t="s">
        <v>316</v>
      </c>
      <c r="F1101" s="896"/>
      <c r="G1101" s="1135"/>
      <c r="H1101" s="1135"/>
      <c r="I1101" s="1135"/>
      <c r="J1101" s="1135"/>
      <c r="K1101" s="1059"/>
      <c r="L1101" s="1059"/>
      <c r="M1101" s="1059"/>
      <c r="N1101" s="1059"/>
      <c r="O1101" s="1059"/>
      <c r="P1101" s="1059"/>
      <c r="Q1101" s="1059"/>
      <c r="R1101" s="1059"/>
      <c r="S1101" s="1059"/>
      <c r="T1101" s="1010"/>
      <c r="U1101" s="8"/>
      <c r="V1101" s="67"/>
      <c r="W1101" s="726">
        <f t="shared" si="362"/>
        <v>0</v>
      </c>
    </row>
    <row r="1102" spans="1:23" ht="15">
      <c r="A1102" s="47"/>
      <c r="B1102" s="17">
        <f t="shared" si="360"/>
        <v>18</v>
      </c>
      <c r="C1102" s="1"/>
      <c r="D1102" s="1" t="s">
        <v>323</v>
      </c>
      <c r="E1102" s="17"/>
      <c r="F1102" s="290">
        <f>' WP II-I-1.4'!I1102</f>
        <v>4099.3500000000358</v>
      </c>
      <c r="G1102" s="17">
        <v>59</v>
      </c>
      <c r="H1102" s="47" t="str">
        <f t="shared" si="367" ref="H1102:H1108">VLOOKUP(G1102,FactorTable,2)</f>
        <v>PLANT_N</v>
      </c>
      <c r="I1102" s="17"/>
      <c r="J1102" s="434">
        <f t="shared" si="368" ref="J1102:S1106">$F1102*HLOOKUP(J$1318,FactorTable,$G1102+1)</f>
        <v>2284.0123655551888</v>
      </c>
      <c r="K1102" s="434">
        <f t="shared" si="368"/>
        <v>352.13588701051742</v>
      </c>
      <c r="L1102" s="434">
        <f t="shared" si="368"/>
        <v>1086.1753250085924</v>
      </c>
      <c r="M1102" s="434">
        <f t="shared" si="368"/>
        <v>15.251550756624587</v>
      </c>
      <c r="N1102" s="434">
        <f t="shared" si="368"/>
        <v>318.25877968867974</v>
      </c>
      <c r="O1102" s="434">
        <f t="shared" si="368"/>
        <v>10.875859168396682</v>
      </c>
      <c r="P1102" s="434">
        <f t="shared" si="368"/>
        <v>23.675908805048149</v>
      </c>
      <c r="Q1102" s="434">
        <f t="shared" si="368"/>
        <v>4.7789686649772225</v>
      </c>
      <c r="R1102" s="434">
        <f t="shared" si="368"/>
        <v>1.2549068271226935</v>
      </c>
      <c r="S1102" s="434">
        <f t="shared" si="368"/>
        <v>2.930448514888087</v>
      </c>
      <c r="T1102" s="17"/>
      <c r="U1102" s="18">
        <f t="shared" si="369" ref="U1102:U1107">SUM(I1102:T1102)</f>
        <v>4099.3500000000349</v>
      </c>
      <c r="V1102" s="67"/>
      <c r="W1102" s="726">
        <f t="shared" si="362"/>
        <v>0</v>
      </c>
    </row>
    <row r="1103" spans="1:23" ht="15">
      <c r="A1103" s="47"/>
      <c r="B1103" s="17">
        <f t="shared" si="360"/>
        <v>19</v>
      </c>
      <c r="C1103" s="1"/>
      <c r="D1103" s="1" t="s">
        <v>1251</v>
      </c>
      <c r="E1103" s="17"/>
      <c r="F1103" s="290">
        <f>' WP II-I-1.4'!I1103</f>
        <v>11315.619999999995</v>
      </c>
      <c r="G1103" s="17">
        <v>68</v>
      </c>
      <c r="H1103" s="47" t="str">
        <f t="shared" si="367"/>
        <v>RATEBASE</v>
      </c>
      <c r="I1103" s="17"/>
      <c r="J1103" s="434">
        <f t="shared" si="368"/>
        <v>6289.9459647148515</v>
      </c>
      <c r="K1103" s="434">
        <f t="shared" si="368"/>
        <v>964.63963497557438</v>
      </c>
      <c r="L1103" s="434">
        <f t="shared" si="368"/>
        <v>3007.518935673334</v>
      </c>
      <c r="M1103" s="434">
        <f t="shared" si="368"/>
        <v>41.69777388706764</v>
      </c>
      <c r="N1103" s="434">
        <f t="shared" si="368"/>
        <v>876.356942667353</v>
      </c>
      <c r="O1103" s="434">
        <f t="shared" si="368"/>
        <v>30.633920519652051</v>
      </c>
      <c r="P1103" s="434">
        <f t="shared" si="368"/>
        <v>70.122869162628973</v>
      </c>
      <c r="Q1103" s="434">
        <f t="shared" si="368"/>
        <v>23.235070023930721</v>
      </c>
      <c r="R1103" s="434">
        <f t="shared" si="368"/>
        <v>3.4493084053869705</v>
      </c>
      <c r="S1103" s="434">
        <f t="shared" si="368"/>
        <v>8.0195799702153092</v>
      </c>
      <c r="T1103" s="17"/>
      <c r="U1103" s="18">
        <f t="shared" si="369"/>
        <v>11315.619999999997</v>
      </c>
      <c r="V1103" s="67"/>
      <c r="W1103" s="726">
        <f t="shared" si="362"/>
        <v>0</v>
      </c>
    </row>
    <row r="1104" spans="1:23" ht="15">
      <c r="A1104" s="47"/>
      <c r="B1104" s="17">
        <f t="shared" si="360"/>
        <v>20</v>
      </c>
      <c r="C1104" s="1"/>
      <c r="D1104" s="1" t="s">
        <v>1252</v>
      </c>
      <c r="E1104" s="17"/>
      <c r="F1104" s="290">
        <f>' WP II-I-1.4'!I1104</f>
        <v>0</v>
      </c>
      <c r="G1104" s="17">
        <v>68</v>
      </c>
      <c r="H1104" s="47" t="str">
        <f t="shared" si="367"/>
        <v>RATEBASE</v>
      </c>
      <c r="I1104" s="17"/>
      <c r="J1104" s="434">
        <f t="shared" si="368"/>
        <v>0</v>
      </c>
      <c r="K1104" s="434">
        <f t="shared" si="368"/>
        <v>0</v>
      </c>
      <c r="L1104" s="434">
        <f t="shared" si="368"/>
        <v>0</v>
      </c>
      <c r="M1104" s="434">
        <f t="shared" si="368"/>
        <v>0</v>
      </c>
      <c r="N1104" s="434">
        <f t="shared" si="368"/>
        <v>0</v>
      </c>
      <c r="O1104" s="434">
        <f t="shared" si="368"/>
        <v>0</v>
      </c>
      <c r="P1104" s="434">
        <f t="shared" si="368"/>
        <v>0</v>
      </c>
      <c r="Q1104" s="434">
        <f t="shared" si="368"/>
        <v>0</v>
      </c>
      <c r="R1104" s="434">
        <f t="shared" si="368"/>
        <v>0</v>
      </c>
      <c r="S1104" s="434">
        <f t="shared" si="368"/>
        <v>0</v>
      </c>
      <c r="T1104" s="17"/>
      <c r="U1104" s="18">
        <f t="shared" si="369"/>
        <v>0</v>
      </c>
      <c r="V1104" s="67"/>
      <c r="W1104" s="726">
        <f t="shared" si="362"/>
        <v>0</v>
      </c>
    </row>
    <row r="1105" spans="1:23" ht="15">
      <c r="A1105" s="47"/>
      <c r="B1105" s="17">
        <f t="shared" si="360"/>
        <v>21</v>
      </c>
      <c r="C1105" s="1"/>
      <c r="D1105" s="1" t="s">
        <v>1253</v>
      </c>
      <c r="E1105" s="17"/>
      <c r="F1105" s="290">
        <f>' WP II-I-1.4'!I1105</f>
        <v>9467.0199999998149</v>
      </c>
      <c r="G1105" s="17">
        <v>88</v>
      </c>
      <c r="H1105" s="47" t="str">
        <f t="shared" si="367"/>
        <v>PAYROLL</v>
      </c>
      <c r="I1105" s="17"/>
      <c r="J1105" s="434">
        <f t="shared" si="368"/>
        <v>5111.7906838820209</v>
      </c>
      <c r="K1105" s="434">
        <f t="shared" si="368"/>
        <v>723.95449013301015</v>
      </c>
      <c r="L1105" s="434">
        <f t="shared" si="368"/>
        <v>2539.6913861792618</v>
      </c>
      <c r="M1105" s="434">
        <f t="shared" si="368"/>
        <v>30.134740713314557</v>
      </c>
      <c r="N1105" s="434">
        <f t="shared" si="368"/>
        <v>695.58101955945369</v>
      </c>
      <c r="O1105" s="434">
        <f t="shared" si="368"/>
        <v>29.995663742906391</v>
      </c>
      <c r="P1105" s="434">
        <f t="shared" si="368"/>
        <v>78.144465105999828</v>
      </c>
      <c r="Q1105" s="434">
        <f t="shared" si="368"/>
        <v>249.58440971404104</v>
      </c>
      <c r="R1105" s="434">
        <f t="shared" si="368"/>
        <v>2.4414237029259529</v>
      </c>
      <c r="S1105" s="434">
        <f t="shared" si="368"/>
        <v>5.7017172668809062</v>
      </c>
      <c r="T1105" s="17"/>
      <c r="U1105" s="18">
        <f t="shared" si="369"/>
        <v>9467.0199999998131</v>
      </c>
      <c r="V1105" s="67"/>
      <c r="W1105" s="726">
        <f t="shared" si="362"/>
        <v>0</v>
      </c>
    </row>
    <row r="1106" spans="1:23" ht="15">
      <c r="A1106" s="47"/>
      <c r="B1106" s="17">
        <f t="shared" si="360"/>
        <v>22</v>
      </c>
      <c r="C1106" s="1"/>
      <c r="D1106" s="28" t="s">
        <v>1254</v>
      </c>
      <c r="E1106" s="17"/>
      <c r="F1106" s="290">
        <f>' WP II-I-1.4'!I1106</f>
        <v>-267715.65999999997</v>
      </c>
      <c r="G1106" s="17">
        <v>36</v>
      </c>
      <c r="H1106" s="47" t="str">
        <f t="shared" si="367"/>
        <v>OPEB MED</v>
      </c>
      <c r="I1106" s="17"/>
      <c r="J1106" s="434">
        <f t="shared" si="368"/>
        <v>-144555.14160922373</v>
      </c>
      <c r="K1106" s="434">
        <f t="shared" si="368"/>
        <v>-20472.54089839528</v>
      </c>
      <c r="L1106" s="434">
        <f t="shared" si="368"/>
        <v>-71819.34290276235</v>
      </c>
      <c r="M1106" s="434">
        <f t="shared" si="368"/>
        <v>-852.17333426928792</v>
      </c>
      <c r="N1106" s="434">
        <f t="shared" si="368"/>
        <v>-19670.174113378409</v>
      </c>
      <c r="O1106" s="434">
        <f t="shared" si="368"/>
        <v>-848.24040892175265</v>
      </c>
      <c r="P1106" s="434">
        <f t="shared" si="368"/>
        <v>-2209.8291807981941</v>
      </c>
      <c r="Q1106" s="434">
        <f t="shared" si="368"/>
        <v>-7057.9395598938427</v>
      </c>
      <c r="R1106" s="434">
        <f t="shared" si="368"/>
        <v>-69.040453909306009</v>
      </c>
      <c r="S1106" s="434">
        <f t="shared" si="368"/>
        <v>-161.23753844783764</v>
      </c>
      <c r="T1106" s="17"/>
      <c r="U1106" s="18">
        <f t="shared" si="369"/>
        <v>-267715.66000000003</v>
      </c>
      <c r="V1106" s="67"/>
      <c r="W1106" s="726">
        <f t="shared" si="362"/>
        <v>0</v>
      </c>
    </row>
    <row r="1107" spans="1:23" ht="15">
      <c r="A1107" s="47"/>
      <c r="B1107" s="17">
        <f t="shared" si="360"/>
        <v>23</v>
      </c>
      <c r="C1107" s="1"/>
      <c r="D1107" s="28" t="s">
        <v>1374</v>
      </c>
      <c r="E1107" s="17"/>
      <c r="F1107" s="290">
        <f>' WP II-I-1.4'!I1107</f>
        <v>0</v>
      </c>
      <c r="G1107" s="17">
        <v>68</v>
      </c>
      <c r="H1107" s="47" t="str">
        <f t="shared" si="367"/>
        <v>RATEBASE</v>
      </c>
      <c r="I1107" s="17"/>
      <c r="J1107" s="434">
        <f t="shared" si="370" ref="J1107:S1108">$F1107*HLOOKUP(J$1318,FactorTable,$G1107+1)</f>
        <v>0</v>
      </c>
      <c r="K1107" s="434">
        <f t="shared" si="370"/>
        <v>0</v>
      </c>
      <c r="L1107" s="434">
        <f t="shared" si="370"/>
        <v>0</v>
      </c>
      <c r="M1107" s="434">
        <f t="shared" si="370"/>
        <v>0</v>
      </c>
      <c r="N1107" s="434">
        <f t="shared" si="370"/>
        <v>0</v>
      </c>
      <c r="O1107" s="434">
        <f t="shared" si="370"/>
        <v>0</v>
      </c>
      <c r="P1107" s="434">
        <f t="shared" si="370"/>
        <v>0</v>
      </c>
      <c r="Q1107" s="434">
        <f t="shared" si="370"/>
        <v>0</v>
      </c>
      <c r="R1107" s="434">
        <f t="shared" si="370"/>
        <v>0</v>
      </c>
      <c r="S1107" s="434">
        <f t="shared" si="370"/>
        <v>0</v>
      </c>
      <c r="T1107" s="17"/>
      <c r="U1107" s="18">
        <f t="shared" si="369"/>
        <v>0</v>
      </c>
      <c r="V1107" s="67"/>
      <c r="W1107" s="726"/>
    </row>
    <row r="1108" spans="1:21" ht="14.25">
      <c r="A1108" s="47"/>
      <c r="B1108" s="17">
        <f t="shared" si="360"/>
        <v>24</v>
      </c>
      <c r="C1108" s="1"/>
      <c r="D1108" t="s">
        <v>322</v>
      </c>
      <c r="F1108" s="290">
        <f>' WP II-I-1.4'!I1108</f>
        <v>0</v>
      </c>
      <c r="G1108" s="728">
        <v>68</v>
      </c>
      <c r="H1108" s="47" t="str">
        <f t="shared" si="367"/>
        <v>RATEBASE</v>
      </c>
      <c r="J1108" s="435">
        <f t="shared" si="370"/>
        <v>0</v>
      </c>
      <c r="K1108" s="435">
        <f t="shared" si="370"/>
        <v>0</v>
      </c>
      <c r="L1108" s="435">
        <f t="shared" si="370"/>
        <v>0</v>
      </c>
      <c r="M1108" s="435">
        <f t="shared" si="370"/>
        <v>0</v>
      </c>
      <c r="N1108" s="435">
        <f t="shared" si="370"/>
        <v>0</v>
      </c>
      <c r="O1108" s="435">
        <f t="shared" si="370"/>
        <v>0</v>
      </c>
      <c r="P1108" s="435">
        <f t="shared" si="370"/>
        <v>0</v>
      </c>
      <c r="Q1108" s="435">
        <f t="shared" si="370"/>
        <v>0</v>
      </c>
      <c r="R1108" s="435">
        <f t="shared" si="370"/>
        <v>0</v>
      </c>
      <c r="S1108" s="435">
        <f t="shared" si="370"/>
        <v>0</v>
      </c>
      <c r="T1108" s="17"/>
      <c r="U1108" s="18">
        <f t="shared" si="371" ref="U1108">SUM(I1108:T1108)</f>
        <v>0</v>
      </c>
    </row>
    <row r="1109" spans="1:23" ht="15.75">
      <c r="A1109" s="47"/>
      <c r="B1109" s="17">
        <f t="shared" si="360"/>
        <v>25</v>
      </c>
      <c r="C1109" s="1"/>
      <c r="D1109" s="297" t="s">
        <v>491</v>
      </c>
      <c r="E1109" s="17"/>
      <c r="F1109" s="896">
        <f>SUM(F1102:F1108)</f>
        <v>-242833.67000000013</v>
      </c>
      <c r="G1109" s="17"/>
      <c r="H1109" s="17"/>
      <c r="I1109" s="17"/>
      <c r="J1109" s="896">
        <f>SUM(J1102:J1108)</f>
        <v>-130869.39259507167</v>
      </c>
      <c r="K1109" s="896">
        <f t="shared" si="372" ref="K1109:U1109">SUM(K1102:K1108)</f>
        <v>-18431.81088627618</v>
      </c>
      <c r="L1109" s="896">
        <f t="shared" si="372"/>
        <v>-65185.957255901158</v>
      </c>
      <c r="M1109" s="896">
        <f t="shared" si="372"/>
        <v>-765.08926891228111</v>
      </c>
      <c r="N1109" s="896">
        <f t="shared" si="372"/>
        <v>-17779.977371462923</v>
      </c>
      <c r="O1109" s="896">
        <f t="shared" si="372"/>
        <v>-776.73496549079755</v>
      </c>
      <c r="P1109" s="896">
        <f t="shared" si="372"/>
        <v>-2037.8859377245171</v>
      </c>
      <c r="Q1109" s="896">
        <f t="shared" si="372"/>
        <v>-6780.341111490894</v>
      </c>
      <c r="R1109" s="896">
        <f t="shared" si="372"/>
        <v>-61.894814973870396</v>
      </c>
      <c r="S1109" s="896">
        <f t="shared" si="372"/>
        <v>-144.58579269585334</v>
      </c>
      <c r="T1109" s="896">
        <f t="shared" si="372"/>
        <v>0</v>
      </c>
      <c r="U1109" s="896">
        <f t="shared" si="372"/>
        <v>-242833.67000000019</v>
      </c>
      <c r="V1109" s="67"/>
      <c r="W1109" s="726">
        <f>F1109-U1109</f>
        <v>0</v>
      </c>
    </row>
    <row r="1110" spans="1:23" ht="15.75">
      <c r="A1110" s="47"/>
      <c r="B1110" s="17">
        <f t="shared" si="360"/>
        <v>26</v>
      </c>
      <c r="C1110" s="8"/>
      <c r="D1110" s="8" t="s">
        <v>435</v>
      </c>
      <c r="E1110" s="1135"/>
      <c r="F1110" s="896">
        <f>+F1087-F1099+F1109</f>
        <v>9322291.7090497743</v>
      </c>
      <c r="G1110" s="1135"/>
      <c r="H1110" s="1135"/>
      <c r="I1110" s="1135"/>
      <c r="J1110" s="896">
        <f t="shared" si="373" ref="J1110:S1110">+J1087-J1099+J1109</f>
        <v>5186039.6039906871</v>
      </c>
      <c r="K1110" s="896">
        <f t="shared" si="373"/>
        <v>796980.7828683902</v>
      </c>
      <c r="L1110" s="896">
        <f t="shared" si="373"/>
        <v>2477078.2491757199</v>
      </c>
      <c r="M1110" s="896">
        <f t="shared" si="373"/>
        <v>34482.156154411394</v>
      </c>
      <c r="N1110" s="896">
        <f t="shared" si="373"/>
        <v>723007.00853067648</v>
      </c>
      <c r="O1110" s="896">
        <f t="shared" si="373"/>
        <v>25118.204120685434</v>
      </c>
      <c r="P1110" s="896">
        <f t="shared" si="373"/>
        <v>57237.172386896615</v>
      </c>
      <c r="Q1110" s="896">
        <f t="shared" si="373"/>
        <v>12860.328862394623</v>
      </c>
      <c r="R1110" s="896">
        <f t="shared" si="373"/>
        <v>2853.8152714850798</v>
      </c>
      <c r="S1110" s="896">
        <f t="shared" si="373"/>
        <v>6634.3876884236679</v>
      </c>
      <c r="T1110" s="1010"/>
      <c r="U1110" s="299">
        <f>SUM(I1110:T1110)</f>
        <v>9322291.7090497725</v>
      </c>
      <c r="V1110" s="67"/>
      <c r="W1110" s="726">
        <f t="shared" si="362"/>
        <v>0</v>
      </c>
    </row>
    <row r="1111" spans="1:23" ht="15.75">
      <c r="A1111" s="47"/>
      <c r="B1111" s="17">
        <f t="shared" si="360"/>
        <v>27</v>
      </c>
      <c r="C1111" s="8"/>
      <c r="D1111" s="8" t="s">
        <v>436</v>
      </c>
      <c r="E1111" s="1135" t="s">
        <v>316</v>
      </c>
      <c r="F1111" s="122">
        <f>0.21/(1-0.21)</f>
        <v>0.26582278481012656</v>
      </c>
      <c r="G1111" s="1135"/>
      <c r="H1111" s="1135"/>
      <c r="I1111" s="1135"/>
      <c r="J1111" s="122">
        <f t="shared" si="374" ref="J1111:S1111">0.21/(1-0.21)</f>
        <v>0.26582278481012656</v>
      </c>
      <c r="K1111" s="122">
        <f t="shared" si="374"/>
        <v>0.26582278481012656</v>
      </c>
      <c r="L1111" s="122">
        <f t="shared" si="374"/>
        <v>0.26582278481012656</v>
      </c>
      <c r="M1111" s="122">
        <f t="shared" si="374"/>
        <v>0.26582278481012656</v>
      </c>
      <c r="N1111" s="122">
        <f t="shared" si="374"/>
        <v>0.26582278481012656</v>
      </c>
      <c r="O1111" s="122">
        <f t="shared" si="374"/>
        <v>0.26582278481012656</v>
      </c>
      <c r="P1111" s="122">
        <f t="shared" si="374"/>
        <v>0.26582278481012656</v>
      </c>
      <c r="Q1111" s="122">
        <f t="shared" si="374"/>
        <v>0.26582278481012656</v>
      </c>
      <c r="R1111" s="122">
        <f t="shared" si="374"/>
        <v>0.26582278481012656</v>
      </c>
      <c r="S1111" s="122">
        <f t="shared" si="374"/>
        <v>0.26582278481012656</v>
      </c>
      <c r="T1111" s="1010"/>
      <c r="U1111" s="122">
        <f>U1113/U1110</f>
        <v>0.26582278481012656</v>
      </c>
      <c r="V1111" s="67"/>
      <c r="W1111" s="726">
        <f t="shared" si="362"/>
        <v>0</v>
      </c>
    </row>
    <row r="1112" spans="1:23" ht="15.75">
      <c r="A1112" s="47"/>
      <c r="B1112" s="17">
        <f t="shared" si="360"/>
        <v>28</v>
      </c>
      <c r="C1112" s="1"/>
      <c r="D1112" s="1"/>
      <c r="E1112" s="17"/>
      <c r="F1112" s="19"/>
      <c r="G1112" s="17"/>
      <c r="H1112" s="17"/>
      <c r="I1112" s="17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7"/>
      <c r="U1112" s="8"/>
      <c r="V1112" s="67"/>
      <c r="W1112" s="726">
        <f t="shared" si="362"/>
        <v>0</v>
      </c>
    </row>
    <row r="1113" spans="1:23" ht="15.75">
      <c r="A1113" s="47"/>
      <c r="B1113" s="17">
        <f t="shared" si="360"/>
        <v>29</v>
      </c>
      <c r="C1113" s="8"/>
      <c r="D1113" s="8" t="s">
        <v>717</v>
      </c>
      <c r="E1113" s="1135"/>
      <c r="F1113" s="896">
        <f>+F1110*F1111</f>
        <v>2478077.5429119649</v>
      </c>
      <c r="G1113" s="1135"/>
      <c r="H1113" s="1135"/>
      <c r="I1113" s="1135"/>
      <c r="J1113" s="896">
        <f t="shared" si="375" ref="J1113:Q1113">+J1110*J1111</f>
        <v>1378567.4896684103</v>
      </c>
      <c r="K1113" s="896">
        <f t="shared" si="375"/>
        <v>211855.65114223029</v>
      </c>
      <c r="L1113" s="896">
        <f t="shared" si="375"/>
        <v>658463.83838848246</v>
      </c>
      <c r="M1113" s="896">
        <f t="shared" si="375"/>
        <v>9166.1427752232812</v>
      </c>
      <c r="N1113" s="896">
        <f t="shared" si="375"/>
        <v>192191.73644486335</v>
      </c>
      <c r="O1113" s="896">
        <f>+O1110*O1111</f>
        <v>6676.990968789798</v>
      </c>
      <c r="P1113" s="896">
        <f t="shared" si="375"/>
        <v>15214.944558542136</v>
      </c>
      <c r="Q1113" s="896">
        <f t="shared" si="375"/>
        <v>3418.5684317757855</v>
      </c>
      <c r="R1113" s="896">
        <f>+R1110*R1111</f>
        <v>758.60912279983131</v>
      </c>
      <c r="S1113" s="896">
        <f>+S1110*S1111</f>
        <v>1763.5714108467976</v>
      </c>
      <c r="T1113" s="1010"/>
      <c r="U1113" s="299">
        <f>SUM(I1113:T1113)</f>
        <v>2478077.5429119645</v>
      </c>
      <c r="V1113" s="67"/>
      <c r="W1113" s="726">
        <f t="shared" si="362"/>
        <v>0</v>
      </c>
    </row>
    <row r="1114" spans="1:23" ht="15">
      <c r="A1114" s="47"/>
      <c r="B1114" s="17">
        <f t="shared" si="360"/>
        <v>30</v>
      </c>
      <c r="C1114" s="1"/>
      <c r="D1114" s="1"/>
      <c r="E1114" s="17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"/>
      <c r="V1114" s="67"/>
      <c r="W1114" s="726">
        <f t="shared" si="362"/>
        <v>0</v>
      </c>
    </row>
    <row r="1115" spans="1:23" ht="15.75">
      <c r="A1115" s="47"/>
      <c r="B1115" s="17">
        <f t="shared" si="360"/>
        <v>31</v>
      </c>
      <c r="C1115" s="8"/>
      <c r="D1115" s="8" t="s">
        <v>324</v>
      </c>
      <c r="E1115" s="1135" t="s">
        <v>316</v>
      </c>
      <c r="F1115" s="896"/>
      <c r="G1115" s="1135"/>
      <c r="H1115" s="1135"/>
      <c r="I1115" s="1135"/>
      <c r="J1115" s="1135"/>
      <c r="K1115" s="1059"/>
      <c r="L1115" s="1059"/>
      <c r="M1115" s="1059"/>
      <c r="N1115" s="1059"/>
      <c r="O1115" s="1059"/>
      <c r="P1115" s="1059"/>
      <c r="Q1115" s="1059"/>
      <c r="R1115" s="1059"/>
      <c r="S1115" s="1059"/>
      <c r="T1115" s="1010"/>
      <c r="U1115" s="8"/>
      <c r="V1115" s="67"/>
      <c r="W1115" s="726">
        <f t="shared" si="362"/>
        <v>0</v>
      </c>
    </row>
    <row r="1116" spans="1:23" ht="15">
      <c r="A1116" s="47"/>
      <c r="B1116" s="17">
        <f t="shared" si="360"/>
        <v>32</v>
      </c>
      <c r="C1116" s="1"/>
      <c r="D1116" s="778" t="s">
        <v>319</v>
      </c>
      <c r="E1116" s="17"/>
      <c r="F1116" s="290">
        <f>' WP II-I-1.4'!I1117</f>
        <v>0</v>
      </c>
      <c r="G1116" s="17">
        <v>59</v>
      </c>
      <c r="H1116" s="47" t="str">
        <f>VLOOKUP(G1116,FactorTable,2)</f>
        <v>PLANT_N</v>
      </c>
      <c r="I1116" s="17"/>
      <c r="J1116" s="434">
        <f t="shared" si="376" ref="J1116:S1120">$F1116*HLOOKUP(J$1318,FactorTable,$G1116+1)</f>
        <v>0</v>
      </c>
      <c r="K1116" s="434">
        <f t="shared" si="376"/>
        <v>0</v>
      </c>
      <c r="L1116" s="434">
        <f t="shared" si="376"/>
        <v>0</v>
      </c>
      <c r="M1116" s="434">
        <f t="shared" si="376"/>
        <v>0</v>
      </c>
      <c r="N1116" s="434">
        <f t="shared" si="376"/>
        <v>0</v>
      </c>
      <c r="O1116" s="434">
        <f t="shared" si="376"/>
        <v>0</v>
      </c>
      <c r="P1116" s="434">
        <f t="shared" si="376"/>
        <v>0</v>
      </c>
      <c r="Q1116" s="434">
        <f t="shared" si="376"/>
        <v>0</v>
      </c>
      <c r="R1116" s="434">
        <f t="shared" si="376"/>
        <v>0</v>
      </c>
      <c r="S1116" s="434">
        <f t="shared" si="376"/>
        <v>0</v>
      </c>
      <c r="T1116" s="17"/>
      <c r="U1116" s="18">
        <f>SUM(I1116:T1116)</f>
        <v>0</v>
      </c>
      <c r="V1116" s="67"/>
      <c r="W1116" s="726">
        <f t="shared" si="362"/>
        <v>0</v>
      </c>
    </row>
    <row r="1117" spans="1:23" ht="15">
      <c r="A1117" s="47"/>
      <c r="B1117" s="17">
        <f t="shared" si="360"/>
        <v>33</v>
      </c>
      <c r="C1117" s="1"/>
      <c r="D1117" s="778" t="s">
        <v>1247</v>
      </c>
      <c r="E1117" s="17"/>
      <c r="F1117" s="290">
        <f>' WP II-I-1.4'!I1118</f>
        <v>206880.70000000042</v>
      </c>
      <c r="G1117" s="17">
        <v>68</v>
      </c>
      <c r="H1117" s="47" t="str">
        <f>VLOOKUP(G1117,FactorTable,2)</f>
        <v>RATEBASE</v>
      </c>
      <c r="I1117" s="17"/>
      <c r="J1117" s="434">
        <f t="shared" si="376"/>
        <v>114997.53651522294</v>
      </c>
      <c r="K1117" s="434">
        <f t="shared" si="376"/>
        <v>17636.269416213323</v>
      </c>
      <c r="L1117" s="434">
        <f t="shared" si="376"/>
        <v>54985.729697122726</v>
      </c>
      <c r="M1117" s="434">
        <f t="shared" si="376"/>
        <v>762.35015405238914</v>
      </c>
      <c r="N1117" s="434">
        <f t="shared" si="376"/>
        <v>16022.218645454894</v>
      </c>
      <c r="O1117" s="434">
        <f t="shared" si="376"/>
        <v>560.0724415321472</v>
      </c>
      <c r="P1117" s="434">
        <f t="shared" si="376"/>
        <v>1282.0391863966033</v>
      </c>
      <c r="Q1117" s="434">
        <f t="shared" si="376"/>
        <v>424.80107595516779</v>
      </c>
      <c r="R1117" s="434">
        <f t="shared" si="376"/>
        <v>63.062858015940975</v>
      </c>
      <c r="S1117" s="434">
        <f t="shared" si="376"/>
        <v>146.62001003428236</v>
      </c>
      <c r="T1117" s="17"/>
      <c r="U1117" s="18">
        <f>SUM(I1117:T1117)</f>
        <v>206880.70000000042</v>
      </c>
      <c r="V1117" s="67"/>
      <c r="W1117" s="726">
        <f t="shared" si="362"/>
        <v>0</v>
      </c>
    </row>
    <row r="1118" spans="1:23" ht="15">
      <c r="A1118" s="47"/>
      <c r="B1118" s="17">
        <f t="shared" si="360"/>
        <v>34</v>
      </c>
      <c r="C1118" s="1"/>
      <c r="D1118" s="778" t="s">
        <v>1248</v>
      </c>
      <c r="E1118" s="17"/>
      <c r="F1118" s="290">
        <f>' WP II-I-1.4'!I1119</f>
        <v>-217593.92999998515</v>
      </c>
      <c r="G1118" s="17">
        <v>68</v>
      </c>
      <c r="H1118" s="47" t="str">
        <f>VLOOKUP(G1118,FactorTable,2)</f>
        <v>RATEBASE</v>
      </c>
      <c r="I1118" s="17"/>
      <c r="J1118" s="434">
        <f t="shared" si="376"/>
        <v>-120952.63555597069</v>
      </c>
      <c r="K1118" s="434">
        <f t="shared" si="376"/>
        <v>-18549.556207091297</v>
      </c>
      <c r="L1118" s="434">
        <f t="shared" si="376"/>
        <v>-57833.142573056852</v>
      </c>
      <c r="M1118" s="434">
        <f t="shared" si="376"/>
        <v>-801.82813600472707</v>
      </c>
      <c r="N1118" s="434">
        <f t="shared" si="376"/>
        <v>-16851.922496315809</v>
      </c>
      <c r="O1118" s="434">
        <f t="shared" si="376"/>
        <v>-589.07555725433338</v>
      </c>
      <c r="P1118" s="434">
        <f t="shared" si="376"/>
        <v>-1348.4290462185204</v>
      </c>
      <c r="Q1118" s="434">
        <f t="shared" si="376"/>
        <v>-446.79922092929388</v>
      </c>
      <c r="R1118" s="434">
        <f t="shared" si="376"/>
        <v>-66.3285415832392</v>
      </c>
      <c r="S1118" s="434">
        <f t="shared" si="376"/>
        <v>-154.21266556037702</v>
      </c>
      <c r="T1118" s="17"/>
      <c r="U1118" s="18">
        <f t="shared" si="377" ref="U1118:U1119">SUM(I1118:T1118)</f>
        <v>-217593.92999998515</v>
      </c>
      <c r="V1118" s="67"/>
      <c r="W1118" s="726"/>
    </row>
    <row r="1119" spans="1:23" ht="15">
      <c r="A1119" s="47"/>
      <c r="B1119" s="17">
        <f t="shared" si="360"/>
        <v>35</v>
      </c>
      <c r="C1119" s="1"/>
      <c r="D1119" s="778" t="s">
        <v>1249</v>
      </c>
      <c r="E1119" s="17"/>
      <c r="F1119" s="290">
        <f>' WP II-I-1.4'!I1120</f>
        <v>-48632.919999999918</v>
      </c>
      <c r="G1119" s="17">
        <v>68</v>
      </c>
      <c r="H1119" s="47" t="str">
        <f>VLOOKUP(G1119,FactorTable,2)</f>
        <v>RATEBASE</v>
      </c>
      <c r="I1119" s="17"/>
      <c r="J1119" s="434">
        <f t="shared" si="376"/>
        <v>-27033.290169367636</v>
      </c>
      <c r="K1119" s="434">
        <f t="shared" si="376"/>
        <v>-4145.8834952566676</v>
      </c>
      <c r="L1119" s="434">
        <f t="shared" si="376"/>
        <v>-12925.887206983463</v>
      </c>
      <c r="M1119" s="434">
        <f t="shared" si="376"/>
        <v>-179.21108181680253</v>
      </c>
      <c r="N1119" s="434">
        <f t="shared" si="376"/>
        <v>-3766.4570818201664</v>
      </c>
      <c r="O1119" s="434">
        <f t="shared" si="376"/>
        <v>-131.66021887608409</v>
      </c>
      <c r="P1119" s="434">
        <f t="shared" si="376"/>
        <v>-301.37808499725139</v>
      </c>
      <c r="Q1119" s="434">
        <f t="shared" si="376"/>
        <v>-99.861015275187697</v>
      </c>
      <c r="R1119" s="434">
        <f t="shared" si="376"/>
        <v>-14.824635303634436</v>
      </c>
      <c r="S1119" s="434">
        <f t="shared" si="376"/>
        <v>-34.467010303022107</v>
      </c>
      <c r="T1119" s="17"/>
      <c r="U1119" s="18">
        <f t="shared" si="377"/>
        <v>-48632.919999999918</v>
      </c>
      <c r="V1119" s="67"/>
      <c r="W1119" s="726"/>
    </row>
    <row r="1120" spans="1:23" ht="15">
      <c r="A1120" s="47"/>
      <c r="B1120" s="17">
        <f t="shared" si="360"/>
        <v>36</v>
      </c>
      <c r="C1120" s="1"/>
      <c r="D1120" s="778" t="s">
        <v>1250</v>
      </c>
      <c r="E1120" s="17"/>
      <c r="F1120" s="290">
        <f>' WP II-I-1.4'!I1121</f>
        <v>7346.580000000009</v>
      </c>
      <c r="G1120" s="17">
        <v>68</v>
      </c>
      <c r="H1120" s="47" t="str">
        <f>VLOOKUP(G1120,FactorTable,2)</f>
        <v>RATEBASE</v>
      </c>
      <c r="I1120" s="17"/>
      <c r="J1120" s="435">
        <f t="shared" si="376"/>
        <v>4083.6994548645953</v>
      </c>
      <c r="K1120" s="435">
        <f t="shared" si="376"/>
        <v>626.28492734104418</v>
      </c>
      <c r="L1120" s="435">
        <f t="shared" si="376"/>
        <v>1952.6087357510273</v>
      </c>
      <c r="M1120" s="435">
        <f t="shared" si="376"/>
        <v>27.071961738133123</v>
      </c>
      <c r="N1120" s="435">
        <f t="shared" si="376"/>
        <v>568.96806254196702</v>
      </c>
      <c r="O1120" s="435">
        <f t="shared" si="376"/>
        <v>19.888839304542369</v>
      </c>
      <c r="P1120" s="435">
        <f t="shared" si="376"/>
        <v>45.526738095905273</v>
      </c>
      <c r="Q1120" s="435">
        <f t="shared" si="376"/>
        <v>15.085192038651814</v>
      </c>
      <c r="R1120" s="435">
        <f t="shared" si="376"/>
        <v>2.2394371801852531</v>
      </c>
      <c r="S1120" s="435">
        <f t="shared" si="376"/>
        <v>5.2066511439571563</v>
      </c>
      <c r="T1120" s="17"/>
      <c r="U1120" s="18">
        <f>SUM(I1120:T1120)</f>
        <v>7346.580000000009</v>
      </c>
      <c r="V1120" s="67"/>
      <c r="W1120" s="726">
        <f t="shared" si="362"/>
        <v>0</v>
      </c>
    </row>
    <row r="1121" spans="1:23" ht="15.75">
      <c r="A1121" s="47"/>
      <c r="B1121" s="17">
        <f t="shared" si="360"/>
        <v>37</v>
      </c>
      <c r="C1121" s="1"/>
      <c r="D1121" s="297" t="s">
        <v>491</v>
      </c>
      <c r="E1121" s="17"/>
      <c r="F1121" s="896">
        <f>SUM(F1116:F1120)</f>
        <v>-51999.56999998464</v>
      </c>
      <c r="G1121" s="17"/>
      <c r="H1121" s="17"/>
      <c r="I1121" s="17"/>
      <c r="J1121" s="896">
        <f t="shared" si="378" ref="J1121:Q1121">SUM(J1116:J1120)</f>
        <v>-28904.689755250794</v>
      </c>
      <c r="K1121" s="896">
        <f t="shared" si="378"/>
        <v>-4432.8853587935973</v>
      </c>
      <c r="L1121" s="896">
        <f t="shared" si="378"/>
        <v>-13820.691347166561</v>
      </c>
      <c r="M1121" s="896">
        <f t="shared" si="378"/>
        <v>-191.61710203100734</v>
      </c>
      <c r="N1121" s="896">
        <f t="shared" si="378"/>
        <v>-4027.1928701391143</v>
      </c>
      <c r="O1121" s="896">
        <f>SUM(O1116:O1120)</f>
        <v>-140.77449529372791</v>
      </c>
      <c r="P1121" s="896">
        <f t="shared" si="378"/>
        <v>-322.24120672326319</v>
      </c>
      <c r="Q1121" s="896">
        <f t="shared" si="378"/>
        <v>-106.77396821066198</v>
      </c>
      <c r="R1121" s="896">
        <f>SUM(R1116:R1120)</f>
        <v>-15.850881690747411</v>
      </c>
      <c r="S1121" s="896">
        <f>SUM(S1116:S1120)</f>
        <v>-36.853014685159607</v>
      </c>
      <c r="T1121" s="17"/>
      <c r="U1121" s="299">
        <f>SUM(I1121:T1121)</f>
        <v>-51999.56999998464</v>
      </c>
      <c r="V1121" s="67"/>
      <c r="W1121" s="726">
        <f t="shared" si="362"/>
        <v>0</v>
      </c>
    </row>
    <row r="1122" spans="1:23" ht="15">
      <c r="A1122" s="47"/>
      <c r="B1122" s="17">
        <f t="shared" si="360"/>
        <v>38</v>
      </c>
      <c r="C1122" s="1"/>
      <c r="D1122" s="1"/>
      <c r="E1122" s="17"/>
      <c r="F1122" s="291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8"/>
      <c r="V1122" s="67"/>
      <c r="W1122" s="726">
        <f t="shared" si="362"/>
        <v>0</v>
      </c>
    </row>
    <row r="1123" spans="1:23" ht="15.75">
      <c r="A1123" s="47"/>
      <c r="B1123" s="17">
        <f t="shared" si="360"/>
        <v>39</v>
      </c>
      <c r="C1123" s="8"/>
      <c r="D1123" s="8" t="s">
        <v>325</v>
      </c>
      <c r="E1123" s="1135" t="s">
        <v>316</v>
      </c>
      <c r="F1123" s="896"/>
      <c r="G1123" s="1135"/>
      <c r="H1123" s="1135"/>
      <c r="I1123" s="1135"/>
      <c r="J1123" s="1135"/>
      <c r="K1123" s="1059"/>
      <c r="L1123" s="1059"/>
      <c r="M1123" s="1059"/>
      <c r="N1123" s="1059"/>
      <c r="O1123" s="1059"/>
      <c r="P1123" s="1059"/>
      <c r="Q1123" s="1059"/>
      <c r="R1123" s="1059"/>
      <c r="S1123" s="1059"/>
      <c r="T1123" s="1010"/>
      <c r="U1123" s="18"/>
      <c r="V1123" s="67"/>
      <c r="W1123" s="726">
        <f t="shared" si="362"/>
        <v>0</v>
      </c>
    </row>
    <row r="1124" spans="1:23" ht="15">
      <c r="A1124" s="47"/>
      <c r="B1124" s="17">
        <f t="shared" si="360"/>
        <v>40</v>
      </c>
      <c r="C1124" s="1"/>
      <c r="D1124" s="778" t="s">
        <v>323</v>
      </c>
      <c r="E1124" s="17"/>
      <c r="F1124" s="290">
        <f>' WP II-I-1.4'!I1125</f>
        <v>4099.3500000000358</v>
      </c>
      <c r="G1124" s="17">
        <v>68</v>
      </c>
      <c r="H1124" s="47" t="str">
        <f>VLOOKUP(G1124,FactorTable,2)</f>
        <v>RATEBASE</v>
      </c>
      <c r="I1124" s="17"/>
      <c r="J1124" s="434">
        <f t="shared" si="379" ref="J1124:S1127">$F1124*HLOOKUP(J$1318,FactorTable,$G1124+1)</f>
        <v>2278.6811496368791</v>
      </c>
      <c r="K1124" s="434">
        <f t="shared" si="379"/>
        <v>349.46343970875273</v>
      </c>
      <c r="L1124" s="434">
        <f t="shared" si="379"/>
        <v>1089.5446072731847</v>
      </c>
      <c r="M1124" s="434">
        <f t="shared" si="379"/>
        <v>15.106001207530149</v>
      </c>
      <c r="N1124" s="434">
        <f t="shared" si="379"/>
        <v>317.48095401961592</v>
      </c>
      <c r="O1124" s="434">
        <f t="shared" si="379"/>
        <v>11.097859603118236</v>
      </c>
      <c r="P1124" s="434">
        <f t="shared" si="379"/>
        <v>25.403661814538285</v>
      </c>
      <c r="Q1124" s="434">
        <f t="shared" si="379"/>
        <v>8.4174516555523482</v>
      </c>
      <c r="R1124" s="434">
        <f t="shared" si="379"/>
        <v>1.2495932535400807</v>
      </c>
      <c r="S1124" s="434">
        <f t="shared" si="379"/>
        <v>2.9052818273238605</v>
      </c>
      <c r="T1124" s="17"/>
      <c r="U1124" s="18">
        <f>SUM(I1124:T1124)</f>
        <v>4099.3500000000358</v>
      </c>
      <c r="V1124" s="67"/>
      <c r="W1124" s="726">
        <f t="shared" si="362"/>
        <v>0</v>
      </c>
    </row>
    <row r="1125" spans="1:23" ht="15">
      <c r="A1125" s="47"/>
      <c r="B1125" s="17">
        <f t="shared" si="360"/>
        <v>41</v>
      </c>
      <c r="C1125" s="1"/>
      <c r="D1125" s="1311" t="s">
        <v>1380</v>
      </c>
      <c r="E1125" s="17"/>
      <c r="F1125" s="290">
        <f>' WP II-I-1.4'!I1126</f>
        <v>0</v>
      </c>
      <c r="G1125" s="17">
        <v>68</v>
      </c>
      <c r="H1125" s="47" t="str">
        <f>VLOOKUP(G1125,FactorTable,2)</f>
        <v>RATEBASE</v>
      </c>
      <c r="I1125" s="17"/>
      <c r="J1125" s="434">
        <f t="shared" si="379"/>
        <v>0</v>
      </c>
      <c r="K1125" s="434">
        <f t="shared" si="379"/>
        <v>0</v>
      </c>
      <c r="L1125" s="434">
        <f t="shared" si="379"/>
        <v>0</v>
      </c>
      <c r="M1125" s="434">
        <f t="shared" si="379"/>
        <v>0</v>
      </c>
      <c r="N1125" s="434">
        <f t="shared" si="379"/>
        <v>0</v>
      </c>
      <c r="O1125" s="434">
        <f t="shared" si="379"/>
        <v>0</v>
      </c>
      <c r="P1125" s="434">
        <f t="shared" si="379"/>
        <v>0</v>
      </c>
      <c r="Q1125" s="434">
        <f t="shared" si="379"/>
        <v>0</v>
      </c>
      <c r="R1125" s="434">
        <f t="shared" si="379"/>
        <v>0</v>
      </c>
      <c r="S1125" s="434">
        <f t="shared" si="379"/>
        <v>0</v>
      </c>
      <c r="T1125" s="17"/>
      <c r="U1125" s="18">
        <f>SUM(I1125:T1125)</f>
        <v>0</v>
      </c>
      <c r="V1125" s="67"/>
      <c r="W1125" s="726">
        <f t="shared" si="362"/>
        <v>0</v>
      </c>
    </row>
    <row r="1126" spans="1:23" ht="15">
      <c r="A1126" s="47"/>
      <c r="B1126" s="17">
        <f t="shared" si="360"/>
        <v>42</v>
      </c>
      <c r="C1126" s="1"/>
      <c r="D1126" s="778" t="s">
        <v>326</v>
      </c>
      <c r="E1126" s="17"/>
      <c r="F1126" s="290">
        <f>' WP II-I-1.4'!I1127</f>
        <v>0</v>
      </c>
      <c r="G1126" s="17">
        <v>59</v>
      </c>
      <c r="H1126" s="47" t="str">
        <f>VLOOKUP(G1126,FactorTable,2)</f>
        <v>PLANT_N</v>
      </c>
      <c r="I1126" s="17"/>
      <c r="J1126" s="434">
        <f t="shared" si="379"/>
        <v>0</v>
      </c>
      <c r="K1126" s="434">
        <f t="shared" si="379"/>
        <v>0</v>
      </c>
      <c r="L1126" s="434">
        <f t="shared" si="379"/>
        <v>0</v>
      </c>
      <c r="M1126" s="434">
        <f t="shared" si="379"/>
        <v>0</v>
      </c>
      <c r="N1126" s="434">
        <f t="shared" si="379"/>
        <v>0</v>
      </c>
      <c r="O1126" s="434">
        <f t="shared" si="379"/>
        <v>0</v>
      </c>
      <c r="P1126" s="434">
        <f t="shared" si="379"/>
        <v>0</v>
      </c>
      <c r="Q1126" s="434">
        <f t="shared" si="379"/>
        <v>0</v>
      </c>
      <c r="R1126" s="434">
        <f t="shared" si="379"/>
        <v>0</v>
      </c>
      <c r="S1126" s="434">
        <f t="shared" si="379"/>
        <v>0</v>
      </c>
      <c r="T1126" s="17"/>
      <c r="U1126" s="18">
        <f t="shared" si="380" ref="U1126:U1127">SUM(I1126:T1126)</f>
        <v>0</v>
      </c>
      <c r="V1126" s="67"/>
      <c r="W1126" s="726">
        <f t="shared" si="381" ref="W1126:W1127">F1126-U1126</f>
        <v>0</v>
      </c>
    </row>
    <row r="1127" spans="1:23" ht="15">
      <c r="A1127" s="47"/>
      <c r="B1127" s="17">
        <f t="shared" si="360"/>
        <v>43</v>
      </c>
      <c r="C1127" s="1"/>
      <c r="D1127" s="894"/>
      <c r="E1127" s="17"/>
      <c r="F1127" s="118"/>
      <c r="G1127" s="17"/>
      <c r="H1127" s="47"/>
      <c r="I1127" s="17"/>
      <c r="J1127" s="435">
        <f t="shared" si="379"/>
        <v>0</v>
      </c>
      <c r="K1127" s="435">
        <f t="shared" si="379"/>
        <v>0</v>
      </c>
      <c r="L1127" s="435">
        <f t="shared" si="379"/>
        <v>0</v>
      </c>
      <c r="M1127" s="435">
        <f t="shared" si="379"/>
        <v>0</v>
      </c>
      <c r="N1127" s="435">
        <f t="shared" si="379"/>
        <v>0</v>
      </c>
      <c r="O1127" s="435">
        <f t="shared" si="379"/>
        <v>0</v>
      </c>
      <c r="P1127" s="435">
        <f t="shared" si="379"/>
        <v>0</v>
      </c>
      <c r="Q1127" s="435">
        <f t="shared" si="379"/>
        <v>0</v>
      </c>
      <c r="R1127" s="435">
        <f t="shared" si="379"/>
        <v>0</v>
      </c>
      <c r="S1127" s="435">
        <f t="shared" si="379"/>
        <v>0</v>
      </c>
      <c r="T1127" s="17"/>
      <c r="U1127" s="18">
        <f t="shared" si="380"/>
        <v>0</v>
      </c>
      <c r="V1127" s="67"/>
      <c r="W1127" s="726">
        <f t="shared" si="381"/>
        <v>0</v>
      </c>
    </row>
    <row r="1128" spans="1:23" ht="15.75">
      <c r="A1128" s="47"/>
      <c r="B1128" s="17">
        <f t="shared" si="360"/>
        <v>44</v>
      </c>
      <c r="C1128" s="1"/>
      <c r="D1128" s="297" t="s">
        <v>491</v>
      </c>
      <c r="E1128" s="17"/>
      <c r="F1128" s="22">
        <f>SUM(F1124:F1125)</f>
        <v>4099.3500000000358</v>
      </c>
      <c r="G1128" s="17"/>
      <c r="H1128" s="17"/>
      <c r="I1128" s="17"/>
      <c r="J1128" s="896">
        <f t="shared" si="382" ref="J1128:S1128">SUM(J1124:J1125)</f>
        <v>2278.6811496368791</v>
      </c>
      <c r="K1128" s="896">
        <f t="shared" si="382"/>
        <v>349.46343970875273</v>
      </c>
      <c r="L1128" s="896">
        <f t="shared" si="382"/>
        <v>1089.5446072731847</v>
      </c>
      <c r="M1128" s="896">
        <f t="shared" si="382"/>
        <v>15.106001207530149</v>
      </c>
      <c r="N1128" s="896">
        <f t="shared" si="382"/>
        <v>317.48095401961592</v>
      </c>
      <c r="O1128" s="896">
        <f t="shared" si="382"/>
        <v>11.097859603118236</v>
      </c>
      <c r="P1128" s="896">
        <f t="shared" si="382"/>
        <v>25.403661814538285</v>
      </c>
      <c r="Q1128" s="896">
        <f t="shared" si="382"/>
        <v>8.4174516555523482</v>
      </c>
      <c r="R1128" s="896">
        <f t="shared" si="382"/>
        <v>1.2495932535400807</v>
      </c>
      <c r="S1128" s="896">
        <f t="shared" si="382"/>
        <v>2.9052818273238605</v>
      </c>
      <c r="T1128" s="17"/>
      <c r="U1128" s="299">
        <f>SUM(I1128:T1128)</f>
        <v>4099.3500000000358</v>
      </c>
      <c r="V1128" s="67"/>
      <c r="W1128" s="726">
        <f t="shared" si="362"/>
        <v>0</v>
      </c>
    </row>
    <row r="1129" spans="1:23" ht="15.75" thickBot="1">
      <c r="A1129" s="47"/>
      <c r="B1129" s="17">
        <f t="shared" si="360"/>
        <v>45</v>
      </c>
      <c r="C1129" s="1"/>
      <c r="D1129" s="1"/>
      <c r="E1129" s="17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"/>
      <c r="V1129" s="67"/>
      <c r="W1129" s="726">
        <f t="shared" si="362"/>
        <v>0</v>
      </c>
    </row>
    <row r="1130" spans="1:24" ht="16.5" thickBot="1">
      <c r="A1130" s="47"/>
      <c r="B1130" s="17">
        <f t="shared" si="360"/>
        <v>46</v>
      </c>
      <c r="C1130" s="284" t="s">
        <v>718</v>
      </c>
      <c r="D1130" s="285"/>
      <c r="E1130" s="374" t="s">
        <v>316</v>
      </c>
      <c r="F1130" s="255">
        <f>+F1113-SUM(F1116:F1120)+SUM(F1124:F1125)</f>
        <v>2534176.4629119495</v>
      </c>
      <c r="G1130" s="374"/>
      <c r="H1130" s="467"/>
      <c r="I1130" s="1066"/>
      <c r="J1130" s="446">
        <f t="shared" si="383" ref="J1130:S1130">+J1113-SUM(J1116:J1120)+SUM(J1124:J1125)</f>
        <v>1409750.8605732978</v>
      </c>
      <c r="K1130" s="903">
        <f t="shared" si="383"/>
        <v>216637.99994073264</v>
      </c>
      <c r="L1130" s="903">
        <f t="shared" si="383"/>
        <v>673374.07434292219</v>
      </c>
      <c r="M1130" s="903">
        <f t="shared" si="383"/>
        <v>9372.8658784618183</v>
      </c>
      <c r="N1130" s="903">
        <f t="shared" si="383"/>
        <v>196536.41026902208</v>
      </c>
      <c r="O1130" s="903">
        <f t="shared" si="383"/>
        <v>6828.8633236866444</v>
      </c>
      <c r="P1130" s="903">
        <f t="shared" si="383"/>
        <v>15562.589427079938</v>
      </c>
      <c r="Q1130" s="903">
        <f t="shared" si="383"/>
        <v>3533.7598516419998</v>
      </c>
      <c r="R1130" s="903">
        <f t="shared" si="383"/>
        <v>775.70959774411881</v>
      </c>
      <c r="S1130" s="380">
        <f t="shared" si="383"/>
        <v>1803.3297073592812</v>
      </c>
      <c r="T1130" s="467"/>
      <c r="U1130" s="380">
        <f>SUM(I1130:T1130)</f>
        <v>2534176.4629119486</v>
      </c>
      <c r="V1130" s="67"/>
      <c r="W1130" s="726">
        <f t="shared" si="362"/>
        <v>0</v>
      </c>
      <c r="X1130" s="692">
        <f>'WP II-I-1.1'!$I$465</f>
        <v>2534176.462911949</v>
      </c>
    </row>
    <row r="1131" spans="1:23" ht="15">
      <c r="A1131" s="47"/>
      <c r="B1131" s="67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167"/>
    </row>
    <row r="1132" spans="1:23" ht="15">
      <c r="A1132" s="47"/>
      <c r="B1132" s="67"/>
      <c r="C1132" s="67"/>
      <c r="D1132" s="67"/>
      <c r="E1132" s="67"/>
      <c r="F1132" s="67"/>
      <c r="G1132" s="67"/>
      <c r="H1132" s="134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134"/>
      <c r="V1132" s="134">
        <f>$H$2</f>
        <v>0</v>
      </c>
      <c r="W1132" s="167"/>
    </row>
    <row r="1133" spans="1:23" ht="15.75" thickBot="1">
      <c r="A1133" s="47"/>
      <c r="B1133" s="67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167"/>
    </row>
    <row r="1134" spans="1:23" ht="15.75">
      <c r="A1134" s="47"/>
      <c r="B1134" s="920" t="str">
        <f>+$B$4</f>
        <v>2022 RATE CASE</v>
      </c>
      <c r="C1134" s="935"/>
      <c r="D1134" s="969"/>
      <c r="F1134" s="332"/>
      <c r="U1134" s="134"/>
      <c r="W1134" s="167"/>
    </row>
    <row r="1135" spans="1:23" ht="15.75">
      <c r="A1135" s="47"/>
      <c r="B1135" s="917" t="str">
        <f>+$B$5</f>
        <v>ONCOR ELECTRIC DELIVERY COMPANY LLC</v>
      </c>
      <c r="C1135" s="8"/>
      <c r="D1135" s="970"/>
      <c r="F1135" s="332"/>
      <c r="U1135" s="134"/>
      <c r="V1135" s="67"/>
      <c r="W1135" s="167"/>
    </row>
    <row r="1136" spans="1:23" ht="15.75">
      <c r="A1136" s="47"/>
      <c r="B1136" s="917" t="str">
        <f>+$B$6</f>
        <v>II-I-1-TBILLTDCS:  CLASS REVENUE REQUIREMENT</v>
      </c>
      <c r="C1136" s="85"/>
      <c r="D1136" s="970"/>
      <c r="F1136" s="332"/>
      <c r="U1136" s="332"/>
      <c r="V1136" s="67"/>
      <c r="W1136" s="167"/>
    </row>
    <row r="1137" spans="1:23" ht="15.75">
      <c r="A1137" s="47"/>
      <c r="B1137" s="406" t="str">
        <f>+$B$7</f>
        <v>TEST YEAR ENDING 12/31/2021</v>
      </c>
      <c r="C1137" s="85"/>
      <c r="D1137" s="970"/>
      <c r="F1137" s="332"/>
      <c r="U1137" s="332"/>
      <c r="V1137" s="67"/>
      <c r="W1137" s="167"/>
    </row>
    <row r="1138" spans="1:23" ht="15.75">
      <c r="A1138" s="47"/>
      <c r="B1138" s="406" t="str">
        <f>+$B$8</f>
        <v>SPONSOR:  MATTHEW A. TROXLE</v>
      </c>
      <c r="C1138" s="85"/>
      <c r="D1138" s="970"/>
      <c r="F1138" s="332"/>
      <c r="U1138" s="332"/>
      <c r="V1138" s="67"/>
      <c r="W1138" s="167"/>
    </row>
    <row r="1139" spans="1:23" ht="16.5" thickBot="1">
      <c r="A1139" s="47"/>
      <c r="B1139" s="410"/>
      <c r="C1139" s="934"/>
      <c r="D1139" s="936"/>
      <c r="F1139" s="332"/>
      <c r="U1139" s="332"/>
      <c r="V1139" s="67"/>
      <c r="W1139" s="167"/>
    </row>
    <row r="1140" spans="1:23" ht="15.75" thickBot="1">
      <c r="A1140" s="47"/>
      <c r="B1140" s="13"/>
      <c r="C1140" s="14"/>
      <c r="D1140" s="14"/>
      <c r="E1140" s="14"/>
      <c r="F1140" s="13"/>
      <c r="G1140" s="14"/>
      <c r="H1140" s="14"/>
      <c r="I1140" s="14"/>
      <c r="J1140" s="238"/>
      <c r="K1140" s="238"/>
      <c r="L1140" s="14"/>
      <c r="M1140" s="238"/>
      <c r="N1140" s="238"/>
      <c r="O1140" s="238"/>
      <c r="P1140" s="238"/>
      <c r="Q1140" s="14"/>
      <c r="R1140" s="393" t="str">
        <f>R$10</f>
        <v xml:space="preserve"> </v>
      </c>
      <c r="S1140" s="394"/>
      <c r="T1140" s="238"/>
      <c r="U1140" s="13"/>
      <c r="V1140" s="67"/>
      <c r="W1140" s="167"/>
    </row>
    <row r="1141" spans="1:23" ht="15.75">
      <c r="A1141" s="47"/>
      <c r="B1141" s="15" t="s">
        <v>2</v>
      </c>
      <c r="C1141" s="15" t="s">
        <v>370</v>
      </c>
      <c r="D1141" s="287" t="s">
        <v>719</v>
      </c>
      <c r="E1141" s="15" t="s">
        <v>371</v>
      </c>
      <c r="F1141" s="287" t="str">
        <f>F$11</f>
        <v>TBILLTDCS</v>
      </c>
      <c r="G1141" s="242" t="s">
        <v>741</v>
      </c>
      <c r="H1141" s="242" t="s">
        <v>376</v>
      </c>
      <c r="I1141" s="15"/>
      <c r="J1141" s="242" t="s">
        <v>730</v>
      </c>
      <c r="K1141" s="242" t="s">
        <v>409</v>
      </c>
      <c r="L1141" s="15" t="s">
        <v>409</v>
      </c>
      <c r="M1141" s="242" t="s">
        <v>410</v>
      </c>
      <c r="N1141" s="242" t="s">
        <v>410</v>
      </c>
      <c r="O1141" s="242" t="s">
        <v>410</v>
      </c>
      <c r="P1141" s="242" t="s">
        <v>411</v>
      </c>
      <c r="Q1141" s="15" t="s">
        <v>412</v>
      </c>
      <c r="R1141" s="396" t="str">
        <f>R$11</f>
        <v>Wholesale</v>
      </c>
      <c r="S1141" s="13" t="str">
        <f>S$11</f>
        <v>Wholesale</v>
      </c>
      <c r="T1141" s="242"/>
      <c r="U1141" s="15" t="s">
        <v>10</v>
      </c>
      <c r="V1141" s="67"/>
      <c r="W1141" s="167"/>
    </row>
    <row r="1142" spans="1:23" ht="15">
      <c r="A1142" s="47"/>
      <c r="B1142" s="15"/>
      <c r="C1142" s="15"/>
      <c r="D1142" s="15"/>
      <c r="E1142" s="15"/>
      <c r="F1142" s="15"/>
      <c r="G1142" s="242" t="s">
        <v>742</v>
      </c>
      <c r="H1142" s="242" t="s">
        <v>743</v>
      </c>
      <c r="I1142" s="15"/>
      <c r="J1142" s="242"/>
      <c r="K1142" s="242" t="s">
        <v>731</v>
      </c>
      <c r="L1142" s="15" t="s">
        <v>732</v>
      </c>
      <c r="M1142" s="242" t="s">
        <v>731</v>
      </c>
      <c r="N1142" s="242" t="s">
        <v>732</v>
      </c>
      <c r="O1142" s="242" t="s">
        <v>414</v>
      </c>
      <c r="P1142" s="242"/>
      <c r="Q1142" s="15"/>
      <c r="R1142" s="235" t="str">
        <f>R$12</f>
        <v>XFMR</v>
      </c>
      <c r="S1142" s="15" t="str">
        <f>S$12</f>
        <v>DLS</v>
      </c>
      <c r="T1142" s="242"/>
      <c r="U1142" s="15"/>
      <c r="V1142" s="67"/>
      <c r="W1142" s="167"/>
    </row>
    <row r="1143" spans="1:23" ht="15.75" thickBot="1">
      <c r="A1143" s="47"/>
      <c r="B1143" s="16"/>
      <c r="C1143" s="16"/>
      <c r="D1143" s="16"/>
      <c r="E1143" s="16"/>
      <c r="F1143" s="16" t="s">
        <v>13</v>
      </c>
      <c r="G1143" s="16" t="s">
        <v>14</v>
      </c>
      <c r="H1143" s="16" t="s">
        <v>15</v>
      </c>
      <c r="I1143" s="16"/>
      <c r="J1143" s="243" t="str">
        <f t="shared" si="384" ref="J1143:Q1143">J$13</f>
        <v>(d)</v>
      </c>
      <c r="K1143" s="243" t="str">
        <f t="shared" si="384"/>
        <v>(e)</v>
      </c>
      <c r="L1143" s="16" t="str">
        <f t="shared" si="384"/>
        <v>(f)</v>
      </c>
      <c r="M1143" s="243" t="str">
        <f t="shared" si="384"/>
        <v>(g)</v>
      </c>
      <c r="N1143" s="243" t="str">
        <f t="shared" si="384"/>
        <v>(h)</v>
      </c>
      <c r="O1143" s="243" t="str">
        <f>O$13</f>
        <v>(i)</v>
      </c>
      <c r="P1143" s="243" t="str">
        <f t="shared" si="384"/>
        <v>(j)</v>
      </c>
      <c r="Q1143" s="243" t="str">
        <f t="shared" si="384"/>
        <v>(k)</v>
      </c>
      <c r="R1143" s="243" t="str">
        <f>R$13</f>
        <v>(l)</v>
      </c>
      <c r="S1143" s="16" t="str">
        <f>S$13</f>
        <v>(m)</v>
      </c>
      <c r="T1143" s="16"/>
      <c r="U1143" s="16" t="s">
        <v>734</v>
      </c>
      <c r="V1143" s="67"/>
      <c r="W1143" s="167"/>
    </row>
    <row r="1144" spans="1:23" ht="15">
      <c r="A1144" s="47"/>
      <c r="B1144" s="67"/>
      <c r="C1144" s="333"/>
      <c r="D1144" s="333"/>
      <c r="E1144" s="333"/>
      <c r="F1144" s="333"/>
      <c r="G1144" s="333"/>
      <c r="H1144" s="333"/>
      <c r="I1144" s="333"/>
      <c r="J1144" s="333"/>
      <c r="K1144" s="333"/>
      <c r="L1144" s="333"/>
      <c r="M1144" s="333"/>
      <c r="N1144" s="333"/>
      <c r="O1144" s="333"/>
      <c r="P1144" s="333"/>
      <c r="Q1144" s="333"/>
      <c r="R1144" s="333"/>
      <c r="S1144" s="333"/>
      <c r="T1144" s="333"/>
      <c r="U1144" s="43"/>
      <c r="V1144" s="67"/>
      <c r="W1144" s="167"/>
    </row>
    <row r="1145" spans="1:23" ht="15.75">
      <c r="A1145" s="47"/>
      <c r="B1145" s="17">
        <f t="shared" si="385" ref="B1145:B1156">B1144+1</f>
        <v>1</v>
      </c>
      <c r="C1145" s="366" t="s">
        <v>719</v>
      </c>
      <c r="D1145" s="8"/>
      <c r="E1145" s="20"/>
      <c r="F1145" s="22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8"/>
      <c r="V1145" s="67"/>
      <c r="W1145" s="167"/>
    </row>
    <row r="1146" spans="1:23" ht="15">
      <c r="A1146" s="47"/>
      <c r="B1146" s="17">
        <f t="shared" si="385"/>
        <v>2</v>
      </c>
      <c r="D1146" s="1"/>
      <c r="E1146" s="17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"/>
      <c r="V1146" s="67"/>
      <c r="W1146" s="167"/>
    </row>
    <row r="1147" spans="1:23" ht="15.75">
      <c r="A1147" s="47"/>
      <c r="B1147" s="17">
        <f t="shared" si="385"/>
        <v>3</v>
      </c>
      <c r="C1147" s="8" t="s">
        <v>720</v>
      </c>
      <c r="D1147" s="8"/>
      <c r="E1147" s="20"/>
      <c r="F1147" s="22"/>
      <c r="G1147" s="20"/>
      <c r="H1147" s="20"/>
      <c r="I1147" s="1010"/>
      <c r="J1147" s="1059"/>
      <c r="K1147" s="1059"/>
      <c r="L1147" s="1059"/>
      <c r="M1147" s="1059"/>
      <c r="N1147" s="1059"/>
      <c r="O1147" s="1059"/>
      <c r="P1147" s="1059"/>
      <c r="Q1147" s="1059"/>
      <c r="R1147" s="1059"/>
      <c r="S1147" s="1059"/>
      <c r="T1147" s="20"/>
      <c r="U1147" s="8"/>
      <c r="V1147" s="67"/>
      <c r="W1147" s="167"/>
    </row>
    <row r="1148" spans="1:23" ht="15.75">
      <c r="A1148" s="47"/>
      <c r="B1148" s="17">
        <f t="shared" si="385"/>
        <v>4</v>
      </c>
      <c r="C1148" s="730" t="s">
        <v>328</v>
      </c>
      <c r="D1148" s="1" t="s">
        <v>329</v>
      </c>
      <c r="E1148" s="20" t="s">
        <v>330</v>
      </c>
      <c r="F1148" s="118">
        <f>' WP II-I-1.4'!$I$1150</f>
        <v>0</v>
      </c>
      <c r="G1148" s="17">
        <v>10</v>
      </c>
      <c r="H1148" s="47" t="str">
        <f>VLOOKUP(G1148,FactorTable,2)</f>
        <v>CUS U RTL</v>
      </c>
      <c r="I1148" s="1010"/>
      <c r="J1148" s="434">
        <f t="shared" si="386" ref="J1148:Q1148">$F1148*HLOOKUP(J$1318,FactorTable,$G1148+1)</f>
        <v>0</v>
      </c>
      <c r="K1148" s="434">
        <f t="shared" si="386"/>
        <v>0</v>
      </c>
      <c r="L1148" s="434">
        <f t="shared" si="386"/>
        <v>0</v>
      </c>
      <c r="M1148" s="434">
        <f t="shared" si="386"/>
        <v>0</v>
      </c>
      <c r="N1148" s="434">
        <f t="shared" si="386"/>
        <v>0</v>
      </c>
      <c r="O1148" s="434">
        <f>$F1148*HLOOKUP(O$1318,FactorTable,$G1148+1)</f>
        <v>0</v>
      </c>
      <c r="P1148" s="434">
        <f t="shared" si="386"/>
        <v>0</v>
      </c>
      <c r="Q1148" s="434">
        <f t="shared" si="386"/>
        <v>0</v>
      </c>
      <c r="R1148" s="434">
        <f>$F1148*HLOOKUP(R$1318,FactorTable,$G1148+1)</f>
        <v>0</v>
      </c>
      <c r="S1148" s="434">
        <f>$F1148*HLOOKUP(S$1318,FactorTable,$G1148+1)</f>
        <v>0</v>
      </c>
      <c r="T1148" s="1010"/>
      <c r="U1148" s="118">
        <f>SUM(I1148:T1148)</f>
        <v>0</v>
      </c>
      <c r="V1148" s="67"/>
      <c r="W1148" s="726">
        <f t="shared" si="387" ref="W1148">F1148-U1148</f>
        <v>0</v>
      </c>
    </row>
    <row r="1149" spans="1:23" ht="15.75" thickBot="1">
      <c r="A1149" s="47"/>
      <c r="B1149" s="17">
        <f t="shared" si="385"/>
        <v>5</v>
      </c>
      <c r="C1149" s="1"/>
      <c r="D1149" s="1"/>
      <c r="E1149" s="17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"/>
      <c r="V1149" s="67"/>
      <c r="W1149" s="167"/>
    </row>
    <row r="1150" spans="1:23" ht="16.5" thickBot="1">
      <c r="A1150" s="47"/>
      <c r="B1150" s="17">
        <f t="shared" si="385"/>
        <v>6</v>
      </c>
      <c r="C1150" s="284" t="s">
        <v>721</v>
      </c>
      <c r="D1150" s="336"/>
      <c r="E1150" s="337"/>
      <c r="F1150" s="278">
        <f>+F1148+F1072+F1040-F1038-F1037</f>
        <v>37438816.88000004</v>
      </c>
      <c r="G1150" s="337"/>
      <c r="H1150" s="457"/>
      <c r="I1150" s="458"/>
      <c r="J1150" s="356">
        <f t="shared" si="388" ref="J1150:S1150">+J1148+J1072+J1040-J1038-J1037</f>
        <v>20857062.419041023</v>
      </c>
      <c r="K1150" s="905">
        <f t="shared" si="388"/>
        <v>3214664.5506947953</v>
      </c>
      <c r="L1150" s="905">
        <f t="shared" si="388"/>
        <v>9920700.6617533248</v>
      </c>
      <c r="M1150" s="905">
        <f t="shared" si="388"/>
        <v>139214.62764370182</v>
      </c>
      <c r="N1150" s="905">
        <f t="shared" si="388"/>
        <v>2906076.329643778</v>
      </c>
      <c r="O1150" s="905">
        <f t="shared" si="388"/>
        <v>99411.762260314907</v>
      </c>
      <c r="P1150" s="905">
        <f t="shared" si="388"/>
        <v>216723.70842836658</v>
      </c>
      <c r="Q1150" s="905">
        <f t="shared" si="388"/>
        <v>46759.399866733263</v>
      </c>
      <c r="R1150" s="905">
        <f t="shared" si="388"/>
        <v>11455.163358166481</v>
      </c>
      <c r="S1150" s="279">
        <f t="shared" si="388"/>
        <v>26748.257309835022</v>
      </c>
      <c r="T1150" s="458"/>
      <c r="U1150" s="279">
        <f>SUM(I1150:T1150)</f>
        <v>37438816.88000004</v>
      </c>
      <c r="V1150" s="67"/>
      <c r="W1150" s="726">
        <f t="shared" si="389" ref="W1150:W1156">F1150-U1150</f>
        <v>0</v>
      </c>
    </row>
    <row r="1151" spans="1:23" ht="16.5" thickBot="1">
      <c r="A1151" s="47"/>
      <c r="B1151" s="17">
        <f t="shared" si="385"/>
        <v>7</v>
      </c>
      <c r="C1151" s="8"/>
      <c r="D1151" s="36"/>
      <c r="E1151" s="37"/>
      <c r="F1151" s="39"/>
      <c r="G1151" s="37"/>
      <c r="H1151" s="37"/>
      <c r="I1151" s="37"/>
      <c r="J1151" s="39"/>
      <c r="K1151" s="39"/>
      <c r="L1151" s="898"/>
      <c r="M1151" s="898"/>
      <c r="N1151" s="39"/>
      <c r="O1151" s="39"/>
      <c r="P1151" s="39"/>
      <c r="Q1151" s="39"/>
      <c r="R1151" s="39"/>
      <c r="S1151" s="39"/>
      <c r="T1151" s="37"/>
      <c r="U1151" s="290"/>
      <c r="V1151" s="47"/>
      <c r="W1151" s="726">
        <f t="shared" si="389"/>
        <v>0</v>
      </c>
    </row>
    <row r="1152" spans="1:23" ht="16.5" thickBot="1">
      <c r="A1152" s="47"/>
      <c r="B1152" s="17">
        <f t="shared" si="385"/>
        <v>8</v>
      </c>
      <c r="C1152" s="284" t="s">
        <v>722</v>
      </c>
      <c r="D1152" s="336"/>
      <c r="E1152" s="337"/>
      <c r="F1152" s="278">
        <f>F1150+F1130</f>
        <v>39972993.342911988</v>
      </c>
      <c r="G1152" s="337"/>
      <c r="H1152" s="457"/>
      <c r="I1152" s="458"/>
      <c r="J1152" s="356">
        <f t="shared" si="390" ref="J1152:Q1152">J1150+J1130</f>
        <v>22266813.279614322</v>
      </c>
      <c r="K1152" s="905">
        <f t="shared" si="390"/>
        <v>3431302.5506355278</v>
      </c>
      <c r="L1152" s="905">
        <f t="shared" si="390"/>
        <v>10594074.736096246</v>
      </c>
      <c r="M1152" s="905">
        <f t="shared" si="390"/>
        <v>148587.49352216366</v>
      </c>
      <c r="N1152" s="905">
        <f t="shared" si="390"/>
        <v>3102612.7399128</v>
      </c>
      <c r="O1152" s="905">
        <f>O1150+O1130</f>
        <v>106240.62558400155</v>
      </c>
      <c r="P1152" s="905">
        <f t="shared" si="390"/>
        <v>232286.29785544652</v>
      </c>
      <c r="Q1152" s="905">
        <f t="shared" si="390"/>
        <v>50293.15971837526</v>
      </c>
      <c r="R1152" s="905">
        <f>R1150+R1130</f>
        <v>12230.8729559106</v>
      </c>
      <c r="S1152" s="279">
        <f>S1150+S1130</f>
        <v>28551.587017194302</v>
      </c>
      <c r="T1152" s="458"/>
      <c r="U1152" s="279">
        <f>SUM(I1152:T1152)</f>
        <v>39972993.342911981</v>
      </c>
      <c r="V1152" s="67"/>
      <c r="W1152" s="726">
        <f t="shared" si="389"/>
        <v>0</v>
      </c>
    </row>
    <row r="1153" spans="1:23" ht="16.5" thickBot="1">
      <c r="A1153" s="47"/>
      <c r="B1153" s="17">
        <f t="shared" si="385"/>
        <v>9</v>
      </c>
      <c r="C1153" s="8"/>
      <c r="D1153" s="36"/>
      <c r="E1153" s="37"/>
      <c r="F1153" s="39"/>
      <c r="G1153" s="37"/>
      <c r="H1153" s="37"/>
      <c r="I1153" s="37"/>
      <c r="J1153" s="39"/>
      <c r="K1153" s="39"/>
      <c r="L1153" s="898"/>
      <c r="M1153" s="898"/>
      <c r="N1153" s="39"/>
      <c r="O1153" s="39"/>
      <c r="P1153" s="39"/>
      <c r="Q1153" s="39"/>
      <c r="R1153" s="39"/>
      <c r="S1153" s="39"/>
      <c r="T1153" s="37"/>
      <c r="U1153" s="290"/>
      <c r="V1153" s="47"/>
      <c r="W1153" s="726">
        <f t="shared" si="389"/>
        <v>0</v>
      </c>
    </row>
    <row r="1154" spans="1:23" ht="16.5" thickBot="1">
      <c r="A1154" s="47"/>
      <c r="B1154" s="17">
        <f t="shared" si="385"/>
        <v>10</v>
      </c>
      <c r="C1154" s="284" t="s">
        <v>723</v>
      </c>
      <c r="D1154" s="336"/>
      <c r="E1154" s="337"/>
      <c r="F1154" s="278">
        <f>F1130+F1072+F1040+F762</f>
        <v>90126801.302911997</v>
      </c>
      <c r="G1154" s="337"/>
      <c r="H1154" s="457"/>
      <c r="I1154" s="458"/>
      <c r="J1154" s="356">
        <f t="shared" si="391" ref="J1154:S1154">J1130+J1072+J1040+J762</f>
        <v>49343824.721690431</v>
      </c>
      <c r="K1154" s="905">
        <f t="shared" si="391"/>
        <v>7239234.0612061033</v>
      </c>
      <c r="L1154" s="905">
        <f t="shared" si="391"/>
        <v>24025951.601216987</v>
      </c>
      <c r="M1154" s="905">
        <f t="shared" si="391"/>
        <v>306288.33611588198</v>
      </c>
      <c r="N1154" s="905">
        <f t="shared" si="391"/>
        <v>6764512.7111160792</v>
      </c>
      <c r="O1154" s="905">
        <f t="shared" si="391"/>
        <v>266197.90039466578</v>
      </c>
      <c r="P1154" s="905">
        <f t="shared" si="391"/>
        <v>652358.21225453401</v>
      </c>
      <c r="Q1154" s="905">
        <f t="shared" si="391"/>
        <v>1445115.8311832394</v>
      </c>
      <c r="R1154" s="905">
        <f t="shared" si="391"/>
        <v>24983.522832493087</v>
      </c>
      <c r="S1154" s="279">
        <f t="shared" si="391"/>
        <v>58334.404901578127</v>
      </c>
      <c r="T1154" s="458"/>
      <c r="U1154" s="279">
        <f>SUM(I1154:T1154)</f>
        <v>90126801.302911997</v>
      </c>
      <c r="V1154" s="67"/>
      <c r="W1154" s="726">
        <f t="shared" si="389"/>
        <v>0</v>
      </c>
    </row>
    <row r="1155" spans="1:23" ht="16.5" thickBot="1">
      <c r="A1155" s="47"/>
      <c r="B1155" s="17">
        <f t="shared" si="385"/>
        <v>11</v>
      </c>
      <c r="C1155" s="8"/>
      <c r="D1155" s="36"/>
      <c r="E1155" s="37"/>
      <c r="F1155" s="39"/>
      <c r="G1155" s="37"/>
      <c r="H1155" s="37"/>
      <c r="I1155" s="37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7"/>
      <c r="U1155" s="290"/>
      <c r="V1155" s="47"/>
      <c r="W1155" s="726">
        <f t="shared" si="389"/>
        <v>0</v>
      </c>
    </row>
    <row r="1156" spans="1:23" ht="16.5" thickBot="1">
      <c r="A1156" s="47"/>
      <c r="B1156" s="17">
        <f t="shared" si="385"/>
        <v>12</v>
      </c>
      <c r="C1156" s="284" t="s">
        <v>1268</v>
      </c>
      <c r="D1156" s="336"/>
      <c r="E1156" s="337"/>
      <c r="F1156" s="278">
        <f>F1154-F622</f>
        <v>90126801.302911997</v>
      </c>
      <c r="G1156" s="337"/>
      <c r="H1156" s="457"/>
      <c r="I1156" s="458"/>
      <c r="J1156" s="905">
        <f t="shared" si="392" ref="J1156:S1156">J1154-J622</f>
        <v>49343824.721690431</v>
      </c>
      <c r="K1156" s="905">
        <f t="shared" si="392"/>
        <v>7239234.0612061033</v>
      </c>
      <c r="L1156" s="905">
        <f t="shared" si="392"/>
        <v>24025951.601216987</v>
      </c>
      <c r="M1156" s="905">
        <f t="shared" si="392"/>
        <v>306288.33611588198</v>
      </c>
      <c r="N1156" s="905">
        <f t="shared" si="392"/>
        <v>6764512.7111160792</v>
      </c>
      <c r="O1156" s="905">
        <f t="shared" si="392"/>
        <v>266197.90039466578</v>
      </c>
      <c r="P1156" s="905">
        <f t="shared" si="392"/>
        <v>652358.21225453401</v>
      </c>
      <c r="Q1156" s="905">
        <f t="shared" si="392"/>
        <v>1445115.8311832394</v>
      </c>
      <c r="R1156" s="905">
        <f t="shared" si="392"/>
        <v>24983.522832493087</v>
      </c>
      <c r="S1156" s="905">
        <f t="shared" si="392"/>
        <v>58334.404901578127</v>
      </c>
      <c r="T1156" s="458"/>
      <c r="U1156" s="279">
        <f>SUM(I1156:T1156)</f>
        <v>90126801.302911997</v>
      </c>
      <c r="V1156" s="67"/>
      <c r="W1156" s="726">
        <f t="shared" si="389"/>
        <v>0</v>
      </c>
    </row>
    <row r="1157" spans="1:23" ht="15">
      <c r="A1157" s="47"/>
      <c r="B1157" s="67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167"/>
    </row>
    <row r="1158" spans="1:23" ht="15">
      <c r="A1158" s="47"/>
      <c r="B1158" s="67"/>
      <c r="C1158" s="67"/>
      <c r="D1158" s="67"/>
      <c r="E1158" s="67"/>
      <c r="F1158" s="67"/>
      <c r="G1158" s="67"/>
      <c r="H1158" s="134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134"/>
      <c r="V1158" s="134">
        <f>$H$2</f>
        <v>0</v>
      </c>
      <c r="W1158" s="167"/>
    </row>
    <row r="1159" spans="1:23" ht="15.75" thickBot="1">
      <c r="A1159" s="47"/>
      <c r="B1159" s="67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167"/>
    </row>
    <row r="1160" spans="1:23" ht="15.75">
      <c r="A1160" s="47"/>
      <c r="B1160" s="920" t="str">
        <f>+$B$4</f>
        <v>2022 RATE CASE</v>
      </c>
      <c r="C1160" s="935"/>
      <c r="D1160" s="620"/>
      <c r="F1160" s="12"/>
      <c r="U1160" s="134"/>
      <c r="W1160" s="167"/>
    </row>
    <row r="1161" spans="1:23" ht="15.75">
      <c r="A1161" s="47"/>
      <c r="B1161" s="917" t="str">
        <f>+$B$5</f>
        <v>ONCOR ELECTRIC DELIVERY COMPANY LLC</v>
      </c>
      <c r="C1161" s="8"/>
      <c r="D1161" s="621"/>
      <c r="F1161" s="12"/>
      <c r="U1161" s="134"/>
      <c r="V1161" s="67"/>
      <c r="W1161" s="167"/>
    </row>
    <row r="1162" spans="1:23" ht="15.75">
      <c r="A1162" s="47"/>
      <c r="B1162" s="917" t="str">
        <f>+$B$6</f>
        <v>II-I-1-TBILLTDCS:  CLASS REVENUE REQUIREMENT</v>
      </c>
      <c r="C1162" s="85"/>
      <c r="D1162" s="621"/>
      <c r="F1162" s="12"/>
      <c r="U1162" s="12"/>
      <c r="V1162" s="67"/>
      <c r="W1162" s="167"/>
    </row>
    <row r="1163" spans="1:23" ht="15.75">
      <c r="A1163" s="47"/>
      <c r="B1163" s="406" t="str">
        <f>+$B$7</f>
        <v>TEST YEAR ENDING 12/31/2021</v>
      </c>
      <c r="C1163" s="85"/>
      <c r="D1163" s="621"/>
      <c r="F1163" s="12"/>
      <c r="U1163" s="12"/>
      <c r="V1163" s="67"/>
      <c r="W1163" s="167"/>
    </row>
    <row r="1164" spans="1:23" ht="15.75">
      <c r="A1164" s="47"/>
      <c r="B1164" s="406" t="str">
        <f>+$B$8</f>
        <v>SPONSOR:  MATTHEW A. TROXLE</v>
      </c>
      <c r="C1164" s="85"/>
      <c r="D1164" s="621"/>
      <c r="F1164" s="12"/>
      <c r="U1164" s="12"/>
      <c r="V1164" s="67"/>
      <c r="W1164" s="167"/>
    </row>
    <row r="1165" spans="1:23" ht="16.5" thickBot="1">
      <c r="A1165" s="47"/>
      <c r="B1165" s="410"/>
      <c r="C1165" s="934"/>
      <c r="D1165" s="622"/>
      <c r="F1165" s="12"/>
      <c r="U1165" s="12"/>
      <c r="V1165" s="67"/>
      <c r="W1165" s="167"/>
    </row>
    <row r="1166" spans="1:23" ht="15.75" thickBot="1">
      <c r="A1166" s="47"/>
      <c r="B1166" s="13"/>
      <c r="C1166" s="14"/>
      <c r="D1166" s="14"/>
      <c r="E1166" s="14"/>
      <c r="F1166" s="13"/>
      <c r="G1166" s="14"/>
      <c r="H1166" s="14"/>
      <c r="I1166" s="14"/>
      <c r="J1166" s="238"/>
      <c r="K1166" s="238"/>
      <c r="L1166" s="14"/>
      <c r="M1166" s="238"/>
      <c r="N1166" s="238"/>
      <c r="O1166" s="238"/>
      <c r="P1166" s="238"/>
      <c r="Q1166" s="14"/>
      <c r="R1166" s="393" t="str">
        <f>R$10</f>
        <v xml:space="preserve"> </v>
      </c>
      <c r="S1166" s="394"/>
      <c r="T1166" s="238"/>
      <c r="U1166" s="13"/>
      <c r="V1166" s="67"/>
      <c r="W1166" s="167"/>
    </row>
    <row r="1167" spans="1:23" ht="15.75">
      <c r="A1167" s="47"/>
      <c r="B1167" s="15" t="s">
        <v>2</v>
      </c>
      <c r="C1167" s="15" t="s">
        <v>370</v>
      </c>
      <c r="D1167" s="287" t="s">
        <v>334</v>
      </c>
      <c r="E1167" s="15" t="s">
        <v>371</v>
      </c>
      <c r="F1167" s="287" t="str">
        <f>F$11</f>
        <v>TBILLTDCS</v>
      </c>
      <c r="G1167" s="242" t="s">
        <v>741</v>
      </c>
      <c r="H1167" s="242" t="s">
        <v>376</v>
      </c>
      <c r="I1167" s="15"/>
      <c r="J1167" s="242" t="s">
        <v>730</v>
      </c>
      <c r="K1167" s="242" t="s">
        <v>409</v>
      </c>
      <c r="L1167" s="15" t="s">
        <v>409</v>
      </c>
      <c r="M1167" s="242" t="s">
        <v>410</v>
      </c>
      <c r="N1167" s="242" t="s">
        <v>410</v>
      </c>
      <c r="O1167" s="242" t="s">
        <v>410</v>
      </c>
      <c r="P1167" s="242" t="s">
        <v>411</v>
      </c>
      <c r="Q1167" s="15" t="s">
        <v>412</v>
      </c>
      <c r="R1167" s="396" t="str">
        <f>R$11</f>
        <v>Wholesale</v>
      </c>
      <c r="S1167" s="13" t="str">
        <f>S$11</f>
        <v>Wholesale</v>
      </c>
      <c r="T1167" s="242"/>
      <c r="U1167" s="15" t="s">
        <v>10</v>
      </c>
      <c r="V1167" s="67"/>
      <c r="W1167" s="167"/>
    </row>
    <row r="1168" spans="1:23" ht="15">
      <c r="A1168" s="47"/>
      <c r="B1168" s="15"/>
      <c r="C1168" s="15"/>
      <c r="D1168" s="15"/>
      <c r="E1168" s="15"/>
      <c r="F1168" s="15"/>
      <c r="G1168" s="242" t="s">
        <v>742</v>
      </c>
      <c r="H1168" s="242" t="s">
        <v>743</v>
      </c>
      <c r="I1168" s="15"/>
      <c r="J1168" s="242"/>
      <c r="K1168" s="242" t="s">
        <v>731</v>
      </c>
      <c r="L1168" s="15" t="s">
        <v>732</v>
      </c>
      <c r="M1168" s="242" t="s">
        <v>731</v>
      </c>
      <c r="N1168" s="242" t="s">
        <v>732</v>
      </c>
      <c r="O1168" s="242" t="s">
        <v>414</v>
      </c>
      <c r="P1168" s="242"/>
      <c r="Q1168" s="15"/>
      <c r="R1168" s="235" t="str">
        <f>R$12</f>
        <v>XFMR</v>
      </c>
      <c r="S1168" s="15" t="str">
        <f>S$12</f>
        <v>DLS</v>
      </c>
      <c r="T1168" s="242"/>
      <c r="U1168" s="15"/>
      <c r="V1168" s="67"/>
      <c r="W1168" s="167"/>
    </row>
    <row r="1169" spans="1:23" ht="15.75" thickBot="1">
      <c r="A1169" s="47"/>
      <c r="B1169" s="16"/>
      <c r="C1169" s="16"/>
      <c r="D1169" s="16"/>
      <c r="E1169" s="16"/>
      <c r="F1169" s="16" t="s">
        <v>13</v>
      </c>
      <c r="G1169" s="16" t="s">
        <v>14</v>
      </c>
      <c r="H1169" s="16" t="s">
        <v>15</v>
      </c>
      <c r="I1169" s="16"/>
      <c r="J1169" s="243" t="str">
        <f t="shared" si="393" ref="J1169:Q1169">J$13</f>
        <v>(d)</v>
      </c>
      <c r="K1169" s="243" t="str">
        <f t="shared" si="393"/>
        <v>(e)</v>
      </c>
      <c r="L1169" s="16" t="str">
        <f t="shared" si="393"/>
        <v>(f)</v>
      </c>
      <c r="M1169" s="243" t="str">
        <f t="shared" si="393"/>
        <v>(g)</v>
      </c>
      <c r="N1169" s="243" t="str">
        <f t="shared" si="393"/>
        <v>(h)</v>
      </c>
      <c r="O1169" s="243" t="str">
        <f>O$13</f>
        <v>(i)</v>
      </c>
      <c r="P1169" s="243" t="str">
        <f t="shared" si="393"/>
        <v>(j)</v>
      </c>
      <c r="Q1169" s="243" t="str">
        <f t="shared" si="393"/>
        <v>(k)</v>
      </c>
      <c r="R1169" s="243" t="str">
        <f>R$13</f>
        <v>(l)</v>
      </c>
      <c r="S1169" s="16" t="str">
        <f>S$13</f>
        <v>(m)</v>
      </c>
      <c r="T1169" s="16"/>
      <c r="U1169" s="16" t="s">
        <v>734</v>
      </c>
      <c r="V1169" s="67"/>
      <c r="W1169" s="167"/>
    </row>
    <row r="1170" spans="1:23" ht="15">
      <c r="A1170" s="47"/>
      <c r="B1170" s="67"/>
      <c r="C1170" s="100"/>
      <c r="D1170" s="100"/>
      <c r="E1170" s="315"/>
      <c r="F1170" s="373"/>
      <c r="G1170" s="17"/>
      <c r="H1170" s="315"/>
      <c r="I1170" s="315"/>
      <c r="J1170" s="315"/>
      <c r="K1170" s="315"/>
      <c r="L1170" s="315"/>
      <c r="M1170" s="315"/>
      <c r="N1170" s="315"/>
      <c r="O1170" s="315"/>
      <c r="P1170" s="315"/>
      <c r="Q1170" s="315"/>
      <c r="R1170" s="315"/>
      <c r="S1170" s="315"/>
      <c r="T1170" s="315"/>
      <c r="U1170" s="1"/>
      <c r="V1170" s="67"/>
      <c r="W1170" s="167"/>
    </row>
    <row r="1171" spans="1:23" ht="15.75">
      <c r="A1171" s="47"/>
      <c r="B1171" s="17">
        <f t="shared" si="394" ref="B1171:B1194">B1170+1</f>
        <v>1</v>
      </c>
      <c r="C1171" s="8" t="s">
        <v>724</v>
      </c>
      <c r="D1171" s="8"/>
      <c r="E1171" s="20" t="s">
        <v>335</v>
      </c>
      <c r="F1171" s="22"/>
      <c r="G1171" s="17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8"/>
      <c r="V1171" s="67"/>
      <c r="W1171" s="167"/>
    </row>
    <row r="1172" spans="1:23" ht="15.75">
      <c r="A1172" s="47"/>
      <c r="B1172" s="17">
        <f t="shared" si="394"/>
        <v>2</v>
      </c>
      <c r="C1172" s="8" t="s">
        <v>336</v>
      </c>
      <c r="D1172" s="8"/>
      <c r="E1172" s="20"/>
      <c r="F1172" s="22"/>
      <c r="G1172" s="17"/>
      <c r="H1172" s="20"/>
      <c r="I1172" s="1010"/>
      <c r="J1172" s="1059"/>
      <c r="K1172" s="1059"/>
      <c r="L1172" s="1059"/>
      <c r="M1172" s="1059"/>
      <c r="N1172" s="1059"/>
      <c r="O1172" s="1059"/>
      <c r="P1172" s="1059"/>
      <c r="Q1172" s="1059"/>
      <c r="R1172" s="1059"/>
      <c r="S1172" s="1059"/>
      <c r="T1172" s="1010"/>
      <c r="U1172" s="8"/>
      <c r="V1172" s="67"/>
      <c r="W1172" s="726">
        <f t="shared" si="395" ref="W1172:W1194">F1172-U1172</f>
        <v>0</v>
      </c>
    </row>
    <row r="1173" spans="1:23" ht="15">
      <c r="A1173" s="47"/>
      <c r="B1173" s="17">
        <f t="shared" si="394"/>
        <v>3</v>
      </c>
      <c r="C1173" s="1" t="s">
        <v>337</v>
      </c>
      <c r="D1173" s="1" t="s">
        <v>338</v>
      </c>
      <c r="E1173" s="17"/>
      <c r="F1173" s="118">
        <f>' WP II-I-1.4'!I1175</f>
        <v>0</v>
      </c>
      <c r="G1173" s="17">
        <v>57</v>
      </c>
      <c r="H1173" s="47" t="str">
        <f t="shared" si="396" ref="H1173:H1183">VLOOKUP(G1173,FactorTable,2)</f>
        <v>PLTDIST_N xWHL</v>
      </c>
      <c r="I1173" s="17"/>
      <c r="J1173" s="434">
        <f t="shared" si="397" ref="J1173:Q1183">$F1173*HLOOKUP(J$1318,FactorTable,$G1173+1)</f>
        <v>0</v>
      </c>
      <c r="K1173" s="434">
        <f t="shared" si="397"/>
        <v>0</v>
      </c>
      <c r="L1173" s="434">
        <f t="shared" si="397"/>
        <v>0</v>
      </c>
      <c r="M1173" s="434">
        <f t="shared" si="397"/>
        <v>0</v>
      </c>
      <c r="N1173" s="434">
        <f t="shared" si="397"/>
        <v>0</v>
      </c>
      <c r="O1173" s="434">
        <f t="shared" si="398" ref="O1173:O1183">$F1173*HLOOKUP(O$1318,FactorTable,$G1173+1)</f>
        <v>0</v>
      </c>
      <c r="P1173" s="434">
        <f t="shared" si="397"/>
        <v>0</v>
      </c>
      <c r="Q1173" s="434">
        <f t="shared" si="397"/>
        <v>0</v>
      </c>
      <c r="R1173" s="434">
        <f t="shared" si="399" ref="R1173:S1183">$F1173*HLOOKUP(R$1318,FactorTable,$G1173+1)</f>
        <v>0</v>
      </c>
      <c r="S1173" s="434">
        <f t="shared" si="399"/>
        <v>0</v>
      </c>
      <c r="T1173" s="17"/>
      <c r="U1173" s="118">
        <f t="shared" si="400" ref="U1173:U1184">SUM(I1173:T1173)</f>
        <v>0</v>
      </c>
      <c r="V1173" s="67"/>
      <c r="W1173" s="726">
        <f t="shared" si="395"/>
        <v>0</v>
      </c>
    </row>
    <row r="1174" spans="1:23" ht="15">
      <c r="A1174" s="47"/>
      <c r="B1174" s="17">
        <f t="shared" si="394"/>
        <v>4</v>
      </c>
      <c r="C1174" s="1" t="s">
        <v>339</v>
      </c>
      <c r="D1174" s="1" t="s">
        <v>340</v>
      </c>
      <c r="E1174" s="17"/>
      <c r="F1174" s="118">
        <f>' WP II-I-1.4'!I1176</f>
        <v>0</v>
      </c>
      <c r="G1174" s="17">
        <v>92</v>
      </c>
      <c r="H1174" s="47" t="str">
        <f t="shared" si="396"/>
        <v>RCOS x565</v>
      </c>
      <c r="I1174" s="17"/>
      <c r="J1174" s="434">
        <f t="shared" si="397"/>
        <v>0</v>
      </c>
      <c r="K1174" s="434">
        <f t="shared" si="397"/>
        <v>0</v>
      </c>
      <c r="L1174" s="434">
        <f t="shared" si="397"/>
        <v>0</v>
      </c>
      <c r="M1174" s="434">
        <f t="shared" si="397"/>
        <v>0</v>
      </c>
      <c r="N1174" s="434">
        <f t="shared" si="397"/>
        <v>0</v>
      </c>
      <c r="O1174" s="434">
        <f t="shared" si="398"/>
        <v>0</v>
      </c>
      <c r="P1174" s="434">
        <f t="shared" si="397"/>
        <v>0</v>
      </c>
      <c r="Q1174" s="434">
        <f t="shared" si="397"/>
        <v>0</v>
      </c>
      <c r="R1174" s="434">
        <f t="shared" si="399"/>
        <v>0</v>
      </c>
      <c r="S1174" s="434">
        <f t="shared" si="399"/>
        <v>0</v>
      </c>
      <c r="T1174" s="17"/>
      <c r="U1174" s="118">
        <f t="shared" si="400"/>
        <v>0</v>
      </c>
      <c r="V1174" s="67"/>
      <c r="W1174" s="726">
        <f t="shared" si="395"/>
        <v>0</v>
      </c>
    </row>
    <row r="1175" spans="1:23" ht="15">
      <c r="A1175" s="47"/>
      <c r="B1175" s="17">
        <f t="shared" si="394"/>
        <v>5</v>
      </c>
      <c r="C1175" s="1" t="s">
        <v>725</v>
      </c>
      <c r="D1175" s="28" t="s">
        <v>342</v>
      </c>
      <c r="E1175" s="17"/>
      <c r="F1175" s="118">
        <f>' WP II-I-1.4'!I1177</f>
        <v>205014.6500000013</v>
      </c>
      <c r="G1175" s="17">
        <v>10</v>
      </c>
      <c r="H1175" s="47" t="str">
        <f t="shared" si="396"/>
        <v>CUS U RTL</v>
      </c>
      <c r="I1175" s="17"/>
      <c r="J1175" s="434">
        <f t="shared" si="397"/>
        <v>174312.1603196598</v>
      </c>
      <c r="K1175" s="434">
        <f t="shared" si="397"/>
        <v>16286.446255931127</v>
      </c>
      <c r="L1175" s="434">
        <f t="shared" si="397"/>
        <v>10891.584339100962</v>
      </c>
      <c r="M1175" s="434">
        <f t="shared" si="397"/>
        <v>165.89780849338902</v>
      </c>
      <c r="N1175" s="434">
        <f t="shared" si="397"/>
        <v>382.93986236558482</v>
      </c>
      <c r="O1175" s="434">
        <f t="shared" si="398"/>
        <v>6.9547614008837702</v>
      </c>
      <c r="P1175" s="434">
        <f t="shared" si="397"/>
        <v>15.139980588077748</v>
      </c>
      <c r="Q1175" s="434">
        <f t="shared" si="397"/>
        <v>2953.5266724614712</v>
      </c>
      <c r="R1175" s="434">
        <f t="shared" si="399"/>
        <v>0</v>
      </c>
      <c r="S1175" s="434">
        <f t="shared" si="399"/>
        <v>0</v>
      </c>
      <c r="T1175" s="17"/>
      <c r="U1175" s="118">
        <f t="shared" si="400"/>
        <v>205014.65000000128</v>
      </c>
      <c r="V1175" s="67"/>
      <c r="W1175" s="726">
        <f t="shared" si="395"/>
        <v>0</v>
      </c>
    </row>
    <row r="1176" spans="1:23" ht="15">
      <c r="A1176" s="47"/>
      <c r="B1176" s="17">
        <f t="shared" si="394"/>
        <v>6</v>
      </c>
      <c r="C1176" s="1" t="s">
        <v>725</v>
      </c>
      <c r="D1176" s="1" t="s">
        <v>344</v>
      </c>
      <c r="E1176" s="17"/>
      <c r="F1176" s="118">
        <f>' WP II-I-1.4'!I1178</f>
        <v>0</v>
      </c>
      <c r="G1176" s="17">
        <v>58</v>
      </c>
      <c r="H1176" s="47" t="str">
        <f t="shared" si="396"/>
        <v>PLTDIST_N</v>
      </c>
      <c r="I1176" s="17"/>
      <c r="J1176" s="434">
        <f t="shared" si="397"/>
        <v>0</v>
      </c>
      <c r="K1176" s="434">
        <f t="shared" si="397"/>
        <v>0</v>
      </c>
      <c r="L1176" s="434">
        <f t="shared" si="397"/>
        <v>0</v>
      </c>
      <c r="M1176" s="434">
        <f t="shared" si="397"/>
        <v>0</v>
      </c>
      <c r="N1176" s="434">
        <f t="shared" si="397"/>
        <v>0</v>
      </c>
      <c r="O1176" s="434">
        <f t="shared" si="398"/>
        <v>0</v>
      </c>
      <c r="P1176" s="434">
        <f t="shared" si="397"/>
        <v>0</v>
      </c>
      <c r="Q1176" s="434">
        <f t="shared" si="397"/>
        <v>0</v>
      </c>
      <c r="R1176" s="434">
        <f t="shared" si="399"/>
        <v>0</v>
      </c>
      <c r="S1176" s="434">
        <f t="shared" si="399"/>
        <v>0</v>
      </c>
      <c r="T1176" s="17"/>
      <c r="U1176" s="118">
        <f t="shared" si="400"/>
        <v>0</v>
      </c>
      <c r="V1176" s="67"/>
      <c r="W1176" s="726">
        <f t="shared" si="395"/>
        <v>0</v>
      </c>
    </row>
    <row r="1177" spans="1:23" ht="15">
      <c r="A1177" s="47"/>
      <c r="B1177" s="17">
        <f t="shared" si="394"/>
        <v>7</v>
      </c>
      <c r="C1177" s="1" t="s">
        <v>345</v>
      </c>
      <c r="D1177" s="1" t="s">
        <v>346</v>
      </c>
      <c r="E1177" s="17"/>
      <c r="F1177" s="290">
        <f>' WP II-I-1.4'!I1179</f>
        <v>0</v>
      </c>
      <c r="G1177" s="17">
        <v>45</v>
      </c>
      <c r="H1177" s="47" t="str">
        <f t="shared" si="396"/>
        <v>PLT 364</v>
      </c>
      <c r="I1177" s="17"/>
      <c r="J1177" s="434">
        <f t="shared" si="397"/>
        <v>0</v>
      </c>
      <c r="K1177" s="434">
        <f t="shared" si="397"/>
        <v>0</v>
      </c>
      <c r="L1177" s="434">
        <f t="shared" si="397"/>
        <v>0</v>
      </c>
      <c r="M1177" s="434">
        <f t="shared" si="397"/>
        <v>0</v>
      </c>
      <c r="N1177" s="434">
        <f t="shared" si="397"/>
        <v>0</v>
      </c>
      <c r="O1177" s="434">
        <f t="shared" si="398"/>
        <v>0</v>
      </c>
      <c r="P1177" s="434">
        <f t="shared" si="397"/>
        <v>0</v>
      </c>
      <c r="Q1177" s="434">
        <f t="shared" si="397"/>
        <v>0</v>
      </c>
      <c r="R1177" s="434">
        <f t="shared" si="399"/>
        <v>0</v>
      </c>
      <c r="S1177" s="434">
        <f t="shared" si="399"/>
        <v>0</v>
      </c>
      <c r="T1177" s="17"/>
      <c r="U1177" s="118">
        <f t="shared" si="400"/>
        <v>0</v>
      </c>
      <c r="V1177" s="67"/>
      <c r="W1177" s="726">
        <f t="shared" si="395"/>
        <v>0</v>
      </c>
    </row>
    <row r="1178" spans="1:23" ht="15">
      <c r="A1178" s="47"/>
      <c r="B1178" s="17">
        <f t="shared" si="394"/>
        <v>8</v>
      </c>
      <c r="C1178" s="1" t="s">
        <v>372</v>
      </c>
      <c r="D1178" s="1" t="s">
        <v>959</v>
      </c>
      <c r="E1178" s="17" t="s">
        <v>961</v>
      </c>
      <c r="F1178" s="290">
        <f>' WP II-I-1.4'!I1180</f>
        <v>0</v>
      </c>
      <c r="G1178" s="17">
        <v>45</v>
      </c>
      <c r="H1178" s="47" t="str">
        <f t="shared" si="396"/>
        <v>PLT 364</v>
      </c>
      <c r="I1178" s="17"/>
      <c r="J1178" s="434">
        <f t="shared" si="397"/>
        <v>0</v>
      </c>
      <c r="K1178" s="434">
        <f t="shared" si="397"/>
        <v>0</v>
      </c>
      <c r="L1178" s="434">
        <f t="shared" si="397"/>
        <v>0</v>
      </c>
      <c r="M1178" s="434">
        <f t="shared" si="397"/>
        <v>0</v>
      </c>
      <c r="N1178" s="434">
        <f t="shared" si="397"/>
        <v>0</v>
      </c>
      <c r="O1178" s="434">
        <f t="shared" si="398"/>
        <v>0</v>
      </c>
      <c r="P1178" s="434">
        <f t="shared" si="397"/>
        <v>0</v>
      </c>
      <c r="Q1178" s="434">
        <f t="shared" si="397"/>
        <v>0</v>
      </c>
      <c r="R1178" s="434">
        <f t="shared" si="399"/>
        <v>0</v>
      </c>
      <c r="S1178" s="434">
        <f t="shared" si="399"/>
        <v>0</v>
      </c>
      <c r="T1178" s="17"/>
      <c r="U1178" s="118">
        <f t="shared" si="400"/>
        <v>0</v>
      </c>
      <c r="V1178" s="67"/>
      <c r="W1178" s="726">
        <f t="shared" si="395"/>
        <v>0</v>
      </c>
    </row>
    <row r="1179" spans="1:23" ht="15">
      <c r="A1179" s="47"/>
      <c r="B1179" s="17">
        <f t="shared" si="394"/>
        <v>9</v>
      </c>
      <c r="C1179" s="1" t="s">
        <v>374</v>
      </c>
      <c r="D1179" s="1" t="s">
        <v>960</v>
      </c>
      <c r="E1179" s="17" t="s">
        <v>961</v>
      </c>
      <c r="F1179" s="290">
        <f>' WP II-I-1.4'!I1181</f>
        <v>0</v>
      </c>
      <c r="G1179" s="17">
        <v>47</v>
      </c>
      <c r="H1179" s="47" t="str">
        <f t="shared" si="396"/>
        <v>PLT 366</v>
      </c>
      <c r="I1179" s="17"/>
      <c r="J1179" s="434">
        <f t="shared" si="397"/>
        <v>0</v>
      </c>
      <c r="K1179" s="434">
        <f t="shared" si="397"/>
        <v>0</v>
      </c>
      <c r="L1179" s="434">
        <f t="shared" si="397"/>
        <v>0</v>
      </c>
      <c r="M1179" s="434">
        <f t="shared" si="397"/>
        <v>0</v>
      </c>
      <c r="N1179" s="434">
        <f t="shared" si="397"/>
        <v>0</v>
      </c>
      <c r="O1179" s="434">
        <f t="shared" si="398"/>
        <v>0</v>
      </c>
      <c r="P1179" s="434">
        <f t="shared" si="397"/>
        <v>0</v>
      </c>
      <c r="Q1179" s="434">
        <f t="shared" si="397"/>
        <v>0</v>
      </c>
      <c r="R1179" s="434">
        <f t="shared" si="399"/>
        <v>0</v>
      </c>
      <c r="S1179" s="434">
        <f t="shared" si="399"/>
        <v>0</v>
      </c>
      <c r="T1179" s="17"/>
      <c r="U1179" s="118">
        <f>SUM(I1179:T1179)</f>
        <v>0</v>
      </c>
      <c r="V1179" s="67"/>
      <c r="W1179" s="726">
        <f t="shared" si="395"/>
        <v>0</v>
      </c>
    </row>
    <row r="1180" spans="1:23" ht="15">
      <c r="A1180" s="47"/>
      <c r="B1180" s="17">
        <f t="shared" si="394"/>
        <v>10</v>
      </c>
      <c r="C1180" s="1" t="s">
        <v>349</v>
      </c>
      <c r="D1180" s="1" t="s">
        <v>350</v>
      </c>
      <c r="E1180" s="17"/>
      <c r="F1180" s="290">
        <f>' WP II-I-1.4'!I1182</f>
        <v>0</v>
      </c>
      <c r="G1180" s="17">
        <v>45</v>
      </c>
      <c r="H1180" s="47" t="str">
        <f t="shared" si="396"/>
        <v>PLT 364</v>
      </c>
      <c r="I1180" s="17"/>
      <c r="J1180" s="434">
        <f t="shared" si="397"/>
        <v>0</v>
      </c>
      <c r="K1180" s="434">
        <f t="shared" si="397"/>
        <v>0</v>
      </c>
      <c r="L1180" s="434">
        <f t="shared" si="397"/>
        <v>0</v>
      </c>
      <c r="M1180" s="434">
        <f t="shared" si="397"/>
        <v>0</v>
      </c>
      <c r="N1180" s="434">
        <f t="shared" si="397"/>
        <v>0</v>
      </c>
      <c r="O1180" s="434">
        <f t="shared" si="398"/>
        <v>0</v>
      </c>
      <c r="P1180" s="434">
        <f t="shared" si="397"/>
        <v>0</v>
      </c>
      <c r="Q1180" s="434">
        <f t="shared" si="397"/>
        <v>0</v>
      </c>
      <c r="R1180" s="434">
        <f t="shared" si="399"/>
        <v>0</v>
      </c>
      <c r="S1180" s="434">
        <f t="shared" si="399"/>
        <v>0</v>
      </c>
      <c r="T1180" s="17"/>
      <c r="U1180" s="118">
        <f t="shared" si="400"/>
        <v>0</v>
      </c>
      <c r="V1180" s="67"/>
      <c r="W1180" s="726">
        <f t="shared" si="395"/>
        <v>0</v>
      </c>
    </row>
    <row r="1181" spans="1:23" ht="15">
      <c r="A1181" s="47"/>
      <c r="B1181" s="17">
        <f t="shared" si="394"/>
        <v>11</v>
      </c>
      <c r="C1181" s="1" t="s">
        <v>351</v>
      </c>
      <c r="D1181" s="1" t="s">
        <v>352</v>
      </c>
      <c r="E1181" s="17"/>
      <c r="F1181" s="290">
        <f>' WP II-I-1.4'!I1183</f>
        <v>0</v>
      </c>
      <c r="G1181" s="17">
        <v>62</v>
      </c>
      <c r="H1181" s="47" t="str">
        <f t="shared" si="396"/>
        <v>PLTGEN</v>
      </c>
      <c r="I1181" s="17"/>
      <c r="J1181" s="434">
        <f t="shared" si="397"/>
        <v>0</v>
      </c>
      <c r="K1181" s="434">
        <f t="shared" si="397"/>
        <v>0</v>
      </c>
      <c r="L1181" s="434">
        <f t="shared" si="397"/>
        <v>0</v>
      </c>
      <c r="M1181" s="434">
        <f t="shared" si="397"/>
        <v>0</v>
      </c>
      <c r="N1181" s="434">
        <f t="shared" si="397"/>
        <v>0</v>
      </c>
      <c r="O1181" s="434">
        <f t="shared" si="398"/>
        <v>0</v>
      </c>
      <c r="P1181" s="434">
        <f t="shared" si="397"/>
        <v>0</v>
      </c>
      <c r="Q1181" s="434">
        <f t="shared" si="397"/>
        <v>0</v>
      </c>
      <c r="R1181" s="434">
        <f t="shared" si="399"/>
        <v>0</v>
      </c>
      <c r="S1181" s="434">
        <f t="shared" si="399"/>
        <v>0</v>
      </c>
      <c r="T1181" s="17"/>
      <c r="U1181" s="118">
        <f t="shared" si="400"/>
        <v>0</v>
      </c>
      <c r="V1181" s="67"/>
      <c r="W1181" s="726">
        <f t="shared" si="395"/>
        <v>0</v>
      </c>
    </row>
    <row r="1182" spans="1:23" ht="15">
      <c r="A1182" s="47"/>
      <c r="B1182" s="17">
        <f t="shared" si="394"/>
        <v>12</v>
      </c>
      <c r="C1182" s="1" t="s">
        <v>353</v>
      </c>
      <c r="D1182" s="1" t="s">
        <v>354</v>
      </c>
      <c r="E1182" s="17"/>
      <c r="F1182" s="118">
        <f>' WP II-I-1.4'!I1184</f>
        <v>0</v>
      </c>
      <c r="G1182" s="17">
        <v>40</v>
      </c>
      <c r="H1182" s="47" t="str">
        <f t="shared" si="396"/>
        <v>PLT 360</v>
      </c>
      <c r="I1182" s="17"/>
      <c r="J1182" s="434">
        <f t="shared" si="397"/>
        <v>0</v>
      </c>
      <c r="K1182" s="434">
        <f t="shared" si="397"/>
        <v>0</v>
      </c>
      <c r="L1182" s="434">
        <f t="shared" si="397"/>
        <v>0</v>
      </c>
      <c r="M1182" s="434">
        <f t="shared" si="397"/>
        <v>0</v>
      </c>
      <c r="N1182" s="434">
        <f t="shared" si="397"/>
        <v>0</v>
      </c>
      <c r="O1182" s="434">
        <f t="shared" si="398"/>
        <v>0</v>
      </c>
      <c r="P1182" s="434">
        <f t="shared" si="397"/>
        <v>0</v>
      </c>
      <c r="Q1182" s="434">
        <f t="shared" si="397"/>
        <v>0</v>
      </c>
      <c r="R1182" s="434">
        <f t="shared" si="399"/>
        <v>0</v>
      </c>
      <c r="S1182" s="434">
        <f t="shared" si="399"/>
        <v>0</v>
      </c>
      <c r="T1182" s="17"/>
      <c r="U1182" s="118">
        <f t="shared" si="400"/>
        <v>0</v>
      </c>
      <c r="V1182" s="67"/>
      <c r="W1182" s="726">
        <f t="shared" si="395"/>
        <v>0</v>
      </c>
    </row>
    <row r="1183" spans="1:23" ht="15">
      <c r="A1183" s="47"/>
      <c r="B1183" s="17">
        <f t="shared" si="394"/>
        <v>13</v>
      </c>
      <c r="C1183" s="1" t="s">
        <v>355</v>
      </c>
      <c r="D1183" s="1" t="s">
        <v>356</v>
      </c>
      <c r="E1183" s="17"/>
      <c r="F1183" s="118">
        <f>' WP II-I-1.4'!I1185</f>
        <v>0</v>
      </c>
      <c r="G1183" s="17">
        <v>58</v>
      </c>
      <c r="H1183" s="47" t="str">
        <f t="shared" si="396"/>
        <v>PLTDIST_N</v>
      </c>
      <c r="I1183" s="17"/>
      <c r="J1183" s="435">
        <f t="shared" si="397"/>
        <v>0</v>
      </c>
      <c r="K1183" s="435">
        <f t="shared" si="397"/>
        <v>0</v>
      </c>
      <c r="L1183" s="435">
        <f t="shared" si="397"/>
        <v>0</v>
      </c>
      <c r="M1183" s="435">
        <f t="shared" si="397"/>
        <v>0</v>
      </c>
      <c r="N1183" s="435">
        <f t="shared" si="397"/>
        <v>0</v>
      </c>
      <c r="O1183" s="435">
        <f t="shared" si="398"/>
        <v>0</v>
      </c>
      <c r="P1183" s="435">
        <f t="shared" si="397"/>
        <v>0</v>
      </c>
      <c r="Q1183" s="435">
        <f t="shared" si="397"/>
        <v>0</v>
      </c>
      <c r="R1183" s="435">
        <f t="shared" si="399"/>
        <v>0</v>
      </c>
      <c r="S1183" s="435">
        <f t="shared" si="399"/>
        <v>0</v>
      </c>
      <c r="T1183" s="17"/>
      <c r="U1183" s="118">
        <f t="shared" si="400"/>
        <v>0</v>
      </c>
      <c r="V1183" s="67"/>
      <c r="W1183" s="726">
        <f t="shared" si="395"/>
        <v>0</v>
      </c>
    </row>
    <row r="1184" spans="1:23" ht="15.75">
      <c r="A1184" s="47"/>
      <c r="B1184" s="17">
        <f t="shared" si="394"/>
        <v>14</v>
      </c>
      <c r="C1184" s="252"/>
      <c r="D1184" s="388" t="s">
        <v>491</v>
      </c>
      <c r="E1184" s="252"/>
      <c r="F1184" s="22">
        <f>SUM(F1173:F1183)</f>
        <v>205014.6500000013</v>
      </c>
      <c r="G1184" s="252"/>
      <c r="H1184" s="252"/>
      <c r="I1184" s="252"/>
      <c r="J1184" s="896">
        <f t="shared" si="401" ref="J1184:Q1184">SUM(J1173:J1183)</f>
        <v>174312.1603196598</v>
      </c>
      <c r="K1184" s="896">
        <f t="shared" si="401"/>
        <v>16286.446255931127</v>
      </c>
      <c r="L1184" s="896">
        <f t="shared" si="401"/>
        <v>10891.584339100962</v>
      </c>
      <c r="M1184" s="896">
        <f t="shared" si="401"/>
        <v>165.89780849338902</v>
      </c>
      <c r="N1184" s="896">
        <f t="shared" si="401"/>
        <v>382.93986236558482</v>
      </c>
      <c r="O1184" s="896">
        <f>SUM(O1173:O1183)</f>
        <v>6.9547614008837702</v>
      </c>
      <c r="P1184" s="896">
        <f t="shared" si="401"/>
        <v>15.139980588077748</v>
      </c>
      <c r="Q1184" s="896">
        <f t="shared" si="401"/>
        <v>2953.5266724614712</v>
      </c>
      <c r="R1184" s="896">
        <f>SUM(R1173:R1183)</f>
        <v>0</v>
      </c>
      <c r="S1184" s="896">
        <f>SUM(S1173:S1183)</f>
        <v>0</v>
      </c>
      <c r="T1184" s="252"/>
      <c r="U1184" s="22">
        <f t="shared" si="400"/>
        <v>205014.65000000128</v>
      </c>
      <c r="V1184" s="67"/>
      <c r="W1184" s="726">
        <f t="shared" si="395"/>
        <v>0</v>
      </c>
    </row>
    <row r="1185" spans="1:23" ht="15.75" thickBot="1">
      <c r="A1185" s="47"/>
      <c r="B1185" s="17">
        <f t="shared" si="394"/>
        <v>15</v>
      </c>
      <c r="C1185" s="1"/>
      <c r="D1185" s="1"/>
      <c r="E1185" s="17"/>
      <c r="F1185" s="19"/>
      <c r="G1185" s="17"/>
      <c r="H1185" s="17"/>
      <c r="I1185" s="17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7"/>
      <c r="U1185" s="24"/>
      <c r="V1185" s="67"/>
      <c r="W1185" s="726">
        <f t="shared" si="395"/>
        <v>0</v>
      </c>
    </row>
    <row r="1186" spans="1:23" ht="16.5" thickBot="1">
      <c r="A1186" s="47"/>
      <c r="B1186" s="17">
        <f t="shared" si="394"/>
        <v>16</v>
      </c>
      <c r="C1186" s="284" t="s">
        <v>727</v>
      </c>
      <c r="D1186" s="316"/>
      <c r="E1186" s="316" t="s">
        <v>335</v>
      </c>
      <c r="F1186" s="255">
        <f>+F1184</f>
        <v>205014.6500000013</v>
      </c>
      <c r="G1186" s="316"/>
      <c r="H1186" s="444"/>
      <c r="I1186" s="1061"/>
      <c r="J1186" s="446">
        <f t="shared" si="402" ref="J1186:Q1186">+J1184</f>
        <v>174312.1603196598</v>
      </c>
      <c r="K1186" s="903">
        <f t="shared" si="402"/>
        <v>16286.446255931127</v>
      </c>
      <c r="L1186" s="903">
        <f t="shared" si="402"/>
        <v>10891.584339100962</v>
      </c>
      <c r="M1186" s="903">
        <f t="shared" si="402"/>
        <v>165.89780849338902</v>
      </c>
      <c r="N1186" s="903">
        <f t="shared" si="402"/>
        <v>382.93986236558482</v>
      </c>
      <c r="O1186" s="903">
        <f>+O1184</f>
        <v>6.9547614008837702</v>
      </c>
      <c r="P1186" s="903">
        <f t="shared" si="402"/>
        <v>15.139980588077748</v>
      </c>
      <c r="Q1186" s="903">
        <f t="shared" si="402"/>
        <v>2953.5266724614712</v>
      </c>
      <c r="R1186" s="903">
        <f>+R1184</f>
        <v>0</v>
      </c>
      <c r="S1186" s="380">
        <f>+S1184</f>
        <v>0</v>
      </c>
      <c r="T1186" s="444"/>
      <c r="U1186" s="256">
        <f>SUM(I1186:T1186)</f>
        <v>205014.65000000128</v>
      </c>
      <c r="V1186" s="67"/>
      <c r="W1186" s="726">
        <f t="shared" si="395"/>
        <v>0</v>
      </c>
    </row>
    <row r="1187" spans="1:23" ht="15.75" thickBot="1">
      <c r="A1187" s="47"/>
      <c r="B1187" s="17">
        <f t="shared" si="394"/>
        <v>17</v>
      </c>
      <c r="C1187" s="67"/>
      <c r="D1187" s="67"/>
      <c r="E1187" s="67"/>
      <c r="F1187" s="67"/>
      <c r="G1187" s="67"/>
      <c r="H1187" s="67"/>
      <c r="I1187" s="67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67"/>
      <c r="U1187" s="67"/>
      <c r="V1187" s="67"/>
      <c r="W1187" s="726">
        <f t="shared" si="395"/>
        <v>0</v>
      </c>
    </row>
    <row r="1188" spans="1:23" ht="16.5" thickBot="1">
      <c r="A1188" s="159"/>
      <c r="B1188" s="17">
        <f t="shared" si="394"/>
        <v>18</v>
      </c>
      <c r="C1188" s="284" t="s">
        <v>511</v>
      </c>
      <c r="D1188" s="316"/>
      <c r="E1188" s="316"/>
      <c r="F1188" s="255">
        <f>F599+F1154</f>
        <v>104584405.97196172</v>
      </c>
      <c r="G1188" s="316"/>
      <c r="H1188" s="444"/>
      <c r="I1188" s="1061"/>
      <c r="J1188" s="446">
        <f t="shared" si="403" ref="J1188:S1188">J599+J1154</f>
        <v>57380286.899417497</v>
      </c>
      <c r="K1188" s="903">
        <f t="shared" si="403"/>
        <v>8471723.1771867815</v>
      </c>
      <c r="L1188" s="903">
        <f t="shared" si="403"/>
        <v>27868562.06415638</v>
      </c>
      <c r="M1188" s="903">
        <f t="shared" si="403"/>
        <v>359564.24414731545</v>
      </c>
      <c r="N1188" s="903">
        <f t="shared" si="403"/>
        <v>7884205.8632422257</v>
      </c>
      <c r="O1188" s="903">
        <f t="shared" si="403"/>
        <v>305337.87790683215</v>
      </c>
      <c r="P1188" s="903">
        <f t="shared" si="403"/>
        <v>741951.95264284569</v>
      </c>
      <c r="Q1188" s="903">
        <f t="shared" si="403"/>
        <v>1474802.5347720555</v>
      </c>
      <c r="R1188" s="903">
        <f t="shared" si="403"/>
        <v>29390.593528284844</v>
      </c>
      <c r="S1188" s="380">
        <f t="shared" si="403"/>
        <v>68580.76496149553</v>
      </c>
      <c r="T1188" s="444"/>
      <c r="U1188" s="256">
        <f>SUM(I1188:T1188)</f>
        <v>104584405.97196171</v>
      </c>
      <c r="V1188" s="129"/>
      <c r="W1188" s="726">
        <f t="shared" si="395"/>
        <v>0</v>
      </c>
    </row>
    <row r="1189" spans="1:23" ht="15.75" thickBot="1">
      <c r="A1189" s="47"/>
      <c r="B1189" s="17">
        <f t="shared" si="394"/>
        <v>19</v>
      </c>
      <c r="C1189" s="67"/>
      <c r="D1189" s="67"/>
      <c r="E1189" s="67"/>
      <c r="F1189" s="67"/>
      <c r="G1189" s="67"/>
      <c r="H1189" s="67"/>
      <c r="I1189" s="67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67"/>
      <c r="U1189" s="67"/>
      <c r="V1189" s="67"/>
      <c r="W1189" s="726">
        <f t="shared" si="395"/>
        <v>0</v>
      </c>
    </row>
    <row r="1190" spans="1:23" ht="16.5" thickBot="1">
      <c r="A1190" s="159"/>
      <c r="B1190" s="17">
        <f t="shared" si="394"/>
        <v>20</v>
      </c>
      <c r="C1190" s="284" t="s">
        <v>728</v>
      </c>
      <c r="D1190" s="316"/>
      <c r="E1190" s="316"/>
      <c r="F1190" s="255">
        <f>F1188-F1186</f>
        <v>104379391.32196172</v>
      </c>
      <c r="G1190" s="316"/>
      <c r="H1190" s="444"/>
      <c r="I1190" s="1061"/>
      <c r="J1190" s="446">
        <f t="shared" si="404" ref="J1190:Q1190">J1188-J1186</f>
        <v>57205974.739097841</v>
      </c>
      <c r="K1190" s="903">
        <f t="shared" si="404"/>
        <v>8455436.7309308499</v>
      </c>
      <c r="L1190" s="903">
        <f t="shared" si="404"/>
        <v>27857670.479817279</v>
      </c>
      <c r="M1190" s="903">
        <f t="shared" si="404"/>
        <v>359398.34633882204</v>
      </c>
      <c r="N1190" s="903">
        <f t="shared" si="404"/>
        <v>7883822.9233798599</v>
      </c>
      <c r="O1190" s="903">
        <f>O1188-O1186</f>
        <v>305330.92314543127</v>
      </c>
      <c r="P1190" s="903">
        <f t="shared" si="404"/>
        <v>741936.81266225758</v>
      </c>
      <c r="Q1190" s="903">
        <f t="shared" si="404"/>
        <v>1471849.0080995939</v>
      </c>
      <c r="R1190" s="903">
        <f>R1188-R1186</f>
        <v>29390.593528284844</v>
      </c>
      <c r="S1190" s="380">
        <f>S1188-S1186</f>
        <v>68580.76496149553</v>
      </c>
      <c r="T1190" s="444"/>
      <c r="U1190" s="256">
        <f>SUM(I1190:T1190)</f>
        <v>104379391.32196172</v>
      </c>
      <c r="V1190" s="129"/>
      <c r="W1190" s="726">
        <f t="shared" si="395"/>
        <v>0</v>
      </c>
    </row>
    <row r="1191" spans="1:23" ht="15.75" thickBot="1">
      <c r="A1191" s="47"/>
      <c r="B1191" s="17">
        <f t="shared" si="394"/>
        <v>21</v>
      </c>
      <c r="C1191" s="67"/>
      <c r="D1191" s="67"/>
      <c r="E1191" s="67"/>
      <c r="F1191" s="67"/>
      <c r="G1191" s="67"/>
      <c r="H1191" s="67"/>
      <c r="I1191" s="67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67"/>
      <c r="U1191" s="67"/>
      <c r="V1191" s="67"/>
      <c r="W1191" s="726">
        <f t="shared" si="395"/>
        <v>0</v>
      </c>
    </row>
    <row r="1192" spans="1:23" ht="15.75">
      <c r="A1192" s="159"/>
      <c r="B1192" s="17">
        <f t="shared" si="394"/>
        <v>22</v>
      </c>
      <c r="C1192" s="319" t="s">
        <v>1272</v>
      </c>
      <c r="D1192" s="305"/>
      <c r="E1192" s="305"/>
      <c r="F1192" s="306">
        <f>F1188-F622</f>
        <v>104584405.97196172</v>
      </c>
      <c r="G1192" s="305"/>
      <c r="H1192" s="437"/>
      <c r="I1192" s="857"/>
      <c r="J1192" s="439">
        <f t="shared" si="405" ref="J1192:S1192">J1188-J622</f>
        <v>57380286.899417497</v>
      </c>
      <c r="K1192" s="908">
        <f t="shared" si="405"/>
        <v>8471723.1771867815</v>
      </c>
      <c r="L1192" s="908">
        <f t="shared" si="405"/>
        <v>27868562.06415638</v>
      </c>
      <c r="M1192" s="908">
        <f t="shared" si="405"/>
        <v>359564.24414731545</v>
      </c>
      <c r="N1192" s="908">
        <f t="shared" si="405"/>
        <v>7884205.8632422257</v>
      </c>
      <c r="O1192" s="908">
        <f t="shared" si="405"/>
        <v>305337.87790683215</v>
      </c>
      <c r="P1192" s="908">
        <f t="shared" si="405"/>
        <v>741951.95264284569</v>
      </c>
      <c r="Q1192" s="908">
        <f t="shared" si="405"/>
        <v>1474802.5347720555</v>
      </c>
      <c r="R1192" s="908">
        <f t="shared" si="405"/>
        <v>29390.593528284844</v>
      </c>
      <c r="S1192" s="641">
        <f t="shared" si="405"/>
        <v>68580.76496149553</v>
      </c>
      <c r="T1192" s="437"/>
      <c r="U1192" s="307">
        <f>SUM(I1192:T1192)</f>
        <v>104584405.97196171</v>
      </c>
      <c r="V1192" s="129"/>
      <c r="W1192" s="726">
        <f t="shared" si="395"/>
        <v>0</v>
      </c>
    </row>
    <row r="1193" spans="1:23" ht="15">
      <c r="A1193" s="47"/>
      <c r="B1193" s="17">
        <f t="shared" si="394"/>
        <v>23</v>
      </c>
      <c r="C1193" s="389"/>
      <c r="D1193" s="390"/>
      <c r="E1193" s="390"/>
      <c r="F1193" s="390"/>
      <c r="G1193" s="390"/>
      <c r="H1193" s="301"/>
      <c r="I1193" s="389"/>
      <c r="J1193" s="389"/>
      <c r="K1193" s="390"/>
      <c r="L1193" s="390"/>
      <c r="M1193" s="390"/>
      <c r="N1193" s="390"/>
      <c r="O1193" s="390"/>
      <c r="P1193" s="390"/>
      <c r="Q1193" s="390"/>
      <c r="R1193" s="390"/>
      <c r="S1193" s="301"/>
      <c r="T1193" s="301"/>
      <c r="U1193" s="301"/>
      <c r="V1193" s="67"/>
      <c r="W1193" s="726">
        <f t="shared" si="395"/>
        <v>0</v>
      </c>
    </row>
    <row r="1194" spans="1:23" ht="16.5" thickBot="1">
      <c r="A1194" s="159"/>
      <c r="B1194" s="17">
        <f t="shared" si="394"/>
        <v>24</v>
      </c>
      <c r="C1194" s="326" t="s">
        <v>1270</v>
      </c>
      <c r="D1194" s="311"/>
      <c r="E1194" s="311"/>
      <c r="F1194" s="312">
        <f>F1192-F1186</f>
        <v>104379391.32196172</v>
      </c>
      <c r="G1194" s="311"/>
      <c r="H1194" s="440"/>
      <c r="I1194" s="1062"/>
      <c r="J1194" s="442">
        <f t="shared" si="406" ref="J1194:Q1194">J1192-J1186</f>
        <v>57205974.739097841</v>
      </c>
      <c r="K1194" s="312">
        <f t="shared" si="406"/>
        <v>8455436.7309308499</v>
      </c>
      <c r="L1194" s="312">
        <f t="shared" si="406"/>
        <v>27857670.479817279</v>
      </c>
      <c r="M1194" s="312">
        <f t="shared" si="406"/>
        <v>359398.34633882204</v>
      </c>
      <c r="N1194" s="312">
        <f t="shared" si="406"/>
        <v>7883822.9233798599</v>
      </c>
      <c r="O1194" s="312">
        <f>O1192-O1186</f>
        <v>305330.92314543127</v>
      </c>
      <c r="P1194" s="312">
        <f t="shared" si="406"/>
        <v>741936.81266225758</v>
      </c>
      <c r="Q1194" s="312">
        <f t="shared" si="406"/>
        <v>1471849.0080995939</v>
      </c>
      <c r="R1194" s="312">
        <f>R1192-R1186</f>
        <v>29390.593528284844</v>
      </c>
      <c r="S1194" s="443">
        <f>S1192-S1186</f>
        <v>68580.76496149553</v>
      </c>
      <c r="T1194" s="440"/>
      <c r="U1194" s="313">
        <f>SUM(I1194:T1194)</f>
        <v>104379391.32196172</v>
      </c>
      <c r="V1194" s="129"/>
      <c r="W1194" s="726">
        <f t="shared" si="395"/>
        <v>0</v>
      </c>
    </row>
    <row r="1195" spans="1:23" ht="15">
      <c r="A1195" s="386"/>
      <c r="B1195" s="17"/>
      <c r="U1195" s="233"/>
      <c r="W1195" s="167"/>
    </row>
    <row r="1196" spans="1:21" ht="14.25">
      <c r="A1196" s="386"/>
      <c r="B1196" s="17"/>
      <c r="U1196" s="233"/>
    </row>
    <row r="1197" spans="1:21" ht="14.25">
      <c r="A1197" s="386"/>
      <c r="B1197" s="17"/>
      <c r="C1197" s="67"/>
      <c r="F1197" s="392"/>
      <c r="U1197" s="392"/>
    </row>
    <row r="1198" spans="1:21" ht="14.25">
      <c r="A1198" s="386"/>
      <c r="U1198" s="233"/>
    </row>
    <row r="1199" spans="1:21" ht="15" thickBot="1">
      <c r="A1199" s="386"/>
      <c r="H1199" s="134"/>
      <c r="U1199" s="134"/>
    </row>
    <row r="1200" spans="1:21" ht="15">
      <c r="A1200" s="47"/>
      <c r="B1200" s="920" t="str">
        <f>+$B$4</f>
        <v>2022 RATE CASE</v>
      </c>
      <c r="C1200" s="935"/>
      <c r="D1200" s="620"/>
      <c r="F1200" s="12"/>
      <c r="U1200" s="134"/>
    </row>
    <row r="1201" spans="1:22" ht="15">
      <c r="A1201" s="47"/>
      <c r="B1201" s="917" t="str">
        <f>+$B$5</f>
        <v>ONCOR ELECTRIC DELIVERY COMPANY LLC</v>
      </c>
      <c r="C1201" s="8"/>
      <c r="D1201" s="621"/>
      <c r="F1201" s="12"/>
      <c r="U1201" s="134"/>
      <c r="V1201" s="67"/>
    </row>
    <row r="1202" spans="1:22" ht="15">
      <c r="A1202" s="47"/>
      <c r="B1202" s="917" t="s">
        <v>964</v>
      </c>
      <c r="C1202" s="85"/>
      <c r="D1202" s="621"/>
      <c r="F1202" s="12"/>
      <c r="U1202" s="12"/>
      <c r="V1202" s="67"/>
    </row>
    <row r="1203" spans="1:22" ht="15">
      <c r="A1203" s="47"/>
      <c r="B1203" s="406" t="str">
        <f>+$B$7</f>
        <v>TEST YEAR ENDING 12/31/2021</v>
      </c>
      <c r="C1203" s="85"/>
      <c r="D1203" s="621"/>
      <c r="F1203" s="12"/>
      <c r="U1203" s="12"/>
      <c r="V1203" s="67"/>
    </row>
    <row r="1204" spans="1:22" ht="15">
      <c r="A1204" s="47"/>
      <c r="B1204" s="406" t="str">
        <f>+$B$8</f>
        <v>SPONSOR:  MATTHEW A. TROXLE</v>
      </c>
      <c r="C1204" s="85"/>
      <c r="D1204" s="621"/>
      <c r="F1204" s="12"/>
      <c r="U1204" s="12"/>
      <c r="V1204" s="67"/>
    </row>
    <row r="1205" spans="1:22" ht="15.75" thickBot="1">
      <c r="A1205" s="47"/>
      <c r="B1205" s="410"/>
      <c r="C1205" s="85"/>
      <c r="D1205" s="621"/>
      <c r="F1205" s="12"/>
      <c r="U1205" s="12"/>
      <c r="V1205" s="67"/>
    </row>
    <row r="1206" spans="1:22" ht="15.75" thickBot="1">
      <c r="A1206" s="47"/>
      <c r="B1206" s="396"/>
      <c r="C1206" s="470"/>
      <c r="D1206" s="471"/>
      <c r="E1206" s="471"/>
      <c r="F1206" s="237"/>
      <c r="G1206" s="238"/>
      <c r="H1206" s="438" t="str">
        <f>F$11</f>
        <v>TBILLTDCS</v>
      </c>
      <c r="I1206" s="14"/>
      <c r="J1206" s="14"/>
      <c r="K1206" s="238"/>
      <c r="L1206" s="14"/>
      <c r="M1206" s="14"/>
      <c r="N1206" s="238"/>
      <c r="O1206" s="238"/>
      <c r="P1206" s="238"/>
      <c r="Q1206" s="14"/>
      <c r="R1206" s="393" t="str">
        <f>R$10</f>
        <v xml:space="preserve"> </v>
      </c>
      <c r="S1206" s="394"/>
      <c r="T1206" s="238"/>
      <c r="U1206" s="13"/>
      <c r="V1206" s="67"/>
    </row>
    <row r="1207" spans="1:22" ht="15">
      <c r="A1207" s="47"/>
      <c r="B1207" s="235" t="s">
        <v>2</v>
      </c>
      <c r="C1207" s="235"/>
      <c r="D1207" s="472" t="s">
        <v>744</v>
      </c>
      <c r="E1207" s="395"/>
      <c r="F1207" s="242"/>
      <c r="G1207" s="242" t="s">
        <v>741</v>
      </c>
      <c r="H1207" s="15" t="s">
        <v>376</v>
      </c>
      <c r="I1207" s="15"/>
      <c r="J1207" s="15" t="s">
        <v>730</v>
      </c>
      <c r="K1207" s="242" t="s">
        <v>409</v>
      </c>
      <c r="L1207" s="15" t="s">
        <v>409</v>
      </c>
      <c r="M1207" s="15" t="s">
        <v>410</v>
      </c>
      <c r="N1207" s="242" t="s">
        <v>410</v>
      </c>
      <c r="O1207" s="242" t="s">
        <v>410</v>
      </c>
      <c r="P1207" s="242" t="s">
        <v>411</v>
      </c>
      <c r="Q1207" s="15" t="s">
        <v>412</v>
      </c>
      <c r="R1207" s="396" t="str">
        <f>R$11</f>
        <v>Wholesale</v>
      </c>
      <c r="S1207" s="13" t="str">
        <f>S$11</f>
        <v>Wholesale</v>
      </c>
      <c r="T1207" s="242"/>
      <c r="U1207" s="15" t="s">
        <v>10</v>
      </c>
      <c r="V1207" s="67"/>
    </row>
    <row r="1208" spans="1:22" ht="14.25">
      <c r="A1208" s="47"/>
      <c r="B1208" s="235"/>
      <c r="C1208" s="235"/>
      <c r="D1208" s="395"/>
      <c r="E1208" s="395"/>
      <c r="F1208" s="242"/>
      <c r="G1208" s="242" t="s">
        <v>742</v>
      </c>
      <c r="H1208" s="15" t="s">
        <v>743</v>
      </c>
      <c r="I1208" s="15"/>
      <c r="J1208" s="15"/>
      <c r="K1208" s="242" t="s">
        <v>731</v>
      </c>
      <c r="L1208" s="15" t="s">
        <v>732</v>
      </c>
      <c r="M1208" s="15" t="s">
        <v>731</v>
      </c>
      <c r="N1208" s="242" t="s">
        <v>732</v>
      </c>
      <c r="O1208" s="242" t="s">
        <v>414</v>
      </c>
      <c r="P1208" s="242"/>
      <c r="Q1208" s="15"/>
      <c r="R1208" s="235" t="str">
        <f>R$12</f>
        <v>XFMR</v>
      </c>
      <c r="S1208" s="15" t="str">
        <f>S$12</f>
        <v>DLS</v>
      </c>
      <c r="T1208" s="242"/>
      <c r="U1208" s="15"/>
      <c r="V1208" s="67"/>
    </row>
    <row r="1209" spans="1:22" ht="15" thickBot="1">
      <c r="A1209" s="47"/>
      <c r="B1209" s="243"/>
      <c r="C1209" s="243"/>
      <c r="D1209" s="473" t="s">
        <v>13</v>
      </c>
      <c r="E1209" s="473"/>
      <c r="F1209" s="245"/>
      <c r="G1209" s="245" t="s">
        <v>14</v>
      </c>
      <c r="H1209" s="16" t="s">
        <v>15</v>
      </c>
      <c r="I1209" s="16"/>
      <c r="J1209" s="16" t="str">
        <f t="shared" si="407" ref="J1209:Q1209">J$13</f>
        <v>(d)</v>
      </c>
      <c r="K1209" s="243" t="str">
        <f t="shared" si="407"/>
        <v>(e)</v>
      </c>
      <c r="L1209" s="16" t="str">
        <f t="shared" si="407"/>
        <v>(f)</v>
      </c>
      <c r="M1209" s="16" t="str">
        <f t="shared" si="407"/>
        <v>(g)</v>
      </c>
      <c r="N1209" s="243" t="str">
        <f t="shared" si="407"/>
        <v>(h)</v>
      </c>
      <c r="O1209" s="243" t="str">
        <f>O$13</f>
        <v>(i)</v>
      </c>
      <c r="P1209" s="243" t="str">
        <f t="shared" si="407"/>
        <v>(j)</v>
      </c>
      <c r="Q1209" s="243" t="str">
        <f t="shared" si="407"/>
        <v>(k)</v>
      </c>
      <c r="R1209" s="243" t="str">
        <f>R$13</f>
        <v>(l)</v>
      </c>
      <c r="S1209" s="16" t="str">
        <f>S$13</f>
        <v>(m)</v>
      </c>
      <c r="T1209" s="16"/>
      <c r="U1209" s="16" t="s">
        <v>734</v>
      </c>
      <c r="V1209" s="67"/>
    </row>
    <row r="1210" spans="1:21" ht="14.25">
      <c r="A1210" s="386"/>
      <c r="B1210" s="1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386"/>
      <c r="U1210" s="233"/>
    </row>
    <row r="1211" spans="1:21" ht="14.25">
      <c r="A1211" s="386"/>
      <c r="B1211" s="1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386"/>
      <c r="U1211" s="233"/>
    </row>
    <row r="1212" spans="1:21" ht="14.25">
      <c r="A1212" s="386"/>
      <c r="B1212" s="17">
        <f t="shared" si="408" ref="B1212:B1275">B1211+1</f>
        <v>1</v>
      </c>
      <c r="D1212" s="67" t="s">
        <v>745</v>
      </c>
      <c r="G1212" s="17">
        <f t="shared" si="409" ref="G1212:G1275">G1211+1</f>
        <v>1</v>
      </c>
      <c r="H1212" s="67" t="str">
        <f>VLOOKUP(G1212,FactorTable,2)</f>
        <v>ASSIGNED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8">
        <v>0</v>
      </c>
      <c r="S1212" s="18">
        <v>0</v>
      </c>
      <c r="T1212" s="386"/>
      <c r="U1212" s="474">
        <v>0</v>
      </c>
    </row>
    <row r="1213" spans="1:21" ht="14.25">
      <c r="A1213" s="386"/>
      <c r="B1213" s="17">
        <f t="shared" si="408"/>
        <v>2</v>
      </c>
      <c r="D1213" s="67" t="s">
        <v>746</v>
      </c>
      <c r="G1213" s="17">
        <f t="shared" si="409"/>
        <v>2</v>
      </c>
      <c r="H1213" s="67" t="str">
        <f>VLOOKUP(G1213,FactorTable,2)</f>
        <v>N / A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8">
        <v>0</v>
      </c>
      <c r="R1213" s="18">
        <v>0</v>
      </c>
      <c r="S1213" s="18">
        <v>0</v>
      </c>
      <c r="T1213" s="386"/>
      <c r="U1213" s="474">
        <v>0</v>
      </c>
    </row>
    <row r="1214" spans="1:21" ht="14.25">
      <c r="A1214" s="386"/>
      <c r="B1214" s="17">
        <f t="shared" si="408"/>
        <v>3</v>
      </c>
      <c r="G1214" s="17">
        <f t="shared" si="409"/>
        <v>3</v>
      </c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386"/>
      <c r="U1214" s="233"/>
    </row>
    <row r="1215" spans="1:21" ht="14.25">
      <c r="A1215" s="386"/>
      <c r="B1215" s="17">
        <f t="shared" si="408"/>
        <v>4</v>
      </c>
      <c r="G1215" s="17">
        <f t="shared" si="409"/>
        <v>4</v>
      </c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386"/>
      <c r="U1215" s="233"/>
    </row>
    <row r="1216" spans="1:21" ht="14.25">
      <c r="A1216" s="386"/>
      <c r="B1216" s="17">
        <f t="shared" si="408"/>
        <v>5</v>
      </c>
      <c r="G1216" s="17">
        <f t="shared" si="409"/>
        <v>5</v>
      </c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386"/>
      <c r="U1216" s="233"/>
    </row>
    <row r="1217" spans="1:21" ht="14.25">
      <c r="A1217" s="386"/>
      <c r="B1217" s="17">
        <f t="shared" si="408"/>
        <v>6</v>
      </c>
      <c r="D1217" s="67" t="s">
        <v>747</v>
      </c>
      <c r="E1217" t="s">
        <v>0</v>
      </c>
      <c r="G1217" s="17">
        <f t="shared" si="409"/>
        <v>6</v>
      </c>
      <c r="H1217" s="47" t="str">
        <f>VLOOKUP(G1217,FactorTable,2)</f>
        <v>CUS W ALL</v>
      </c>
      <c r="J1217" s="475">
        <f>'WP II-I-2.2'!E17</f>
        <v>0.55750481473464375</v>
      </c>
      <c r="K1217" s="475">
        <f>'WP II-I-2.2'!F17</f>
        <v>0.085952885111240593</v>
      </c>
      <c r="L1217" s="475">
        <f>'WP II-I-2.2'!G17</f>
        <v>0.26512464751523457</v>
      </c>
      <c r="M1217" s="475">
        <f>'WP II-I-2.2'!H17</f>
        <v>0.003722752602926988</v>
      </c>
      <c r="N1217" s="475">
        <f>'WP II-I-2.2'!I17</f>
        <v>0.077683818478312835</v>
      </c>
      <c r="O1217" s="475">
        <f>'WP II-I-2.2'!J17</f>
        <v>0.0026546895902129727</v>
      </c>
      <c r="P1217" s="475">
        <f>'WP II-I-2.2'!K17</f>
        <v>0.0057790550310020863</v>
      </c>
      <c r="Q1217" s="475">
        <f>'WP II-I-2.2'!L17</f>
        <v>0.00055573311775356405</v>
      </c>
      <c r="R1217" s="475">
        <f>'WP II-I-2.2'!M17</f>
        <v>0.00030631033733226608</v>
      </c>
      <c r="S1217" s="475">
        <f>'WP II-I-2.2'!N17</f>
        <v>0.00071529348134022558</v>
      </c>
      <c r="T1217" s="386"/>
      <c r="U1217" s="476">
        <f>MAX(0.0000001,SUM(I1217:T1217))</f>
        <v>0.99999999999999989</v>
      </c>
    </row>
    <row r="1218" spans="1:21" ht="14.25">
      <c r="A1218" s="386"/>
      <c r="B1218" s="17">
        <f t="shared" si="408"/>
        <v>7</v>
      </c>
      <c r="D1218" s="67" t="s">
        <v>748</v>
      </c>
      <c r="G1218" s="17">
        <f t="shared" si="409"/>
        <v>7</v>
      </c>
      <c r="H1218" s="67" t="str">
        <f>VLOOKUP(G1218,FactorTable,2)</f>
        <v>CUS W SEC</v>
      </c>
      <c r="J1218" s="47">
        <f>J1217</f>
        <v>0.55750481473464375</v>
      </c>
      <c r="K1218" s="47">
        <f>K1217</f>
        <v>0.085952885111240593</v>
      </c>
      <c r="L1218" s="47">
        <f>L1217</f>
        <v>0.26512464751523457</v>
      </c>
      <c r="M1218" s="18">
        <v>0</v>
      </c>
      <c r="N1218" s="18">
        <v>0</v>
      </c>
      <c r="O1218" s="18">
        <v>0</v>
      </c>
      <c r="P1218" s="18">
        <v>0</v>
      </c>
      <c r="Q1218" s="47">
        <f>Q1217</f>
        <v>0.00055573311775356405</v>
      </c>
      <c r="R1218" s="18">
        <v>0</v>
      </c>
      <c r="S1218" s="18">
        <v>0</v>
      </c>
      <c r="T1218" s="386"/>
      <c r="U1218" s="476">
        <f>MAX(0.0000001,SUM(I1218:T1218))</f>
        <v>0.90913808047887246</v>
      </c>
    </row>
    <row r="1219" spans="1:21" ht="14.25">
      <c r="A1219" s="386"/>
      <c r="B1219" s="17">
        <f t="shared" si="408"/>
        <v>8</v>
      </c>
      <c r="D1219" s="67" t="s">
        <v>749</v>
      </c>
      <c r="G1219" s="17">
        <f t="shared" si="409"/>
        <v>8</v>
      </c>
      <c r="H1219" s="67" t="str">
        <f>VLOOKUP(G1219,FactorTable,2)</f>
        <v>CUS W RTL</v>
      </c>
      <c r="J1219" s="47">
        <f t="shared" si="410" ref="J1219:Q1219">J1217</f>
        <v>0.55750481473464375</v>
      </c>
      <c r="K1219" s="47">
        <f t="shared" si="410"/>
        <v>0.085952885111240593</v>
      </c>
      <c r="L1219" s="47">
        <f t="shared" si="410"/>
        <v>0.26512464751523457</v>
      </c>
      <c r="M1219" s="47">
        <f t="shared" si="410"/>
        <v>0.003722752602926988</v>
      </c>
      <c r="N1219" s="47">
        <f t="shared" si="410"/>
        <v>0.077683818478312835</v>
      </c>
      <c r="O1219" s="47">
        <f>O1217</f>
        <v>0.0026546895902129727</v>
      </c>
      <c r="P1219" s="47">
        <f t="shared" si="410"/>
        <v>0.0057790550310020863</v>
      </c>
      <c r="Q1219" s="47">
        <f t="shared" si="410"/>
        <v>0.00055573311775356405</v>
      </c>
      <c r="R1219" s="27"/>
      <c r="S1219" s="27"/>
      <c r="T1219" s="386"/>
      <c r="U1219" s="476">
        <f>MAX(0.0000001,SUM(I1219:T1219))</f>
        <v>0.99897839618132733</v>
      </c>
    </row>
    <row r="1220" spans="1:21" ht="14.25">
      <c r="A1220" s="386"/>
      <c r="B1220" s="17">
        <f t="shared" si="408"/>
        <v>9</v>
      </c>
      <c r="D1220" s="67" t="s">
        <v>750</v>
      </c>
      <c r="G1220" s="17">
        <f t="shared" si="409"/>
        <v>9</v>
      </c>
      <c r="H1220" s="67" t="str">
        <f>VLOOKUP(G1220,FactorTable,2)</f>
        <v>CUS U ALL</v>
      </c>
      <c r="J1220" s="477">
        <f>'WP II-I-2.2'!E14</f>
        <v>3258283</v>
      </c>
      <c r="K1220" s="477">
        <f>'WP II-I-2.2'!F14</f>
        <v>304430</v>
      </c>
      <c r="L1220" s="477">
        <f>'WP II-I-2.2'!G14</f>
        <v>203588</v>
      </c>
      <c r="M1220" s="477">
        <f>'WP II-I-2.2'!H14</f>
        <v>3101</v>
      </c>
      <c r="N1220" s="477">
        <f>'WP II-I-2.2'!I14</f>
        <v>7158</v>
      </c>
      <c r="O1220" s="477">
        <f>'WP II-I-2.2'!J14</f>
        <v>130</v>
      </c>
      <c r="P1220" s="477">
        <f>'WP II-I-2.2'!K14</f>
        <v>283</v>
      </c>
      <c r="Q1220" s="477">
        <f>'WP II-I-2.2'!L14</f>
        <v>55208</v>
      </c>
      <c r="R1220" s="477">
        <f>'WP II-I-2.2'!M14</f>
        <v>15</v>
      </c>
      <c r="S1220" s="477">
        <f>'WP II-I-2.2'!N14</f>
        <v>48</v>
      </c>
      <c r="T1220" s="386"/>
      <c r="U1220" s="50">
        <f>MAX(0.0000001,SUM(I1220:T1220))</f>
        <v>3832244</v>
      </c>
    </row>
    <row r="1221" spans="1:21" ht="14.25">
      <c r="A1221" s="386"/>
      <c r="B1221" s="17">
        <f t="shared" si="408"/>
        <v>10</v>
      </c>
      <c r="D1221" s="67" t="s">
        <v>751</v>
      </c>
      <c r="G1221" s="17">
        <f t="shared" si="409"/>
        <v>10</v>
      </c>
      <c r="H1221" s="67" t="str">
        <f>VLOOKUP(G1221,FactorTable,2)</f>
        <v>CUS U RTL</v>
      </c>
      <c r="J1221" s="19">
        <f t="shared" si="411" ref="J1221:Q1221">J1220</f>
        <v>3258283</v>
      </c>
      <c r="K1221" s="19">
        <f t="shared" si="411"/>
        <v>304430</v>
      </c>
      <c r="L1221" s="19">
        <f t="shared" si="411"/>
        <v>203588</v>
      </c>
      <c r="M1221" s="19">
        <f t="shared" si="411"/>
        <v>3101</v>
      </c>
      <c r="N1221" s="19">
        <f t="shared" si="411"/>
        <v>7158</v>
      </c>
      <c r="O1221" s="19">
        <f>O1220</f>
        <v>130</v>
      </c>
      <c r="P1221" s="19">
        <f t="shared" si="411"/>
        <v>283</v>
      </c>
      <c r="Q1221" s="19">
        <f t="shared" si="411"/>
        <v>55208</v>
      </c>
      <c r="R1221" s="18">
        <v>0</v>
      </c>
      <c r="S1221" s="18">
        <v>0</v>
      </c>
      <c r="T1221" s="386"/>
      <c r="U1221" s="50">
        <f>MAX(0.0000001,SUM(I1221:T1221))</f>
        <v>3832181</v>
      </c>
    </row>
    <row r="1222" spans="1:21" ht="14.25">
      <c r="A1222" s="386"/>
      <c r="B1222" s="17">
        <f t="shared" si="408"/>
        <v>11</v>
      </c>
      <c r="D1222" s="67"/>
      <c r="G1222" s="17">
        <f t="shared" si="409"/>
        <v>11</v>
      </c>
      <c r="H1222" s="6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386"/>
      <c r="U1222" s="233"/>
    </row>
    <row r="1223" spans="1:21" ht="14.25">
      <c r="A1223" s="386"/>
      <c r="B1223" s="17">
        <f t="shared" si="408"/>
        <v>12</v>
      </c>
      <c r="D1223" s="67"/>
      <c r="G1223" s="17">
        <f t="shared" si="409"/>
        <v>12</v>
      </c>
      <c r="H1223" s="6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386"/>
      <c r="U1223" s="233"/>
    </row>
    <row r="1224" spans="1:21" ht="14.25">
      <c r="A1224" s="386"/>
      <c r="B1224" s="17">
        <f t="shared" si="408"/>
        <v>13</v>
      </c>
      <c r="D1224" s="67"/>
      <c r="G1224" s="17">
        <f t="shared" si="409"/>
        <v>13</v>
      </c>
      <c r="H1224" s="6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386"/>
      <c r="U1224" s="233"/>
    </row>
    <row r="1225" spans="1:21" ht="14.25">
      <c r="A1225" s="386"/>
      <c r="B1225" s="17">
        <f t="shared" si="408"/>
        <v>14</v>
      </c>
      <c r="D1225" s="47" t="s">
        <v>752</v>
      </c>
      <c r="G1225" s="17">
        <f t="shared" si="409"/>
        <v>14</v>
      </c>
      <c r="H1225" s="67" t="str">
        <f>VLOOKUP(G1225,FactorTable,2)</f>
        <v>REVENUE</v>
      </c>
      <c r="J1225" s="477">
        <f>'WP II-I-2.2'!E77</f>
        <v>1921088302</v>
      </c>
      <c r="K1225" s="477">
        <f>'WP II-I-2.2'!F77</f>
        <v>95557181</v>
      </c>
      <c r="L1225" s="477">
        <f>'WP II-I-2.2'!G77</f>
        <v>1496280417.6886501</v>
      </c>
      <c r="M1225" s="477">
        <f>'WP II-I-2.2'!H77</f>
        <v>1232285</v>
      </c>
      <c r="N1225" s="477">
        <f>'WP II-I-2.2'!I77</f>
        <v>272480697.46980089</v>
      </c>
      <c r="O1225" s="477">
        <f>'WP II-I-2.2'!J77</f>
        <v>31568642.908480335</v>
      </c>
      <c r="P1225" s="477">
        <f>'WP II-I-2.2'!K77</f>
        <v>114615137.75514101</v>
      </c>
      <c r="Q1225" s="477">
        <f>'WP II-I-2.2'!L77</f>
        <v>60374542.129999995</v>
      </c>
      <c r="R1225" s="477">
        <f>'WP II-I-2.2'!M77</f>
        <v>608356</v>
      </c>
      <c r="S1225" s="477">
        <f>'WP II-I-2.2'!N77</f>
        <v>2160192</v>
      </c>
      <c r="T1225" s="386"/>
      <c r="U1225" s="50">
        <f>MAX(0.0000001,SUM(I1225:T1225))</f>
        <v>3995965753.9520721</v>
      </c>
    </row>
    <row r="1226" spans="1:21" ht="14.25">
      <c r="A1226" s="386"/>
      <c r="B1226" s="17">
        <f t="shared" si="408"/>
        <v>15</v>
      </c>
      <c r="D1226" s="67" t="s">
        <v>753</v>
      </c>
      <c r="G1226" s="17">
        <f t="shared" si="409"/>
        <v>15</v>
      </c>
      <c r="H1226" s="67" t="str">
        <f>VLOOKUP(G1226,FactorTable,2)</f>
        <v>REVENUE RTL</v>
      </c>
      <c r="J1226" s="19">
        <f t="shared" si="412" ref="J1226:Q1226">J1225</f>
        <v>1921088302</v>
      </c>
      <c r="K1226" s="19">
        <f t="shared" si="412"/>
        <v>95557181</v>
      </c>
      <c r="L1226" s="19">
        <f t="shared" si="412"/>
        <v>1496280417.6886501</v>
      </c>
      <c r="M1226" s="19">
        <f t="shared" si="412"/>
        <v>1232285</v>
      </c>
      <c r="N1226" s="19">
        <f t="shared" si="412"/>
        <v>272480697.46980089</v>
      </c>
      <c r="O1226" s="19">
        <f>O1225</f>
        <v>31568642.908480335</v>
      </c>
      <c r="P1226" s="19">
        <f t="shared" si="412"/>
        <v>114615137.75514101</v>
      </c>
      <c r="Q1226" s="19">
        <f t="shared" si="412"/>
        <v>60374542.129999995</v>
      </c>
      <c r="R1226" s="27"/>
      <c r="S1226" s="27"/>
      <c r="T1226" s="386"/>
      <c r="U1226" s="50">
        <f>MAX(0.0000001,SUM(I1226:T1226))</f>
        <v>3993197205.9520721</v>
      </c>
    </row>
    <row r="1227" spans="1:21" ht="14.25">
      <c r="A1227" s="386"/>
      <c r="B1227" s="17">
        <f t="shared" si="408"/>
        <v>16</v>
      </c>
      <c r="D1227" s="67"/>
      <c r="G1227" s="17">
        <f t="shared" si="409"/>
        <v>16</v>
      </c>
      <c r="H1227" s="6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386"/>
      <c r="U1227" s="233"/>
    </row>
    <row r="1228" spans="1:21" ht="14.25">
      <c r="A1228" s="386"/>
      <c r="B1228" s="17">
        <f t="shared" si="408"/>
        <v>17</v>
      </c>
      <c r="D1228" s="664" t="s">
        <v>1044</v>
      </c>
      <c r="G1228" s="17">
        <f t="shared" si="409"/>
        <v>17</v>
      </c>
      <c r="H1228" s="664" t="s">
        <v>1043</v>
      </c>
      <c r="J1228" s="47">
        <v>1763132764.6525154</v>
      </c>
      <c r="K1228" s="47">
        <v>85777399.683401302</v>
      </c>
      <c r="L1228" s="47">
        <v>1315632476.0922151</v>
      </c>
      <c r="M1228" s="47">
        <v>1119414.9323867427</v>
      </c>
      <c r="N1228" s="47">
        <v>195186930.40355563</v>
      </c>
      <c r="O1228" s="47">
        <v>26040677.805835228</v>
      </c>
      <c r="P1228" s="47">
        <v>97405783.661392704</v>
      </c>
      <c r="Q1228" s="47">
        <v>58143116.429203786</v>
      </c>
      <c r="R1228" s="47">
        <v>1058649.2683363492</v>
      </c>
      <c r="S1228" s="47">
        <v>4712912.5541264359</v>
      </c>
      <c r="T1228" s="386"/>
      <c r="U1228" s="50">
        <f>MAX(0.0000001,SUM(I1228:T1228))</f>
        <v>3548210125.4829688</v>
      </c>
    </row>
    <row r="1229" spans="1:21" ht="14.25">
      <c r="A1229" s="386"/>
      <c r="B1229" s="17">
        <f t="shared" si="408"/>
        <v>18</v>
      </c>
      <c r="D1229" s="47"/>
      <c r="G1229" s="17">
        <f t="shared" si="409"/>
        <v>18</v>
      </c>
      <c r="H1229" s="6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386"/>
      <c r="U1229" s="233"/>
    </row>
    <row r="1230" spans="1:21" ht="14.25">
      <c r="A1230" s="386"/>
      <c r="B1230" s="17">
        <f t="shared" si="408"/>
        <v>19</v>
      </c>
      <c r="D1230" s="67" t="s">
        <v>754</v>
      </c>
      <c r="G1230" s="17">
        <f t="shared" si="409"/>
        <v>19</v>
      </c>
      <c r="H1230" s="67" t="str">
        <f>VLOOKUP(G1230,FactorTable,2)</f>
        <v>ENERGY ICL</v>
      </c>
      <c r="J1230" s="478">
        <f>'WP II-I-2.2'!E20</f>
        <v>39273336.848999999</v>
      </c>
      <c r="K1230" s="478">
        <f>'WP II-I-2.2'!F20</f>
        <v>1402919.575</v>
      </c>
      <c r="L1230" s="478">
        <f>'WP II-I-2.2'!G20</f>
        <v>41118783.953000002</v>
      </c>
      <c r="M1230" s="478">
        <f>'WP II-I-2.2'!H20</f>
        <v>709.72199999999998</v>
      </c>
      <c r="N1230" s="478">
        <f>'WP II-I-2.2'!I20</f>
        <v>6611595.1490000002</v>
      </c>
      <c r="O1230" s="478">
        <f>'WP II-I-2.2'!J20</f>
        <v>1040290.0600000001</v>
      </c>
      <c r="P1230" s="478">
        <f>'WP II-I-2.2'!K20</f>
        <v>7792495.8710000003</v>
      </c>
      <c r="Q1230" s="478">
        <f>'WP II-I-2.2'!L20</f>
        <v>357989.07199999999</v>
      </c>
      <c r="R1230" s="478">
        <f>'WP II-I-2.2'!M20</f>
        <v>79376.522324525358</v>
      </c>
      <c r="S1230" s="478">
        <f>'WP II-I-2.2'!N20</f>
        <v>118215.49419116367</v>
      </c>
      <c r="T1230" s="386"/>
      <c r="U1230" s="50">
        <f>MAX(0.0000001,SUM(I1230:T1230))</f>
        <v>97795712.267515719</v>
      </c>
    </row>
    <row r="1231" spans="1:21" ht="14.25">
      <c r="A1231" s="386"/>
      <c r="B1231" s="17">
        <f t="shared" si="408"/>
        <v>20</v>
      </c>
      <c r="D1231" s="67"/>
      <c r="G1231" s="17">
        <f t="shared" si="409"/>
        <v>20</v>
      </c>
      <c r="H1231" s="6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386"/>
      <c r="U1231" s="233"/>
    </row>
    <row r="1232" spans="1:21" ht="14.25">
      <c r="A1232" s="386"/>
      <c r="B1232" s="17">
        <f t="shared" si="408"/>
        <v>21</v>
      </c>
      <c r="D1232" s="67"/>
      <c r="G1232" s="17">
        <f t="shared" si="409"/>
        <v>21</v>
      </c>
      <c r="H1232" s="6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386"/>
      <c r="U1232" s="233"/>
    </row>
    <row r="1233" spans="1:21" ht="14.25">
      <c r="A1233" s="386"/>
      <c r="B1233" s="17">
        <f t="shared" si="408"/>
        <v>22</v>
      </c>
      <c r="D1233" s="47"/>
      <c r="G1233" s="17">
        <f t="shared" si="409"/>
        <v>22</v>
      </c>
      <c r="H1233" s="6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386"/>
      <c r="U1233" s="233"/>
    </row>
    <row r="1234" spans="1:21" ht="14.25">
      <c r="A1234" s="386"/>
      <c r="B1234" s="17">
        <f t="shared" si="408"/>
        <v>23</v>
      </c>
      <c r="D1234" s="67" t="s">
        <v>755</v>
      </c>
      <c r="G1234" s="17">
        <f t="shared" si="409"/>
        <v>23</v>
      </c>
      <c r="H1234" s="67" t="str">
        <f>VLOOKUP(G1234,FactorTable,2)</f>
        <v>4CP RTL</v>
      </c>
      <c r="J1234" s="478">
        <f>'WP II-I-2.2'!E40</f>
        <v>11677303.199334735</v>
      </c>
      <c r="K1234" s="478">
        <f>'WP II-I-2.2'!F40</f>
        <v>326399.97894299857</v>
      </c>
      <c r="L1234" s="478">
        <f>'WP II-I-2.2'!G40</f>
        <v>8488977.9318657275</v>
      </c>
      <c r="M1234" s="478">
        <f>'WP II-I-2.2'!H40</f>
        <v>3375.967252129818</v>
      </c>
      <c r="N1234" s="478">
        <f>'WP II-I-2.2'!I40</f>
        <v>2134206.4937228127</v>
      </c>
      <c r="O1234" s="478">
        <f>'WP II-I-2.2'!J40</f>
        <v>698990.473477375</v>
      </c>
      <c r="P1234" s="478">
        <f>'WP II-I-2.2'!K40</f>
        <v>2122210.8674999997</v>
      </c>
      <c r="Q1234" s="478">
        <f>'WP II-I-2.2'!L40</f>
        <v>0</v>
      </c>
      <c r="R1234" s="27">
        <v>0</v>
      </c>
      <c r="S1234" s="27">
        <v>0</v>
      </c>
      <c r="T1234" s="386"/>
      <c r="U1234" s="50">
        <f>MAX(0.0000001,SUM(I1234:T1234))</f>
        <v>25451464.912095778</v>
      </c>
    </row>
    <row r="1235" spans="1:21" ht="14.25">
      <c r="A1235" s="386"/>
      <c r="B1235" s="17">
        <f t="shared" si="408"/>
        <v>24</v>
      </c>
      <c r="D1235" s="67"/>
      <c r="G1235" s="17">
        <f t="shared" si="409"/>
        <v>24</v>
      </c>
      <c r="H1235" s="6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386"/>
      <c r="U1235" s="233"/>
    </row>
    <row r="1236" spans="1:21" ht="14.25">
      <c r="A1236" s="386"/>
      <c r="B1236" s="17">
        <f t="shared" si="408"/>
        <v>25</v>
      </c>
      <c r="D1236" s="67"/>
      <c r="G1236" s="17">
        <f t="shared" si="409"/>
        <v>25</v>
      </c>
      <c r="H1236" s="6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386"/>
      <c r="U1236" s="233"/>
    </row>
    <row r="1237" spans="1:21" ht="14.25">
      <c r="A1237" s="386"/>
      <c r="B1237" s="17">
        <f t="shared" si="408"/>
        <v>26</v>
      </c>
      <c r="D1237" s="67" t="s">
        <v>756</v>
      </c>
      <c r="G1237" s="17">
        <f t="shared" si="409"/>
        <v>26</v>
      </c>
      <c r="H1237" s="67" t="str">
        <f t="shared" si="413" ref="H1237:H1244">VLOOKUP(G1237,FactorTable,2)</f>
        <v>NCP ALL</v>
      </c>
      <c r="J1237" s="477">
        <f>'WP II-I-2.2'!E37</f>
        <v>15210692.881406292</v>
      </c>
      <c r="K1237" s="477">
        <f>'WP II-I-2.2'!F37</f>
        <v>371448.40089449205</v>
      </c>
      <c r="L1237" s="477">
        <f>'WP II-I-2.2'!G37</f>
        <v>9793744.3547214009</v>
      </c>
      <c r="M1237" s="477">
        <f>'WP II-I-2.2'!H37</f>
        <v>5536.8073701752573</v>
      </c>
      <c r="N1237" s="477">
        <f>'WP II-I-2.2'!I37</f>
        <v>2343455.6321282429</v>
      </c>
      <c r="O1237" s="477">
        <f>'WP II-I-2.2'!J37</f>
        <v>847474.94215962989</v>
      </c>
      <c r="P1237" s="477">
        <f>'WP II-I-2.2'!K37</f>
        <v>2790485.8700000001</v>
      </c>
      <c r="Q1237" s="477">
        <f>'WP II-I-2.2'!L37</f>
        <v>98783.961086827592</v>
      </c>
      <c r="R1237" s="477">
        <f>'WP II-I-2.2'!M37</f>
        <v>101575.17606204849</v>
      </c>
      <c r="S1237" s="477">
        <f>'WP II-I-2.2'!N37</f>
        <v>127209.27191001845</v>
      </c>
      <c r="T1237" s="386"/>
      <c r="U1237" s="50">
        <f t="shared" si="414" ref="U1237:U1244">MAX(0.0000001,SUM(I1237:T1237))</f>
        <v>31690407.29773913</v>
      </c>
    </row>
    <row r="1238" spans="1:21" ht="14.25">
      <c r="A1238" s="386"/>
      <c r="B1238" s="17">
        <f t="shared" si="408"/>
        <v>27</v>
      </c>
      <c r="D1238" s="67"/>
      <c r="G1238" s="17">
        <f>G1237+1</f>
        <v>27</v>
      </c>
      <c r="H1238" s="6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386"/>
      <c r="U1238" s="233"/>
    </row>
    <row r="1239" spans="1:21" ht="14.25">
      <c r="A1239" s="386"/>
      <c r="B1239" s="17">
        <f t="shared" si="408"/>
        <v>28</v>
      </c>
      <c r="D1239" s="67" t="s">
        <v>757</v>
      </c>
      <c r="G1239" s="17">
        <f t="shared" si="409"/>
        <v>28</v>
      </c>
      <c r="H1239" s="67" t="str">
        <f t="shared" si="413"/>
        <v>NCP XHV</v>
      </c>
      <c r="J1239" s="838">
        <f t="shared" si="415" ref="J1239:O1239">J1237</f>
        <v>15210692.881406292</v>
      </c>
      <c r="K1239" s="838">
        <f t="shared" si="415"/>
        <v>371448.40089449205</v>
      </c>
      <c r="L1239" s="838">
        <f t="shared" si="415"/>
        <v>9793744.3547214009</v>
      </c>
      <c r="M1239" s="838">
        <f t="shared" si="415"/>
        <v>5536.8073701752573</v>
      </c>
      <c r="N1239" s="838">
        <f t="shared" si="415"/>
        <v>2343455.6321282429</v>
      </c>
      <c r="O1239" s="838">
        <f t="shared" si="415"/>
        <v>847474.94215962989</v>
      </c>
      <c r="P1239" s="18">
        <v>0</v>
      </c>
      <c r="Q1239" s="838">
        <f>Q1237</f>
        <v>98783.961086827592</v>
      </c>
      <c r="R1239" s="479">
        <f>R1237</f>
        <v>101575.17606204849</v>
      </c>
      <c r="S1239" s="479">
        <f>S1237</f>
        <v>127209.27191001845</v>
      </c>
      <c r="T1239" s="386"/>
      <c r="U1239" s="50">
        <f t="shared" si="414"/>
        <v>28899921.427739128</v>
      </c>
    </row>
    <row r="1240" spans="1:21" ht="14.25">
      <c r="A1240" s="386"/>
      <c r="B1240" s="17">
        <f t="shared" si="408"/>
        <v>29</v>
      </c>
      <c r="D1240" s="67"/>
      <c r="G1240" s="17">
        <f>G1239+1</f>
        <v>29</v>
      </c>
      <c r="H1240" s="6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386"/>
      <c r="U1240" s="233"/>
    </row>
    <row r="1241" spans="1:21" ht="14.25">
      <c r="A1241" s="386"/>
      <c r="B1241" s="17">
        <f t="shared" si="408"/>
        <v>30</v>
      </c>
      <c r="D1241" s="67" t="s">
        <v>759</v>
      </c>
      <c r="G1241" s="17">
        <f t="shared" si="409"/>
        <v>30</v>
      </c>
      <c r="H1241" s="67" t="str">
        <f t="shared" si="413"/>
        <v>NCP XSS</v>
      </c>
      <c r="J1241" s="838">
        <f>J1237</f>
        <v>15210692.881406292</v>
      </c>
      <c r="K1241" s="838">
        <f>K1237</f>
        <v>371448.40089449205</v>
      </c>
      <c r="L1241" s="838">
        <f>L1237</f>
        <v>9793744.3547214009</v>
      </c>
      <c r="M1241" s="838">
        <f>M1237</f>
        <v>5536.8073701752573</v>
      </c>
      <c r="N1241" s="838">
        <f>N1237</f>
        <v>2343455.6321282429</v>
      </c>
      <c r="O1241" s="18">
        <v>0</v>
      </c>
      <c r="P1241" s="18">
        <v>0</v>
      </c>
      <c r="Q1241" s="838">
        <f>Q1237</f>
        <v>98783.961086827592</v>
      </c>
      <c r="R1241" s="18">
        <v>0</v>
      </c>
      <c r="S1241" s="479">
        <f>S1237</f>
        <v>127209.27191001845</v>
      </c>
      <c r="T1241" s="386"/>
      <c r="U1241" s="50">
        <f t="shared" si="414"/>
        <v>27950871.309517451</v>
      </c>
    </row>
    <row r="1242" spans="1:21" ht="14.25">
      <c r="A1242" s="386"/>
      <c r="B1242" s="17">
        <f t="shared" si="408"/>
        <v>31</v>
      </c>
      <c r="D1242" s="67"/>
      <c r="G1242" s="17">
        <f>G1241+1</f>
        <v>31</v>
      </c>
      <c r="H1242" s="6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386"/>
      <c r="U1242" s="233"/>
    </row>
    <row r="1243" spans="1:21" ht="14.25">
      <c r="A1243" s="386"/>
      <c r="B1243" s="17">
        <f t="shared" si="408"/>
        <v>32</v>
      </c>
      <c r="D1243" s="67" t="s">
        <v>760</v>
      </c>
      <c r="G1243" s="17">
        <f t="shared" si="409"/>
        <v>32</v>
      </c>
      <c r="H1243" s="67" t="str">
        <f t="shared" si="413"/>
        <v>NCP SEC</v>
      </c>
      <c r="J1243" s="838">
        <f>J1237</f>
        <v>15210692.881406292</v>
      </c>
      <c r="K1243" s="838">
        <f>K1237</f>
        <v>371448.40089449205</v>
      </c>
      <c r="L1243" s="838">
        <f>L1237</f>
        <v>9793744.3547214009</v>
      </c>
      <c r="M1243" s="18">
        <v>0</v>
      </c>
      <c r="N1243" s="18">
        <v>0</v>
      </c>
      <c r="O1243" s="18">
        <v>0</v>
      </c>
      <c r="P1243" s="18">
        <v>0</v>
      </c>
      <c r="Q1243" s="838">
        <f>Q1237</f>
        <v>98783.961086827592</v>
      </c>
      <c r="R1243" s="18">
        <v>0</v>
      </c>
      <c r="S1243" s="18">
        <v>0</v>
      </c>
      <c r="U1243" s="50">
        <f t="shared" si="414"/>
        <v>25474669.598109014</v>
      </c>
    </row>
    <row r="1244" spans="1:21" ht="14.25">
      <c r="A1244" s="386"/>
      <c r="B1244" s="17">
        <f t="shared" si="408"/>
        <v>33</v>
      </c>
      <c r="D1244" s="67" t="s">
        <v>761</v>
      </c>
      <c r="G1244" s="17">
        <f t="shared" si="409"/>
        <v>33</v>
      </c>
      <c r="H1244" s="67" t="str">
        <f t="shared" si="413"/>
        <v>NCP LGT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838">
        <f>Q1237</f>
        <v>98783.961086827592</v>
      </c>
      <c r="R1244" s="18">
        <v>0</v>
      </c>
      <c r="S1244" s="18">
        <v>0</v>
      </c>
      <c r="U1244" s="50">
        <f t="shared" si="414"/>
        <v>98783.961086827592</v>
      </c>
    </row>
    <row r="1245" spans="1:21" ht="14.25">
      <c r="A1245" s="386"/>
      <c r="B1245" s="17">
        <f t="shared" si="408"/>
        <v>34</v>
      </c>
      <c r="D1245" s="47"/>
      <c r="E1245" s="386"/>
      <c r="F1245" s="386"/>
      <c r="G1245" s="17">
        <f t="shared" si="409"/>
        <v>34</v>
      </c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U1245" s="233"/>
    </row>
    <row r="1246" spans="1:21" ht="14.25">
      <c r="A1246" s="386"/>
      <c r="B1246" s="17">
        <f t="shared" si="408"/>
        <v>35</v>
      </c>
      <c r="G1246" s="17">
        <f t="shared" si="409"/>
        <v>35</v>
      </c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U1246" s="233"/>
    </row>
    <row r="1247" spans="1:21" ht="14.25">
      <c r="A1247" s="386"/>
      <c r="B1247" s="17">
        <f t="shared" si="408"/>
        <v>36</v>
      </c>
      <c r="D1247" s="47" t="s">
        <v>940</v>
      </c>
      <c r="G1247" s="17">
        <f t="shared" si="409"/>
        <v>36</v>
      </c>
      <c r="H1247" s="67" t="str">
        <f>VLOOKUP(G1247,FactorTable,2)</f>
        <v>OPEB MED</v>
      </c>
      <c r="J1247" s="477">
        <f>J1299</f>
        <v>10296901.818339335</v>
      </c>
      <c r="K1247" s="477">
        <f t="shared" si="416" ref="K1247:Q1247">K1299</f>
        <v>1458292.9479781427</v>
      </c>
      <c r="L1247" s="477">
        <f t="shared" si="416"/>
        <v>5115810.5778522026</v>
      </c>
      <c r="M1247" s="477">
        <f t="shared" si="416"/>
        <v>60701.716019887506</v>
      </c>
      <c r="N1247" s="477">
        <f t="shared" si="416"/>
        <v>1401139.0348371649</v>
      </c>
      <c r="O1247" s="477">
        <f>O1299</f>
        <v>60421.567242669305</v>
      </c>
      <c r="P1247" s="477">
        <f t="shared" si="416"/>
        <v>157409.78741172873</v>
      </c>
      <c r="Q1247" s="477">
        <f t="shared" si="416"/>
        <v>502748.70806368336</v>
      </c>
      <c r="R1247" s="477">
        <f>R1299*(1-'WP II-I-2.2'!$G$42)</f>
        <v>4917.8657188098587</v>
      </c>
      <c r="S1247" s="477">
        <f>S1299*(1-'WP II-I-2.2'!$G$42)</f>
        <v>11485.216536373695</v>
      </c>
      <c r="U1247" s="50">
        <f>MAX(0.0000001,SUM(I1247:T1247))</f>
        <v>19069829.239999995</v>
      </c>
    </row>
    <row r="1248" spans="1:21" ht="14.25">
      <c r="A1248" s="386"/>
      <c r="B1248" s="17">
        <f t="shared" si="408"/>
        <v>37</v>
      </c>
      <c r="D1248" t="s">
        <v>949</v>
      </c>
      <c r="G1248" s="17">
        <f t="shared" si="409"/>
        <v>37</v>
      </c>
      <c r="H1248" s="67" t="str">
        <f>VLOOKUP(G1248,FactorTable,2)</f>
        <v>OPEB TOTAL</v>
      </c>
      <c r="J1248" s="477">
        <f>J1299</f>
        <v>10296901.818339335</v>
      </c>
      <c r="K1248" s="477">
        <f t="shared" si="417" ref="K1248:Q1248">K1299</f>
        <v>1458292.9479781427</v>
      </c>
      <c r="L1248" s="477">
        <f t="shared" si="417"/>
        <v>5115810.5778522026</v>
      </c>
      <c r="M1248" s="477">
        <f t="shared" si="417"/>
        <v>60701.716019887506</v>
      </c>
      <c r="N1248" s="477">
        <f t="shared" si="417"/>
        <v>1401139.0348371649</v>
      </c>
      <c r="O1248" s="477">
        <f>O1299</f>
        <v>60421.567242669305</v>
      </c>
      <c r="P1248" s="477">
        <f t="shared" si="417"/>
        <v>157409.78741172873</v>
      </c>
      <c r="Q1248" s="477">
        <f t="shared" si="417"/>
        <v>502748.70806368336</v>
      </c>
      <c r="R1248" s="477">
        <f>R1299*(1-'WP II-I-2.2'!$K$42)</f>
        <v>4917.8657188098587</v>
      </c>
      <c r="S1248" s="477">
        <f>S1299*(1-'WP II-I-2.2'!$K$42)</f>
        <v>11485.216536373695</v>
      </c>
      <c r="U1248" s="50">
        <f>MAX(0.0000001,SUM(I1248:T1248))</f>
        <v>19069829.239999995</v>
      </c>
    </row>
    <row r="1249" spans="1:21" ht="14.25">
      <c r="A1249" s="386"/>
      <c r="B1249" s="17">
        <f t="shared" si="408"/>
        <v>38</v>
      </c>
      <c r="D1249" s="67"/>
      <c r="G1249" s="17">
        <f t="shared" si="409"/>
        <v>38</v>
      </c>
      <c r="H1249" s="67"/>
      <c r="J1249" s="481"/>
      <c r="K1249" s="481"/>
      <c r="L1249" s="481"/>
      <c r="M1249" s="481"/>
      <c r="N1249" s="481"/>
      <c r="O1249" s="481"/>
      <c r="P1249" s="481"/>
      <c r="Q1249" s="481"/>
      <c r="R1249" s="481"/>
      <c r="S1249" s="481"/>
      <c r="U1249" s="50"/>
    </row>
    <row r="1250" spans="1:21" ht="14.25">
      <c r="A1250" s="386"/>
      <c r="B1250" s="17">
        <f t="shared" si="408"/>
        <v>39</v>
      </c>
      <c r="D1250" s="67" t="s">
        <v>762</v>
      </c>
      <c r="G1250" s="17">
        <f t="shared" si="409"/>
        <v>39</v>
      </c>
      <c r="H1250" s="67" t="str">
        <f t="shared" si="418" ref="H1250:H1265">VLOOKUP(G1250,FactorTable,2)</f>
        <v>NOT USED</v>
      </c>
      <c r="J1250" s="480"/>
      <c r="K1250" s="480"/>
      <c r="L1250" s="480"/>
      <c r="M1250" s="480"/>
      <c r="N1250" s="480"/>
      <c r="O1250" s="480"/>
      <c r="P1250" s="480"/>
      <c r="Q1250" s="480"/>
      <c r="R1250" s="480"/>
      <c r="S1250" s="480"/>
      <c r="U1250" s="50"/>
    </row>
    <row r="1251" spans="1:21" ht="14.25">
      <c r="A1251" s="386"/>
      <c r="B1251" s="17">
        <f t="shared" si="408"/>
        <v>40</v>
      </c>
      <c r="D1251" s="67" t="s">
        <v>957</v>
      </c>
      <c r="G1251" s="17">
        <f t="shared" si="409"/>
        <v>40</v>
      </c>
      <c r="H1251" s="67" t="str">
        <f>VLOOKUP(G1251,FactorTable,2)</f>
        <v>PLT 360</v>
      </c>
      <c r="J1251" s="480">
        <f t="shared" si="419" ref="J1251:S1251">J133</f>
        <v>0</v>
      </c>
      <c r="K1251" s="480">
        <f t="shared" si="419"/>
        <v>0</v>
      </c>
      <c r="L1251" s="480">
        <f t="shared" si="419"/>
        <v>0</v>
      </c>
      <c r="M1251" s="480">
        <f t="shared" si="419"/>
        <v>0</v>
      </c>
      <c r="N1251" s="480">
        <f t="shared" si="419"/>
        <v>0</v>
      </c>
      <c r="O1251" s="480">
        <f t="shared" si="419"/>
        <v>0</v>
      </c>
      <c r="P1251" s="480">
        <f t="shared" si="419"/>
        <v>0</v>
      </c>
      <c r="Q1251" s="480">
        <f t="shared" si="419"/>
        <v>0</v>
      </c>
      <c r="R1251" s="480">
        <f t="shared" si="419"/>
        <v>0</v>
      </c>
      <c r="S1251" s="480">
        <f t="shared" si="419"/>
        <v>0</v>
      </c>
      <c r="U1251" s="50">
        <f>MAX(0.0000001,SUM(I1251:T1251))</f>
        <v>9.9999999999999995E-08</v>
      </c>
    </row>
    <row r="1252" spans="1:21" ht="14.25">
      <c r="A1252" s="386"/>
      <c r="B1252" s="17">
        <f t="shared" si="408"/>
        <v>41</v>
      </c>
      <c r="D1252" s="67" t="s">
        <v>763</v>
      </c>
      <c r="G1252" s="17">
        <f t="shared" si="409"/>
        <v>41</v>
      </c>
      <c r="H1252" s="67" t="str">
        <f t="shared" si="418"/>
        <v>PLT 353</v>
      </c>
      <c r="J1252" s="480">
        <f t="shared" si="420" ref="J1252:S1252">J111</f>
        <v>0</v>
      </c>
      <c r="K1252" s="480">
        <f t="shared" si="420"/>
        <v>0</v>
      </c>
      <c r="L1252" s="480">
        <f t="shared" si="420"/>
        <v>0</v>
      </c>
      <c r="M1252" s="480">
        <f t="shared" si="420"/>
        <v>0</v>
      </c>
      <c r="N1252" s="480">
        <f t="shared" si="420"/>
        <v>0</v>
      </c>
      <c r="O1252" s="480">
        <f t="shared" si="420"/>
        <v>0</v>
      </c>
      <c r="P1252" s="480">
        <f t="shared" si="420"/>
        <v>0</v>
      </c>
      <c r="Q1252" s="480">
        <f t="shared" si="420"/>
        <v>0</v>
      </c>
      <c r="R1252" s="480">
        <f t="shared" si="420"/>
        <v>0</v>
      </c>
      <c r="S1252" s="480">
        <f t="shared" si="420"/>
        <v>0</v>
      </c>
      <c r="U1252" s="50">
        <f t="shared" si="421" ref="U1252:U1265">MAX(0.0000001,SUM(I1252:T1252))</f>
        <v>9.9999999999999995E-08</v>
      </c>
    </row>
    <row r="1253" spans="1:21" ht="14.25">
      <c r="A1253" s="386"/>
      <c r="B1253" s="17">
        <f t="shared" si="408"/>
        <v>42</v>
      </c>
      <c r="D1253" s="67" t="s">
        <v>764</v>
      </c>
      <c r="G1253" s="17">
        <f t="shared" si="409"/>
        <v>42</v>
      </c>
      <c r="H1253" s="67" t="str">
        <f t="shared" si="418"/>
        <v>PLT 352-358</v>
      </c>
      <c r="J1253" s="480">
        <f t="shared" si="422" ref="J1253:S1253">SUM(J110:J116)</f>
        <v>0</v>
      </c>
      <c r="K1253" s="480">
        <f t="shared" si="422"/>
        <v>0</v>
      </c>
      <c r="L1253" s="480">
        <f t="shared" si="422"/>
        <v>0</v>
      </c>
      <c r="M1253" s="480">
        <f t="shared" si="422"/>
        <v>0</v>
      </c>
      <c r="N1253" s="480">
        <f t="shared" si="422"/>
        <v>0</v>
      </c>
      <c r="O1253" s="480">
        <f t="shared" si="422"/>
        <v>0</v>
      </c>
      <c r="P1253" s="480">
        <f t="shared" si="422"/>
        <v>0</v>
      </c>
      <c r="Q1253" s="480">
        <f t="shared" si="422"/>
        <v>0</v>
      </c>
      <c r="R1253" s="480">
        <f t="shared" si="422"/>
        <v>0</v>
      </c>
      <c r="S1253" s="480">
        <f t="shared" si="422"/>
        <v>0</v>
      </c>
      <c r="U1253" s="50">
        <f t="shared" si="421"/>
        <v>9.9999999999999995E-08</v>
      </c>
    </row>
    <row r="1254" spans="1:21" ht="14.25">
      <c r="A1254" s="386"/>
      <c r="B1254" s="17">
        <f t="shared" si="408"/>
        <v>43</v>
      </c>
      <c r="D1254" s="67" t="s">
        <v>765</v>
      </c>
      <c r="G1254" s="17">
        <f t="shared" si="409"/>
        <v>43</v>
      </c>
      <c r="H1254" s="67" t="str">
        <f t="shared" si="418"/>
        <v>PLT 361</v>
      </c>
      <c r="J1254" s="480">
        <f t="shared" si="423" ref="J1254:S1254">J134</f>
        <v>0</v>
      </c>
      <c r="K1254" s="480">
        <f t="shared" si="423"/>
        <v>0</v>
      </c>
      <c r="L1254" s="480">
        <f t="shared" si="423"/>
        <v>0</v>
      </c>
      <c r="M1254" s="480">
        <f t="shared" si="423"/>
        <v>0</v>
      </c>
      <c r="N1254" s="480">
        <f t="shared" si="423"/>
        <v>0</v>
      </c>
      <c r="O1254" s="480">
        <f t="shared" si="423"/>
        <v>0</v>
      </c>
      <c r="P1254" s="480">
        <f t="shared" si="423"/>
        <v>0</v>
      </c>
      <c r="Q1254" s="480">
        <f t="shared" si="423"/>
        <v>0</v>
      </c>
      <c r="R1254" s="480">
        <f t="shared" si="423"/>
        <v>0</v>
      </c>
      <c r="S1254" s="480">
        <f t="shared" si="423"/>
        <v>0</v>
      </c>
      <c r="U1254" s="50">
        <f t="shared" si="421"/>
        <v>9.9999999999999995E-08</v>
      </c>
    </row>
    <row r="1255" spans="1:21" ht="14.25">
      <c r="A1255" s="386"/>
      <c r="B1255" s="17">
        <f t="shared" si="408"/>
        <v>44</v>
      </c>
      <c r="D1255" s="67" t="s">
        <v>766</v>
      </c>
      <c r="G1255" s="17">
        <f t="shared" si="409"/>
        <v>44</v>
      </c>
      <c r="H1255" s="67" t="str">
        <f t="shared" si="418"/>
        <v>PLT 362</v>
      </c>
      <c r="J1255" s="480">
        <f t="shared" si="424" ref="J1255:S1255">J135</f>
        <v>0</v>
      </c>
      <c r="K1255" s="480">
        <f t="shared" si="424"/>
        <v>0</v>
      </c>
      <c r="L1255" s="480">
        <f t="shared" si="424"/>
        <v>0</v>
      </c>
      <c r="M1255" s="480">
        <f t="shared" si="424"/>
        <v>0</v>
      </c>
      <c r="N1255" s="480">
        <f t="shared" si="424"/>
        <v>0</v>
      </c>
      <c r="O1255" s="480">
        <f t="shared" si="424"/>
        <v>0</v>
      </c>
      <c r="P1255" s="480">
        <f t="shared" si="424"/>
        <v>0</v>
      </c>
      <c r="Q1255" s="480">
        <f t="shared" si="424"/>
        <v>0</v>
      </c>
      <c r="R1255" s="480">
        <f t="shared" si="424"/>
        <v>0</v>
      </c>
      <c r="S1255" s="480">
        <f t="shared" si="424"/>
        <v>0</v>
      </c>
      <c r="U1255" s="50">
        <f t="shared" si="421"/>
        <v>9.9999999999999995E-08</v>
      </c>
    </row>
    <row r="1256" spans="1:21" ht="14.25">
      <c r="A1256" s="386"/>
      <c r="B1256" s="17">
        <f t="shared" si="408"/>
        <v>45</v>
      </c>
      <c r="D1256" s="67" t="s">
        <v>767</v>
      </c>
      <c r="G1256" s="17">
        <f t="shared" si="409"/>
        <v>45</v>
      </c>
      <c r="H1256" s="67" t="str">
        <f t="shared" si="418"/>
        <v>PLT 364</v>
      </c>
      <c r="J1256" s="480">
        <f t="shared" si="425" ref="J1256:S1256">J156</f>
        <v>0</v>
      </c>
      <c r="K1256" s="480">
        <f t="shared" si="425"/>
        <v>0</v>
      </c>
      <c r="L1256" s="480">
        <f t="shared" si="425"/>
        <v>0</v>
      </c>
      <c r="M1256" s="480">
        <f t="shared" si="425"/>
        <v>0</v>
      </c>
      <c r="N1256" s="480">
        <f t="shared" si="425"/>
        <v>0</v>
      </c>
      <c r="O1256" s="480">
        <f t="shared" si="425"/>
        <v>0</v>
      </c>
      <c r="P1256" s="480">
        <f t="shared" si="425"/>
        <v>0</v>
      </c>
      <c r="Q1256" s="480">
        <f t="shared" si="425"/>
        <v>0</v>
      </c>
      <c r="R1256" s="480">
        <f t="shared" si="425"/>
        <v>0</v>
      </c>
      <c r="S1256" s="480">
        <f t="shared" si="425"/>
        <v>0</v>
      </c>
      <c r="U1256" s="50">
        <f t="shared" si="421"/>
        <v>9.9999999999999995E-08</v>
      </c>
    </row>
    <row r="1257" spans="1:21" ht="14.25">
      <c r="A1257" s="386"/>
      <c r="B1257" s="17">
        <f t="shared" si="408"/>
        <v>46</v>
      </c>
      <c r="D1257" s="67" t="s">
        <v>768</v>
      </c>
      <c r="G1257" s="17">
        <f t="shared" si="409"/>
        <v>46</v>
      </c>
      <c r="H1257" s="67" t="str">
        <f t="shared" si="418"/>
        <v>PLT 365</v>
      </c>
      <c r="J1257" s="480">
        <f t="shared" si="426" ref="J1257:S1257">J157</f>
        <v>0</v>
      </c>
      <c r="K1257" s="480">
        <f t="shared" si="426"/>
        <v>0</v>
      </c>
      <c r="L1257" s="480">
        <f t="shared" si="426"/>
        <v>0</v>
      </c>
      <c r="M1257" s="480">
        <f t="shared" si="426"/>
        <v>0</v>
      </c>
      <c r="N1257" s="480">
        <f t="shared" si="426"/>
        <v>0</v>
      </c>
      <c r="O1257" s="480">
        <f t="shared" si="426"/>
        <v>0</v>
      </c>
      <c r="P1257" s="480">
        <f t="shared" si="426"/>
        <v>0</v>
      </c>
      <c r="Q1257" s="480">
        <f t="shared" si="426"/>
        <v>0</v>
      </c>
      <c r="R1257" s="480">
        <f t="shared" si="426"/>
        <v>0</v>
      </c>
      <c r="S1257" s="480">
        <f t="shared" si="426"/>
        <v>0</v>
      </c>
      <c r="U1257" s="50">
        <f t="shared" si="421"/>
        <v>9.9999999999999995E-08</v>
      </c>
    </row>
    <row r="1258" spans="1:21" ht="14.25">
      <c r="A1258" s="386"/>
      <c r="B1258" s="17">
        <f t="shared" si="408"/>
        <v>47</v>
      </c>
      <c r="D1258" s="67" t="s">
        <v>769</v>
      </c>
      <c r="G1258" s="17">
        <f t="shared" si="409"/>
        <v>47</v>
      </c>
      <c r="H1258" s="67" t="str">
        <f t="shared" si="418"/>
        <v>PLT 366</v>
      </c>
      <c r="J1258" s="480">
        <f t="shared" si="427" ref="J1258:S1258">J158</f>
        <v>0</v>
      </c>
      <c r="K1258" s="480">
        <f t="shared" si="427"/>
        <v>0</v>
      </c>
      <c r="L1258" s="480">
        <f t="shared" si="427"/>
        <v>0</v>
      </c>
      <c r="M1258" s="480">
        <f t="shared" si="427"/>
        <v>0</v>
      </c>
      <c r="N1258" s="480">
        <f t="shared" si="427"/>
        <v>0</v>
      </c>
      <c r="O1258" s="480">
        <f t="shared" si="427"/>
        <v>0</v>
      </c>
      <c r="P1258" s="480">
        <f t="shared" si="427"/>
        <v>0</v>
      </c>
      <c r="Q1258" s="480">
        <f t="shared" si="427"/>
        <v>0</v>
      </c>
      <c r="R1258" s="480">
        <f t="shared" si="427"/>
        <v>0</v>
      </c>
      <c r="S1258" s="480">
        <f t="shared" si="427"/>
        <v>0</v>
      </c>
      <c r="U1258" s="50">
        <f t="shared" si="421"/>
        <v>9.9999999999999995E-08</v>
      </c>
    </row>
    <row r="1259" spans="1:21" ht="14.25">
      <c r="A1259" s="386"/>
      <c r="B1259" s="17">
        <f t="shared" si="408"/>
        <v>48</v>
      </c>
      <c r="D1259" s="67" t="s">
        <v>770</v>
      </c>
      <c r="G1259" s="17">
        <f t="shared" si="409"/>
        <v>48</v>
      </c>
      <c r="H1259" s="67" t="str">
        <f t="shared" si="418"/>
        <v>PLT 367</v>
      </c>
      <c r="J1259" s="480">
        <f t="shared" si="428" ref="J1259:S1259">J159</f>
        <v>0</v>
      </c>
      <c r="K1259" s="480">
        <f t="shared" si="428"/>
        <v>0</v>
      </c>
      <c r="L1259" s="480">
        <f t="shared" si="428"/>
        <v>0</v>
      </c>
      <c r="M1259" s="480">
        <f t="shared" si="428"/>
        <v>0</v>
      </c>
      <c r="N1259" s="480">
        <f t="shared" si="428"/>
        <v>0</v>
      </c>
      <c r="O1259" s="480">
        <f t="shared" si="428"/>
        <v>0</v>
      </c>
      <c r="P1259" s="480">
        <f t="shared" si="428"/>
        <v>0</v>
      </c>
      <c r="Q1259" s="480">
        <f t="shared" si="428"/>
        <v>0</v>
      </c>
      <c r="R1259" s="480">
        <f t="shared" si="428"/>
        <v>0</v>
      </c>
      <c r="S1259" s="480">
        <f t="shared" si="428"/>
        <v>0</v>
      </c>
      <c r="U1259" s="50">
        <f t="shared" si="421"/>
        <v>9.9999999999999995E-08</v>
      </c>
    </row>
    <row r="1260" spans="1:21" ht="14.25">
      <c r="A1260" s="386"/>
      <c r="B1260" s="17">
        <f t="shared" si="408"/>
        <v>49</v>
      </c>
      <c r="D1260" s="67" t="s">
        <v>771</v>
      </c>
      <c r="G1260" s="17">
        <f t="shared" si="409"/>
        <v>49</v>
      </c>
      <c r="H1260" s="67" t="str">
        <f t="shared" si="418"/>
        <v>PLT 368</v>
      </c>
      <c r="J1260" s="480">
        <f t="shared" si="429" ref="J1260:S1260">J160</f>
        <v>0</v>
      </c>
      <c r="K1260" s="480">
        <f t="shared" si="429"/>
        <v>0</v>
      </c>
      <c r="L1260" s="480">
        <f t="shared" si="429"/>
        <v>0</v>
      </c>
      <c r="M1260" s="480">
        <f t="shared" si="429"/>
        <v>0</v>
      </c>
      <c r="N1260" s="480">
        <f t="shared" si="429"/>
        <v>0</v>
      </c>
      <c r="O1260" s="480">
        <f t="shared" si="429"/>
        <v>0</v>
      </c>
      <c r="P1260" s="480">
        <f t="shared" si="429"/>
        <v>0</v>
      </c>
      <c r="Q1260" s="480">
        <f t="shared" si="429"/>
        <v>0</v>
      </c>
      <c r="R1260" s="480">
        <f t="shared" si="429"/>
        <v>0</v>
      </c>
      <c r="S1260" s="480">
        <f t="shared" si="429"/>
        <v>0</v>
      </c>
      <c r="U1260" s="50">
        <f t="shared" si="421"/>
        <v>9.9999999999999995E-08</v>
      </c>
    </row>
    <row r="1261" spans="1:21" ht="14.25">
      <c r="A1261" s="386"/>
      <c r="B1261" s="17">
        <f t="shared" si="408"/>
        <v>50</v>
      </c>
      <c r="D1261" s="67" t="s">
        <v>772</v>
      </c>
      <c r="G1261" s="17">
        <f t="shared" si="409"/>
        <v>50</v>
      </c>
      <c r="H1261" s="67" t="str">
        <f t="shared" si="418"/>
        <v>PLT 369</v>
      </c>
      <c r="J1261" s="480">
        <f t="shared" si="430" ref="J1261:S1261">J148</f>
        <v>0</v>
      </c>
      <c r="K1261" s="480">
        <f t="shared" si="430"/>
        <v>0</v>
      </c>
      <c r="L1261" s="480">
        <f t="shared" si="430"/>
        <v>0</v>
      </c>
      <c r="M1261" s="480">
        <f t="shared" si="430"/>
        <v>0</v>
      </c>
      <c r="N1261" s="480">
        <f t="shared" si="430"/>
        <v>0</v>
      </c>
      <c r="O1261" s="480">
        <f t="shared" si="430"/>
        <v>0</v>
      </c>
      <c r="P1261" s="480">
        <f t="shared" si="430"/>
        <v>0</v>
      </c>
      <c r="Q1261" s="480">
        <f t="shared" si="430"/>
        <v>0</v>
      </c>
      <c r="R1261" s="480">
        <f t="shared" si="430"/>
        <v>0</v>
      </c>
      <c r="S1261" s="480">
        <f t="shared" si="430"/>
        <v>0</v>
      </c>
      <c r="U1261" s="50">
        <f t="shared" si="421"/>
        <v>9.9999999999999995E-08</v>
      </c>
    </row>
    <row r="1262" spans="1:21" ht="14.25">
      <c r="A1262" s="386"/>
      <c r="B1262" s="17">
        <f t="shared" si="408"/>
        <v>51</v>
      </c>
      <c r="D1262" s="67" t="s">
        <v>773</v>
      </c>
      <c r="G1262" s="17">
        <f t="shared" si="409"/>
        <v>51</v>
      </c>
      <c r="H1262" s="67" t="str">
        <f t="shared" si="418"/>
        <v>PLT 370</v>
      </c>
      <c r="J1262" s="480">
        <f t="shared" si="431" ref="J1262:S1262">J149</f>
        <v>0</v>
      </c>
      <c r="K1262" s="480">
        <f t="shared" si="431"/>
        <v>0</v>
      </c>
      <c r="L1262" s="480">
        <f t="shared" si="431"/>
        <v>0</v>
      </c>
      <c r="M1262" s="480">
        <f t="shared" si="431"/>
        <v>0</v>
      </c>
      <c r="N1262" s="480">
        <f t="shared" si="431"/>
        <v>0</v>
      </c>
      <c r="O1262" s="480">
        <f t="shared" si="431"/>
        <v>0</v>
      </c>
      <c r="P1262" s="480">
        <f t="shared" si="431"/>
        <v>0</v>
      </c>
      <c r="Q1262" s="480">
        <f t="shared" si="431"/>
        <v>0</v>
      </c>
      <c r="R1262" s="480">
        <f t="shared" si="431"/>
        <v>0</v>
      </c>
      <c r="S1262" s="480">
        <f t="shared" si="431"/>
        <v>0</v>
      </c>
      <c r="U1262" s="50">
        <f t="shared" si="421"/>
        <v>9.9999999999999995E-08</v>
      </c>
    </row>
    <row r="1263" spans="2:21" s="386" customFormat="1" ht="14.25">
      <c r="B1263" s="17">
        <f t="shared" si="408"/>
        <v>52</v>
      </c>
      <c r="D1263" s="47" t="s">
        <v>774</v>
      </c>
      <c r="G1263" s="17">
        <f t="shared" si="409"/>
        <v>52</v>
      </c>
      <c r="H1263" s="47" t="str">
        <f t="shared" si="418"/>
        <v>PLT OH</v>
      </c>
      <c r="J1263" s="838">
        <f t="shared" si="432" ref="J1263:S1263">SUM(J156:J157)</f>
        <v>0</v>
      </c>
      <c r="K1263" s="838">
        <f t="shared" si="432"/>
        <v>0</v>
      </c>
      <c r="L1263" s="838">
        <f t="shared" si="432"/>
        <v>0</v>
      </c>
      <c r="M1263" s="838">
        <f t="shared" si="432"/>
        <v>0</v>
      </c>
      <c r="N1263" s="838">
        <f t="shared" si="432"/>
        <v>0</v>
      </c>
      <c r="O1263" s="838">
        <f t="shared" si="432"/>
        <v>0</v>
      </c>
      <c r="P1263" s="838">
        <f t="shared" si="432"/>
        <v>0</v>
      </c>
      <c r="Q1263" s="838">
        <f t="shared" si="432"/>
        <v>0</v>
      </c>
      <c r="R1263" s="838">
        <f t="shared" si="432"/>
        <v>0</v>
      </c>
      <c r="S1263" s="838">
        <f t="shared" si="432"/>
        <v>0</v>
      </c>
      <c r="U1263" s="19">
        <f t="shared" si="421"/>
        <v>9.9999999999999995E-08</v>
      </c>
    </row>
    <row r="1264" spans="1:21" ht="14.25">
      <c r="A1264" s="386"/>
      <c r="B1264" s="17">
        <f t="shared" si="408"/>
        <v>53</v>
      </c>
      <c r="D1264" s="67" t="s">
        <v>775</v>
      </c>
      <c r="G1264" s="17">
        <f t="shared" si="409"/>
        <v>53</v>
      </c>
      <c r="H1264" s="67" t="str">
        <f t="shared" si="418"/>
        <v>PLT UG</v>
      </c>
      <c r="J1264" s="480">
        <f t="shared" si="433" ref="J1264:S1264">SUM(J158:J159)</f>
        <v>0</v>
      </c>
      <c r="K1264" s="480">
        <f t="shared" si="433"/>
        <v>0</v>
      </c>
      <c r="L1264" s="480">
        <f t="shared" si="433"/>
        <v>0</v>
      </c>
      <c r="M1264" s="480">
        <f t="shared" si="433"/>
        <v>0</v>
      </c>
      <c r="N1264" s="480">
        <f t="shared" si="433"/>
        <v>0</v>
      </c>
      <c r="O1264" s="480">
        <f t="shared" si="433"/>
        <v>0</v>
      </c>
      <c r="P1264" s="480">
        <f t="shared" si="433"/>
        <v>0</v>
      </c>
      <c r="Q1264" s="480">
        <f t="shared" si="433"/>
        <v>0</v>
      </c>
      <c r="R1264" s="480">
        <f t="shared" si="433"/>
        <v>0</v>
      </c>
      <c r="S1264" s="480">
        <f t="shared" si="433"/>
        <v>0</v>
      </c>
      <c r="U1264" s="50">
        <f t="shared" si="421"/>
        <v>9.9999999999999995E-08</v>
      </c>
    </row>
    <row r="1265" spans="1:21" ht="14.25">
      <c r="A1265" s="386"/>
      <c r="B1265" s="17">
        <f t="shared" si="408"/>
        <v>54</v>
      </c>
      <c r="D1265" s="67" t="s">
        <v>776</v>
      </c>
      <c r="G1265" s="17">
        <f t="shared" si="409"/>
        <v>54</v>
      </c>
      <c r="H1265" s="67" t="str">
        <f t="shared" si="418"/>
        <v>PLT 362-373</v>
      </c>
      <c r="J1265" s="480">
        <f t="shared" si="434" ref="J1265:S1265">SUM(J135:J152)</f>
        <v>0</v>
      </c>
      <c r="K1265" s="480">
        <f t="shared" si="434"/>
        <v>0</v>
      </c>
      <c r="L1265" s="480">
        <f t="shared" si="434"/>
        <v>0</v>
      </c>
      <c r="M1265" s="480">
        <f t="shared" si="434"/>
        <v>0</v>
      </c>
      <c r="N1265" s="480">
        <f t="shared" si="434"/>
        <v>0</v>
      </c>
      <c r="O1265" s="480">
        <f t="shared" si="434"/>
        <v>0</v>
      </c>
      <c r="P1265" s="480">
        <f t="shared" si="434"/>
        <v>0</v>
      </c>
      <c r="Q1265" s="480">
        <f t="shared" si="434"/>
        <v>0</v>
      </c>
      <c r="R1265" s="480">
        <f t="shared" si="434"/>
        <v>0</v>
      </c>
      <c r="S1265" s="480">
        <f t="shared" si="434"/>
        <v>0</v>
      </c>
      <c r="U1265" s="50">
        <f t="shared" si="421"/>
        <v>9.9999999999999995E-08</v>
      </c>
    </row>
    <row r="1266" spans="1:21" ht="14.25">
      <c r="A1266" s="386"/>
      <c r="B1266" s="17">
        <f t="shared" si="408"/>
        <v>55</v>
      </c>
      <c r="D1266" s="67"/>
      <c r="G1266" s="17">
        <f>G1265+1</f>
        <v>55</v>
      </c>
      <c r="H1266" s="67"/>
      <c r="J1266" s="480"/>
      <c r="K1266" s="480"/>
      <c r="L1266" s="480"/>
      <c r="M1266" s="480"/>
      <c r="N1266" s="480"/>
      <c r="O1266" s="480"/>
      <c r="P1266" s="480"/>
      <c r="Q1266" s="480"/>
      <c r="R1266" s="480"/>
      <c r="S1266" s="480"/>
      <c r="U1266" s="233"/>
    </row>
    <row r="1267" spans="1:21" ht="14.25">
      <c r="A1267" s="386"/>
      <c r="B1267" s="17">
        <f t="shared" si="408"/>
        <v>56</v>
      </c>
      <c r="D1267" s="67" t="s">
        <v>432</v>
      </c>
      <c r="G1267" s="17">
        <f>G1266+1</f>
        <v>56</v>
      </c>
      <c r="H1267" s="67" t="str">
        <f t="shared" si="435" ref="H1267:H1279">VLOOKUP(G1267,FactorTable,2)</f>
        <v>PLTDIST</v>
      </c>
      <c r="J1267" s="480">
        <f t="shared" si="436" ref="J1267:S1267">J154</f>
        <v>0</v>
      </c>
      <c r="K1267" s="480">
        <f t="shared" si="436"/>
        <v>0</v>
      </c>
      <c r="L1267" s="480">
        <f t="shared" si="436"/>
        <v>0</v>
      </c>
      <c r="M1267" s="480">
        <f t="shared" si="436"/>
        <v>0</v>
      </c>
      <c r="N1267" s="480">
        <f t="shared" si="436"/>
        <v>0</v>
      </c>
      <c r="O1267" s="480">
        <f t="shared" si="436"/>
        <v>0</v>
      </c>
      <c r="P1267" s="480">
        <f t="shared" si="436"/>
        <v>0</v>
      </c>
      <c r="Q1267" s="480">
        <f t="shared" si="436"/>
        <v>0</v>
      </c>
      <c r="R1267" s="480">
        <f t="shared" si="436"/>
        <v>0</v>
      </c>
      <c r="S1267" s="480">
        <f t="shared" si="436"/>
        <v>0</v>
      </c>
      <c r="U1267" s="50">
        <f>MAX(0.0000001,SUM(I1267:T1267))</f>
        <v>9.9999999999999995E-08</v>
      </c>
    </row>
    <row r="1268" spans="1:21" ht="14.25">
      <c r="A1268" s="386"/>
      <c r="B1268" s="17">
        <f t="shared" si="408"/>
        <v>57</v>
      </c>
      <c r="C1268" s="386"/>
      <c r="D1268" s="67" t="s">
        <v>945</v>
      </c>
      <c r="G1268" s="17">
        <f t="shared" si="409"/>
        <v>57</v>
      </c>
      <c r="H1268" s="67" t="str">
        <f>VLOOKUP(G1268,FactorTable,2)</f>
        <v>PLTDIST_N xWHL</v>
      </c>
      <c r="J1268" s="480">
        <f t="shared" si="437" ref="J1268:Q1268">J313</f>
        <v>0</v>
      </c>
      <c r="K1268" s="480">
        <f t="shared" si="437"/>
        <v>0</v>
      </c>
      <c r="L1268" s="480">
        <f t="shared" si="437"/>
        <v>0</v>
      </c>
      <c r="M1268" s="480">
        <f t="shared" si="437"/>
        <v>0</v>
      </c>
      <c r="N1268" s="480">
        <f t="shared" si="437"/>
        <v>0</v>
      </c>
      <c r="O1268" s="480">
        <f t="shared" si="437"/>
        <v>0</v>
      </c>
      <c r="P1268" s="480">
        <f t="shared" si="437"/>
        <v>0</v>
      </c>
      <c r="Q1268" s="480">
        <f t="shared" si="437"/>
        <v>0</v>
      </c>
      <c r="R1268" s="838">
        <v>0</v>
      </c>
      <c r="S1268" s="838">
        <v>0</v>
      </c>
      <c r="U1268" s="50">
        <f>MAX(0.0000001,SUM(I1268:T1268))</f>
        <v>9.9999999999999995E-08</v>
      </c>
    </row>
    <row r="1269" spans="1:21" ht="14.25">
      <c r="A1269" s="386"/>
      <c r="B1269" s="17">
        <f t="shared" si="408"/>
        <v>58</v>
      </c>
      <c r="C1269" s="386"/>
      <c r="D1269" s="67" t="s">
        <v>777</v>
      </c>
      <c r="G1269" s="17">
        <f t="shared" si="409"/>
        <v>58</v>
      </c>
      <c r="H1269" s="67" t="str">
        <f t="shared" si="435"/>
        <v>PLTDIST_N</v>
      </c>
      <c r="J1269" s="480">
        <f t="shared" si="438" ref="J1269:S1269">J313</f>
        <v>0</v>
      </c>
      <c r="K1269" s="480">
        <f t="shared" si="438"/>
        <v>0</v>
      </c>
      <c r="L1269" s="480">
        <f t="shared" si="438"/>
        <v>0</v>
      </c>
      <c r="M1269" s="480">
        <f t="shared" si="438"/>
        <v>0</v>
      </c>
      <c r="N1269" s="480">
        <f t="shared" si="438"/>
        <v>0</v>
      </c>
      <c r="O1269" s="480">
        <f t="shared" si="438"/>
        <v>0</v>
      </c>
      <c r="P1269" s="480">
        <f t="shared" si="438"/>
        <v>0</v>
      </c>
      <c r="Q1269" s="480">
        <f t="shared" si="438"/>
        <v>0</v>
      </c>
      <c r="R1269" s="480">
        <f t="shared" si="438"/>
        <v>0</v>
      </c>
      <c r="S1269" s="480">
        <f t="shared" si="438"/>
        <v>0</v>
      </c>
      <c r="U1269" s="50">
        <f t="shared" si="439" ref="U1269:U1280">MAX(0.0000001,SUM(I1269:T1269))</f>
        <v>9.9999999999999995E-08</v>
      </c>
    </row>
    <row r="1270" spans="1:21" ht="14.25">
      <c r="A1270" s="386"/>
      <c r="B1270" s="17">
        <f t="shared" si="408"/>
        <v>59</v>
      </c>
      <c r="C1270" s="386"/>
      <c r="D1270" s="67" t="s">
        <v>941</v>
      </c>
      <c r="G1270" s="17">
        <f t="shared" si="409"/>
        <v>59</v>
      </c>
      <c r="H1270" s="67" t="str">
        <f>VLOOKUP(G1270,FactorTable,2)</f>
        <v>PLANT_N</v>
      </c>
      <c r="J1270" s="480">
        <f t="shared" si="440" ref="J1270:S1270">J352</f>
        <v>159089119.33120698</v>
      </c>
      <c r="K1270" s="480">
        <f t="shared" si="440"/>
        <v>24527445.20750406</v>
      </c>
      <c r="L1270" s="480">
        <f t="shared" si="440"/>
        <v>75655753.226581693</v>
      </c>
      <c r="M1270" s="480">
        <f t="shared" si="440"/>
        <v>1062321.647158342</v>
      </c>
      <c r="N1270" s="480">
        <f t="shared" si="440"/>
        <v>22167791.09590739</v>
      </c>
      <c r="O1270" s="480">
        <f t="shared" si="440"/>
        <v>757540.05677192705</v>
      </c>
      <c r="P1270" s="480">
        <f t="shared" si="440"/>
        <v>1649106.4312804251</v>
      </c>
      <c r="Q1270" s="480">
        <f t="shared" si="440"/>
        <v>332871.1909306384</v>
      </c>
      <c r="R1270" s="480">
        <f t="shared" si="440"/>
        <v>87408.468089068483</v>
      </c>
      <c r="S1270" s="480">
        <f t="shared" si="440"/>
        <v>204115.56456948799</v>
      </c>
      <c r="T1270" s="386"/>
      <c r="U1270" s="50">
        <f t="shared" si="439"/>
        <v>285533472.22000003</v>
      </c>
    </row>
    <row r="1271" spans="1:21" ht="14.25">
      <c r="A1271" s="386"/>
      <c r="B1271" s="17">
        <f t="shared" si="408"/>
        <v>60</v>
      </c>
      <c r="C1271" s="386"/>
      <c r="D1271" s="67" t="s">
        <v>778</v>
      </c>
      <c r="G1271" s="17">
        <f t="shared" si="409"/>
        <v>60</v>
      </c>
      <c r="H1271" s="67" t="str">
        <f t="shared" si="435"/>
        <v>PLTOPER</v>
      </c>
      <c r="J1271" s="480">
        <f t="shared" si="441" ref="J1271:S1271">J163</f>
        <v>0</v>
      </c>
      <c r="K1271" s="480">
        <f t="shared" si="441"/>
        <v>0</v>
      </c>
      <c r="L1271" s="480">
        <f t="shared" si="441"/>
        <v>0</v>
      </c>
      <c r="M1271" s="480">
        <f t="shared" si="441"/>
        <v>0</v>
      </c>
      <c r="N1271" s="480">
        <f t="shared" si="441"/>
        <v>0</v>
      </c>
      <c r="O1271" s="480">
        <f t="shared" si="441"/>
        <v>0</v>
      </c>
      <c r="P1271" s="480">
        <f t="shared" si="441"/>
        <v>0</v>
      </c>
      <c r="Q1271" s="480">
        <f t="shared" si="441"/>
        <v>0</v>
      </c>
      <c r="R1271" s="480">
        <f t="shared" si="441"/>
        <v>0</v>
      </c>
      <c r="S1271" s="480">
        <f t="shared" si="441"/>
        <v>0</v>
      </c>
      <c r="U1271" s="50">
        <f t="shared" si="439"/>
        <v>9.9999999999999995E-08</v>
      </c>
    </row>
    <row r="1272" spans="1:21" ht="14.25">
      <c r="A1272" s="386"/>
      <c r="B1272" s="17">
        <f t="shared" si="408"/>
        <v>61</v>
      </c>
      <c r="C1272" s="386"/>
      <c r="D1272" s="67" t="s">
        <v>779</v>
      </c>
      <c r="G1272" s="17">
        <f t="shared" si="409"/>
        <v>61</v>
      </c>
      <c r="H1272" s="67" t="str">
        <f t="shared" si="435"/>
        <v>PLTOPER_N</v>
      </c>
      <c r="J1272" s="480">
        <f t="shared" si="442" ref="J1272:S1272">J314</f>
        <v>0</v>
      </c>
      <c r="K1272" s="480">
        <f t="shared" si="442"/>
        <v>0</v>
      </c>
      <c r="L1272" s="480">
        <f t="shared" si="442"/>
        <v>0</v>
      </c>
      <c r="M1272" s="480">
        <f t="shared" si="442"/>
        <v>0</v>
      </c>
      <c r="N1272" s="480">
        <f t="shared" si="442"/>
        <v>0</v>
      </c>
      <c r="O1272" s="480">
        <f t="shared" si="442"/>
        <v>0</v>
      </c>
      <c r="P1272" s="480">
        <f t="shared" si="442"/>
        <v>0</v>
      </c>
      <c r="Q1272" s="480">
        <f t="shared" si="442"/>
        <v>0</v>
      </c>
      <c r="R1272" s="480">
        <f t="shared" si="442"/>
        <v>0</v>
      </c>
      <c r="S1272" s="480">
        <f t="shared" si="442"/>
        <v>0</v>
      </c>
      <c r="U1272" s="50">
        <f t="shared" si="439"/>
        <v>9.9999999999999995E-08</v>
      </c>
    </row>
    <row r="1273" spans="1:21" ht="14.25">
      <c r="A1273" s="386"/>
      <c r="B1273" s="17">
        <f t="shared" si="408"/>
        <v>62</v>
      </c>
      <c r="C1273" s="386"/>
      <c r="D1273" s="47" t="s">
        <v>780</v>
      </c>
      <c r="G1273" s="17">
        <f t="shared" si="409"/>
        <v>62</v>
      </c>
      <c r="H1273" s="67" t="str">
        <f t="shared" si="435"/>
        <v>PLTGEN</v>
      </c>
      <c r="J1273" s="480">
        <f t="shared" si="443" ref="J1273:S1273">J194</f>
        <v>55772589.413946174</v>
      </c>
      <c r="K1273" s="480">
        <f t="shared" si="443"/>
        <v>8598696.9862045534</v>
      </c>
      <c r="L1273" s="480">
        <f t="shared" si="443"/>
        <v>26522978.310819473</v>
      </c>
      <c r="M1273" s="480">
        <f t="shared" si="443"/>
        <v>372422.88662846992</v>
      </c>
      <c r="N1273" s="480">
        <f t="shared" si="443"/>
        <v>7771462.4117832482</v>
      </c>
      <c r="O1273" s="480">
        <f t="shared" si="443"/>
        <v>265574.23115152278</v>
      </c>
      <c r="P1273" s="480">
        <f t="shared" si="443"/>
        <v>578134.67242985335</v>
      </c>
      <c r="Q1273" s="480">
        <f t="shared" si="443"/>
        <v>116696.15331049259</v>
      </c>
      <c r="R1273" s="480">
        <f t="shared" si="443"/>
        <v>30643.180517483401</v>
      </c>
      <c r="S1273" s="480">
        <f t="shared" si="443"/>
        <v>71557.713208717061</v>
      </c>
      <c r="U1273" s="50">
        <f t="shared" si="439"/>
        <v>100100755.95999999</v>
      </c>
    </row>
    <row r="1274" spans="1:21" ht="14.25">
      <c r="A1274" s="386"/>
      <c r="B1274" s="17">
        <f t="shared" si="408"/>
        <v>63</v>
      </c>
      <c r="C1274" s="386"/>
      <c r="D1274" s="47" t="s">
        <v>781</v>
      </c>
      <c r="G1274" s="17">
        <f t="shared" si="409"/>
        <v>63</v>
      </c>
      <c r="H1274" s="67" t="str">
        <f t="shared" si="435"/>
        <v>PLTGEN_N</v>
      </c>
      <c r="J1274" s="480">
        <f t="shared" si="444" ref="J1274:S1274">J350</f>
        <v>33023395.614989333</v>
      </c>
      <c r="K1274" s="480">
        <f t="shared" si="444"/>
        <v>5091357.1582861533</v>
      </c>
      <c r="L1274" s="480">
        <f t="shared" si="444"/>
        <v>15704467.281322889</v>
      </c>
      <c r="M1274" s="480">
        <f t="shared" si="444"/>
        <v>220514.56549609205</v>
      </c>
      <c r="N1274" s="480">
        <f t="shared" si="444"/>
        <v>4601544.9601334706</v>
      </c>
      <c r="O1274" s="480">
        <f t="shared" si="444"/>
        <v>157248.62325058813</v>
      </c>
      <c r="P1274" s="480">
        <f t="shared" si="444"/>
        <v>342318.15676858788</v>
      </c>
      <c r="Q1274" s="480">
        <f t="shared" si="444"/>
        <v>69096.724358941254</v>
      </c>
      <c r="R1274" s="480">
        <f t="shared" si="444"/>
        <v>18144.071913529398</v>
      </c>
      <c r="S1274" s="480">
        <f t="shared" si="444"/>
        <v>42369.893480407656</v>
      </c>
      <c r="U1274" s="50">
        <f t="shared" si="439"/>
        <v>59270457.049999997</v>
      </c>
    </row>
    <row r="1275" spans="1:21" ht="14.25">
      <c r="A1275" s="386"/>
      <c r="B1275" s="17">
        <f t="shared" si="408"/>
        <v>64</v>
      </c>
      <c r="C1275" s="386"/>
      <c r="D1275" s="67" t="s">
        <v>782</v>
      </c>
      <c r="G1275" s="17">
        <f t="shared" si="409"/>
        <v>64</v>
      </c>
      <c r="H1275" s="67" t="str">
        <f t="shared" si="435"/>
        <v>PLANT</v>
      </c>
      <c r="J1275" s="480">
        <f t="shared" si="445" ref="J1275:S1275">J216</f>
        <v>229587899.54124636</v>
      </c>
      <c r="K1275" s="480">
        <f t="shared" si="445"/>
        <v>35396541.573533289</v>
      </c>
      <c r="L1275" s="480">
        <f t="shared" si="445"/>
        <v>109181856.96496293</v>
      </c>
      <c r="M1275" s="480">
        <f t="shared" si="445"/>
        <v>1533079.0479801092</v>
      </c>
      <c r="N1275" s="480">
        <f t="shared" si="445"/>
        <v>31991229.925553881</v>
      </c>
      <c r="O1275" s="480">
        <f t="shared" si="445"/>
        <v>1093236.490237498</v>
      </c>
      <c r="P1275" s="480">
        <f t="shared" si="445"/>
        <v>2379891.7441323986</v>
      </c>
      <c r="Q1275" s="480">
        <f t="shared" si="445"/>
        <v>480379.78879280423</v>
      </c>
      <c r="R1275" s="480">
        <f t="shared" si="445"/>
        <v>126142.67195048054</v>
      </c>
      <c r="S1275" s="480">
        <f t="shared" si="445"/>
        <v>294567.37161025841</v>
      </c>
      <c r="U1275" s="50">
        <f t="shared" si="439"/>
        <v>412064825.11999995</v>
      </c>
    </row>
    <row r="1276" spans="1:21" ht="14.25">
      <c r="A1276" s="386"/>
      <c r="B1276" s="17">
        <f t="shared" si="446" ref="B1276:B1305">B1275+1</f>
        <v>65</v>
      </c>
      <c r="C1276" s="386"/>
      <c r="D1276" s="67" t="s">
        <v>783</v>
      </c>
      <c r="G1276" s="17">
        <f t="shared" si="447" ref="G1276:G1305">G1275+1</f>
        <v>65</v>
      </c>
      <c r="H1276" s="67" t="str">
        <f t="shared" si="435"/>
        <v>PLT_N XINT</v>
      </c>
      <c r="J1276" s="480">
        <f t="shared" si="448" ref="J1276:S1276">J354</f>
        <v>33023395.614989333</v>
      </c>
      <c r="K1276" s="480">
        <f t="shared" si="448"/>
        <v>5091357.1582861533</v>
      </c>
      <c r="L1276" s="480">
        <f t="shared" si="448"/>
        <v>15704467.281322889</v>
      </c>
      <c r="M1276" s="480">
        <f t="shared" si="448"/>
        <v>220514.56549609205</v>
      </c>
      <c r="N1276" s="480">
        <f t="shared" si="448"/>
        <v>4601544.9601334706</v>
      </c>
      <c r="O1276" s="480">
        <f t="shared" si="448"/>
        <v>157248.62325058813</v>
      </c>
      <c r="P1276" s="480">
        <f t="shared" si="448"/>
        <v>342318.15676858788</v>
      </c>
      <c r="Q1276" s="480">
        <f t="shared" si="448"/>
        <v>69096.724358941254</v>
      </c>
      <c r="R1276" s="480">
        <f t="shared" si="448"/>
        <v>18144.071913529398</v>
      </c>
      <c r="S1276" s="480">
        <f t="shared" si="448"/>
        <v>42369.893480407656</v>
      </c>
      <c r="U1276" s="50">
        <f t="shared" si="439"/>
        <v>59270457.049999997</v>
      </c>
    </row>
    <row r="1277" spans="1:21" ht="14.25">
      <c r="A1277" s="386"/>
      <c r="B1277" s="17">
        <f t="shared" si="446"/>
        <v>66</v>
      </c>
      <c r="C1277" s="386"/>
      <c r="D1277" s="67" t="s">
        <v>784</v>
      </c>
      <c r="G1277" s="17">
        <f t="shared" si="447"/>
        <v>66</v>
      </c>
      <c r="H1277" s="67" t="str">
        <f t="shared" si="435"/>
        <v>PLT INT_N</v>
      </c>
      <c r="J1277" s="480">
        <f t="shared" si="449" ref="J1277:S1277">J311</f>
        <v>126065723.71621764</v>
      </c>
      <c r="K1277" s="480">
        <f t="shared" si="449"/>
        <v>19436088.049217906</v>
      </c>
      <c r="L1277" s="480">
        <f t="shared" si="449"/>
        <v>59951285.945258796</v>
      </c>
      <c r="M1277" s="480">
        <f t="shared" si="449"/>
        <v>841807.08166224998</v>
      </c>
      <c r="N1277" s="480">
        <f t="shared" si="449"/>
        <v>17566246.13577392</v>
      </c>
      <c r="O1277" s="480">
        <f t="shared" si="449"/>
        <v>600291.43352133885</v>
      </c>
      <c r="P1277" s="480">
        <f t="shared" si="449"/>
        <v>1306788.2745118372</v>
      </c>
      <c r="Q1277" s="480">
        <f t="shared" si="449"/>
        <v>263774.46657169715</v>
      </c>
      <c r="R1277" s="480">
        <f t="shared" si="449"/>
        <v>69264.396175539092</v>
      </c>
      <c r="S1277" s="480">
        <f t="shared" si="449"/>
        <v>161745.67108908034</v>
      </c>
      <c r="U1277" s="50">
        <f t="shared" si="439"/>
        <v>226263015.16999999</v>
      </c>
    </row>
    <row r="1278" spans="1:21" ht="14.25">
      <c r="A1278" s="386"/>
      <c r="B1278" s="17">
        <f t="shared" si="446"/>
        <v>67</v>
      </c>
      <c r="C1278" s="386"/>
      <c r="D1278" s="67" t="s">
        <v>785</v>
      </c>
      <c r="G1278" s="17">
        <f t="shared" si="447"/>
        <v>67</v>
      </c>
      <c r="H1278" s="67" t="str">
        <f t="shared" si="435"/>
        <v>PLTTRAN_N</v>
      </c>
      <c r="J1278" s="480">
        <f t="shared" si="450" ref="J1278:S1278">J312</f>
        <v>0</v>
      </c>
      <c r="K1278" s="480">
        <f t="shared" si="450"/>
        <v>0</v>
      </c>
      <c r="L1278" s="480">
        <f t="shared" si="450"/>
        <v>0</v>
      </c>
      <c r="M1278" s="480">
        <f t="shared" si="450"/>
        <v>0</v>
      </c>
      <c r="N1278" s="480">
        <f t="shared" si="450"/>
        <v>0</v>
      </c>
      <c r="O1278" s="480">
        <f t="shared" si="450"/>
        <v>0</v>
      </c>
      <c r="P1278" s="480">
        <f t="shared" si="450"/>
        <v>0</v>
      </c>
      <c r="Q1278" s="480">
        <f t="shared" si="450"/>
        <v>0</v>
      </c>
      <c r="R1278" s="480">
        <f t="shared" si="450"/>
        <v>0</v>
      </c>
      <c r="S1278" s="480">
        <f t="shared" si="450"/>
        <v>0</v>
      </c>
      <c r="U1278" s="50">
        <f t="shared" si="439"/>
        <v>9.9999999999999995E-08</v>
      </c>
    </row>
    <row r="1279" spans="1:21" ht="14.25">
      <c r="A1279" s="386"/>
      <c r="B1279" s="17">
        <f t="shared" si="446"/>
        <v>68</v>
      </c>
      <c r="C1279" s="386"/>
      <c r="D1279" s="67" t="s">
        <v>786</v>
      </c>
      <c r="G1279" s="17">
        <f t="shared" si="447"/>
        <v>68</v>
      </c>
      <c r="H1279" s="67" t="str">
        <f t="shared" si="435"/>
        <v>RATEBASE</v>
      </c>
      <c r="J1279" s="480">
        <f t="shared" si="451" ref="J1279:S1279">J595</f>
        <v>113992371.31527753</v>
      </c>
      <c r="K1279" s="480">
        <f t="shared" si="451"/>
        <v>17482115.120293319</v>
      </c>
      <c r="L1279" s="480">
        <f t="shared" si="451"/>
        <v>54505112.949494958</v>
      </c>
      <c r="M1279" s="480">
        <f t="shared" si="451"/>
        <v>755686.63874373701</v>
      </c>
      <c r="N1279" s="480">
        <f t="shared" si="451"/>
        <v>15882172.370583642</v>
      </c>
      <c r="O1279" s="480">
        <f t="shared" si="451"/>
        <v>555176.98598817515</v>
      </c>
      <c r="P1279" s="480">
        <f t="shared" si="451"/>
        <v>1270833.1969973296</v>
      </c>
      <c r="Q1279" s="480">
        <f t="shared" si="451"/>
        <v>421087.99416760297</v>
      </c>
      <c r="R1279" s="480">
        <f t="shared" si="451"/>
        <v>62511.641075060412</v>
      </c>
      <c r="S1279" s="480">
        <f t="shared" si="451"/>
        <v>145338.44056620426</v>
      </c>
      <c r="U1279" s="50">
        <f t="shared" si="439"/>
        <v>205072406.65318757</v>
      </c>
    </row>
    <row r="1280" spans="1:21" ht="14.25">
      <c r="A1280" s="386"/>
      <c r="B1280" s="17">
        <f t="shared" si="446"/>
        <v>69</v>
      </c>
      <c r="C1280" s="386"/>
      <c r="D1280" s="67" t="s">
        <v>943</v>
      </c>
      <c r="G1280" s="17">
        <f t="shared" si="447"/>
        <v>69</v>
      </c>
      <c r="H1280" s="67" t="str">
        <f>VLOOKUP(G1280,FactorTable,2)</f>
        <v>PLANT_xWHL</v>
      </c>
      <c r="J1280" s="480">
        <f>J1275</f>
        <v>229587899.54124636</v>
      </c>
      <c r="K1280" s="480">
        <f t="shared" si="452" ref="K1280:Q1280">K1275</f>
        <v>35396541.573533289</v>
      </c>
      <c r="L1280" s="480">
        <f t="shared" si="452"/>
        <v>109181856.96496293</v>
      </c>
      <c r="M1280" s="480">
        <f t="shared" si="452"/>
        <v>1533079.0479801092</v>
      </c>
      <c r="N1280" s="480">
        <f t="shared" si="452"/>
        <v>31991229.925553881</v>
      </c>
      <c r="O1280" s="480">
        <f>O1275</f>
        <v>1093236.490237498</v>
      </c>
      <c r="P1280" s="480">
        <f t="shared" si="452"/>
        <v>2379891.7441323986</v>
      </c>
      <c r="Q1280" s="480">
        <f t="shared" si="452"/>
        <v>480379.78879280423</v>
      </c>
      <c r="R1280" s="474">
        <v>0</v>
      </c>
      <c r="S1280" s="474">
        <v>0</v>
      </c>
      <c r="U1280" s="50">
        <f t="shared" si="439"/>
        <v>411644115.0764392</v>
      </c>
    </row>
    <row r="1281" spans="1:21" ht="14.25">
      <c r="A1281" s="386"/>
      <c r="B1281" s="17">
        <f t="shared" si="446"/>
        <v>70</v>
      </c>
      <c r="C1281" s="386"/>
      <c r="D1281" s="67"/>
      <c r="G1281" s="17">
        <f t="shared" si="447"/>
        <v>70</v>
      </c>
      <c r="H1281" s="67"/>
      <c r="J1281" s="480"/>
      <c r="K1281" s="480"/>
      <c r="L1281" s="480"/>
      <c r="M1281" s="480"/>
      <c r="N1281" s="480"/>
      <c r="O1281" s="480"/>
      <c r="P1281" s="480"/>
      <c r="Q1281" s="480"/>
      <c r="R1281" s="480"/>
      <c r="S1281" s="480"/>
      <c r="U1281" s="233"/>
    </row>
    <row r="1282" spans="1:21" ht="14.25">
      <c r="A1282" s="386"/>
      <c r="B1282" s="17">
        <f t="shared" si="446"/>
        <v>71</v>
      </c>
      <c r="C1282" s="386"/>
      <c r="D1282" s="67" t="s">
        <v>787</v>
      </c>
      <c r="G1282" s="17">
        <f t="shared" si="447"/>
        <v>71</v>
      </c>
      <c r="H1282" s="67" t="str">
        <f t="shared" si="453" ref="H1282:H1288">VLOOKUP(G1282,FactorTable,2)</f>
        <v>DIST OPS</v>
      </c>
      <c r="J1282" s="480">
        <f t="shared" si="454" ref="J1282:S1282">J669</f>
        <v>0</v>
      </c>
      <c r="K1282" s="480">
        <f t="shared" si="454"/>
        <v>0</v>
      </c>
      <c r="L1282" s="480">
        <f t="shared" si="454"/>
        <v>0</v>
      </c>
      <c r="M1282" s="480">
        <f t="shared" si="454"/>
        <v>0</v>
      </c>
      <c r="N1282" s="480">
        <f t="shared" si="454"/>
        <v>0</v>
      </c>
      <c r="O1282" s="480">
        <f t="shared" si="454"/>
        <v>0</v>
      </c>
      <c r="P1282" s="480">
        <f t="shared" si="454"/>
        <v>0</v>
      </c>
      <c r="Q1282" s="480">
        <f t="shared" si="454"/>
        <v>0</v>
      </c>
      <c r="R1282" s="480">
        <f t="shared" si="454"/>
        <v>0</v>
      </c>
      <c r="S1282" s="480">
        <f t="shared" si="454"/>
        <v>0</v>
      </c>
      <c r="U1282" s="50">
        <f t="shared" si="455" ref="U1282:U1288">MAX(0.0000001,SUM(I1282:T1282))</f>
        <v>9.9999999999999995E-08</v>
      </c>
    </row>
    <row r="1283" spans="1:21" ht="14.25">
      <c r="A1283" s="386"/>
      <c r="B1283" s="17">
        <f t="shared" si="446"/>
        <v>72</v>
      </c>
      <c r="D1283" s="67" t="s">
        <v>788</v>
      </c>
      <c r="G1283" s="17">
        <f t="shared" si="447"/>
        <v>72</v>
      </c>
      <c r="H1283" s="67" t="str">
        <f t="shared" si="453"/>
        <v>DIST MAINT</v>
      </c>
      <c r="J1283" s="480">
        <f t="shared" si="456" ref="J1283:S1283">J684</f>
        <v>0</v>
      </c>
      <c r="K1283" s="480">
        <f t="shared" si="456"/>
        <v>0</v>
      </c>
      <c r="L1283" s="480">
        <f t="shared" si="456"/>
        <v>0</v>
      </c>
      <c r="M1283" s="480">
        <f t="shared" si="456"/>
        <v>0</v>
      </c>
      <c r="N1283" s="480">
        <f t="shared" si="456"/>
        <v>0</v>
      </c>
      <c r="O1283" s="480">
        <f t="shared" si="456"/>
        <v>0</v>
      </c>
      <c r="P1283" s="480">
        <f t="shared" si="456"/>
        <v>0</v>
      </c>
      <c r="Q1283" s="480">
        <f t="shared" si="456"/>
        <v>0</v>
      </c>
      <c r="R1283" s="480">
        <f t="shared" si="456"/>
        <v>0</v>
      </c>
      <c r="S1283" s="480">
        <f t="shared" si="456"/>
        <v>0</v>
      </c>
      <c r="U1283" s="50">
        <f t="shared" si="455"/>
        <v>9.9999999999999995E-08</v>
      </c>
    </row>
    <row r="1284" spans="1:21" ht="14.25">
      <c r="A1284" s="386"/>
      <c r="B1284" s="17">
        <f t="shared" si="446"/>
        <v>73</v>
      </c>
      <c r="D1284" s="47" t="s">
        <v>789</v>
      </c>
      <c r="G1284" s="17">
        <f t="shared" si="447"/>
        <v>73</v>
      </c>
      <c r="H1284" s="67" t="str">
        <f t="shared" si="453"/>
        <v>CUS ACCT</v>
      </c>
      <c r="J1284" s="480">
        <f t="shared" si="457" ref="J1284:S1284">J708</f>
        <v>6228481.0538372584</v>
      </c>
      <c r="K1284" s="480">
        <f t="shared" si="457"/>
        <v>960271.37755362084</v>
      </c>
      <c r="L1284" s="480">
        <f t="shared" si="457"/>
        <v>2961990.282971641</v>
      </c>
      <c r="M1284" s="480">
        <f t="shared" si="457"/>
        <v>41590.840908684295</v>
      </c>
      <c r="N1284" s="480">
        <f t="shared" si="457"/>
        <v>867888.8124261382</v>
      </c>
      <c r="O1284" s="480">
        <f t="shared" si="457"/>
        <v>29658.369541311546</v>
      </c>
      <c r="P1284" s="480">
        <f t="shared" si="457"/>
        <v>64563.989078393592</v>
      </c>
      <c r="Q1284" s="480">
        <f t="shared" si="457"/>
        <v>6208.687536744409</v>
      </c>
      <c r="R1284" s="480">
        <f t="shared" si="457"/>
        <v>3422.1195624590246</v>
      </c>
      <c r="S1284" s="480">
        <f t="shared" si="457"/>
        <v>7991.3065837492941</v>
      </c>
      <c r="U1284" s="50">
        <f t="shared" si="455"/>
        <v>11172066.84</v>
      </c>
    </row>
    <row r="1285" spans="1:21" ht="14.25">
      <c r="A1285" s="386"/>
      <c r="B1285" s="17">
        <f t="shared" si="446"/>
        <v>74</v>
      </c>
      <c r="D1285" s="67" t="s">
        <v>947</v>
      </c>
      <c r="G1285" s="17">
        <f t="shared" si="447"/>
        <v>74</v>
      </c>
      <c r="H1285" s="67" t="str">
        <f t="shared" si="453"/>
        <v>CUS SVC INFO</v>
      </c>
      <c r="J1285" s="480">
        <f t="shared" si="458" ref="J1285:S1285">J718</f>
        <v>200120.0123497661</v>
      </c>
      <c r="K1285" s="480">
        <f t="shared" si="458"/>
        <v>18697.742141992974</v>
      </c>
      <c r="L1285" s="480">
        <f t="shared" si="458"/>
        <v>12504.141928207029</v>
      </c>
      <c r="M1285" s="480">
        <f t="shared" si="458"/>
        <v>190.45987051972611</v>
      </c>
      <c r="N1285" s="480">
        <f t="shared" si="458"/>
        <v>439.63616677852286</v>
      </c>
      <c r="O1285" s="480">
        <f t="shared" si="458"/>
        <v>7.9844511988276015</v>
      </c>
      <c r="P1285" s="480">
        <f t="shared" si="458"/>
        <v>17.381536071293933</v>
      </c>
      <c r="Q1285" s="480">
        <f t="shared" si="458"/>
        <v>3390.8121675759558</v>
      </c>
      <c r="R1285" s="480">
        <f t="shared" si="458"/>
        <v>0.92128283063395411</v>
      </c>
      <c r="S1285" s="480">
        <f t="shared" si="458"/>
        <v>2.948105058028653</v>
      </c>
      <c r="U1285" s="50">
        <f t="shared" si="455"/>
        <v>235372.03999999911</v>
      </c>
    </row>
    <row r="1286" spans="1:21" ht="14.25">
      <c r="A1286" s="386"/>
      <c r="B1286" s="17">
        <f t="shared" si="446"/>
        <v>75</v>
      </c>
      <c r="C1286" s="67"/>
      <c r="D1286" s="47" t="s">
        <v>790</v>
      </c>
      <c r="F1286" s="67"/>
      <c r="G1286" s="17">
        <f t="shared" si="447"/>
        <v>75</v>
      </c>
      <c r="H1286" s="67" t="str">
        <f t="shared" si="453"/>
        <v>SALES EXP</v>
      </c>
      <c r="J1286" s="480">
        <f t="shared" si="459" ref="J1286:S1286">J728</f>
        <v>0</v>
      </c>
      <c r="K1286" s="480">
        <f t="shared" si="459"/>
        <v>0</v>
      </c>
      <c r="L1286" s="480">
        <f t="shared" si="459"/>
        <v>0</v>
      </c>
      <c r="M1286" s="480">
        <f t="shared" si="459"/>
        <v>0</v>
      </c>
      <c r="N1286" s="480">
        <f t="shared" si="459"/>
        <v>0</v>
      </c>
      <c r="O1286" s="480">
        <f t="shared" si="459"/>
        <v>0</v>
      </c>
      <c r="P1286" s="480">
        <f t="shared" si="459"/>
        <v>0</v>
      </c>
      <c r="Q1286" s="480">
        <f t="shared" si="459"/>
        <v>0</v>
      </c>
      <c r="R1286" s="480">
        <f t="shared" si="459"/>
        <v>0</v>
      </c>
      <c r="S1286" s="480">
        <f t="shared" si="459"/>
        <v>0</v>
      </c>
      <c r="U1286" s="50">
        <f t="shared" si="455"/>
        <v>9.9999999999999995E-08</v>
      </c>
    </row>
    <row r="1287" spans="1:21" ht="14.25">
      <c r="A1287" s="386"/>
      <c r="B1287" s="17">
        <f t="shared" si="446"/>
        <v>76</v>
      </c>
      <c r="D1287" s="67" t="s">
        <v>791</v>
      </c>
      <c r="G1287" s="17">
        <f t="shared" si="447"/>
        <v>76</v>
      </c>
      <c r="H1287" s="67" t="str">
        <f t="shared" si="453"/>
        <v>O&amp;M</v>
      </c>
      <c r="J1287" s="480">
        <f t="shared" si="460" ref="J1287:S1287">J730</f>
        <v>7247520.3294290435</v>
      </c>
      <c r="K1287" s="480">
        <f t="shared" si="460"/>
        <v>1019822.5496684014</v>
      </c>
      <c r="L1287" s="480">
        <f t="shared" si="460"/>
        <v>3611980.2182498211</v>
      </c>
      <c r="M1287" s="480">
        <f t="shared" si="460"/>
        <v>42313.500490899758</v>
      </c>
      <c r="N1287" s="480">
        <f t="shared" si="460"/>
        <v>984478.34718494362</v>
      </c>
      <c r="O1287" s="480">
        <f t="shared" si="460"/>
        <v>43110.051360345635</v>
      </c>
      <c r="P1287" s="480">
        <f t="shared" si="460"/>
        <v>113383.0034954786</v>
      </c>
      <c r="Q1287" s="480">
        <f t="shared" si="460"/>
        <v>378451.81903235143</v>
      </c>
      <c r="R1287" s="480">
        <f t="shared" si="460"/>
        <v>3423.6691613060079</v>
      </c>
      <c r="S1287" s="480">
        <f t="shared" si="460"/>
        <v>7995.7219274079871</v>
      </c>
      <c r="U1287" s="50">
        <f t="shared" si="455"/>
        <v>13452479.210000001</v>
      </c>
    </row>
    <row r="1288" spans="1:21" ht="14.25">
      <c r="A1288" s="386"/>
      <c r="B1288" s="17">
        <f t="shared" si="446"/>
        <v>77</v>
      </c>
      <c r="D1288" s="67" t="s">
        <v>792</v>
      </c>
      <c r="G1288" s="17">
        <f t="shared" si="447"/>
        <v>77</v>
      </c>
      <c r="H1288" s="67" t="str">
        <f t="shared" si="453"/>
        <v>O&amp;M x565</v>
      </c>
      <c r="J1288" s="480">
        <f t="shared" si="461" ref="J1288:S1288">J731</f>
        <v>7247520.3294290435</v>
      </c>
      <c r="K1288" s="480">
        <f t="shared" si="461"/>
        <v>1019822.5496684014</v>
      </c>
      <c r="L1288" s="480">
        <f t="shared" si="461"/>
        <v>3611980.2182498211</v>
      </c>
      <c r="M1288" s="480">
        <f t="shared" si="461"/>
        <v>42313.500490899758</v>
      </c>
      <c r="N1288" s="480">
        <f t="shared" si="461"/>
        <v>984478.34718494362</v>
      </c>
      <c r="O1288" s="480">
        <f t="shared" si="461"/>
        <v>43110.051360345635</v>
      </c>
      <c r="P1288" s="480">
        <f t="shared" si="461"/>
        <v>113383.0034954786</v>
      </c>
      <c r="Q1288" s="480">
        <f t="shared" si="461"/>
        <v>378451.81903235143</v>
      </c>
      <c r="R1288" s="480">
        <f t="shared" si="461"/>
        <v>3423.6691613060079</v>
      </c>
      <c r="S1288" s="480">
        <f t="shared" si="461"/>
        <v>7995.7219274079871</v>
      </c>
      <c r="U1288" s="50">
        <f t="shared" si="455"/>
        <v>13452479.210000001</v>
      </c>
    </row>
    <row r="1289" spans="1:21" ht="14.25">
      <c r="A1289" s="386"/>
      <c r="B1289" s="17">
        <f t="shared" si="446"/>
        <v>78</v>
      </c>
      <c r="G1289" s="17">
        <f t="shared" si="447"/>
        <v>78</v>
      </c>
      <c r="U1289" s="233"/>
    </row>
    <row r="1290" spans="1:21" ht="14.25">
      <c r="A1290" s="386"/>
      <c r="B1290" s="17">
        <f t="shared" si="446"/>
        <v>79</v>
      </c>
      <c r="D1290" s="67"/>
      <c r="G1290" s="17">
        <f t="shared" si="447"/>
        <v>79</v>
      </c>
      <c r="H1290" s="67"/>
      <c r="J1290" s="480"/>
      <c r="K1290" s="480"/>
      <c r="L1290" s="480"/>
      <c r="M1290" s="480"/>
      <c r="N1290" s="480"/>
      <c r="O1290" s="480"/>
      <c r="P1290" s="480"/>
      <c r="Q1290" s="480"/>
      <c r="R1290" s="480"/>
      <c r="S1290" s="480"/>
      <c r="U1290" s="233"/>
    </row>
    <row r="1291" spans="1:21" ht="14.25">
      <c r="A1291" s="386"/>
      <c r="B1291" s="17">
        <f t="shared" si="446"/>
        <v>80</v>
      </c>
      <c r="D1291" s="67" t="s">
        <v>793</v>
      </c>
      <c r="G1291" s="17">
        <f t="shared" si="447"/>
        <v>80</v>
      </c>
      <c r="H1291" s="67" t="str">
        <f t="shared" si="462" ref="H1291:H1299">VLOOKUP(G1291,FactorTable,2)</f>
        <v>PAY TR OPS</v>
      </c>
      <c r="J1291" s="480">
        <f t="shared" si="463" ref="J1291:S1291">J791</f>
        <v>0</v>
      </c>
      <c r="K1291" s="480">
        <f t="shared" si="463"/>
        <v>0</v>
      </c>
      <c r="L1291" s="480">
        <f t="shared" si="463"/>
        <v>0</v>
      </c>
      <c r="M1291" s="480">
        <f t="shared" si="463"/>
        <v>0</v>
      </c>
      <c r="N1291" s="480">
        <f t="shared" si="463"/>
        <v>0</v>
      </c>
      <c r="O1291" s="480">
        <f t="shared" si="463"/>
        <v>0</v>
      </c>
      <c r="P1291" s="480">
        <f t="shared" si="463"/>
        <v>0</v>
      </c>
      <c r="Q1291" s="480">
        <f t="shared" si="463"/>
        <v>0</v>
      </c>
      <c r="R1291" s="480">
        <f t="shared" si="463"/>
        <v>0</v>
      </c>
      <c r="S1291" s="480">
        <f t="shared" si="463"/>
        <v>0</v>
      </c>
      <c r="U1291" s="50">
        <f t="shared" si="464" ref="U1291:U1299">MAX(0.0000001,SUM(I1291:T1291))</f>
        <v>9.9999999999999995E-08</v>
      </c>
    </row>
    <row r="1292" spans="1:21" ht="14.25">
      <c r="A1292" s="386"/>
      <c r="B1292" s="17">
        <f t="shared" si="446"/>
        <v>81</v>
      </c>
      <c r="D1292" s="67" t="s">
        <v>794</v>
      </c>
      <c r="G1292" s="17">
        <f t="shared" si="447"/>
        <v>81</v>
      </c>
      <c r="H1292" s="67" t="str">
        <f t="shared" si="462"/>
        <v>PAY TR MNT</v>
      </c>
      <c r="J1292" s="480">
        <f t="shared" si="465" ref="J1292:S1292">J802</f>
        <v>0</v>
      </c>
      <c r="K1292" s="480">
        <f t="shared" si="465"/>
        <v>0</v>
      </c>
      <c r="L1292" s="480">
        <f t="shared" si="465"/>
        <v>0</v>
      </c>
      <c r="M1292" s="480">
        <f t="shared" si="465"/>
        <v>0</v>
      </c>
      <c r="N1292" s="480">
        <f t="shared" si="465"/>
        <v>0</v>
      </c>
      <c r="O1292" s="480">
        <f t="shared" si="465"/>
        <v>0</v>
      </c>
      <c r="P1292" s="480">
        <f t="shared" si="465"/>
        <v>0</v>
      </c>
      <c r="Q1292" s="480">
        <f t="shared" si="465"/>
        <v>0</v>
      </c>
      <c r="R1292" s="480">
        <f t="shared" si="465"/>
        <v>0</v>
      </c>
      <c r="S1292" s="480">
        <f t="shared" si="465"/>
        <v>0</v>
      </c>
      <c r="U1292" s="50">
        <f t="shared" si="464"/>
        <v>9.9999999999999995E-08</v>
      </c>
    </row>
    <row r="1293" spans="1:21" ht="14.25">
      <c r="A1293" s="386" t="s">
        <v>0</v>
      </c>
      <c r="B1293" s="17">
        <f t="shared" si="446"/>
        <v>82</v>
      </c>
      <c r="D1293" s="67" t="s">
        <v>795</v>
      </c>
      <c r="G1293" s="17">
        <f t="shared" si="447"/>
        <v>82</v>
      </c>
      <c r="H1293" s="67" t="str">
        <f t="shared" si="462"/>
        <v>PAY DISTR OPS</v>
      </c>
      <c r="J1293" s="480">
        <f t="shared" si="466" ref="J1293:S1293">J830</f>
        <v>0</v>
      </c>
      <c r="K1293" s="480">
        <f t="shared" si="466"/>
        <v>0</v>
      </c>
      <c r="L1293" s="480">
        <f t="shared" si="466"/>
        <v>0</v>
      </c>
      <c r="M1293" s="480">
        <f t="shared" si="466"/>
        <v>0</v>
      </c>
      <c r="N1293" s="480">
        <f t="shared" si="466"/>
        <v>0</v>
      </c>
      <c r="O1293" s="480">
        <f t="shared" si="466"/>
        <v>0</v>
      </c>
      <c r="P1293" s="480">
        <f t="shared" si="466"/>
        <v>0</v>
      </c>
      <c r="Q1293" s="480">
        <f t="shared" si="466"/>
        <v>763.54999999999995</v>
      </c>
      <c r="R1293" s="480">
        <f t="shared" si="466"/>
        <v>0</v>
      </c>
      <c r="S1293" s="480">
        <f t="shared" si="466"/>
        <v>0</v>
      </c>
      <c r="U1293" s="50">
        <f t="shared" si="464"/>
        <v>763.54999999999995</v>
      </c>
    </row>
    <row r="1294" spans="1:21" ht="14.25">
      <c r="A1294" s="386"/>
      <c r="B1294" s="17">
        <f t="shared" si="446"/>
        <v>83</v>
      </c>
      <c r="D1294" s="67" t="s">
        <v>796</v>
      </c>
      <c r="G1294" s="17">
        <f t="shared" si="447"/>
        <v>83</v>
      </c>
      <c r="H1294" s="67" t="str">
        <f t="shared" si="462"/>
        <v>PAY DISTR MNT</v>
      </c>
      <c r="J1294" s="480">
        <f t="shared" si="467" ref="J1294:S1294">J845</f>
        <v>0</v>
      </c>
      <c r="K1294" s="480">
        <f t="shared" si="467"/>
        <v>0</v>
      </c>
      <c r="L1294" s="480">
        <f t="shared" si="467"/>
        <v>0</v>
      </c>
      <c r="M1294" s="480">
        <f t="shared" si="467"/>
        <v>0</v>
      </c>
      <c r="N1294" s="480">
        <f t="shared" si="467"/>
        <v>0</v>
      </c>
      <c r="O1294" s="480">
        <f t="shared" si="467"/>
        <v>0</v>
      </c>
      <c r="P1294" s="480">
        <f t="shared" si="467"/>
        <v>0</v>
      </c>
      <c r="Q1294" s="480">
        <f t="shared" si="467"/>
        <v>0</v>
      </c>
      <c r="R1294" s="480">
        <f t="shared" si="467"/>
        <v>0</v>
      </c>
      <c r="S1294" s="480">
        <f t="shared" si="467"/>
        <v>0</v>
      </c>
      <c r="U1294" s="50">
        <f t="shared" si="464"/>
        <v>9.9999999999999995E-08</v>
      </c>
    </row>
    <row r="1295" spans="1:21" ht="14.25">
      <c r="A1295" s="386"/>
      <c r="B1295" s="17">
        <f t="shared" si="446"/>
        <v>84</v>
      </c>
      <c r="D1295" s="67" t="s">
        <v>797</v>
      </c>
      <c r="G1295" s="17">
        <f t="shared" si="447"/>
        <v>84</v>
      </c>
      <c r="H1295" s="67" t="str">
        <f t="shared" si="462"/>
        <v>PAY CUS ACCT</v>
      </c>
      <c r="J1295" s="480">
        <f t="shared" si="468" ref="J1295:S1295">J867</f>
        <v>696137.31257049693</v>
      </c>
      <c r="K1295" s="480">
        <f t="shared" si="468"/>
        <v>107326.44609984121</v>
      </c>
      <c r="L1295" s="480">
        <f t="shared" si="468"/>
        <v>331052.13576550444</v>
      </c>
      <c r="M1295" s="480">
        <f t="shared" si="468"/>
        <v>4648.4746389139573</v>
      </c>
      <c r="N1295" s="480">
        <f t="shared" si="468"/>
        <v>97001.143660879185</v>
      </c>
      <c r="O1295" s="480">
        <f t="shared" si="468"/>
        <v>3314.820658399768</v>
      </c>
      <c r="P1295" s="480">
        <f t="shared" si="468"/>
        <v>7216.1095871318021</v>
      </c>
      <c r="Q1295" s="480">
        <f t="shared" si="468"/>
        <v>693.92505477020313</v>
      </c>
      <c r="R1295" s="480">
        <f t="shared" si="468"/>
        <v>382.47930673843479</v>
      </c>
      <c r="S1295" s="480">
        <f t="shared" si="468"/>
        <v>893.16265732410909</v>
      </c>
      <c r="U1295" s="50">
        <f t="shared" si="464"/>
        <v>1248666.01</v>
      </c>
    </row>
    <row r="1296" spans="1:21" ht="14.25">
      <c r="A1296" s="386"/>
      <c r="B1296" s="17">
        <f t="shared" si="446"/>
        <v>85</v>
      </c>
      <c r="D1296" s="67" t="s">
        <v>798</v>
      </c>
      <c r="G1296" s="17">
        <f t="shared" si="447"/>
        <v>85</v>
      </c>
      <c r="H1296" s="67" t="str">
        <f t="shared" si="462"/>
        <v>PAY CUS SV INF</v>
      </c>
      <c r="J1296" s="480">
        <f t="shared" si="469" ref="J1296:S1296">J880</f>
        <v>0</v>
      </c>
      <c r="K1296" s="480">
        <f t="shared" si="469"/>
        <v>0</v>
      </c>
      <c r="L1296" s="480">
        <f t="shared" si="469"/>
        <v>0</v>
      </c>
      <c r="M1296" s="480">
        <f t="shared" si="469"/>
        <v>0</v>
      </c>
      <c r="N1296" s="480">
        <f t="shared" si="469"/>
        <v>0</v>
      </c>
      <c r="O1296" s="480">
        <f t="shared" si="469"/>
        <v>0</v>
      </c>
      <c r="P1296" s="480">
        <f t="shared" si="469"/>
        <v>0</v>
      </c>
      <c r="Q1296" s="480">
        <f t="shared" si="469"/>
        <v>0</v>
      </c>
      <c r="R1296" s="480">
        <f t="shared" si="469"/>
        <v>0</v>
      </c>
      <c r="S1296" s="480">
        <f t="shared" si="469"/>
        <v>0</v>
      </c>
      <c r="U1296" s="50">
        <f t="shared" si="464"/>
        <v>9.9999999999999995E-08</v>
      </c>
    </row>
    <row r="1297" spans="1:21" ht="14.25">
      <c r="A1297" s="386"/>
      <c r="B1297" s="17">
        <f t="shared" si="446"/>
        <v>86</v>
      </c>
      <c r="D1297" s="67" t="s">
        <v>799</v>
      </c>
      <c r="G1297" s="17">
        <f t="shared" si="447"/>
        <v>86</v>
      </c>
      <c r="H1297" s="67" t="str">
        <f t="shared" si="462"/>
        <v>PAY SALES</v>
      </c>
      <c r="J1297" s="480">
        <f t="shared" si="470" ref="J1297:S1297">J892</f>
        <v>0</v>
      </c>
      <c r="K1297" s="480">
        <f t="shared" si="470"/>
        <v>0</v>
      </c>
      <c r="L1297" s="480">
        <f t="shared" si="470"/>
        <v>0</v>
      </c>
      <c r="M1297" s="480">
        <f t="shared" si="470"/>
        <v>0</v>
      </c>
      <c r="N1297" s="480">
        <f t="shared" si="470"/>
        <v>0</v>
      </c>
      <c r="O1297" s="480">
        <f t="shared" si="470"/>
        <v>0</v>
      </c>
      <c r="P1297" s="480">
        <f t="shared" si="470"/>
        <v>0</v>
      </c>
      <c r="Q1297" s="480">
        <f t="shared" si="470"/>
        <v>0</v>
      </c>
      <c r="R1297" s="480">
        <f t="shared" si="470"/>
        <v>0</v>
      </c>
      <c r="S1297" s="480">
        <f t="shared" si="470"/>
        <v>0</v>
      </c>
      <c r="U1297" s="50">
        <f t="shared" si="464"/>
        <v>9.9999999999999995E-08</v>
      </c>
    </row>
    <row r="1298" spans="1:21" ht="14.25">
      <c r="A1298" s="386"/>
      <c r="B1298" s="17">
        <f t="shared" si="446"/>
        <v>87</v>
      </c>
      <c r="D1298" s="47" t="s">
        <v>800</v>
      </c>
      <c r="G1298" s="17">
        <f t="shared" si="447"/>
        <v>87</v>
      </c>
      <c r="H1298" s="67" t="str">
        <f t="shared" si="462"/>
        <v>PAYROLL XAG</v>
      </c>
      <c r="J1298" s="480">
        <f t="shared" si="471" ref="J1298:S1298">J902</f>
        <v>696965.63649908523</v>
      </c>
      <c r="K1298" s="480">
        <f t="shared" si="471"/>
        <v>107454.15231795293</v>
      </c>
      <c r="L1298" s="480">
        <f t="shared" si="471"/>
        <v>331446.05001304316</v>
      </c>
      <c r="M1298" s="480">
        <f t="shared" si="471"/>
        <v>4654.0057930488083</v>
      </c>
      <c r="N1298" s="480">
        <f t="shared" si="471"/>
        <v>97116.5639478597</v>
      </c>
      <c r="O1298" s="480">
        <f t="shared" si="471"/>
        <v>3318.7649165522189</v>
      </c>
      <c r="P1298" s="480">
        <f t="shared" si="471"/>
        <v>7224.6959337252138</v>
      </c>
      <c r="Q1298" s="480">
        <f t="shared" si="471"/>
        <v>1458.3007463645677</v>
      </c>
      <c r="R1298" s="480">
        <f t="shared" si="471"/>
        <v>382.93441344833298</v>
      </c>
      <c r="S1298" s="480">
        <f t="shared" si="471"/>
        <v>894.22541891987998</v>
      </c>
      <c r="U1298" s="50">
        <f t="shared" si="464"/>
        <v>1250915.3300000001</v>
      </c>
    </row>
    <row r="1299" spans="1:21" ht="14.25">
      <c r="A1299" s="386"/>
      <c r="B1299" s="17">
        <f t="shared" si="446"/>
        <v>88</v>
      </c>
      <c r="D1299" s="67" t="s">
        <v>713</v>
      </c>
      <c r="G1299" s="17">
        <f t="shared" si="447"/>
        <v>88</v>
      </c>
      <c r="H1299" s="67" t="str">
        <f t="shared" si="462"/>
        <v>PAYROLL</v>
      </c>
      <c r="J1299" s="480">
        <f t="shared" si="472" ref="J1299:S1299">J934</f>
        <v>10296901.818339335</v>
      </c>
      <c r="K1299" s="480">
        <f t="shared" si="472"/>
        <v>1458292.9479781427</v>
      </c>
      <c r="L1299" s="480">
        <f t="shared" si="472"/>
        <v>5115810.5778522026</v>
      </c>
      <c r="M1299" s="480">
        <f t="shared" si="472"/>
        <v>60701.716019887506</v>
      </c>
      <c r="N1299" s="480">
        <f t="shared" si="472"/>
        <v>1401139.0348371649</v>
      </c>
      <c r="O1299" s="480">
        <f t="shared" si="472"/>
        <v>60421.567242669305</v>
      </c>
      <c r="P1299" s="480">
        <f t="shared" si="472"/>
        <v>157409.78741172873</v>
      </c>
      <c r="Q1299" s="480">
        <f t="shared" si="472"/>
        <v>502748.70806368336</v>
      </c>
      <c r="R1299" s="480">
        <f t="shared" si="472"/>
        <v>4917.8657188098587</v>
      </c>
      <c r="S1299" s="480">
        <f t="shared" si="472"/>
        <v>11485.216536373695</v>
      </c>
      <c r="U1299" s="50">
        <f t="shared" si="464"/>
        <v>19069829.239999995</v>
      </c>
    </row>
    <row r="1300" spans="1:21" ht="14.25">
      <c r="A1300" s="386"/>
      <c r="B1300" s="17">
        <f t="shared" si="446"/>
        <v>89</v>
      </c>
      <c r="D1300" s="67"/>
      <c r="G1300" s="17">
        <f t="shared" si="447"/>
        <v>89</v>
      </c>
      <c r="H1300" s="67"/>
      <c r="J1300" s="480"/>
      <c r="K1300" s="480"/>
      <c r="L1300" s="480"/>
      <c r="M1300" s="480"/>
      <c r="N1300" s="480"/>
      <c r="O1300" s="480"/>
      <c r="P1300" s="480"/>
      <c r="Q1300" s="480"/>
      <c r="R1300" s="480"/>
      <c r="S1300" s="480"/>
      <c r="U1300" s="233"/>
    </row>
    <row r="1301" spans="1:21" ht="14.25">
      <c r="A1301" s="386"/>
      <c r="B1301" s="17">
        <f t="shared" si="446"/>
        <v>90</v>
      </c>
      <c r="G1301" s="17">
        <f t="shared" si="447"/>
        <v>90</v>
      </c>
      <c r="J1301" s="480"/>
      <c r="K1301" s="480"/>
      <c r="L1301" s="480"/>
      <c r="M1301" s="480"/>
      <c r="N1301" s="480"/>
      <c r="O1301" s="480"/>
      <c r="P1301" s="480"/>
      <c r="Q1301" s="480"/>
      <c r="R1301" s="480"/>
      <c r="S1301" s="480"/>
      <c r="U1301" s="50">
        <f>SUM(I1301:T1301)</f>
        <v>0</v>
      </c>
    </row>
    <row r="1302" spans="1:21" ht="14.25">
      <c r="A1302" s="386"/>
      <c r="B1302" s="17">
        <f t="shared" si="446"/>
        <v>91</v>
      </c>
      <c r="D1302" s="67" t="s">
        <v>801</v>
      </c>
      <c r="G1302" s="17">
        <f t="shared" si="447"/>
        <v>91</v>
      </c>
      <c r="H1302" s="67" t="str">
        <f>VLOOKUP(G1302,FactorTable,2)</f>
        <v>TAX INC</v>
      </c>
      <c r="J1302" s="480">
        <f t="shared" si="473" ref="J1302:S1302">J1110</f>
        <v>5186039.6039906871</v>
      </c>
      <c r="K1302" s="480">
        <f t="shared" si="473"/>
        <v>796980.7828683902</v>
      </c>
      <c r="L1302" s="480">
        <f t="shared" si="473"/>
        <v>2477078.2491757199</v>
      </c>
      <c r="M1302" s="480">
        <f t="shared" si="473"/>
        <v>34482.156154411394</v>
      </c>
      <c r="N1302" s="480">
        <f t="shared" si="473"/>
        <v>723007.00853067648</v>
      </c>
      <c r="O1302" s="480">
        <f t="shared" si="473"/>
        <v>25118.204120685434</v>
      </c>
      <c r="P1302" s="480">
        <f t="shared" si="473"/>
        <v>57237.172386896615</v>
      </c>
      <c r="Q1302" s="480">
        <f t="shared" si="473"/>
        <v>12860.328862394623</v>
      </c>
      <c r="R1302" s="480">
        <f t="shared" si="473"/>
        <v>2853.8152714850798</v>
      </c>
      <c r="S1302" s="480">
        <f t="shared" si="473"/>
        <v>6634.3876884236679</v>
      </c>
      <c r="U1302" s="50">
        <f>MAX(0.0000001,SUM(I1302:T1302))</f>
        <v>9322291.7090497725</v>
      </c>
    </row>
    <row r="1303" spans="1:21" ht="14.25">
      <c r="A1303" s="386"/>
      <c r="B1303" s="17">
        <f t="shared" si="446"/>
        <v>92</v>
      </c>
      <c r="D1303" s="67" t="s">
        <v>802</v>
      </c>
      <c r="G1303" s="17">
        <f t="shared" si="447"/>
        <v>92</v>
      </c>
      <c r="H1303" s="67" t="str">
        <f>VLOOKUP(G1303,FactorTable,2)</f>
        <v>RCOS x565</v>
      </c>
      <c r="J1303" s="480">
        <f t="shared" si="474" ref="J1303:Q1303">J1192</f>
        <v>57380286.899417497</v>
      </c>
      <c r="K1303" s="480">
        <f t="shared" si="474"/>
        <v>8471723.1771867815</v>
      </c>
      <c r="L1303" s="480">
        <f t="shared" si="474"/>
        <v>27868562.06415638</v>
      </c>
      <c r="M1303" s="480">
        <f t="shared" si="474"/>
        <v>359564.24414731545</v>
      </c>
      <c r="N1303" s="480">
        <f t="shared" si="474"/>
        <v>7884205.8632422257</v>
      </c>
      <c r="O1303" s="480">
        <f>O1192</f>
        <v>305337.87790683215</v>
      </c>
      <c r="P1303" s="480">
        <f t="shared" si="474"/>
        <v>741951.95264284569</v>
      </c>
      <c r="Q1303" s="480">
        <f t="shared" si="474"/>
        <v>1474802.5347720555</v>
      </c>
      <c r="R1303" s="18">
        <v>0</v>
      </c>
      <c r="S1303" s="18">
        <v>0</v>
      </c>
      <c r="T1303" s="386" t="s">
        <v>0</v>
      </c>
      <c r="U1303" s="50">
        <f>MAX(0.0000001,SUM(I1303:T1303))</f>
        <v>104486434.61347193</v>
      </c>
    </row>
    <row r="1304" spans="1:21" ht="14.25">
      <c r="A1304" s="386"/>
      <c r="B1304" s="17">
        <f t="shared" si="446"/>
        <v>93</v>
      </c>
      <c r="G1304" s="17">
        <f t="shared" si="447"/>
        <v>93</v>
      </c>
      <c r="U1304" s="233"/>
    </row>
    <row r="1305" spans="1:21" ht="14.25">
      <c r="A1305" s="386"/>
      <c r="B1305" s="17">
        <f t="shared" si="446"/>
        <v>94</v>
      </c>
      <c r="G1305" s="17">
        <f t="shared" si="447"/>
        <v>94</v>
      </c>
      <c r="U1305" s="233"/>
    </row>
    <row r="1306" spans="1:21" ht="15" thickBot="1">
      <c r="A1306" s="386"/>
      <c r="H1306" s="134"/>
      <c r="U1306" s="134"/>
    </row>
    <row r="1307" spans="1:21" ht="15">
      <c r="A1307" s="47"/>
      <c r="B1307" s="920" t="str">
        <f>+$B$4</f>
        <v>2022 RATE CASE</v>
      </c>
      <c r="C1307" s="935"/>
      <c r="D1307" s="620"/>
      <c r="F1307" s="12"/>
      <c r="U1307" s="134"/>
    </row>
    <row r="1308" spans="1:22" ht="15">
      <c r="A1308" s="47"/>
      <c r="B1308" s="917" t="str">
        <f>+$B$5</f>
        <v>ONCOR ELECTRIC DELIVERY COMPANY LLC</v>
      </c>
      <c r="C1308" s="8"/>
      <c r="D1308" s="621"/>
      <c r="F1308" s="12"/>
      <c r="U1308" s="134"/>
      <c r="V1308" s="67"/>
    </row>
    <row r="1309" spans="1:22" ht="15">
      <c r="A1309" s="47"/>
      <c r="B1309" s="917" t="str">
        <f>B1202</f>
        <v>II-I-2-TBILLTDCS:  CLASS ALLOCATION FACTORS</v>
      </c>
      <c r="C1309" s="85"/>
      <c r="D1309" s="621"/>
      <c r="F1309" s="12"/>
      <c r="U1309" s="12"/>
      <c r="V1309" s="67"/>
    </row>
    <row r="1310" spans="1:22" ht="15">
      <c r="A1310" s="47"/>
      <c r="B1310" s="406" t="str">
        <f>+$B$7</f>
        <v>TEST YEAR ENDING 12/31/2021</v>
      </c>
      <c r="C1310" s="85"/>
      <c r="D1310" s="621"/>
      <c r="F1310" s="12"/>
      <c r="U1310" s="12"/>
      <c r="V1310" s="67"/>
    </row>
    <row r="1311" spans="1:22" ht="15">
      <c r="A1311" s="47"/>
      <c r="B1311" s="406" t="str">
        <f>+$B$8</f>
        <v>SPONSOR:  MATTHEW A. TROXLE</v>
      </c>
      <c r="C1311" s="85"/>
      <c r="D1311" s="621"/>
      <c r="F1311" s="12"/>
      <c r="U1311" s="12"/>
      <c r="V1311" s="67"/>
    </row>
    <row r="1312" spans="1:22" ht="15.75" thickBot="1">
      <c r="A1312" s="47"/>
      <c r="B1312" s="410"/>
      <c r="C1312" s="85"/>
      <c r="D1312" s="621"/>
      <c r="F1312" s="12"/>
      <c r="U1312" s="12"/>
      <c r="V1312" s="67"/>
    </row>
    <row r="1313" spans="1:22" ht="15.75" thickBot="1">
      <c r="A1313" s="47"/>
      <c r="B1313" s="396"/>
      <c r="C1313" s="470"/>
      <c r="D1313" s="471"/>
      <c r="E1313" s="471"/>
      <c r="F1313" s="237"/>
      <c r="G1313" s="238"/>
      <c r="H1313" s="438" t="str">
        <f>F$11</f>
        <v>TBILLTDCS</v>
      </c>
      <c r="I1313" s="14"/>
      <c r="J1313" s="238"/>
      <c r="K1313" s="238"/>
      <c r="L1313" s="14"/>
      <c r="M1313" s="14"/>
      <c r="N1313" s="238"/>
      <c r="O1313" s="238"/>
      <c r="P1313" s="238"/>
      <c r="Q1313" s="14"/>
      <c r="R1313" s="393" t="str">
        <f>R$10</f>
        <v xml:space="preserve"> </v>
      </c>
      <c r="S1313" s="394"/>
      <c r="T1313" s="238"/>
      <c r="U1313" s="13"/>
      <c r="V1313" s="67"/>
    </row>
    <row r="1314" spans="1:22" ht="15">
      <c r="A1314" s="47"/>
      <c r="B1314" s="235" t="s">
        <v>2</v>
      </c>
      <c r="C1314" s="235"/>
      <c r="D1314" s="472" t="s">
        <v>803</v>
      </c>
      <c r="E1314" s="395"/>
      <c r="F1314" s="242"/>
      <c r="G1314" s="242" t="s">
        <v>741</v>
      </c>
      <c r="H1314" s="242" t="s">
        <v>376</v>
      </c>
      <c r="I1314" s="15"/>
      <c r="J1314" s="242" t="s">
        <v>730</v>
      </c>
      <c r="K1314" s="242" t="s">
        <v>409</v>
      </c>
      <c r="L1314" s="15" t="s">
        <v>409</v>
      </c>
      <c r="M1314" s="15" t="s">
        <v>410</v>
      </c>
      <c r="N1314" s="242" t="s">
        <v>410</v>
      </c>
      <c r="O1314" s="242" t="s">
        <v>410</v>
      </c>
      <c r="P1314" s="242" t="s">
        <v>411</v>
      </c>
      <c r="Q1314" s="15" t="s">
        <v>412</v>
      </c>
      <c r="R1314" s="396" t="str">
        <f>R$11</f>
        <v>Wholesale</v>
      </c>
      <c r="S1314" s="13" t="str">
        <f>S$11</f>
        <v>Wholesale</v>
      </c>
      <c r="T1314" s="242"/>
      <c r="U1314" s="15" t="s">
        <v>10</v>
      </c>
      <c r="V1314" s="67"/>
    </row>
    <row r="1315" spans="1:22" ht="14.25">
      <c r="A1315" s="47"/>
      <c r="B1315" s="235"/>
      <c r="C1315" s="235"/>
      <c r="D1315" s="395"/>
      <c r="E1315" s="395"/>
      <c r="F1315" s="242"/>
      <c r="G1315" s="242" t="s">
        <v>742</v>
      </c>
      <c r="H1315" s="242" t="s">
        <v>743</v>
      </c>
      <c r="I1315" s="15"/>
      <c r="J1315" s="242"/>
      <c r="K1315" s="242" t="s">
        <v>731</v>
      </c>
      <c r="L1315" s="15" t="s">
        <v>732</v>
      </c>
      <c r="M1315" s="15" t="s">
        <v>731</v>
      </c>
      <c r="N1315" s="242" t="s">
        <v>732</v>
      </c>
      <c r="O1315" s="242" t="s">
        <v>414</v>
      </c>
      <c r="P1315" s="242"/>
      <c r="Q1315" s="15"/>
      <c r="R1315" s="235" t="str">
        <f>R$12</f>
        <v>XFMR</v>
      </c>
      <c r="S1315" s="15" t="str">
        <f>S$12</f>
        <v>DLS</v>
      </c>
      <c r="T1315" s="242"/>
      <c r="U1315" s="15"/>
      <c r="V1315" s="67"/>
    </row>
    <row r="1316" spans="1:22" ht="15" thickBot="1">
      <c r="A1316" s="47"/>
      <c r="B1316" s="243"/>
      <c r="C1316" s="243"/>
      <c r="D1316" s="473" t="s">
        <v>13</v>
      </c>
      <c r="E1316" s="473"/>
      <c r="F1316" s="245"/>
      <c r="G1316" s="245" t="s">
        <v>14</v>
      </c>
      <c r="H1316" s="16" t="s">
        <v>15</v>
      </c>
      <c r="I1316" s="16"/>
      <c r="J1316" s="243" t="str">
        <f t="shared" si="475" ref="J1316:Q1316">J$13</f>
        <v>(d)</v>
      </c>
      <c r="K1316" s="243" t="str">
        <f t="shared" si="475"/>
        <v>(e)</v>
      </c>
      <c r="L1316" s="16" t="str">
        <f t="shared" si="475"/>
        <v>(f)</v>
      </c>
      <c r="M1316" s="16" t="str">
        <f t="shared" si="475"/>
        <v>(g)</v>
      </c>
      <c r="N1316" s="243" t="str">
        <f t="shared" si="475"/>
        <v>(h)</v>
      </c>
      <c r="O1316" s="243" t="str">
        <f>O$13</f>
        <v>(i)</v>
      </c>
      <c r="P1316" s="243" t="str">
        <f t="shared" si="475"/>
        <v>(j)</v>
      </c>
      <c r="Q1316" s="243" t="str">
        <f t="shared" si="475"/>
        <v>(k)</v>
      </c>
      <c r="R1316" s="243" t="str">
        <f>R$13</f>
        <v>(l)</v>
      </c>
      <c r="S1316" s="16" t="str">
        <f>S$13</f>
        <v>(m)</v>
      </c>
      <c r="T1316" s="16"/>
      <c r="U1316" s="16" t="s">
        <v>734</v>
      </c>
      <c r="V1316" s="67"/>
    </row>
    <row r="1317" spans="1:21" ht="14.25">
      <c r="A1317" s="386"/>
      <c r="B1317" s="1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U1317" s="233"/>
    </row>
    <row r="1318" spans="1:21" ht="14.25">
      <c r="A1318" s="386"/>
      <c r="B1318" s="17"/>
      <c r="G1318" s="17">
        <f>0</f>
        <v>0</v>
      </c>
      <c r="H1318" s="67">
        <v>-1</v>
      </c>
      <c r="I1318" s="67">
        <f>H1318+1</f>
        <v>0</v>
      </c>
      <c r="J1318" s="67">
        <f>I1318+1</f>
        <v>1</v>
      </c>
      <c r="K1318" s="67">
        <f t="shared" si="476" ref="K1318:Q1318">J1318+1</f>
        <v>2</v>
      </c>
      <c r="L1318" s="67">
        <f t="shared" si="476"/>
        <v>3</v>
      </c>
      <c r="M1318" s="67">
        <f t="shared" si="476"/>
        <v>4</v>
      </c>
      <c r="N1318" s="67">
        <f t="shared" si="476"/>
        <v>5</v>
      </c>
      <c r="O1318" s="67">
        <f t="shared" si="476"/>
        <v>6</v>
      </c>
      <c r="P1318" s="67">
        <f t="shared" si="476"/>
        <v>7</v>
      </c>
      <c r="Q1318" s="67">
        <f t="shared" si="476"/>
        <v>8</v>
      </c>
      <c r="R1318" s="67">
        <f>Q1318+1</f>
        <v>9</v>
      </c>
      <c r="S1318" s="67">
        <f>R1318+1</f>
        <v>10</v>
      </c>
      <c r="T1318">
        <f>S1318+1</f>
        <v>11</v>
      </c>
      <c r="U1318" s="233"/>
    </row>
    <row r="1319" spans="1:21" ht="14.25">
      <c r="A1319" s="386"/>
      <c r="B1319" s="17">
        <f t="shared" si="477" ref="B1319:B1382">B1318+1</f>
        <v>1</v>
      </c>
      <c r="D1319" s="67" t="s">
        <v>745</v>
      </c>
      <c r="G1319" s="17">
        <f t="shared" si="478" ref="G1319:G1382">G1318+1</f>
        <v>1</v>
      </c>
      <c r="H1319" s="67" t="s">
        <v>804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59"/>
      <c r="U1319" s="18"/>
    </row>
    <row r="1320" spans="1:21" ht="14.25">
      <c r="A1320" s="386"/>
      <c r="B1320" s="17">
        <f t="shared" si="477"/>
        <v>2</v>
      </c>
      <c r="D1320" s="67" t="s">
        <v>746</v>
      </c>
      <c r="G1320" s="17">
        <f t="shared" si="478"/>
        <v>2</v>
      </c>
      <c r="H1320" s="67" t="s">
        <v>805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59"/>
      <c r="U1320" s="18"/>
    </row>
    <row r="1321" spans="1:21" ht="14.25">
      <c r="A1321" s="386"/>
      <c r="B1321" s="17">
        <f t="shared" si="477"/>
        <v>3</v>
      </c>
      <c r="G1321" s="17">
        <f t="shared" si="478"/>
        <v>3</v>
      </c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U1321" s="233"/>
    </row>
    <row r="1322" spans="1:21" ht="14.25">
      <c r="A1322" s="386"/>
      <c r="B1322" s="17">
        <f t="shared" si="477"/>
        <v>4</v>
      </c>
      <c r="G1322" s="17">
        <f t="shared" si="478"/>
        <v>4</v>
      </c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U1322" s="233"/>
    </row>
    <row r="1323" spans="1:21" ht="14.25">
      <c r="A1323" s="386"/>
      <c r="B1323" s="17">
        <f t="shared" si="477"/>
        <v>5</v>
      </c>
      <c r="G1323" s="17">
        <f t="shared" si="478"/>
        <v>5</v>
      </c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U1323" s="233"/>
    </row>
    <row r="1324" spans="1:21" ht="14.25">
      <c r="A1324" s="386"/>
      <c r="B1324" s="17">
        <f t="shared" si="477"/>
        <v>6</v>
      </c>
      <c r="D1324" s="67" t="s">
        <v>747</v>
      </c>
      <c r="G1324" s="17">
        <f t="shared" si="478"/>
        <v>6</v>
      </c>
      <c r="H1324" s="67" t="s">
        <v>806</v>
      </c>
      <c r="J1324" s="476">
        <f t="shared" si="479" ref="J1324:Q1324">J1217/$U1217</f>
        <v>0.55750481473464386</v>
      </c>
      <c r="K1324" s="476">
        <f t="shared" si="479"/>
        <v>0.085952885111240607</v>
      </c>
      <c r="L1324" s="476">
        <f t="shared" si="479"/>
        <v>0.26512464751523462</v>
      </c>
      <c r="M1324" s="476">
        <f t="shared" si="479"/>
        <v>0.0037227526029269885</v>
      </c>
      <c r="N1324" s="476">
        <f t="shared" si="479"/>
        <v>0.077683818478312849</v>
      </c>
      <c r="O1324" s="476">
        <f t="shared" si="479"/>
        <v>0.0026546895902129731</v>
      </c>
      <c r="P1324" s="476">
        <f t="shared" si="479"/>
        <v>0.0057790550310020871</v>
      </c>
      <c r="Q1324" s="476">
        <f t="shared" si="479"/>
        <v>0.00055573311775356416</v>
      </c>
      <c r="R1324" s="476">
        <f>R1217/$U1217</f>
        <v>0.00030631033733226614</v>
      </c>
      <c r="S1324" s="476">
        <f>S1217/$U1217</f>
        <v>0.00071529348134022569</v>
      </c>
      <c r="T1324" s="129"/>
      <c r="U1324" s="476">
        <f>ROUND(SUM(I1324:T1324),6)</f>
        <v>1</v>
      </c>
    </row>
    <row r="1325" spans="1:21" ht="14.25">
      <c r="A1325" s="386"/>
      <c r="B1325" s="17">
        <f t="shared" si="477"/>
        <v>7</v>
      </c>
      <c r="D1325" s="67" t="s">
        <v>748</v>
      </c>
      <c r="G1325" s="17">
        <f t="shared" si="478"/>
        <v>7</v>
      </c>
      <c r="H1325" s="67" t="s">
        <v>807</v>
      </c>
      <c r="J1325" s="476">
        <f t="shared" si="480" ref="J1325:L1328">J1218/$U1218</f>
        <v>0.61322347694531498</v>
      </c>
      <c r="K1325" s="476">
        <f t="shared" si="480"/>
        <v>0.094543267911477671</v>
      </c>
      <c r="L1325" s="476">
        <f t="shared" si="480"/>
        <v>0.29162198043182269</v>
      </c>
      <c r="M1325" s="18">
        <v>0</v>
      </c>
      <c r="N1325" s="18">
        <v>0</v>
      </c>
      <c r="O1325" s="18">
        <v>0</v>
      </c>
      <c r="P1325" s="18">
        <v>0</v>
      </c>
      <c r="Q1325" s="476">
        <f>Q1218/$U1218</f>
        <v>0.00061127471138470123</v>
      </c>
      <c r="R1325" s="18">
        <v>0</v>
      </c>
      <c r="S1325" s="18">
        <v>0</v>
      </c>
      <c r="T1325" s="129"/>
      <c r="U1325" s="476">
        <f>ROUND(SUM(I1325:T1325),6)</f>
        <v>1</v>
      </c>
    </row>
    <row r="1326" spans="1:21" ht="14.25">
      <c r="A1326" s="386"/>
      <c r="B1326" s="17">
        <f t="shared" si="477"/>
        <v>8</v>
      </c>
      <c r="D1326" s="67" t="s">
        <v>749</v>
      </c>
      <c r="G1326" s="17">
        <f t="shared" si="478"/>
        <v>8</v>
      </c>
      <c r="H1326" s="67" t="s">
        <v>808</v>
      </c>
      <c r="J1326" s="476">
        <f t="shared" si="480"/>
        <v>0.55807494623081866</v>
      </c>
      <c r="K1326" s="476">
        <f t="shared" si="480"/>
        <v>0.086040784705457285</v>
      </c>
      <c r="L1326" s="476">
        <f t="shared" si="480"/>
        <v>0.26539577685432852</v>
      </c>
      <c r="M1326" s="476">
        <f t="shared" si="481" ref="M1326:P1328">M1219/$U1219</f>
        <v>0.0037265596705168998</v>
      </c>
      <c r="N1326" s="476">
        <f t="shared" si="481"/>
        <v>0.077763261723441945</v>
      </c>
      <c r="O1326" s="476">
        <f t="shared" si="481"/>
        <v>0.0026574044047005725</v>
      </c>
      <c r="P1326" s="476">
        <f t="shared" si="481"/>
        <v>0.0057849649733097072</v>
      </c>
      <c r="Q1326" s="476">
        <f>Q1219/$U1219</f>
        <v>0.00055630143742637196</v>
      </c>
      <c r="R1326" s="18"/>
      <c r="S1326" s="18"/>
      <c r="T1326" s="129"/>
      <c r="U1326" s="476">
        <f>ROUND(SUM(I1326:T1326),6)</f>
        <v>1</v>
      </c>
    </row>
    <row r="1327" spans="1:21" ht="14.25">
      <c r="A1327" s="386"/>
      <c r="B1327" s="17">
        <f t="shared" si="477"/>
        <v>9</v>
      </c>
      <c r="D1327" s="67" t="s">
        <v>750</v>
      </c>
      <c r="G1327" s="17">
        <f t="shared" si="478"/>
        <v>9</v>
      </c>
      <c r="H1327" s="67" t="s">
        <v>809</v>
      </c>
      <c r="J1327" s="476">
        <f t="shared" si="480"/>
        <v>0.85022848232001924</v>
      </c>
      <c r="K1327" s="476">
        <f t="shared" si="480"/>
        <v>0.079439096257962694</v>
      </c>
      <c r="L1327" s="476">
        <f t="shared" si="480"/>
        <v>0.053125009785389449</v>
      </c>
      <c r="M1327" s="476">
        <f t="shared" si="481"/>
        <v>0.00080918647142509713</v>
      </c>
      <c r="N1327" s="476">
        <f t="shared" si="481"/>
        <v>0.0018678351378461288</v>
      </c>
      <c r="O1327" s="476">
        <f t="shared" si="481"/>
        <v>3.3922683419949252E-05</v>
      </c>
      <c r="P1327" s="476">
        <f t="shared" si="481"/>
        <v>7.3847072368043374E-05</v>
      </c>
      <c r="Q1327" s="476">
        <f>Q1220/$U1220</f>
        <v>0.014406180817296603</v>
      </c>
      <c r="R1327" s="476">
        <f>R1220/$U1220</f>
        <v>3.9141557792249139E-06</v>
      </c>
      <c r="S1327" s="476">
        <f>S1220/$U1220</f>
        <v>1.2525298493519723E-05</v>
      </c>
      <c r="T1327" s="129"/>
      <c r="U1327" s="476">
        <f>ROUND(SUM(I1327:T1327),6)</f>
        <v>1</v>
      </c>
    </row>
    <row r="1328" spans="1:21" ht="14.25">
      <c r="A1328" s="386"/>
      <c r="B1328" s="17">
        <f t="shared" si="477"/>
        <v>10</v>
      </c>
      <c r="D1328" s="67" t="s">
        <v>751</v>
      </c>
      <c r="G1328" s="17">
        <f t="shared" si="478"/>
        <v>10</v>
      </c>
      <c r="H1328" s="67" t="s">
        <v>810</v>
      </c>
      <c r="J1328" s="476">
        <f t="shared" si="480"/>
        <v>0.8502424598420586</v>
      </c>
      <c r="K1328" s="476">
        <f t="shared" si="480"/>
        <v>0.07944040221482232</v>
      </c>
      <c r="L1328" s="476">
        <f t="shared" si="480"/>
        <v>0.053125883145916125</v>
      </c>
      <c r="M1328" s="476">
        <f t="shared" si="481"/>
        <v>0.00080919977422778304</v>
      </c>
      <c r="N1328" s="476">
        <f t="shared" si="481"/>
        <v>0.0018678658445412677</v>
      </c>
      <c r="O1328" s="476">
        <f t="shared" si="481"/>
        <v>3.3923241099520089E-05</v>
      </c>
      <c r="P1328" s="476">
        <f t="shared" si="481"/>
        <v>7.3848286393570658E-05</v>
      </c>
      <c r="Q1328" s="476">
        <f>Q1221/$U1221</f>
        <v>0.014406417650940809</v>
      </c>
      <c r="R1328" s="18">
        <v>0</v>
      </c>
      <c r="S1328" s="18">
        <v>0</v>
      </c>
      <c r="T1328" s="129"/>
      <c r="U1328" s="476">
        <f>ROUND(SUM(I1328:T1328),6)</f>
        <v>1</v>
      </c>
    </row>
    <row r="1329" spans="1:21" ht="14.25">
      <c r="A1329" s="386"/>
      <c r="B1329" s="17">
        <f t="shared" si="477"/>
        <v>11</v>
      </c>
      <c r="D1329" s="67"/>
      <c r="G1329" s="17">
        <f t="shared" si="478"/>
        <v>11</v>
      </c>
      <c r="H1329" s="67"/>
      <c r="J1329" s="67"/>
      <c r="K1329" s="67"/>
      <c r="L1329" s="67"/>
      <c r="M1329" s="67"/>
      <c r="N1329" s="67"/>
      <c r="O1329" s="67"/>
      <c r="P1329" s="67"/>
      <c r="Q1329" s="67"/>
      <c r="R1329" s="47"/>
      <c r="S1329" s="47"/>
      <c r="T1329" s="129"/>
      <c r="U1329" s="476"/>
    </row>
    <row r="1330" spans="1:21" ht="14.25">
      <c r="A1330" s="386"/>
      <c r="B1330" s="17">
        <f t="shared" si="477"/>
        <v>12</v>
      </c>
      <c r="D1330" s="67"/>
      <c r="G1330" s="17">
        <f t="shared" si="478"/>
        <v>12</v>
      </c>
      <c r="H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129"/>
      <c r="U1330" s="476"/>
    </row>
    <row r="1331" spans="1:21" ht="14.25">
      <c r="A1331" s="386"/>
      <c r="B1331" s="17">
        <f t="shared" si="477"/>
        <v>13</v>
      </c>
      <c r="D1331" s="67"/>
      <c r="G1331" s="17">
        <f t="shared" si="478"/>
        <v>13</v>
      </c>
      <c r="H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129"/>
      <c r="U1331" s="476"/>
    </row>
    <row r="1332" spans="1:21" ht="14.25">
      <c r="A1332" s="386"/>
      <c r="B1332" s="17">
        <f t="shared" si="477"/>
        <v>14</v>
      </c>
      <c r="D1332" s="47" t="s">
        <v>752</v>
      </c>
      <c r="G1332" s="17">
        <f t="shared" si="478"/>
        <v>14</v>
      </c>
      <c r="H1332" s="67" t="s">
        <v>811</v>
      </c>
      <c r="J1332" s="476">
        <f t="shared" si="482" ref="J1332:Q1332">J1225/$U1225</f>
        <v>0.48075694845482941</v>
      </c>
      <c r="K1332" s="476">
        <f t="shared" si="482"/>
        <v>0.023913413398373714</v>
      </c>
      <c r="L1332" s="476">
        <f t="shared" si="482"/>
        <v>0.37444775801914859</v>
      </c>
      <c r="M1332" s="476">
        <f t="shared" si="482"/>
        <v>0.00030838227249101196</v>
      </c>
      <c r="N1332" s="476">
        <f t="shared" si="482"/>
        <v>0.068188947115053036</v>
      </c>
      <c r="O1332" s="476">
        <f t="shared" si="482"/>
        <v>0.0079001284926574905</v>
      </c>
      <c r="P1332" s="476">
        <f t="shared" si="482"/>
        <v>0.02868271271889276</v>
      </c>
      <c r="Q1332" s="476">
        <f t="shared" si="482"/>
        <v>0.015108873761064803</v>
      </c>
      <c r="R1332" s="476">
        <f>R1225/$U1225</f>
        <v>0.00015224254597235386</v>
      </c>
      <c r="S1332" s="476">
        <f>S1225/$U1225</f>
        <v>0.00054059322151686021</v>
      </c>
      <c r="T1332" s="129"/>
      <c r="U1332" s="476">
        <f>ROUND(SUM(I1332:T1332),6)</f>
        <v>1</v>
      </c>
    </row>
    <row r="1333" spans="1:21" ht="14.25">
      <c r="A1333" s="386"/>
      <c r="B1333" s="17">
        <f t="shared" si="477"/>
        <v>15</v>
      </c>
      <c r="D1333" s="67" t="s">
        <v>753</v>
      </c>
      <c r="G1333" s="17">
        <f t="shared" si="478"/>
        <v>15</v>
      </c>
      <c r="H1333" s="67" t="s">
        <v>812</v>
      </c>
      <c r="J1333" s="476">
        <f t="shared" si="483" ref="J1333:Q1333">J1226/$U1226</f>
        <v>0.48109026499781077</v>
      </c>
      <c r="K1333" s="476">
        <f t="shared" si="483"/>
        <v>0.0239299929534076</v>
      </c>
      <c r="L1333" s="476">
        <f t="shared" si="483"/>
        <v>0.37470736868651638</v>
      </c>
      <c r="M1333" s="476">
        <f t="shared" si="483"/>
        <v>0.00030859607889217541</v>
      </c>
      <c r="N1333" s="476">
        <f t="shared" si="483"/>
        <v>0.068236223611409422</v>
      </c>
      <c r="O1333" s="476">
        <f t="shared" si="483"/>
        <v>0.0079056057791049242</v>
      </c>
      <c r="P1333" s="476">
        <f t="shared" si="483"/>
        <v>0.02870259890603476</v>
      </c>
      <c r="Q1333" s="476">
        <f t="shared" si="483"/>
        <v>0.015119348986824027</v>
      </c>
      <c r="R1333" s="18"/>
      <c r="S1333" s="18"/>
      <c r="T1333" s="129"/>
      <c r="U1333" s="476">
        <f>ROUND(SUM(I1333:T1333),6)</f>
        <v>1</v>
      </c>
    </row>
    <row r="1334" spans="1:21" ht="14.25">
      <c r="A1334" s="386"/>
      <c r="B1334" s="17">
        <f t="shared" si="477"/>
        <v>16</v>
      </c>
      <c r="D1334" s="67"/>
      <c r="G1334" s="17">
        <f t="shared" si="478"/>
        <v>16</v>
      </c>
      <c r="H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129"/>
      <c r="U1334" s="476"/>
    </row>
    <row r="1335" spans="1:21" ht="14.25">
      <c r="A1335" s="386"/>
      <c r="B1335" s="17">
        <f t="shared" si="477"/>
        <v>17</v>
      </c>
      <c r="D1335" s="664" t="s">
        <v>1044</v>
      </c>
      <c r="G1335" s="17">
        <f t="shared" si="478"/>
        <v>17</v>
      </c>
      <c r="H1335" s="664" t="s">
        <v>1043</v>
      </c>
      <c r="J1335" s="938">
        <v>0.49691124615358206</v>
      </c>
      <c r="K1335" s="938">
        <v>0.024174681321812327</v>
      </c>
      <c r="L1335" s="938">
        <v>0.37078906200497913</v>
      </c>
      <c r="M1335" s="938">
        <v>0.00031546971053398888</v>
      </c>
      <c r="N1335" s="938">
        <v>0.055008246673470013</v>
      </c>
      <c r="O1335" s="938">
        <v>0.0073386300103727205</v>
      </c>
      <c r="P1335" s="938">
        <v>0.027449423458469385</v>
      </c>
      <c r="Q1335" s="938">
        <v>0.016386509086414255</v>
      </c>
      <c r="R1335" s="938">
        <v>0.00029838392078932439</v>
      </c>
      <c r="S1335" s="938">
        <v>0.0013283476595765593</v>
      </c>
      <c r="T1335" s="129"/>
      <c r="U1335" s="476"/>
    </row>
    <row r="1336" spans="1:21" ht="14.25">
      <c r="A1336" s="386"/>
      <c r="B1336" s="17">
        <f t="shared" si="477"/>
        <v>18</v>
      </c>
      <c r="D1336" s="47"/>
      <c r="G1336" s="17">
        <f t="shared" si="478"/>
        <v>18</v>
      </c>
      <c r="H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129"/>
      <c r="U1336" s="476"/>
    </row>
    <row r="1337" spans="1:21" ht="14.25">
      <c r="A1337" s="386"/>
      <c r="B1337" s="17">
        <f t="shared" si="477"/>
        <v>19</v>
      </c>
      <c r="D1337" s="664" t="s">
        <v>1035</v>
      </c>
      <c r="G1337" s="17">
        <f t="shared" si="478"/>
        <v>19</v>
      </c>
      <c r="H1337" s="67" t="s">
        <v>813</v>
      </c>
      <c r="J1337" s="476">
        <f t="shared" si="484" ref="J1337:S1337">J1230/$U1230</f>
        <v>0.4015854676897242</v>
      </c>
      <c r="K1337" s="476">
        <f t="shared" si="484"/>
        <v>0.014345409859712227</v>
      </c>
      <c r="L1337" s="476">
        <f t="shared" si="484"/>
        <v>0.42045589729457095</v>
      </c>
      <c r="M1337" s="476">
        <f t="shared" si="484"/>
        <v>7.2571893342173099E-06</v>
      </c>
      <c r="N1337" s="476">
        <f t="shared" si="484"/>
        <v>0.06760618636238655</v>
      </c>
      <c r="O1337" s="476">
        <f t="shared" si="484"/>
        <v>0.010637379041264447</v>
      </c>
      <c r="P1337" s="476">
        <f t="shared" si="484"/>
        <v>0.07968136526971635</v>
      </c>
      <c r="Q1337" s="476">
        <f t="shared" si="484"/>
        <v>0.0036605804457023349</v>
      </c>
      <c r="R1337" s="476">
        <f t="shared" si="484"/>
        <v>0.00081165646718124509</v>
      </c>
      <c r="S1337" s="476">
        <f t="shared" si="484"/>
        <v>0.0012088003804071755</v>
      </c>
      <c r="T1337" s="129"/>
      <c r="U1337" s="476">
        <f>ROUND(SUM(I1337:T1337),6)</f>
        <v>1</v>
      </c>
    </row>
    <row r="1338" spans="1:21" ht="14.25">
      <c r="A1338" s="386"/>
      <c r="B1338" s="17">
        <f t="shared" si="477"/>
        <v>20</v>
      </c>
      <c r="D1338" s="67"/>
      <c r="G1338" s="17">
        <f t="shared" si="478"/>
        <v>20</v>
      </c>
      <c r="H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129"/>
      <c r="U1338" s="476"/>
    </row>
    <row r="1339" spans="1:21" ht="14.25">
      <c r="A1339" s="386"/>
      <c r="B1339" s="17">
        <f t="shared" si="477"/>
        <v>21</v>
      </c>
      <c r="D1339" s="67"/>
      <c r="G1339" s="17">
        <f t="shared" si="478"/>
        <v>21</v>
      </c>
      <c r="H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129"/>
      <c r="U1339" s="476"/>
    </row>
    <row r="1340" spans="1:21" ht="14.25">
      <c r="A1340" s="386"/>
      <c r="B1340" s="17">
        <f t="shared" si="477"/>
        <v>22</v>
      </c>
      <c r="D1340" s="47"/>
      <c r="G1340" s="17">
        <f t="shared" si="478"/>
        <v>22</v>
      </c>
      <c r="H1340" s="67"/>
      <c r="J1340" s="67"/>
      <c r="K1340" s="67"/>
      <c r="L1340" s="67"/>
      <c r="M1340" s="67"/>
      <c r="N1340" s="67"/>
      <c r="O1340" s="67"/>
      <c r="P1340" s="67"/>
      <c r="Q1340" s="67"/>
      <c r="R1340" s="47"/>
      <c r="S1340" s="47"/>
      <c r="T1340" s="129"/>
      <c r="U1340" s="476"/>
    </row>
    <row r="1341" spans="1:21" ht="14.25">
      <c r="A1341" s="386"/>
      <c r="B1341" s="17">
        <f t="shared" si="477"/>
        <v>23</v>
      </c>
      <c r="D1341" s="67" t="s">
        <v>755</v>
      </c>
      <c r="G1341" s="17">
        <f t="shared" si="478"/>
        <v>23</v>
      </c>
      <c r="H1341" s="67" t="s">
        <v>814</v>
      </c>
      <c r="J1341" s="476">
        <f t="shared" si="485" ref="J1341:Q1341">J1234/$U1234</f>
        <v>0.45880672250755639</v>
      </c>
      <c r="K1341" s="476">
        <f t="shared" si="485"/>
        <v>0.012824408342322071</v>
      </c>
      <c r="L1341" s="476">
        <f t="shared" si="485"/>
        <v>0.33353592656394998</v>
      </c>
      <c r="M1341" s="476">
        <f t="shared" si="485"/>
        <v>0.00013264333757564555</v>
      </c>
      <c r="N1341" s="476">
        <f t="shared" si="485"/>
        <v>0.08385397465701605</v>
      </c>
      <c r="O1341" s="476">
        <f t="shared" si="485"/>
        <v>0.027463663718043225</v>
      </c>
      <c r="P1341" s="476">
        <f t="shared" si="485"/>
        <v>0.083382660873536657</v>
      </c>
      <c r="Q1341" s="476">
        <f t="shared" si="485"/>
        <v>0</v>
      </c>
      <c r="R1341" s="18">
        <v>0</v>
      </c>
      <c r="S1341" s="18">
        <v>0</v>
      </c>
      <c r="T1341" s="129"/>
      <c r="U1341" s="476">
        <f>ROUND(SUM(I1341:T1341),6)</f>
        <v>1</v>
      </c>
    </row>
    <row r="1342" spans="1:21" ht="14.25">
      <c r="A1342" s="386"/>
      <c r="B1342" s="17">
        <f t="shared" si="477"/>
        <v>24</v>
      </c>
      <c r="D1342" s="67"/>
      <c r="G1342" s="17">
        <f t="shared" si="478"/>
        <v>24</v>
      </c>
      <c r="H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129"/>
      <c r="U1342" s="476"/>
    </row>
    <row r="1343" spans="1:21" ht="14.25">
      <c r="A1343" s="386"/>
      <c r="B1343" s="17">
        <f t="shared" si="477"/>
        <v>25</v>
      </c>
      <c r="D1343" s="67"/>
      <c r="G1343" s="17">
        <f t="shared" si="478"/>
        <v>25</v>
      </c>
      <c r="H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129"/>
      <c r="U1343" s="476"/>
    </row>
    <row r="1344" spans="1:21" ht="14.25">
      <c r="A1344" s="386"/>
      <c r="B1344" s="17">
        <f t="shared" si="477"/>
        <v>26</v>
      </c>
      <c r="D1344" s="67" t="s">
        <v>756</v>
      </c>
      <c r="G1344" s="17">
        <f t="shared" si="478"/>
        <v>26</v>
      </c>
      <c r="H1344" s="67" t="s">
        <v>815</v>
      </c>
      <c r="J1344" s="476">
        <f t="shared" si="486" ref="J1344:Q1344">J1237/$U1237</f>
        <v>0.47997782857437304</v>
      </c>
      <c r="K1344" s="476">
        <f t="shared" si="486"/>
        <v>0.011721162098190895</v>
      </c>
      <c r="L1344" s="476">
        <f t="shared" si="486"/>
        <v>0.30904444561746325</v>
      </c>
      <c r="M1344" s="476">
        <f t="shared" si="486"/>
        <v>0.00017471556355068578</v>
      </c>
      <c r="N1344" s="476">
        <f t="shared" si="486"/>
        <v>0.073948422628680788</v>
      </c>
      <c r="O1344" s="476">
        <f t="shared" si="486"/>
        <v>0.026742317768193871</v>
      </c>
      <c r="P1344" s="476">
        <f t="shared" si="486"/>
        <v>0.088054591529313678</v>
      </c>
      <c r="Q1344" s="476">
        <f t="shared" si="486"/>
        <v>0.0031171565628276125</v>
      </c>
      <c r="R1344" s="476">
        <f>R1237/$U1237</f>
        <v>0.0032052341614837846</v>
      </c>
      <c r="S1344" s="476">
        <f>S1237/$U1237</f>
        <v>0.004014125495922353</v>
      </c>
      <c r="T1344" s="129"/>
      <c r="U1344" s="476">
        <f t="shared" si="487" ref="U1344:U1351">ROUND(SUM(I1344:T1344),6)</f>
        <v>1</v>
      </c>
    </row>
    <row r="1345" spans="1:21" ht="14.25">
      <c r="A1345" s="386"/>
      <c r="B1345" s="17">
        <f t="shared" si="477"/>
        <v>27</v>
      </c>
      <c r="D1345" s="67"/>
      <c r="G1345" s="17">
        <f>G1344+1</f>
        <v>27</v>
      </c>
      <c r="H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129"/>
      <c r="U1345" s="476"/>
    </row>
    <row r="1346" spans="1:21" ht="14.25">
      <c r="A1346" s="386"/>
      <c r="B1346" s="17">
        <f t="shared" si="477"/>
        <v>28</v>
      </c>
      <c r="D1346" s="67" t="s">
        <v>757</v>
      </c>
      <c r="G1346" s="17">
        <f t="shared" si="478"/>
        <v>28</v>
      </c>
      <c r="H1346" s="67" t="s">
        <v>816</v>
      </c>
      <c r="J1346" s="476">
        <f t="shared" si="488" ref="J1346:O1346">J1239/$U1239</f>
        <v>0.52632298393747712</v>
      </c>
      <c r="K1346" s="476">
        <f t="shared" si="488"/>
        <v>0.012852920788150075</v>
      </c>
      <c r="L1346" s="476">
        <f t="shared" si="488"/>
        <v>0.33888480905422225</v>
      </c>
      <c r="M1346" s="476">
        <f t="shared" si="488"/>
        <v>0.00019158555098564527</v>
      </c>
      <c r="N1346" s="476">
        <f t="shared" si="488"/>
        <v>0.081088650638299467</v>
      </c>
      <c r="O1346" s="476">
        <f t="shared" si="488"/>
        <v>0.029324472188571232</v>
      </c>
      <c r="P1346" s="18">
        <v>0</v>
      </c>
      <c r="Q1346" s="476">
        <f t="shared" si="489" ref="Q1346:Q1351">Q1239/$U1239</f>
        <v>0.0034181394345249461</v>
      </c>
      <c r="R1346" s="476">
        <f>R1239/$U1239</f>
        <v>0.003514721530161434</v>
      </c>
      <c r="S1346" s="476">
        <f>S1239/$U1239</f>
        <v>0.0044017168776077937</v>
      </c>
      <c r="T1346" s="129"/>
      <c r="U1346" s="476">
        <f t="shared" si="487"/>
        <v>1</v>
      </c>
    </row>
    <row r="1347" spans="1:21" ht="14.25">
      <c r="A1347" s="386"/>
      <c r="B1347" s="17">
        <f t="shared" si="477"/>
        <v>29</v>
      </c>
      <c r="D1347" s="67"/>
      <c r="G1347" s="17">
        <f>G1346+1</f>
        <v>29</v>
      </c>
      <c r="H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129"/>
      <c r="U1347" s="476"/>
    </row>
    <row r="1348" spans="1:21" ht="14.25">
      <c r="A1348" s="386"/>
      <c r="B1348" s="17">
        <f t="shared" si="477"/>
        <v>30</v>
      </c>
      <c r="D1348" s="67" t="s">
        <v>759</v>
      </c>
      <c r="G1348" s="17">
        <f t="shared" si="478"/>
        <v>30</v>
      </c>
      <c r="H1348" s="67" t="s">
        <v>817</v>
      </c>
      <c r="J1348" s="476">
        <f>J1241/$U1241</f>
        <v>0.54419387191793744</v>
      </c>
      <c r="K1348" s="476">
        <f>K1241/$U1241</f>
        <v>0.01328933172712979</v>
      </c>
      <c r="L1348" s="476">
        <f>L1241/$U1241</f>
        <v>0.35039137944106125</v>
      </c>
      <c r="M1348" s="476">
        <f>M1241/$U1241</f>
        <v>0.00019809068951242101</v>
      </c>
      <c r="N1348" s="476">
        <f>N1241/$U1241</f>
        <v>0.083841952766970859</v>
      </c>
      <c r="O1348" s="18">
        <v>0</v>
      </c>
      <c r="P1348" s="18">
        <v>0</v>
      </c>
      <c r="Q1348" s="476">
        <f t="shared" si="489"/>
        <v>0.0035341997032196639</v>
      </c>
      <c r="R1348" s="18">
        <v>0</v>
      </c>
      <c r="S1348" s="476">
        <f>S1241/$U1241</f>
        <v>0.0045511737541685466</v>
      </c>
      <c r="T1348" s="129"/>
      <c r="U1348" s="476">
        <f t="shared" si="487"/>
        <v>1</v>
      </c>
    </row>
    <row r="1349" spans="1:21" ht="14.25">
      <c r="A1349" s="386"/>
      <c r="B1349" s="17">
        <f t="shared" si="477"/>
        <v>31</v>
      </c>
      <c r="D1349" s="67"/>
      <c r="G1349" s="17">
        <f>G1348+1</f>
        <v>31</v>
      </c>
      <c r="H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129"/>
      <c r="U1349" s="476"/>
    </row>
    <row r="1350" spans="1:21" ht="14.25">
      <c r="A1350" s="386"/>
      <c r="B1350" s="17">
        <f t="shared" si="477"/>
        <v>32</v>
      </c>
      <c r="D1350" s="67" t="s">
        <v>760</v>
      </c>
      <c r="G1350" s="17">
        <f t="shared" si="478"/>
        <v>32</v>
      </c>
      <c r="H1350" s="67" t="s">
        <v>818</v>
      </c>
      <c r="J1350" s="476">
        <f>J1243/$U1243</f>
        <v>0.59709087973943276</v>
      </c>
      <c r="K1350" s="476">
        <f>K1243/$U1243</f>
        <v>0.014581088067264459</v>
      </c>
      <c r="L1350" s="476">
        <f>L1243/$U1243</f>
        <v>0.38445029942403613</v>
      </c>
      <c r="M1350" s="18">
        <v>0</v>
      </c>
      <c r="N1350" s="18">
        <v>0</v>
      </c>
      <c r="O1350" s="18">
        <v>0</v>
      </c>
      <c r="P1350" s="18">
        <v>0</v>
      </c>
      <c r="Q1350" s="476">
        <f t="shared" si="489"/>
        <v>0.0038777327692666257</v>
      </c>
      <c r="R1350" s="18">
        <v>0</v>
      </c>
      <c r="S1350" s="18">
        <v>0</v>
      </c>
      <c r="T1350" s="129"/>
      <c r="U1350" s="476">
        <f t="shared" si="487"/>
        <v>1</v>
      </c>
    </row>
    <row r="1351" spans="1:21" ht="14.25">
      <c r="A1351" s="386"/>
      <c r="B1351" s="17">
        <f t="shared" si="477"/>
        <v>33</v>
      </c>
      <c r="D1351" s="67" t="s">
        <v>761</v>
      </c>
      <c r="G1351" s="17">
        <f t="shared" si="478"/>
        <v>33</v>
      </c>
      <c r="H1351" s="67" t="s">
        <v>819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476">
        <f t="shared" si="489"/>
        <v>1</v>
      </c>
      <c r="R1351" s="18">
        <v>0</v>
      </c>
      <c r="S1351" s="18">
        <v>0</v>
      </c>
      <c r="T1351" s="129"/>
      <c r="U1351" s="476">
        <f t="shared" si="487"/>
        <v>1</v>
      </c>
    </row>
    <row r="1352" spans="1:21" ht="14.25">
      <c r="A1352" s="386"/>
      <c r="B1352" s="17">
        <f t="shared" si="477"/>
        <v>34</v>
      </c>
      <c r="G1352" s="17">
        <f t="shared" si="478"/>
        <v>34</v>
      </c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129"/>
      <c r="U1352" s="476"/>
    </row>
    <row r="1353" spans="1:21" ht="14.25">
      <c r="A1353" s="386"/>
      <c r="B1353" s="17">
        <f t="shared" si="477"/>
        <v>35</v>
      </c>
      <c r="G1353" s="17">
        <f t="shared" si="478"/>
        <v>35</v>
      </c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129"/>
      <c r="U1353" s="476"/>
    </row>
    <row r="1354" spans="1:21" ht="14.25">
      <c r="A1354" s="386"/>
      <c r="B1354" s="17">
        <f t="shared" si="477"/>
        <v>36</v>
      </c>
      <c r="D1354" s="47" t="s">
        <v>940</v>
      </c>
      <c r="G1354" s="17">
        <f t="shared" si="478"/>
        <v>36</v>
      </c>
      <c r="H1354" s="67" t="s">
        <v>820</v>
      </c>
      <c r="J1354" s="476">
        <f t="shared" si="490" ref="J1354:Q1354">J1247/$U1247</f>
        <v>0.5399577357903671</v>
      </c>
      <c r="K1354" s="476">
        <f t="shared" si="490"/>
        <v>0.076471211651926829</v>
      </c>
      <c r="L1354" s="476">
        <f t="shared" si="490"/>
        <v>0.26826724631186072</v>
      </c>
      <c r="M1354" s="476">
        <f t="shared" si="490"/>
        <v>0.0031831284515417887</v>
      </c>
      <c r="N1354" s="476">
        <f t="shared" si="490"/>
        <v>0.073474125919187588</v>
      </c>
      <c r="O1354" s="476">
        <f t="shared" si="490"/>
        <v>0.0031684377705874685</v>
      </c>
      <c r="P1354" s="476">
        <f t="shared" si="490"/>
        <v>0.0082543889318921222</v>
      </c>
      <c r="Q1354" s="476">
        <f t="shared" si="490"/>
        <v>0.026363566329641843</v>
      </c>
      <c r="R1354" s="476">
        <f>R1247/$U1247</f>
        <v>0.00025788724465840366</v>
      </c>
      <c r="S1354" s="476">
        <f>S1247/$U1247</f>
        <v>0.00060227159833622598</v>
      </c>
      <c r="T1354" s="129"/>
      <c r="U1354" s="476">
        <f>ROUND(SUM(I1354:T1354),6)</f>
        <v>1</v>
      </c>
    </row>
    <row r="1355" spans="1:21" ht="14.25">
      <c r="A1355" s="386"/>
      <c r="B1355" s="17">
        <f t="shared" si="477"/>
        <v>37</v>
      </c>
      <c r="D1355" t="s">
        <v>940</v>
      </c>
      <c r="G1355" s="17">
        <f t="shared" si="478"/>
        <v>37</v>
      </c>
      <c r="H1355" s="67" t="s">
        <v>950</v>
      </c>
      <c r="J1355" s="476">
        <f t="shared" si="491" ref="J1355:Q1355">J1248/$U1248</f>
        <v>0.5399577357903671</v>
      </c>
      <c r="K1355" s="476">
        <f t="shared" si="491"/>
        <v>0.076471211651926829</v>
      </c>
      <c r="L1355" s="476">
        <f t="shared" si="491"/>
        <v>0.26826724631186072</v>
      </c>
      <c r="M1355" s="476">
        <f t="shared" si="491"/>
        <v>0.0031831284515417887</v>
      </c>
      <c r="N1355" s="476">
        <f t="shared" si="491"/>
        <v>0.073474125919187588</v>
      </c>
      <c r="O1355" s="476">
        <f t="shared" si="491"/>
        <v>0.0031684377705874685</v>
      </c>
      <c r="P1355" s="476">
        <f t="shared" si="491"/>
        <v>0.0082543889318921222</v>
      </c>
      <c r="Q1355" s="476">
        <f t="shared" si="491"/>
        <v>0.026363566329641843</v>
      </c>
      <c r="R1355" s="476">
        <f>R1248/$U1248</f>
        <v>0.00025788724465840366</v>
      </c>
      <c r="S1355" s="476">
        <f>S1248/$U1248</f>
        <v>0.00060227159833622598</v>
      </c>
      <c r="T1355" s="129"/>
      <c r="U1355" s="476">
        <f>ROUND(SUM(I1355:T1355),6)</f>
        <v>1</v>
      </c>
    </row>
    <row r="1356" spans="1:21" ht="14.25">
      <c r="A1356" s="386"/>
      <c r="B1356" s="17">
        <f t="shared" si="477"/>
        <v>38</v>
      </c>
      <c r="D1356" s="67"/>
      <c r="G1356" s="17">
        <f t="shared" si="478"/>
        <v>38</v>
      </c>
      <c r="H1356" s="67"/>
      <c r="J1356" s="476"/>
      <c r="K1356" s="476"/>
      <c r="L1356" s="476"/>
      <c r="M1356" s="476"/>
      <c r="N1356" s="476"/>
      <c r="O1356" s="476"/>
      <c r="P1356" s="476"/>
      <c r="Q1356" s="476"/>
      <c r="R1356" s="476"/>
      <c r="S1356" s="476"/>
      <c r="T1356" s="129"/>
      <c r="U1356" s="476"/>
    </row>
    <row r="1357" spans="1:21" ht="14.25">
      <c r="A1357" s="386"/>
      <c r="B1357" s="17">
        <f t="shared" si="477"/>
        <v>39</v>
      </c>
      <c r="D1357" s="67" t="s">
        <v>762</v>
      </c>
      <c r="G1357" s="17">
        <f t="shared" si="478"/>
        <v>39</v>
      </c>
      <c r="H1357" s="67" t="s">
        <v>821</v>
      </c>
      <c r="J1357" s="476"/>
      <c r="K1357" s="476"/>
      <c r="L1357" s="476"/>
      <c r="M1357" s="476"/>
      <c r="N1357" s="476"/>
      <c r="O1357" s="476"/>
      <c r="P1357" s="476"/>
      <c r="Q1357" s="476"/>
      <c r="R1357" s="476"/>
      <c r="S1357" s="476"/>
      <c r="T1357" s="129"/>
      <c r="U1357" s="476"/>
    </row>
    <row r="1358" spans="1:21" ht="14.25">
      <c r="A1358" s="386"/>
      <c r="B1358" s="17">
        <f t="shared" si="477"/>
        <v>40</v>
      </c>
      <c r="D1358" s="67" t="s">
        <v>957</v>
      </c>
      <c r="G1358" s="17">
        <f t="shared" si="478"/>
        <v>40</v>
      </c>
      <c r="H1358" s="67" t="s">
        <v>958</v>
      </c>
      <c r="J1358" s="476">
        <f t="shared" si="492" ref="J1358:Q1358">J1251/$U1251</f>
        <v>0</v>
      </c>
      <c r="K1358" s="476">
        <f t="shared" si="492"/>
        <v>0</v>
      </c>
      <c r="L1358" s="476">
        <f t="shared" si="492"/>
        <v>0</v>
      </c>
      <c r="M1358" s="476">
        <f t="shared" si="492"/>
        <v>0</v>
      </c>
      <c r="N1358" s="476">
        <f t="shared" si="492"/>
        <v>0</v>
      </c>
      <c r="O1358" s="476">
        <f t="shared" si="492"/>
        <v>0</v>
      </c>
      <c r="P1358" s="476">
        <f t="shared" si="492"/>
        <v>0</v>
      </c>
      <c r="Q1358" s="476">
        <f t="shared" si="492"/>
        <v>0</v>
      </c>
      <c r="R1358" s="476">
        <f t="shared" si="493" ref="R1358:S1372">R1251/$U1251</f>
        <v>0</v>
      </c>
      <c r="S1358" s="476">
        <f t="shared" si="493"/>
        <v>0</v>
      </c>
      <c r="T1358" s="129"/>
      <c r="U1358" s="476">
        <f>ROUND(SUM(I1358:T1358),6)</f>
        <v>0</v>
      </c>
    </row>
    <row r="1359" spans="1:21" ht="14.25">
      <c r="A1359" s="386"/>
      <c r="B1359" s="17">
        <f t="shared" si="477"/>
        <v>41</v>
      </c>
      <c r="D1359" s="67" t="s">
        <v>763</v>
      </c>
      <c r="G1359" s="17">
        <f t="shared" si="478"/>
        <v>41</v>
      </c>
      <c r="H1359" s="67" t="s">
        <v>822</v>
      </c>
      <c r="J1359" s="476">
        <f t="shared" si="494" ref="J1359:Q1359">J1252/$U1252</f>
        <v>0</v>
      </c>
      <c r="K1359" s="476">
        <f t="shared" si="494"/>
        <v>0</v>
      </c>
      <c r="L1359" s="476">
        <f t="shared" si="494"/>
        <v>0</v>
      </c>
      <c r="M1359" s="476">
        <f t="shared" si="494"/>
        <v>0</v>
      </c>
      <c r="N1359" s="476">
        <f t="shared" si="494"/>
        <v>0</v>
      </c>
      <c r="O1359" s="476">
        <f t="shared" si="494"/>
        <v>0</v>
      </c>
      <c r="P1359" s="476">
        <f t="shared" si="494"/>
        <v>0</v>
      </c>
      <c r="Q1359" s="476">
        <f t="shared" si="494"/>
        <v>0</v>
      </c>
      <c r="R1359" s="476">
        <f t="shared" si="493"/>
        <v>0</v>
      </c>
      <c r="S1359" s="476">
        <f t="shared" si="493"/>
        <v>0</v>
      </c>
      <c r="T1359" s="129"/>
      <c r="U1359" s="476">
        <f t="shared" si="495" ref="U1359:U1372">ROUND(SUM(I1359:T1359),6)</f>
        <v>0</v>
      </c>
    </row>
    <row r="1360" spans="1:21" ht="14.25">
      <c r="A1360" s="386"/>
      <c r="B1360" s="17">
        <f t="shared" si="477"/>
        <v>42</v>
      </c>
      <c r="D1360" s="67" t="s">
        <v>764</v>
      </c>
      <c r="G1360" s="17">
        <f t="shared" si="478"/>
        <v>42</v>
      </c>
      <c r="H1360" s="67" t="s">
        <v>823</v>
      </c>
      <c r="J1360" s="476">
        <f t="shared" si="496" ref="J1360:Q1360">J1253/$U1253</f>
        <v>0</v>
      </c>
      <c r="K1360" s="476">
        <f t="shared" si="496"/>
        <v>0</v>
      </c>
      <c r="L1360" s="476">
        <f t="shared" si="496"/>
        <v>0</v>
      </c>
      <c r="M1360" s="476">
        <f t="shared" si="496"/>
        <v>0</v>
      </c>
      <c r="N1360" s="476">
        <f t="shared" si="496"/>
        <v>0</v>
      </c>
      <c r="O1360" s="476">
        <f t="shared" si="496"/>
        <v>0</v>
      </c>
      <c r="P1360" s="476">
        <f t="shared" si="496"/>
        <v>0</v>
      </c>
      <c r="Q1360" s="476">
        <f t="shared" si="496"/>
        <v>0</v>
      </c>
      <c r="R1360" s="476">
        <f t="shared" si="493"/>
        <v>0</v>
      </c>
      <c r="S1360" s="476">
        <f t="shared" si="493"/>
        <v>0</v>
      </c>
      <c r="T1360" s="129"/>
      <c r="U1360" s="476">
        <f t="shared" si="495"/>
        <v>0</v>
      </c>
    </row>
    <row r="1361" spans="1:21" ht="14.25">
      <c r="A1361" s="386"/>
      <c r="B1361" s="17">
        <f t="shared" si="477"/>
        <v>43</v>
      </c>
      <c r="D1361" s="67" t="s">
        <v>765</v>
      </c>
      <c r="G1361" s="17">
        <f t="shared" si="478"/>
        <v>43</v>
      </c>
      <c r="H1361" s="67" t="s">
        <v>824</v>
      </c>
      <c r="J1361" s="476">
        <f t="shared" si="497" ref="J1361:Q1361">J1254/$U1254</f>
        <v>0</v>
      </c>
      <c r="K1361" s="476">
        <f t="shared" si="497"/>
        <v>0</v>
      </c>
      <c r="L1361" s="476">
        <f t="shared" si="497"/>
        <v>0</v>
      </c>
      <c r="M1361" s="476">
        <f t="shared" si="497"/>
        <v>0</v>
      </c>
      <c r="N1361" s="476">
        <f t="shared" si="497"/>
        <v>0</v>
      </c>
      <c r="O1361" s="476">
        <f t="shared" si="497"/>
        <v>0</v>
      </c>
      <c r="P1361" s="476">
        <f t="shared" si="497"/>
        <v>0</v>
      </c>
      <c r="Q1361" s="476">
        <f t="shared" si="497"/>
        <v>0</v>
      </c>
      <c r="R1361" s="476">
        <f t="shared" si="493"/>
        <v>0</v>
      </c>
      <c r="S1361" s="476">
        <f t="shared" si="493"/>
        <v>0</v>
      </c>
      <c r="T1361" s="129"/>
      <c r="U1361" s="476">
        <f t="shared" si="495"/>
        <v>0</v>
      </c>
    </row>
    <row r="1362" spans="1:21" ht="14.25">
      <c r="A1362" s="386"/>
      <c r="B1362" s="17">
        <f t="shared" si="477"/>
        <v>44</v>
      </c>
      <c r="D1362" s="67" t="s">
        <v>766</v>
      </c>
      <c r="G1362" s="17">
        <f t="shared" si="478"/>
        <v>44</v>
      </c>
      <c r="H1362" s="67" t="s">
        <v>825</v>
      </c>
      <c r="J1362" s="476">
        <f t="shared" si="498" ref="J1362:Q1362">J1255/$U1255</f>
        <v>0</v>
      </c>
      <c r="K1362" s="476">
        <f t="shared" si="498"/>
        <v>0</v>
      </c>
      <c r="L1362" s="476">
        <f t="shared" si="498"/>
        <v>0</v>
      </c>
      <c r="M1362" s="476">
        <f t="shared" si="498"/>
        <v>0</v>
      </c>
      <c r="N1362" s="476">
        <f t="shared" si="498"/>
        <v>0</v>
      </c>
      <c r="O1362" s="476">
        <f t="shared" si="498"/>
        <v>0</v>
      </c>
      <c r="P1362" s="476">
        <f t="shared" si="498"/>
        <v>0</v>
      </c>
      <c r="Q1362" s="476">
        <f t="shared" si="498"/>
        <v>0</v>
      </c>
      <c r="R1362" s="476">
        <f t="shared" si="493"/>
        <v>0</v>
      </c>
      <c r="S1362" s="476">
        <f t="shared" si="493"/>
        <v>0</v>
      </c>
      <c r="T1362" s="129"/>
      <c r="U1362" s="476">
        <f t="shared" si="495"/>
        <v>0</v>
      </c>
    </row>
    <row r="1363" spans="1:21" ht="14.25">
      <c r="A1363" s="386"/>
      <c r="B1363" s="17">
        <f t="shared" si="477"/>
        <v>45</v>
      </c>
      <c r="D1363" s="67" t="s">
        <v>767</v>
      </c>
      <c r="G1363" s="17">
        <f t="shared" si="478"/>
        <v>45</v>
      </c>
      <c r="H1363" s="67" t="s">
        <v>826</v>
      </c>
      <c r="J1363" s="476">
        <f t="shared" si="499" ref="J1363:Q1363">J1256/$U1256</f>
        <v>0</v>
      </c>
      <c r="K1363" s="476">
        <f t="shared" si="499"/>
        <v>0</v>
      </c>
      <c r="L1363" s="476">
        <f t="shared" si="499"/>
        <v>0</v>
      </c>
      <c r="M1363" s="476">
        <f t="shared" si="499"/>
        <v>0</v>
      </c>
      <c r="N1363" s="476">
        <f t="shared" si="499"/>
        <v>0</v>
      </c>
      <c r="O1363" s="476">
        <f t="shared" si="499"/>
        <v>0</v>
      </c>
      <c r="P1363" s="476">
        <f t="shared" si="499"/>
        <v>0</v>
      </c>
      <c r="Q1363" s="476">
        <f t="shared" si="499"/>
        <v>0</v>
      </c>
      <c r="R1363" s="476">
        <f t="shared" si="493"/>
        <v>0</v>
      </c>
      <c r="S1363" s="476">
        <f t="shared" si="493"/>
        <v>0</v>
      </c>
      <c r="T1363" s="129"/>
      <c r="U1363" s="476">
        <f t="shared" si="495"/>
        <v>0</v>
      </c>
    </row>
    <row r="1364" spans="1:21" ht="14.25">
      <c r="A1364" s="386"/>
      <c r="B1364" s="17">
        <f t="shared" si="477"/>
        <v>46</v>
      </c>
      <c r="D1364" s="67" t="s">
        <v>768</v>
      </c>
      <c r="G1364" s="17">
        <f t="shared" si="478"/>
        <v>46</v>
      </c>
      <c r="H1364" s="67" t="s">
        <v>827</v>
      </c>
      <c r="J1364" s="476">
        <f t="shared" si="500" ref="J1364:Q1364">J1257/$U1257</f>
        <v>0</v>
      </c>
      <c r="K1364" s="476">
        <f t="shared" si="500"/>
        <v>0</v>
      </c>
      <c r="L1364" s="476">
        <f t="shared" si="500"/>
        <v>0</v>
      </c>
      <c r="M1364" s="476">
        <f t="shared" si="500"/>
        <v>0</v>
      </c>
      <c r="N1364" s="476">
        <f t="shared" si="500"/>
        <v>0</v>
      </c>
      <c r="O1364" s="476">
        <f t="shared" si="500"/>
        <v>0</v>
      </c>
      <c r="P1364" s="476">
        <f t="shared" si="500"/>
        <v>0</v>
      </c>
      <c r="Q1364" s="476">
        <f t="shared" si="500"/>
        <v>0</v>
      </c>
      <c r="R1364" s="476">
        <f t="shared" si="493"/>
        <v>0</v>
      </c>
      <c r="S1364" s="476">
        <f t="shared" si="493"/>
        <v>0</v>
      </c>
      <c r="T1364" s="129"/>
      <c r="U1364" s="476">
        <f t="shared" si="495"/>
        <v>0</v>
      </c>
    </row>
    <row r="1365" spans="1:21" ht="14.25">
      <c r="A1365" s="386"/>
      <c r="B1365" s="17">
        <f t="shared" si="477"/>
        <v>47</v>
      </c>
      <c r="D1365" s="67" t="s">
        <v>769</v>
      </c>
      <c r="G1365" s="17">
        <f t="shared" si="478"/>
        <v>47</v>
      </c>
      <c r="H1365" s="67" t="s">
        <v>828</v>
      </c>
      <c r="J1365" s="476">
        <f t="shared" si="501" ref="J1365:Q1365">J1258/$U1258</f>
        <v>0</v>
      </c>
      <c r="K1365" s="476">
        <f t="shared" si="501"/>
        <v>0</v>
      </c>
      <c r="L1365" s="476">
        <f t="shared" si="501"/>
        <v>0</v>
      </c>
      <c r="M1365" s="476">
        <f t="shared" si="501"/>
        <v>0</v>
      </c>
      <c r="N1365" s="476">
        <f t="shared" si="501"/>
        <v>0</v>
      </c>
      <c r="O1365" s="476">
        <f t="shared" si="501"/>
        <v>0</v>
      </c>
      <c r="P1365" s="476">
        <f t="shared" si="501"/>
        <v>0</v>
      </c>
      <c r="Q1365" s="476">
        <f t="shared" si="501"/>
        <v>0</v>
      </c>
      <c r="R1365" s="476">
        <f t="shared" si="493"/>
        <v>0</v>
      </c>
      <c r="S1365" s="476">
        <f t="shared" si="493"/>
        <v>0</v>
      </c>
      <c r="T1365" s="129"/>
      <c r="U1365" s="476">
        <f t="shared" si="495"/>
        <v>0</v>
      </c>
    </row>
    <row r="1366" spans="1:21" ht="14.25">
      <c r="A1366" s="386"/>
      <c r="B1366" s="17">
        <f t="shared" si="477"/>
        <v>48</v>
      </c>
      <c r="D1366" s="67" t="s">
        <v>770</v>
      </c>
      <c r="G1366" s="17">
        <f t="shared" si="478"/>
        <v>48</v>
      </c>
      <c r="H1366" s="67" t="s">
        <v>829</v>
      </c>
      <c r="J1366" s="476">
        <f t="shared" si="502" ref="J1366:Q1366">J1259/$U1259</f>
        <v>0</v>
      </c>
      <c r="K1366" s="476">
        <f t="shared" si="502"/>
        <v>0</v>
      </c>
      <c r="L1366" s="476">
        <f t="shared" si="502"/>
        <v>0</v>
      </c>
      <c r="M1366" s="476">
        <f t="shared" si="502"/>
        <v>0</v>
      </c>
      <c r="N1366" s="476">
        <f t="shared" si="502"/>
        <v>0</v>
      </c>
      <c r="O1366" s="476">
        <f t="shared" si="502"/>
        <v>0</v>
      </c>
      <c r="P1366" s="476">
        <f t="shared" si="502"/>
        <v>0</v>
      </c>
      <c r="Q1366" s="476">
        <f t="shared" si="502"/>
        <v>0</v>
      </c>
      <c r="R1366" s="476">
        <f t="shared" si="493"/>
        <v>0</v>
      </c>
      <c r="S1366" s="476">
        <f t="shared" si="493"/>
        <v>0</v>
      </c>
      <c r="T1366" s="129"/>
      <c r="U1366" s="476">
        <f t="shared" si="495"/>
        <v>0</v>
      </c>
    </row>
    <row r="1367" spans="1:21" ht="14.25">
      <c r="A1367" s="386"/>
      <c r="B1367" s="17">
        <f t="shared" si="477"/>
        <v>49</v>
      </c>
      <c r="D1367" s="67" t="s">
        <v>771</v>
      </c>
      <c r="G1367" s="17">
        <f t="shared" si="478"/>
        <v>49</v>
      </c>
      <c r="H1367" s="67" t="s">
        <v>830</v>
      </c>
      <c r="J1367" s="476">
        <f t="shared" si="503" ref="J1367:Q1367">J1260/$U1260</f>
        <v>0</v>
      </c>
      <c r="K1367" s="476">
        <f t="shared" si="503"/>
        <v>0</v>
      </c>
      <c r="L1367" s="476">
        <f t="shared" si="503"/>
        <v>0</v>
      </c>
      <c r="M1367" s="476">
        <f t="shared" si="503"/>
        <v>0</v>
      </c>
      <c r="N1367" s="476">
        <f t="shared" si="503"/>
        <v>0</v>
      </c>
      <c r="O1367" s="476">
        <f t="shared" si="503"/>
        <v>0</v>
      </c>
      <c r="P1367" s="476">
        <f t="shared" si="503"/>
        <v>0</v>
      </c>
      <c r="Q1367" s="476">
        <f t="shared" si="503"/>
        <v>0</v>
      </c>
      <c r="R1367" s="476">
        <f t="shared" si="493"/>
        <v>0</v>
      </c>
      <c r="S1367" s="476">
        <f t="shared" si="493"/>
        <v>0</v>
      </c>
      <c r="T1367" s="129"/>
      <c r="U1367" s="476">
        <f t="shared" si="495"/>
        <v>0</v>
      </c>
    </row>
    <row r="1368" spans="1:21" ht="14.25">
      <c r="A1368" s="386"/>
      <c r="B1368" s="17">
        <f t="shared" si="477"/>
        <v>50</v>
      </c>
      <c r="D1368" s="67" t="s">
        <v>772</v>
      </c>
      <c r="G1368" s="17">
        <f t="shared" si="478"/>
        <v>50</v>
      </c>
      <c r="H1368" s="67" t="s">
        <v>831</v>
      </c>
      <c r="J1368" s="476">
        <f t="shared" si="504" ref="J1368:Q1368">J1261/$U1261</f>
        <v>0</v>
      </c>
      <c r="K1368" s="476">
        <f t="shared" si="504"/>
        <v>0</v>
      </c>
      <c r="L1368" s="476">
        <f t="shared" si="504"/>
        <v>0</v>
      </c>
      <c r="M1368" s="476">
        <f t="shared" si="504"/>
        <v>0</v>
      </c>
      <c r="N1368" s="476">
        <f t="shared" si="504"/>
        <v>0</v>
      </c>
      <c r="O1368" s="476">
        <f t="shared" si="504"/>
        <v>0</v>
      </c>
      <c r="P1368" s="476">
        <f t="shared" si="504"/>
        <v>0</v>
      </c>
      <c r="Q1368" s="476">
        <f t="shared" si="504"/>
        <v>0</v>
      </c>
      <c r="R1368" s="476">
        <f t="shared" si="493"/>
        <v>0</v>
      </c>
      <c r="S1368" s="476">
        <f t="shared" si="493"/>
        <v>0</v>
      </c>
      <c r="T1368" s="129"/>
      <c r="U1368" s="476">
        <f t="shared" si="495"/>
        <v>0</v>
      </c>
    </row>
    <row r="1369" spans="1:21" ht="14.25">
      <c r="A1369" s="386"/>
      <c r="B1369" s="17">
        <f t="shared" si="477"/>
        <v>51</v>
      </c>
      <c r="D1369" s="67" t="s">
        <v>773</v>
      </c>
      <c r="G1369" s="17">
        <f t="shared" si="478"/>
        <v>51</v>
      </c>
      <c r="H1369" s="47" t="s">
        <v>832</v>
      </c>
      <c r="J1369" s="476">
        <f t="shared" si="505" ref="J1369:Q1369">J1262/$U1262</f>
        <v>0</v>
      </c>
      <c r="K1369" s="476">
        <f t="shared" si="505"/>
        <v>0</v>
      </c>
      <c r="L1369" s="476">
        <f t="shared" si="505"/>
        <v>0</v>
      </c>
      <c r="M1369" s="476">
        <f t="shared" si="505"/>
        <v>0</v>
      </c>
      <c r="N1369" s="476">
        <f t="shared" si="505"/>
        <v>0</v>
      </c>
      <c r="O1369" s="476">
        <f t="shared" si="505"/>
        <v>0</v>
      </c>
      <c r="P1369" s="476">
        <f t="shared" si="505"/>
        <v>0</v>
      </c>
      <c r="Q1369" s="476">
        <f t="shared" si="505"/>
        <v>0</v>
      </c>
      <c r="R1369" s="476">
        <f t="shared" si="493"/>
        <v>0</v>
      </c>
      <c r="S1369" s="476">
        <f t="shared" si="493"/>
        <v>0</v>
      </c>
      <c r="T1369" s="129"/>
      <c r="U1369" s="476">
        <f t="shared" si="495"/>
        <v>0</v>
      </c>
    </row>
    <row r="1370" spans="1:21" ht="14.25">
      <c r="A1370" s="386"/>
      <c r="B1370" s="17">
        <f t="shared" si="477"/>
        <v>52</v>
      </c>
      <c r="D1370" s="67" t="s">
        <v>774</v>
      </c>
      <c r="G1370" s="17">
        <f t="shared" si="478"/>
        <v>52</v>
      </c>
      <c r="H1370" s="67" t="s">
        <v>833</v>
      </c>
      <c r="J1370" s="476">
        <v>0.52464173690836247</v>
      </c>
      <c r="K1370" s="476">
        <v>0.013857442603152961</v>
      </c>
      <c r="L1370" s="476">
        <v>0.4004461799061555</v>
      </c>
      <c r="M1370" s="476">
        <v>0.0001298417903518709</v>
      </c>
      <c r="N1370" s="476">
        <v>0.052983727961559</v>
      </c>
      <c r="O1370" s="476">
        <v>0</v>
      </c>
      <c r="P1370" s="476">
        <v>0</v>
      </c>
      <c r="Q1370" s="476">
        <v>0.0046083916349370247</v>
      </c>
      <c r="R1370" s="476">
        <v>0</v>
      </c>
      <c r="S1370" s="476">
        <v>0.003332679195481034</v>
      </c>
      <c r="T1370" s="129"/>
      <c r="U1370" s="476">
        <v>1</v>
      </c>
    </row>
    <row r="1371" spans="1:21" ht="14.25">
      <c r="A1371" s="386"/>
      <c r="B1371" s="17">
        <f t="shared" si="477"/>
        <v>53</v>
      </c>
      <c r="D1371" s="67" t="s">
        <v>775</v>
      </c>
      <c r="G1371" s="17">
        <f t="shared" si="478"/>
        <v>53</v>
      </c>
      <c r="H1371" s="67" t="s">
        <v>834</v>
      </c>
      <c r="J1371" s="476">
        <v>0.52832718671436096</v>
      </c>
      <c r="K1371" s="476">
        <v>0.013956583687068149</v>
      </c>
      <c r="L1371" s="476">
        <v>0.40325540477523886</v>
      </c>
      <c r="M1371" s="476">
        <v>0.00011459974733610209</v>
      </c>
      <c r="N1371" s="476">
        <v>0.046764002721038707</v>
      </c>
      <c r="O1371" s="476">
        <v>0</v>
      </c>
      <c r="P1371" s="476">
        <v>0</v>
      </c>
      <c r="Q1371" s="476">
        <v>0.0046407641948424325</v>
      </c>
      <c r="R1371" s="476">
        <v>0</v>
      </c>
      <c r="S1371" s="476">
        <v>0.0029414581601146829</v>
      </c>
      <c r="T1371" s="129"/>
      <c r="U1371" s="476">
        <f t="shared" si="495"/>
        <v>1</v>
      </c>
    </row>
    <row r="1372" spans="1:21" ht="14.25">
      <c r="A1372" s="386"/>
      <c r="B1372" s="17">
        <f t="shared" si="477"/>
        <v>54</v>
      </c>
      <c r="D1372" s="67" t="s">
        <v>776</v>
      </c>
      <c r="G1372" s="17">
        <f t="shared" si="478"/>
        <v>54</v>
      </c>
      <c r="H1372" s="67" t="s">
        <v>835</v>
      </c>
      <c r="J1372" s="476">
        <f t="shared" si="506" ref="J1372:Q1372">J1265/$U1265</f>
        <v>0</v>
      </c>
      <c r="K1372" s="476">
        <f t="shared" si="506"/>
        <v>0</v>
      </c>
      <c r="L1372" s="476">
        <f t="shared" si="506"/>
        <v>0</v>
      </c>
      <c r="M1372" s="476">
        <f t="shared" si="506"/>
        <v>0</v>
      </c>
      <c r="N1372" s="476">
        <f t="shared" si="506"/>
        <v>0</v>
      </c>
      <c r="O1372" s="476">
        <f t="shared" si="506"/>
        <v>0</v>
      </c>
      <c r="P1372" s="476">
        <f t="shared" si="506"/>
        <v>0</v>
      </c>
      <c r="Q1372" s="476">
        <f t="shared" si="506"/>
        <v>0</v>
      </c>
      <c r="R1372" s="476">
        <f t="shared" si="493"/>
        <v>0</v>
      </c>
      <c r="S1372" s="476">
        <f t="shared" si="493"/>
        <v>0</v>
      </c>
      <c r="T1372" s="129"/>
      <c r="U1372" s="476">
        <f t="shared" si="495"/>
        <v>0</v>
      </c>
    </row>
    <row r="1373" spans="1:21" ht="14.25">
      <c r="A1373" s="386"/>
      <c r="B1373" s="17">
        <f t="shared" si="477"/>
        <v>55</v>
      </c>
      <c r="D1373" s="67"/>
      <c r="G1373" s="17">
        <f>G1372+1</f>
        <v>55</v>
      </c>
      <c r="H1373" s="67"/>
      <c r="J1373" s="480"/>
      <c r="K1373" s="480"/>
      <c r="L1373" s="480"/>
      <c r="M1373" s="480"/>
      <c r="N1373" s="480"/>
      <c r="O1373" s="480"/>
      <c r="P1373" s="480"/>
      <c r="Q1373" s="480"/>
      <c r="R1373" s="480"/>
      <c r="S1373" s="480"/>
      <c r="T1373" s="129"/>
      <c r="U1373" s="476"/>
    </row>
    <row r="1374" spans="1:21" ht="14.25">
      <c r="A1374" s="386"/>
      <c r="B1374" s="17">
        <f t="shared" si="477"/>
        <v>56</v>
      </c>
      <c r="D1374" s="67" t="s">
        <v>432</v>
      </c>
      <c r="G1374" s="17">
        <f>G1373+1</f>
        <v>56</v>
      </c>
      <c r="H1374" s="67" t="s">
        <v>433</v>
      </c>
      <c r="J1374" s="476">
        <f t="shared" si="507" ref="J1374:Q1374">J1267/$U1267</f>
        <v>0</v>
      </c>
      <c r="K1374" s="476">
        <f t="shared" si="507"/>
        <v>0</v>
      </c>
      <c r="L1374" s="476">
        <f t="shared" si="507"/>
        <v>0</v>
      </c>
      <c r="M1374" s="476">
        <f t="shared" si="507"/>
        <v>0</v>
      </c>
      <c r="N1374" s="476">
        <f t="shared" si="507"/>
        <v>0</v>
      </c>
      <c r="O1374" s="476">
        <f t="shared" si="507"/>
        <v>0</v>
      </c>
      <c r="P1374" s="476">
        <f t="shared" si="507"/>
        <v>0</v>
      </c>
      <c r="Q1374" s="476">
        <f t="shared" si="507"/>
        <v>0</v>
      </c>
      <c r="R1374" s="476">
        <f t="shared" si="508" ref="R1374:S1387">R1267/$U1267</f>
        <v>0</v>
      </c>
      <c r="S1374" s="476">
        <f t="shared" si="508"/>
        <v>0</v>
      </c>
      <c r="T1374" s="129"/>
      <c r="U1374" s="476">
        <f>ROUND(SUM(I1374:T1374),6)</f>
        <v>0</v>
      </c>
    </row>
    <row r="1375" spans="1:21" ht="14.25">
      <c r="A1375" s="386"/>
      <c r="B1375" s="17">
        <f t="shared" si="477"/>
        <v>57</v>
      </c>
      <c r="D1375" s="67" t="s">
        <v>945</v>
      </c>
      <c r="G1375" s="17">
        <f t="shared" si="478"/>
        <v>57</v>
      </c>
      <c r="H1375" t="s">
        <v>946</v>
      </c>
      <c r="J1375" s="476">
        <f t="shared" si="509" ref="J1375:Q1375">J1268/$U1268</f>
        <v>0</v>
      </c>
      <c r="K1375" s="476">
        <f t="shared" si="509"/>
        <v>0</v>
      </c>
      <c r="L1375" s="476">
        <f t="shared" si="509"/>
        <v>0</v>
      </c>
      <c r="M1375" s="476">
        <f t="shared" si="509"/>
        <v>0</v>
      </c>
      <c r="N1375" s="476">
        <f t="shared" si="509"/>
        <v>0</v>
      </c>
      <c r="O1375" s="476">
        <f t="shared" si="509"/>
        <v>0</v>
      </c>
      <c r="P1375" s="476">
        <f t="shared" si="509"/>
        <v>0</v>
      </c>
      <c r="Q1375" s="476">
        <f t="shared" si="509"/>
        <v>0</v>
      </c>
      <c r="R1375" s="476">
        <f t="shared" si="508"/>
        <v>0</v>
      </c>
      <c r="S1375" s="476">
        <f t="shared" si="508"/>
        <v>0</v>
      </c>
      <c r="T1375" s="129"/>
      <c r="U1375" s="476">
        <f>ROUND(SUM(I1375:T1375),6)</f>
        <v>0</v>
      </c>
    </row>
    <row r="1376" spans="1:21" ht="14.25">
      <c r="A1376" s="386"/>
      <c r="B1376" s="17">
        <f t="shared" si="477"/>
        <v>58</v>
      </c>
      <c r="D1376" s="67" t="s">
        <v>777</v>
      </c>
      <c r="G1376" s="17">
        <f t="shared" si="478"/>
        <v>58</v>
      </c>
      <c r="H1376" s="67" t="s">
        <v>836</v>
      </c>
      <c r="J1376" s="476">
        <f t="shared" si="510" ref="J1376:Q1376">J1269/$U1269</f>
        <v>0</v>
      </c>
      <c r="K1376" s="476">
        <f t="shared" si="510"/>
        <v>0</v>
      </c>
      <c r="L1376" s="476">
        <f t="shared" si="510"/>
        <v>0</v>
      </c>
      <c r="M1376" s="476">
        <f t="shared" si="510"/>
        <v>0</v>
      </c>
      <c r="N1376" s="476">
        <f t="shared" si="510"/>
        <v>0</v>
      </c>
      <c r="O1376" s="476">
        <f t="shared" si="510"/>
        <v>0</v>
      </c>
      <c r="P1376" s="476">
        <f t="shared" si="510"/>
        <v>0</v>
      </c>
      <c r="Q1376" s="476">
        <f t="shared" si="510"/>
        <v>0</v>
      </c>
      <c r="R1376" s="476">
        <f t="shared" si="508"/>
        <v>0</v>
      </c>
      <c r="S1376" s="476">
        <f t="shared" si="508"/>
        <v>0</v>
      </c>
      <c r="T1376" s="129"/>
      <c r="U1376" s="476">
        <f t="shared" si="511" ref="U1376:U1386">ROUND(SUM(I1376:T1376),6)</f>
        <v>0</v>
      </c>
    </row>
    <row r="1377" spans="1:21" ht="14.25">
      <c r="A1377" s="386"/>
      <c r="B1377" s="17">
        <f t="shared" si="477"/>
        <v>59</v>
      </c>
      <c r="D1377" s="67" t="s">
        <v>941</v>
      </c>
      <c r="G1377" s="17">
        <f t="shared" si="478"/>
        <v>59</v>
      </c>
      <c r="H1377" s="67" t="s">
        <v>942</v>
      </c>
      <c r="J1377" s="476">
        <f t="shared" si="512" ref="J1377:Q1377">J1270/$U1270</f>
        <v>0.55716451768089303</v>
      </c>
      <c r="K1377" s="476">
        <f t="shared" si="512"/>
        <v>0.085900420069160807</v>
      </c>
      <c r="L1377" s="476">
        <f t="shared" si="512"/>
        <v>0.2649628172780033</v>
      </c>
      <c r="M1377" s="476">
        <f t="shared" si="512"/>
        <v>0.0037204802606814382</v>
      </c>
      <c r="N1377" s="476">
        <f t="shared" si="512"/>
        <v>0.077636400816879989</v>
      </c>
      <c r="O1377" s="476">
        <f t="shared" si="512"/>
        <v>0.0026530691861872215</v>
      </c>
      <c r="P1377" s="476">
        <f t="shared" si="512"/>
        <v>0.0057755275360844866</v>
      </c>
      <c r="Q1377" s="476">
        <f t="shared" si="512"/>
        <v>0.0011657869332887363</v>
      </c>
      <c r="R1377" s="476">
        <f t="shared" si="508"/>
        <v>0.00030612336763698698</v>
      </c>
      <c r="S1377" s="476">
        <f t="shared" si="508"/>
        <v>0.00071485687118398318</v>
      </c>
      <c r="T1377" s="159"/>
      <c r="U1377" s="476">
        <f t="shared" si="511"/>
        <v>1</v>
      </c>
    </row>
    <row r="1378" spans="1:21" ht="14.25">
      <c r="A1378" s="386"/>
      <c r="B1378" s="17">
        <f t="shared" si="477"/>
        <v>60</v>
      </c>
      <c r="D1378" s="67" t="s">
        <v>778</v>
      </c>
      <c r="G1378" s="17">
        <f t="shared" si="478"/>
        <v>60</v>
      </c>
      <c r="H1378" s="67" t="s">
        <v>837</v>
      </c>
      <c r="J1378" s="476">
        <f t="shared" si="513" ref="J1378:Q1378">J1271/$U1271</f>
        <v>0</v>
      </c>
      <c r="K1378" s="476">
        <f t="shared" si="513"/>
        <v>0</v>
      </c>
      <c r="L1378" s="476">
        <f t="shared" si="513"/>
        <v>0</v>
      </c>
      <c r="M1378" s="476">
        <f t="shared" si="513"/>
        <v>0</v>
      </c>
      <c r="N1378" s="476">
        <f t="shared" si="513"/>
        <v>0</v>
      </c>
      <c r="O1378" s="476">
        <f t="shared" si="513"/>
        <v>0</v>
      </c>
      <c r="P1378" s="476">
        <f t="shared" si="513"/>
        <v>0</v>
      </c>
      <c r="Q1378" s="476">
        <f t="shared" si="513"/>
        <v>0</v>
      </c>
      <c r="R1378" s="476">
        <f t="shared" si="508"/>
        <v>0</v>
      </c>
      <c r="S1378" s="476">
        <f t="shared" si="508"/>
        <v>0</v>
      </c>
      <c r="T1378" s="129"/>
      <c r="U1378" s="476">
        <f t="shared" si="511"/>
        <v>0</v>
      </c>
    </row>
    <row r="1379" spans="1:21" ht="14.25">
      <c r="A1379" s="386"/>
      <c r="B1379" s="17">
        <f t="shared" si="477"/>
        <v>61</v>
      </c>
      <c r="D1379" s="67" t="s">
        <v>779</v>
      </c>
      <c r="G1379" s="17">
        <f t="shared" si="478"/>
        <v>61</v>
      </c>
      <c r="H1379" s="67" t="s">
        <v>838</v>
      </c>
      <c r="J1379" s="476">
        <f t="shared" si="514" ref="J1379:Q1379">J1272/$U1272</f>
        <v>0</v>
      </c>
      <c r="K1379" s="476">
        <f t="shared" si="514"/>
        <v>0</v>
      </c>
      <c r="L1379" s="476">
        <f t="shared" si="514"/>
        <v>0</v>
      </c>
      <c r="M1379" s="476">
        <f t="shared" si="514"/>
        <v>0</v>
      </c>
      <c r="N1379" s="476">
        <f t="shared" si="514"/>
        <v>0</v>
      </c>
      <c r="O1379" s="476">
        <f t="shared" si="514"/>
        <v>0</v>
      </c>
      <c r="P1379" s="476">
        <f t="shared" si="514"/>
        <v>0</v>
      </c>
      <c r="Q1379" s="476">
        <f t="shared" si="514"/>
        <v>0</v>
      </c>
      <c r="R1379" s="476">
        <f t="shared" si="508"/>
        <v>0</v>
      </c>
      <c r="S1379" s="476">
        <f t="shared" si="508"/>
        <v>0</v>
      </c>
      <c r="T1379" s="129"/>
      <c r="U1379" s="476">
        <f t="shared" si="511"/>
        <v>0</v>
      </c>
    </row>
    <row r="1380" spans="1:21" ht="14.25">
      <c r="A1380" s="386"/>
      <c r="B1380" s="17">
        <f t="shared" si="477"/>
        <v>62</v>
      </c>
      <c r="D1380" s="47" t="s">
        <v>780</v>
      </c>
      <c r="G1380" s="17">
        <f t="shared" si="478"/>
        <v>62</v>
      </c>
      <c r="H1380" s="67" t="s">
        <v>839</v>
      </c>
      <c r="J1380" s="476">
        <f t="shared" si="515" ref="J1380:Q1380">J1273/$U1273</f>
        <v>0.55716451768089303</v>
      </c>
      <c r="K1380" s="476">
        <f t="shared" si="515"/>
        <v>0.085900420069160821</v>
      </c>
      <c r="L1380" s="476">
        <f t="shared" si="515"/>
        <v>0.26496281727800325</v>
      </c>
      <c r="M1380" s="476">
        <f t="shared" si="515"/>
        <v>0.0037204802606814395</v>
      </c>
      <c r="N1380" s="476">
        <f t="shared" si="515"/>
        <v>0.077636400816879989</v>
      </c>
      <c r="O1380" s="476">
        <f t="shared" si="515"/>
        <v>0.0026530691861872207</v>
      </c>
      <c r="P1380" s="476">
        <f t="shared" si="515"/>
        <v>0.0057755275360844875</v>
      </c>
      <c r="Q1380" s="476">
        <f t="shared" si="515"/>
        <v>0.0011657869332887363</v>
      </c>
      <c r="R1380" s="476">
        <f t="shared" si="508"/>
        <v>0.00030612336763698704</v>
      </c>
      <c r="S1380" s="476">
        <f t="shared" si="508"/>
        <v>0.00071485687118398328</v>
      </c>
      <c r="T1380" s="129"/>
      <c r="U1380" s="476">
        <f t="shared" si="511"/>
        <v>1</v>
      </c>
    </row>
    <row r="1381" spans="1:21" ht="14.25">
      <c r="A1381" s="386"/>
      <c r="B1381" s="17">
        <f t="shared" si="477"/>
        <v>63</v>
      </c>
      <c r="D1381" s="47" t="s">
        <v>781</v>
      </c>
      <c r="G1381" s="17">
        <f t="shared" si="478"/>
        <v>63</v>
      </c>
      <c r="H1381" s="67" t="s">
        <v>840</v>
      </c>
      <c r="J1381" s="476">
        <f t="shared" si="516" ref="J1381:Q1381">J1274/$U1274</f>
        <v>0.55716451768089303</v>
      </c>
      <c r="K1381" s="476">
        <f t="shared" si="516"/>
        <v>0.085900420069160807</v>
      </c>
      <c r="L1381" s="476">
        <f t="shared" si="516"/>
        <v>0.26496281727800325</v>
      </c>
      <c r="M1381" s="476">
        <f t="shared" si="516"/>
        <v>0.0037204802606814395</v>
      </c>
      <c r="N1381" s="476">
        <f t="shared" si="516"/>
        <v>0.077636400816880002</v>
      </c>
      <c r="O1381" s="476">
        <f t="shared" si="516"/>
        <v>0.0026530691861872211</v>
      </c>
      <c r="P1381" s="476">
        <f t="shared" si="516"/>
        <v>0.0057755275360844866</v>
      </c>
      <c r="Q1381" s="476">
        <f t="shared" si="516"/>
        <v>0.0011657869332887363</v>
      </c>
      <c r="R1381" s="476">
        <f t="shared" si="508"/>
        <v>0.00030612336763698704</v>
      </c>
      <c r="S1381" s="476">
        <f t="shared" si="508"/>
        <v>0.00071485687118398318</v>
      </c>
      <c r="T1381" s="129"/>
      <c r="U1381" s="476">
        <f t="shared" si="511"/>
        <v>1</v>
      </c>
    </row>
    <row r="1382" spans="1:21" ht="14.25">
      <c r="A1382" s="386"/>
      <c r="B1382" s="17">
        <f t="shared" si="477"/>
        <v>64</v>
      </c>
      <c r="D1382" s="67" t="s">
        <v>782</v>
      </c>
      <c r="G1382" s="17">
        <f t="shared" si="478"/>
        <v>64</v>
      </c>
      <c r="H1382" s="67" t="s">
        <v>841</v>
      </c>
      <c r="J1382" s="476">
        <f t="shared" si="517" ref="J1382:Q1382">J1275/$U1275</f>
        <v>0.55716451768089315</v>
      </c>
      <c r="K1382" s="476">
        <f t="shared" si="517"/>
        <v>0.085900420069160821</v>
      </c>
      <c r="L1382" s="476">
        <f t="shared" si="517"/>
        <v>0.2649628172780033</v>
      </c>
      <c r="M1382" s="476">
        <f t="shared" si="517"/>
        <v>0.0037204802606814395</v>
      </c>
      <c r="N1382" s="476">
        <f t="shared" si="517"/>
        <v>0.077636400816880002</v>
      </c>
      <c r="O1382" s="476">
        <f t="shared" si="517"/>
        <v>0.0026530691861872215</v>
      </c>
      <c r="P1382" s="476">
        <f t="shared" si="517"/>
        <v>0.0057755275360844875</v>
      </c>
      <c r="Q1382" s="476">
        <f t="shared" si="517"/>
        <v>0.0011657869332887365</v>
      </c>
      <c r="R1382" s="476">
        <f t="shared" si="508"/>
        <v>0.00030612336763698709</v>
      </c>
      <c r="S1382" s="476">
        <f t="shared" si="508"/>
        <v>0.00071485687118398328</v>
      </c>
      <c r="T1382" s="129"/>
      <c r="U1382" s="476">
        <f t="shared" si="511"/>
        <v>1</v>
      </c>
    </row>
    <row r="1383" spans="1:21" ht="14.25">
      <c r="A1383" s="386"/>
      <c r="B1383" s="17">
        <f t="shared" si="518" ref="B1383:B1412">B1382+1</f>
        <v>65</v>
      </c>
      <c r="D1383" s="67" t="s">
        <v>783</v>
      </c>
      <c r="G1383" s="17">
        <f t="shared" si="519" ref="G1383:G1412">G1382+1</f>
        <v>65</v>
      </c>
      <c r="H1383" s="67" t="s">
        <v>842</v>
      </c>
      <c r="J1383" s="476">
        <f t="shared" si="520" ref="J1383:Q1383">J1276/$U1276</f>
        <v>0.55716451768089303</v>
      </c>
      <c r="K1383" s="476">
        <f t="shared" si="520"/>
        <v>0.085900420069160807</v>
      </c>
      <c r="L1383" s="476">
        <f t="shared" si="520"/>
        <v>0.26496281727800325</v>
      </c>
      <c r="M1383" s="476">
        <f t="shared" si="520"/>
        <v>0.0037204802606814395</v>
      </c>
      <c r="N1383" s="476">
        <f t="shared" si="520"/>
        <v>0.077636400816880002</v>
      </c>
      <c r="O1383" s="476">
        <f t="shared" si="520"/>
        <v>0.0026530691861872211</v>
      </c>
      <c r="P1383" s="476">
        <f t="shared" si="520"/>
        <v>0.0057755275360844866</v>
      </c>
      <c r="Q1383" s="476">
        <f t="shared" si="520"/>
        <v>0.0011657869332887363</v>
      </c>
      <c r="R1383" s="476">
        <f t="shared" si="508"/>
        <v>0.00030612336763698704</v>
      </c>
      <c r="S1383" s="476">
        <f t="shared" si="508"/>
        <v>0.00071485687118398318</v>
      </c>
      <c r="T1383" s="129"/>
      <c r="U1383" s="476">
        <f t="shared" si="511"/>
        <v>1</v>
      </c>
    </row>
    <row r="1384" spans="1:21" ht="14.25">
      <c r="A1384" s="386"/>
      <c r="B1384" s="17">
        <f t="shared" si="518"/>
        <v>66</v>
      </c>
      <c r="D1384" s="67" t="s">
        <v>784</v>
      </c>
      <c r="G1384" s="17">
        <f t="shared" si="519"/>
        <v>66</v>
      </c>
      <c r="H1384" s="67" t="s">
        <v>843</v>
      </c>
      <c r="J1384" s="476">
        <f t="shared" si="521" ref="J1384:Q1384">J1277/$U1277</f>
        <v>0.55716451768089303</v>
      </c>
      <c r="K1384" s="476">
        <f t="shared" si="521"/>
        <v>0.085900420069160821</v>
      </c>
      <c r="L1384" s="476">
        <f t="shared" si="521"/>
        <v>0.2649628172780033</v>
      </c>
      <c r="M1384" s="476">
        <f t="shared" si="521"/>
        <v>0.0037204802606814391</v>
      </c>
      <c r="N1384" s="476">
        <f t="shared" si="521"/>
        <v>0.077636400816880002</v>
      </c>
      <c r="O1384" s="476">
        <f t="shared" si="521"/>
        <v>0.0026530691861872215</v>
      </c>
      <c r="P1384" s="476">
        <f t="shared" si="521"/>
        <v>0.0057755275360844884</v>
      </c>
      <c r="Q1384" s="476">
        <f t="shared" si="521"/>
        <v>0.0011657869332887365</v>
      </c>
      <c r="R1384" s="476">
        <f t="shared" si="508"/>
        <v>0.00030612336763698709</v>
      </c>
      <c r="S1384" s="476">
        <f t="shared" si="508"/>
        <v>0.00071485687118398328</v>
      </c>
      <c r="T1384" s="129"/>
      <c r="U1384" s="476">
        <f t="shared" si="511"/>
        <v>1</v>
      </c>
    </row>
    <row r="1385" spans="1:21" ht="14.25">
      <c r="A1385" s="386"/>
      <c r="B1385" s="17">
        <f t="shared" si="518"/>
        <v>67</v>
      </c>
      <c r="D1385" s="67" t="s">
        <v>785</v>
      </c>
      <c r="G1385" s="17">
        <f t="shared" si="519"/>
        <v>67</v>
      </c>
      <c r="H1385" s="67" t="s">
        <v>844</v>
      </c>
      <c r="J1385" s="476">
        <f t="shared" si="522" ref="J1385:Q1385">J1278/$U1278</f>
        <v>0</v>
      </c>
      <c r="K1385" s="476">
        <f t="shared" si="522"/>
        <v>0</v>
      </c>
      <c r="L1385" s="476">
        <f t="shared" si="522"/>
        <v>0</v>
      </c>
      <c r="M1385" s="476">
        <f t="shared" si="522"/>
        <v>0</v>
      </c>
      <c r="N1385" s="476">
        <f t="shared" si="522"/>
        <v>0</v>
      </c>
      <c r="O1385" s="476">
        <f t="shared" si="522"/>
        <v>0</v>
      </c>
      <c r="P1385" s="476">
        <f t="shared" si="522"/>
        <v>0</v>
      </c>
      <c r="Q1385" s="476">
        <f t="shared" si="522"/>
        <v>0</v>
      </c>
      <c r="R1385" s="476">
        <f t="shared" si="508"/>
        <v>0</v>
      </c>
      <c r="S1385" s="476">
        <f t="shared" si="508"/>
        <v>0</v>
      </c>
      <c r="T1385" s="129"/>
      <c r="U1385" s="476">
        <f t="shared" si="511"/>
        <v>0</v>
      </c>
    </row>
    <row r="1386" spans="1:21" ht="14.25">
      <c r="A1386" s="386"/>
      <c r="B1386" s="17">
        <f t="shared" si="518"/>
        <v>68</v>
      </c>
      <c r="D1386" s="67" t="s">
        <v>786</v>
      </c>
      <c r="G1386" s="17">
        <f t="shared" si="519"/>
        <v>68</v>
      </c>
      <c r="H1386" s="67" t="s">
        <v>845</v>
      </c>
      <c r="J1386" s="476">
        <f t="shared" si="523" ref="J1386:Q1386">J1279/$U1279</f>
        <v>0.5558640149381876</v>
      </c>
      <c r="K1386" s="476">
        <f t="shared" si="523"/>
        <v>0.085248500300962274</v>
      </c>
      <c r="L1386" s="476">
        <f t="shared" si="523"/>
        <v>0.26578472374234335</v>
      </c>
      <c r="M1386" s="476">
        <f t="shared" si="523"/>
        <v>0.0036849747417346695</v>
      </c>
      <c r="N1386" s="476">
        <f t="shared" si="523"/>
        <v>0.077446657157747734</v>
      </c>
      <c r="O1386" s="476">
        <f t="shared" si="523"/>
        <v>0.0027072242192343028</v>
      </c>
      <c r="P1386" s="476">
        <f t="shared" si="523"/>
        <v>0.0061969975275441387</v>
      </c>
      <c r="Q1386" s="476">
        <f t="shared" si="523"/>
        <v>0.002053362522241886</v>
      </c>
      <c r="R1386" s="476">
        <f t="shared" si="508"/>
        <v>0.00030482716858528053</v>
      </c>
      <c r="S1386" s="476">
        <f t="shared" si="508"/>
        <v>0.00070871768141872135</v>
      </c>
      <c r="T1386" s="129"/>
      <c r="U1386" s="476">
        <f t="shared" si="511"/>
        <v>1</v>
      </c>
    </row>
    <row r="1387" spans="1:21" ht="14.25">
      <c r="A1387" s="386"/>
      <c r="B1387" s="17">
        <f t="shared" si="518"/>
        <v>69</v>
      </c>
      <c r="D1387" s="67" t="s">
        <v>943</v>
      </c>
      <c r="G1387" s="17">
        <f t="shared" si="519"/>
        <v>69</v>
      </c>
      <c r="H1387" s="67" t="s">
        <v>944</v>
      </c>
      <c r="J1387" s="476">
        <f t="shared" si="524" ref="J1387:Q1387">J1280/$U1280</f>
        <v>0.5577339530254517</v>
      </c>
      <c r="K1387" s="476">
        <f t="shared" si="524"/>
        <v>0.08598821233472613</v>
      </c>
      <c r="L1387" s="476">
        <f t="shared" si="524"/>
        <v>0.26523361555815922</v>
      </c>
      <c r="M1387" s="476">
        <f t="shared" si="524"/>
        <v>0.0037242826797011979</v>
      </c>
      <c r="N1387" s="476">
        <f t="shared" si="524"/>
        <v>0.077715747058872325</v>
      </c>
      <c r="O1387" s="476">
        <f t="shared" si="524"/>
        <v>0.0026557806857860516</v>
      </c>
      <c r="P1387" s="476">
        <f t="shared" si="524"/>
        <v>0.0057814302621342481</v>
      </c>
      <c r="Q1387" s="476">
        <f t="shared" si="524"/>
        <v>0.0011669783951693353</v>
      </c>
      <c r="R1387" s="476">
        <f t="shared" si="508"/>
        <v>0</v>
      </c>
      <c r="S1387" s="476">
        <f t="shared" si="508"/>
        <v>0</v>
      </c>
      <c r="T1387" s="129"/>
      <c r="U1387" s="476">
        <f>ROUND(SUM(I1387:T1387),6)</f>
        <v>1</v>
      </c>
    </row>
    <row r="1388" spans="1:21" ht="14.25">
      <c r="A1388" s="386"/>
      <c r="B1388" s="17">
        <f t="shared" si="518"/>
        <v>70</v>
      </c>
      <c r="D1388" s="67"/>
      <c r="G1388" s="17">
        <f t="shared" si="519"/>
        <v>70</v>
      </c>
      <c r="H1388" s="67"/>
      <c r="J1388" s="476"/>
      <c r="K1388" s="476"/>
      <c r="L1388" s="476"/>
      <c r="M1388" s="476"/>
      <c r="N1388" s="476"/>
      <c r="O1388" s="476"/>
      <c r="P1388" s="476"/>
      <c r="Q1388" s="476"/>
      <c r="R1388" s="476"/>
      <c r="S1388" s="476"/>
      <c r="T1388" s="129"/>
      <c r="U1388" s="476"/>
    </row>
    <row r="1389" spans="1:21" ht="14.25">
      <c r="A1389" s="386"/>
      <c r="B1389" s="17">
        <f t="shared" si="518"/>
        <v>71</v>
      </c>
      <c r="D1389" s="67" t="s">
        <v>787</v>
      </c>
      <c r="G1389" s="17">
        <f t="shared" si="519"/>
        <v>71</v>
      </c>
      <c r="H1389" s="67" t="s">
        <v>846</v>
      </c>
      <c r="J1389" s="476">
        <f t="shared" si="525" ref="J1389:S1389">J1282/$U1282</f>
        <v>0</v>
      </c>
      <c r="K1389" s="476">
        <f t="shared" si="525"/>
        <v>0</v>
      </c>
      <c r="L1389" s="476">
        <f t="shared" si="525"/>
        <v>0</v>
      </c>
      <c r="M1389" s="476">
        <f t="shared" si="525"/>
        <v>0</v>
      </c>
      <c r="N1389" s="476">
        <f t="shared" si="525"/>
        <v>0</v>
      </c>
      <c r="O1389" s="476">
        <f t="shared" si="525"/>
        <v>0</v>
      </c>
      <c r="P1389" s="476">
        <f t="shared" si="525"/>
        <v>0</v>
      </c>
      <c r="Q1389" s="476">
        <v>1</v>
      </c>
      <c r="R1389" s="476">
        <f t="shared" si="525"/>
        <v>0</v>
      </c>
      <c r="S1389" s="476">
        <f t="shared" si="525"/>
        <v>0</v>
      </c>
      <c r="T1389" s="129"/>
      <c r="U1389" s="476">
        <f>ROUND(SUM(I1389:T1389),6)</f>
        <v>1</v>
      </c>
    </row>
    <row r="1390" spans="1:21" ht="14.25">
      <c r="A1390" s="386"/>
      <c r="B1390" s="17">
        <f t="shared" si="518"/>
        <v>72</v>
      </c>
      <c r="D1390" s="67" t="s">
        <v>788</v>
      </c>
      <c r="G1390" s="17">
        <f t="shared" si="519"/>
        <v>72</v>
      </c>
      <c r="H1390" s="67" t="s">
        <v>847</v>
      </c>
      <c r="J1390" s="476">
        <f t="shared" si="526" ref="J1390:Q1390">J1283/$U1283</f>
        <v>0</v>
      </c>
      <c r="K1390" s="476">
        <f t="shared" si="526"/>
        <v>0</v>
      </c>
      <c r="L1390" s="476">
        <f t="shared" si="526"/>
        <v>0</v>
      </c>
      <c r="M1390" s="476">
        <f t="shared" si="526"/>
        <v>0</v>
      </c>
      <c r="N1390" s="476">
        <f t="shared" si="526"/>
        <v>0</v>
      </c>
      <c r="O1390" s="476">
        <f t="shared" si="526"/>
        <v>0</v>
      </c>
      <c r="P1390" s="476">
        <f t="shared" si="526"/>
        <v>0</v>
      </c>
      <c r="Q1390" s="476">
        <f t="shared" si="526"/>
        <v>0</v>
      </c>
      <c r="R1390" s="476">
        <f t="shared" si="527" ref="R1390:S1395">R1283/$U1283</f>
        <v>0</v>
      </c>
      <c r="S1390" s="476">
        <f t="shared" si="527"/>
        <v>0</v>
      </c>
      <c r="T1390" s="129"/>
      <c r="U1390" s="476">
        <f t="shared" si="528" ref="U1390:U1395">ROUND(SUM(I1390:T1390),6)</f>
        <v>0</v>
      </c>
    </row>
    <row r="1391" spans="1:21" ht="14.25">
      <c r="A1391" s="386"/>
      <c r="B1391" s="17">
        <f t="shared" si="518"/>
        <v>73</v>
      </c>
      <c r="D1391" s="47" t="s">
        <v>789</v>
      </c>
      <c r="G1391" s="17">
        <f t="shared" si="519"/>
        <v>73</v>
      </c>
      <c r="H1391" s="67" t="s">
        <v>848</v>
      </c>
      <c r="J1391" s="476">
        <f t="shared" si="529" ref="J1391:Q1391">J1284/$U1284</f>
        <v>0.55750481473464386</v>
      </c>
      <c r="K1391" s="476">
        <f t="shared" si="529"/>
        <v>0.085952885111240607</v>
      </c>
      <c r="L1391" s="476">
        <f t="shared" si="529"/>
        <v>0.26512464751523462</v>
      </c>
      <c r="M1391" s="476">
        <f t="shared" si="529"/>
        <v>0.0037227526029269885</v>
      </c>
      <c r="N1391" s="476">
        <f t="shared" si="529"/>
        <v>0.077683818478312849</v>
      </c>
      <c r="O1391" s="476">
        <f t="shared" si="529"/>
        <v>0.0026546895902129731</v>
      </c>
      <c r="P1391" s="476">
        <f t="shared" si="529"/>
        <v>0.0057790550310020871</v>
      </c>
      <c r="Q1391" s="476">
        <f t="shared" si="529"/>
        <v>0.00055573311775356416</v>
      </c>
      <c r="R1391" s="476">
        <f t="shared" si="527"/>
        <v>0.00030631033733226614</v>
      </c>
      <c r="S1391" s="476">
        <f t="shared" si="527"/>
        <v>0.00071529348134022569</v>
      </c>
      <c r="T1391" s="129"/>
      <c r="U1391" s="476">
        <f t="shared" si="528"/>
        <v>1</v>
      </c>
    </row>
    <row r="1392" spans="1:21" ht="14.25">
      <c r="A1392" s="386"/>
      <c r="B1392" s="17">
        <f t="shared" si="518"/>
        <v>74</v>
      </c>
      <c r="D1392" s="67" t="s">
        <v>947</v>
      </c>
      <c r="G1392" s="17">
        <f t="shared" si="519"/>
        <v>74</v>
      </c>
      <c r="H1392" s="67" t="s">
        <v>849</v>
      </c>
      <c r="J1392" s="476">
        <f t="shared" si="530" ref="J1392:Q1392">J1285/$U1285</f>
        <v>0.85022848232001924</v>
      </c>
      <c r="K1392" s="476">
        <f t="shared" si="530"/>
        <v>0.079439096257962694</v>
      </c>
      <c r="L1392" s="476">
        <f t="shared" si="530"/>
        <v>0.053125009785389449</v>
      </c>
      <c r="M1392" s="476">
        <f t="shared" si="530"/>
        <v>0.00080918647142509724</v>
      </c>
      <c r="N1392" s="476">
        <f t="shared" si="530"/>
        <v>0.0018678351378461288</v>
      </c>
      <c r="O1392" s="476">
        <f t="shared" si="530"/>
        <v>3.3922683419949252E-05</v>
      </c>
      <c r="P1392" s="476">
        <f t="shared" si="530"/>
        <v>7.3847072368043374E-05</v>
      </c>
      <c r="Q1392" s="476">
        <f t="shared" si="530"/>
        <v>0.014406180817296603</v>
      </c>
      <c r="R1392" s="476">
        <f t="shared" si="527"/>
        <v>3.9141557792249139E-06</v>
      </c>
      <c r="S1392" s="476">
        <f t="shared" si="527"/>
        <v>1.2525298493519723E-05</v>
      </c>
      <c r="T1392" s="129"/>
      <c r="U1392" s="476">
        <f t="shared" si="528"/>
        <v>1</v>
      </c>
    </row>
    <row r="1393" spans="1:21" ht="14.25">
      <c r="A1393" s="386"/>
      <c r="B1393" s="17">
        <f t="shared" si="518"/>
        <v>75</v>
      </c>
      <c r="C1393" s="67"/>
      <c r="D1393" s="47" t="s">
        <v>790</v>
      </c>
      <c r="F1393" s="67"/>
      <c r="G1393" s="17">
        <f t="shared" si="519"/>
        <v>75</v>
      </c>
      <c r="H1393" s="67" t="s">
        <v>850</v>
      </c>
      <c r="J1393" s="476">
        <f t="shared" si="531" ref="J1393:Q1393">J1286/$U1286</f>
        <v>0</v>
      </c>
      <c r="K1393" s="476">
        <f t="shared" si="531"/>
        <v>0</v>
      </c>
      <c r="L1393" s="476">
        <f t="shared" si="531"/>
        <v>0</v>
      </c>
      <c r="M1393" s="476">
        <f t="shared" si="531"/>
        <v>0</v>
      </c>
      <c r="N1393" s="476">
        <f t="shared" si="531"/>
        <v>0</v>
      </c>
      <c r="O1393" s="476">
        <f t="shared" si="531"/>
        <v>0</v>
      </c>
      <c r="P1393" s="476">
        <f t="shared" si="531"/>
        <v>0</v>
      </c>
      <c r="Q1393" s="476">
        <f t="shared" si="531"/>
        <v>0</v>
      </c>
      <c r="R1393" s="476">
        <f t="shared" si="527"/>
        <v>0</v>
      </c>
      <c r="S1393" s="476">
        <f t="shared" si="527"/>
        <v>0</v>
      </c>
      <c r="T1393" s="129"/>
      <c r="U1393" s="476">
        <f t="shared" si="528"/>
        <v>0</v>
      </c>
    </row>
    <row r="1394" spans="1:21" ht="14.25">
      <c r="A1394" s="386"/>
      <c r="B1394" s="17">
        <f t="shared" si="518"/>
        <v>76</v>
      </c>
      <c r="D1394" s="67" t="s">
        <v>791</v>
      </c>
      <c r="G1394" s="17">
        <f t="shared" si="519"/>
        <v>76</v>
      </c>
      <c r="H1394" s="67" t="s">
        <v>851</v>
      </c>
      <c r="J1394" s="476">
        <f t="shared" si="532" ref="J1394:Q1394">J1287/$U1287</f>
        <v>0.53874978851790722</v>
      </c>
      <c r="K1394" s="476">
        <f t="shared" si="532"/>
        <v>0.075809264132540619</v>
      </c>
      <c r="L1394" s="476">
        <f t="shared" si="532"/>
        <v>0.26849922321863384</v>
      </c>
      <c r="M1394" s="476">
        <f t="shared" si="532"/>
        <v>0.0031454053807008081</v>
      </c>
      <c r="N1394" s="476">
        <f t="shared" si="532"/>
        <v>0.073181926678104386</v>
      </c>
      <c r="O1394" s="476">
        <f t="shared" si="532"/>
        <v>0.0032046175792116785</v>
      </c>
      <c r="P1394" s="476">
        <f t="shared" si="532"/>
        <v>0.008428409494303065</v>
      </c>
      <c r="Q1394" s="476">
        <f t="shared" si="532"/>
        <v>0.028132496109046314</v>
      </c>
      <c r="R1394" s="476">
        <f t="shared" si="527"/>
        <v>0.00025450098140727831</v>
      </c>
      <c r="S1394" s="476">
        <f t="shared" si="527"/>
        <v>0.00059436790814471638</v>
      </c>
      <c r="T1394" s="129"/>
      <c r="U1394" s="476">
        <f t="shared" si="528"/>
        <v>1</v>
      </c>
    </row>
    <row r="1395" spans="1:21" ht="14.25">
      <c r="A1395" s="386"/>
      <c r="B1395" s="17">
        <f t="shared" si="518"/>
        <v>77</v>
      </c>
      <c r="D1395" s="67" t="s">
        <v>792</v>
      </c>
      <c r="G1395" s="17">
        <f t="shared" si="519"/>
        <v>77</v>
      </c>
      <c r="H1395" s="67" t="s">
        <v>852</v>
      </c>
      <c r="J1395" s="476">
        <f t="shared" si="533" ref="J1395:Q1395">J1288/$U1288</f>
        <v>0.53874978851790722</v>
      </c>
      <c r="K1395" s="476">
        <f t="shared" si="533"/>
        <v>0.075809264132540619</v>
      </c>
      <c r="L1395" s="476">
        <f t="shared" si="533"/>
        <v>0.26849922321863384</v>
      </c>
      <c r="M1395" s="476">
        <f t="shared" si="533"/>
        <v>0.0031454053807008081</v>
      </c>
      <c r="N1395" s="476">
        <f t="shared" si="533"/>
        <v>0.073181926678104386</v>
      </c>
      <c r="O1395" s="476">
        <f t="shared" si="533"/>
        <v>0.0032046175792116785</v>
      </c>
      <c r="P1395" s="476">
        <f t="shared" si="533"/>
        <v>0.008428409494303065</v>
      </c>
      <c r="Q1395" s="476">
        <f t="shared" si="533"/>
        <v>0.028132496109046314</v>
      </c>
      <c r="R1395" s="476">
        <f t="shared" si="527"/>
        <v>0.00025450098140727831</v>
      </c>
      <c r="S1395" s="476">
        <f t="shared" si="527"/>
        <v>0.00059436790814471638</v>
      </c>
      <c r="T1395" s="129"/>
      <c r="U1395" s="476">
        <f t="shared" si="528"/>
        <v>1</v>
      </c>
    </row>
    <row r="1396" spans="1:21" ht="14.25">
      <c r="A1396" s="386"/>
      <c r="B1396" s="17">
        <f t="shared" si="518"/>
        <v>78</v>
      </c>
      <c r="G1396" s="17">
        <f t="shared" si="519"/>
        <v>78</v>
      </c>
      <c r="J1396" s="129"/>
      <c r="K1396" s="129"/>
      <c r="L1396" s="129"/>
      <c r="M1396" s="129"/>
      <c r="N1396" s="129"/>
      <c r="O1396" s="129"/>
      <c r="P1396" s="129"/>
      <c r="Q1396" s="129"/>
      <c r="R1396" s="129"/>
      <c r="S1396" s="129"/>
      <c r="T1396" s="129"/>
      <c r="U1396" s="476"/>
    </row>
    <row r="1397" spans="1:21" ht="14.25">
      <c r="A1397" s="386"/>
      <c r="B1397" s="17">
        <f t="shared" si="518"/>
        <v>79</v>
      </c>
      <c r="D1397" s="67"/>
      <c r="G1397" s="17">
        <f t="shared" si="519"/>
        <v>79</v>
      </c>
      <c r="H1397" s="67"/>
      <c r="J1397" s="480"/>
      <c r="K1397" s="480"/>
      <c r="L1397" s="480"/>
      <c r="M1397" s="480"/>
      <c r="N1397" s="480"/>
      <c r="O1397" s="480"/>
      <c r="P1397" s="480"/>
      <c r="Q1397" s="480"/>
      <c r="R1397" s="480"/>
      <c r="S1397" s="480"/>
      <c r="T1397" s="129"/>
      <c r="U1397" s="476"/>
    </row>
    <row r="1398" spans="1:21" ht="14.25">
      <c r="A1398" s="386"/>
      <c r="B1398" s="17">
        <f t="shared" si="518"/>
        <v>80</v>
      </c>
      <c r="D1398" s="67" t="s">
        <v>793</v>
      </c>
      <c r="G1398" s="17">
        <f t="shared" si="519"/>
        <v>80</v>
      </c>
      <c r="H1398" s="67" t="s">
        <v>853</v>
      </c>
      <c r="J1398" s="476">
        <f t="shared" si="534" ref="J1398:Q1398">J1291/$U1291</f>
        <v>0</v>
      </c>
      <c r="K1398" s="476">
        <f t="shared" si="534"/>
        <v>0</v>
      </c>
      <c r="L1398" s="476">
        <f t="shared" si="534"/>
        <v>0</v>
      </c>
      <c r="M1398" s="476">
        <f t="shared" si="534"/>
        <v>0</v>
      </c>
      <c r="N1398" s="476">
        <f t="shared" si="534"/>
        <v>0</v>
      </c>
      <c r="O1398" s="476">
        <f t="shared" si="534"/>
        <v>0</v>
      </c>
      <c r="P1398" s="476">
        <f t="shared" si="534"/>
        <v>0</v>
      </c>
      <c r="Q1398" s="476">
        <f t="shared" si="534"/>
        <v>0</v>
      </c>
      <c r="R1398" s="476">
        <f t="shared" si="535" ref="R1398:S1406">R1291/$U1291</f>
        <v>0</v>
      </c>
      <c r="S1398" s="476">
        <f t="shared" si="535"/>
        <v>0</v>
      </c>
      <c r="T1398" s="129"/>
      <c r="U1398" s="476">
        <f t="shared" si="536" ref="U1398:U1406">ROUND(SUM(I1398:T1398),6)</f>
        <v>0</v>
      </c>
    </row>
    <row r="1399" spans="1:21" ht="14.25">
      <c r="A1399" s="386"/>
      <c r="B1399" s="17">
        <f t="shared" si="518"/>
        <v>81</v>
      </c>
      <c r="D1399" s="67" t="s">
        <v>794</v>
      </c>
      <c r="G1399" s="17">
        <f t="shared" si="519"/>
        <v>81</v>
      </c>
      <c r="H1399" s="67" t="s">
        <v>854</v>
      </c>
      <c r="J1399" s="476">
        <f t="shared" si="537" ref="J1399:Q1399">J1292/$U1292</f>
        <v>0</v>
      </c>
      <c r="K1399" s="476">
        <f t="shared" si="537"/>
        <v>0</v>
      </c>
      <c r="L1399" s="476">
        <f t="shared" si="537"/>
        <v>0</v>
      </c>
      <c r="M1399" s="476">
        <f t="shared" si="537"/>
        <v>0</v>
      </c>
      <c r="N1399" s="476">
        <f t="shared" si="537"/>
        <v>0</v>
      </c>
      <c r="O1399" s="476">
        <f t="shared" si="537"/>
        <v>0</v>
      </c>
      <c r="P1399" s="476">
        <f t="shared" si="537"/>
        <v>0</v>
      </c>
      <c r="Q1399" s="476">
        <f t="shared" si="537"/>
        <v>0</v>
      </c>
      <c r="R1399" s="476">
        <f t="shared" si="535"/>
        <v>0</v>
      </c>
      <c r="S1399" s="476">
        <f t="shared" si="535"/>
        <v>0</v>
      </c>
      <c r="T1399" s="129"/>
      <c r="U1399" s="476">
        <f t="shared" si="536"/>
        <v>0</v>
      </c>
    </row>
    <row r="1400" spans="1:21" ht="14.25">
      <c r="A1400" s="386" t="s">
        <v>0</v>
      </c>
      <c r="B1400" s="17">
        <f t="shared" si="518"/>
        <v>82</v>
      </c>
      <c r="D1400" s="67" t="s">
        <v>795</v>
      </c>
      <c r="G1400" s="17">
        <f t="shared" si="519"/>
        <v>82</v>
      </c>
      <c r="H1400" s="67" t="s">
        <v>855</v>
      </c>
      <c r="J1400" s="476">
        <f t="shared" si="538" ref="J1400:Q1400">J1293/$U1293</f>
        <v>0</v>
      </c>
      <c r="K1400" s="476">
        <f t="shared" si="538"/>
        <v>0</v>
      </c>
      <c r="L1400" s="476">
        <f t="shared" si="538"/>
        <v>0</v>
      </c>
      <c r="M1400" s="476">
        <f t="shared" si="538"/>
        <v>0</v>
      </c>
      <c r="N1400" s="476">
        <f t="shared" si="538"/>
        <v>0</v>
      </c>
      <c r="O1400" s="476">
        <f t="shared" si="538"/>
        <v>0</v>
      </c>
      <c r="P1400" s="476">
        <f t="shared" si="538"/>
        <v>0</v>
      </c>
      <c r="Q1400" s="476">
        <f t="shared" si="538"/>
        <v>1</v>
      </c>
      <c r="R1400" s="476">
        <f t="shared" si="535"/>
        <v>0</v>
      </c>
      <c r="S1400" s="476">
        <f t="shared" si="535"/>
        <v>0</v>
      </c>
      <c r="T1400" s="129"/>
      <c r="U1400" s="476">
        <f t="shared" si="536"/>
        <v>1</v>
      </c>
    </row>
    <row r="1401" spans="1:21" ht="14.25">
      <c r="A1401" s="386"/>
      <c r="B1401" s="17">
        <f t="shared" si="518"/>
        <v>83</v>
      </c>
      <c r="D1401" s="67" t="s">
        <v>856</v>
      </c>
      <c r="G1401" s="17">
        <f t="shared" si="519"/>
        <v>83</v>
      </c>
      <c r="H1401" s="67" t="s">
        <v>857</v>
      </c>
      <c r="J1401" s="476">
        <f t="shared" si="539" ref="J1401:Q1401">J1294/$U1294</f>
        <v>0</v>
      </c>
      <c r="K1401" s="476">
        <f t="shared" si="539"/>
        <v>0</v>
      </c>
      <c r="L1401" s="476">
        <f t="shared" si="539"/>
        <v>0</v>
      </c>
      <c r="M1401" s="476">
        <f t="shared" si="539"/>
        <v>0</v>
      </c>
      <c r="N1401" s="476">
        <f t="shared" si="539"/>
        <v>0</v>
      </c>
      <c r="O1401" s="476">
        <f t="shared" si="539"/>
        <v>0</v>
      </c>
      <c r="P1401" s="476">
        <f t="shared" si="539"/>
        <v>0</v>
      </c>
      <c r="Q1401" s="476">
        <f t="shared" si="539"/>
        <v>0</v>
      </c>
      <c r="R1401" s="476">
        <f t="shared" si="535"/>
        <v>0</v>
      </c>
      <c r="S1401" s="476">
        <f t="shared" si="535"/>
        <v>0</v>
      </c>
      <c r="T1401" s="129"/>
      <c r="U1401" s="476">
        <f t="shared" si="536"/>
        <v>0</v>
      </c>
    </row>
    <row r="1402" spans="1:21" ht="14.25">
      <c r="A1402" s="386"/>
      <c r="B1402" s="17">
        <f t="shared" si="518"/>
        <v>84</v>
      </c>
      <c r="D1402" s="67" t="s">
        <v>797</v>
      </c>
      <c r="G1402" s="17">
        <f t="shared" si="519"/>
        <v>84</v>
      </c>
      <c r="H1402" s="67" t="s">
        <v>858</v>
      </c>
      <c r="J1402" s="476">
        <f t="shared" si="540" ref="J1402:Q1402">J1295/$U1295</f>
        <v>0.55750481473464386</v>
      </c>
      <c r="K1402" s="476">
        <f t="shared" si="540"/>
        <v>0.085952885111240607</v>
      </c>
      <c r="L1402" s="476">
        <f t="shared" si="540"/>
        <v>0.26512464751523462</v>
      </c>
      <c r="M1402" s="476">
        <f t="shared" si="540"/>
        <v>0.0037227526029269885</v>
      </c>
      <c r="N1402" s="476">
        <f t="shared" si="540"/>
        <v>0.077683818478312849</v>
      </c>
      <c r="O1402" s="476">
        <f t="shared" si="540"/>
        <v>0.0026546895902129731</v>
      </c>
      <c r="P1402" s="476">
        <f t="shared" si="540"/>
        <v>0.0057790550310020871</v>
      </c>
      <c r="Q1402" s="476">
        <f t="shared" si="540"/>
        <v>0.00055573311775356416</v>
      </c>
      <c r="R1402" s="476">
        <f t="shared" si="535"/>
        <v>0.00030631033733226614</v>
      </c>
      <c r="S1402" s="476">
        <f t="shared" si="535"/>
        <v>0.00071529348134022569</v>
      </c>
      <c r="T1402" s="129"/>
      <c r="U1402" s="476">
        <f t="shared" si="536"/>
        <v>1</v>
      </c>
    </row>
    <row r="1403" spans="1:21" ht="14.25">
      <c r="A1403" s="386"/>
      <c r="B1403" s="17">
        <f t="shared" si="518"/>
        <v>85</v>
      </c>
      <c r="D1403" s="67" t="s">
        <v>798</v>
      </c>
      <c r="G1403" s="17">
        <f t="shared" si="519"/>
        <v>85</v>
      </c>
      <c r="H1403" s="67" t="s">
        <v>859</v>
      </c>
      <c r="J1403" s="476">
        <f t="shared" si="541" ref="J1403:Q1403">J1296/$U1296</f>
        <v>0</v>
      </c>
      <c r="K1403" s="476">
        <f t="shared" si="541"/>
        <v>0</v>
      </c>
      <c r="L1403" s="476">
        <f t="shared" si="541"/>
        <v>0</v>
      </c>
      <c r="M1403" s="476">
        <f t="shared" si="541"/>
        <v>0</v>
      </c>
      <c r="N1403" s="476">
        <f t="shared" si="541"/>
        <v>0</v>
      </c>
      <c r="O1403" s="476">
        <f t="shared" si="541"/>
        <v>0</v>
      </c>
      <c r="P1403" s="476">
        <f t="shared" si="541"/>
        <v>0</v>
      </c>
      <c r="Q1403" s="476">
        <f t="shared" si="541"/>
        <v>0</v>
      </c>
      <c r="R1403" s="476">
        <f t="shared" si="535"/>
        <v>0</v>
      </c>
      <c r="S1403" s="476">
        <f t="shared" si="535"/>
        <v>0</v>
      </c>
      <c r="T1403" s="129"/>
      <c r="U1403" s="476">
        <f t="shared" si="536"/>
        <v>0</v>
      </c>
    </row>
    <row r="1404" spans="1:21" ht="14.25">
      <c r="A1404" s="386"/>
      <c r="B1404" s="17">
        <f t="shared" si="518"/>
        <v>86</v>
      </c>
      <c r="D1404" s="67" t="s">
        <v>799</v>
      </c>
      <c r="G1404" s="17">
        <f t="shared" si="519"/>
        <v>86</v>
      </c>
      <c r="H1404" s="67" t="s">
        <v>860</v>
      </c>
      <c r="J1404" s="476">
        <f t="shared" si="542" ref="J1404:Q1404">J1297/$U1297</f>
        <v>0</v>
      </c>
      <c r="K1404" s="476">
        <f t="shared" si="542"/>
        <v>0</v>
      </c>
      <c r="L1404" s="476">
        <f t="shared" si="542"/>
        <v>0</v>
      </c>
      <c r="M1404" s="476">
        <f t="shared" si="542"/>
        <v>0</v>
      </c>
      <c r="N1404" s="476">
        <f t="shared" si="542"/>
        <v>0</v>
      </c>
      <c r="O1404" s="476">
        <f t="shared" si="542"/>
        <v>0</v>
      </c>
      <c r="P1404" s="476">
        <f t="shared" si="542"/>
        <v>0</v>
      </c>
      <c r="Q1404" s="476">
        <f t="shared" si="542"/>
        <v>0</v>
      </c>
      <c r="R1404" s="476">
        <f t="shared" si="535"/>
        <v>0</v>
      </c>
      <c r="S1404" s="476">
        <f t="shared" si="535"/>
        <v>0</v>
      </c>
      <c r="T1404" s="129"/>
      <c r="U1404" s="476">
        <f t="shared" si="536"/>
        <v>0</v>
      </c>
    </row>
    <row r="1405" spans="1:21" ht="14.25">
      <c r="A1405" s="386"/>
      <c r="B1405" s="17">
        <f t="shared" si="518"/>
        <v>87</v>
      </c>
      <c r="D1405" s="47" t="s">
        <v>800</v>
      </c>
      <c r="G1405" s="17">
        <f t="shared" si="519"/>
        <v>87</v>
      </c>
      <c r="H1405" s="67" t="s">
        <v>861</v>
      </c>
      <c r="J1405" s="476">
        <f t="shared" si="543" ref="J1405:Q1405">J1298/$U1298</f>
        <v>0.55716451768089303</v>
      </c>
      <c r="K1405" s="476">
        <f t="shared" si="543"/>
        <v>0.085900420069160821</v>
      </c>
      <c r="L1405" s="476">
        <f t="shared" si="543"/>
        <v>0.26496281727800325</v>
      </c>
      <c r="M1405" s="476">
        <f t="shared" si="543"/>
        <v>0.0037204802606814386</v>
      </c>
      <c r="N1405" s="476">
        <f t="shared" si="543"/>
        <v>0.077636400816879989</v>
      </c>
      <c r="O1405" s="476">
        <f t="shared" si="543"/>
        <v>0.0026530691861872207</v>
      </c>
      <c r="P1405" s="476">
        <f t="shared" si="543"/>
        <v>0.0057755275360844875</v>
      </c>
      <c r="Q1405" s="476">
        <f t="shared" si="543"/>
        <v>0.0011657869332887363</v>
      </c>
      <c r="R1405" s="476">
        <f t="shared" si="535"/>
        <v>0.00030612336763698704</v>
      </c>
      <c r="S1405" s="476">
        <f t="shared" si="535"/>
        <v>0.00071485687118398328</v>
      </c>
      <c r="T1405" s="129"/>
      <c r="U1405" s="476">
        <f t="shared" si="536"/>
        <v>1</v>
      </c>
    </row>
    <row r="1406" spans="1:21" ht="14.25">
      <c r="A1406" s="386"/>
      <c r="B1406" s="17">
        <f t="shared" si="518"/>
        <v>88</v>
      </c>
      <c r="D1406" s="67" t="s">
        <v>713</v>
      </c>
      <c r="G1406" s="17">
        <f t="shared" si="519"/>
        <v>88</v>
      </c>
      <c r="H1406" s="67" t="s">
        <v>862</v>
      </c>
      <c r="J1406" s="476">
        <f t="shared" si="544" ref="J1406:Q1406">J1299/$U1299</f>
        <v>0.5399577357903671</v>
      </c>
      <c r="K1406" s="476">
        <f t="shared" si="544"/>
        <v>0.076471211651926829</v>
      </c>
      <c r="L1406" s="476">
        <f t="shared" si="544"/>
        <v>0.26826724631186072</v>
      </c>
      <c r="M1406" s="476">
        <f t="shared" si="544"/>
        <v>0.0031831284515417887</v>
      </c>
      <c r="N1406" s="476">
        <f t="shared" si="544"/>
        <v>0.073474125919187588</v>
      </c>
      <c r="O1406" s="476">
        <f t="shared" si="544"/>
        <v>0.0031684377705874685</v>
      </c>
      <c r="P1406" s="476">
        <f t="shared" si="544"/>
        <v>0.0082543889318921222</v>
      </c>
      <c r="Q1406" s="476">
        <f t="shared" si="544"/>
        <v>0.026363566329641843</v>
      </c>
      <c r="R1406" s="476">
        <f t="shared" si="535"/>
        <v>0.00025788724465840366</v>
      </c>
      <c r="S1406" s="476">
        <f t="shared" si="535"/>
        <v>0.00060227159833622598</v>
      </c>
      <c r="T1406" s="129"/>
      <c r="U1406" s="476">
        <f t="shared" si="536"/>
        <v>1</v>
      </c>
    </row>
    <row r="1407" spans="1:21" ht="14.25">
      <c r="A1407" s="386"/>
      <c r="B1407" s="17">
        <f t="shared" si="518"/>
        <v>89</v>
      </c>
      <c r="D1407" s="67"/>
      <c r="G1407" s="17">
        <f t="shared" si="519"/>
        <v>89</v>
      </c>
      <c r="H1407" s="67"/>
      <c r="J1407" s="480"/>
      <c r="K1407" s="480"/>
      <c r="L1407" s="480"/>
      <c r="M1407" s="480"/>
      <c r="N1407" s="480"/>
      <c r="O1407" s="480"/>
      <c r="P1407" s="480"/>
      <c r="Q1407" s="480"/>
      <c r="R1407" s="480"/>
      <c r="S1407" s="480"/>
      <c r="T1407" s="129"/>
      <c r="U1407" s="476"/>
    </row>
    <row r="1408" spans="1:21" ht="14.25">
      <c r="A1408" s="386"/>
      <c r="B1408" s="17">
        <f t="shared" si="518"/>
        <v>90</v>
      </c>
      <c r="G1408" s="17">
        <f t="shared" si="519"/>
        <v>90</v>
      </c>
      <c r="J1408" s="480"/>
      <c r="K1408" s="480"/>
      <c r="L1408" s="480"/>
      <c r="M1408" s="480"/>
      <c r="N1408" s="480"/>
      <c r="O1408" s="480"/>
      <c r="P1408" s="480"/>
      <c r="Q1408" s="480"/>
      <c r="R1408" s="480"/>
      <c r="S1408" s="480"/>
      <c r="T1408" s="129"/>
      <c r="U1408" s="476"/>
    </row>
    <row r="1409" spans="1:21" ht="14.25">
      <c r="A1409" s="386"/>
      <c r="B1409" s="17">
        <f t="shared" si="518"/>
        <v>91</v>
      </c>
      <c r="D1409" s="67" t="s">
        <v>801</v>
      </c>
      <c r="G1409" s="17">
        <f t="shared" si="519"/>
        <v>91</v>
      </c>
      <c r="H1409" s="67" t="s">
        <v>863</v>
      </c>
      <c r="J1409" s="476">
        <f t="shared" si="545" ref="J1409:Q1409">J1302/$U1302</f>
        <v>0.55630522685277606</v>
      </c>
      <c r="K1409" s="476">
        <f t="shared" si="545"/>
        <v>0.085491937791938824</v>
      </c>
      <c r="L1409" s="476">
        <f t="shared" si="545"/>
        <v>0.26571559081025692</v>
      </c>
      <c r="M1409" s="476">
        <f t="shared" si="545"/>
        <v>0.0036988926361247909</v>
      </c>
      <c r="N1409" s="476">
        <f t="shared" si="545"/>
        <v>0.077556788727047146</v>
      </c>
      <c r="O1409" s="476">
        <f t="shared" si="545"/>
        <v>0.0026944237430696909</v>
      </c>
      <c r="P1409" s="476">
        <f t="shared" si="545"/>
        <v>0.0061398177801422647</v>
      </c>
      <c r="Q1409" s="476">
        <f t="shared" si="545"/>
        <v>0.0013795243984813565</v>
      </c>
      <c r="R1409" s="476">
        <f>R1302/$U1302</f>
        <v>0.00030612808100766577</v>
      </c>
      <c r="S1409" s="476">
        <f>S1302/$U1302</f>
        <v>0.00071166917915508091</v>
      </c>
      <c r="T1409" s="129"/>
      <c r="U1409" s="476">
        <f>ROUND(SUM(I1409:T1409),6)</f>
        <v>1</v>
      </c>
    </row>
    <row r="1410" spans="1:21" ht="14.25">
      <c r="A1410" s="386"/>
      <c r="B1410" s="17">
        <f t="shared" si="518"/>
        <v>92</v>
      </c>
      <c r="D1410" s="67" t="s">
        <v>802</v>
      </c>
      <c r="G1410" s="17">
        <f t="shared" si="519"/>
        <v>92</v>
      </c>
      <c r="H1410" s="67" t="s">
        <v>864</v>
      </c>
      <c r="J1410" s="476">
        <f t="shared" si="546" ref="J1410:Q1410">J1303/$U1303</f>
        <v>0.54916494291038986</v>
      </c>
      <c r="K1410" s="476">
        <f t="shared" si="546"/>
        <v>0.081079646449094961</v>
      </c>
      <c r="L1410" s="476">
        <f t="shared" si="546"/>
        <v>0.26671942790708597</v>
      </c>
      <c r="M1410" s="476">
        <f t="shared" si="546"/>
        <v>0.0034412528810793125</v>
      </c>
      <c r="N1410" s="476">
        <f t="shared" si="546"/>
        <v>0.075456741273720124</v>
      </c>
      <c r="O1410" s="476">
        <f t="shared" si="546"/>
        <v>0.0029222729154877634</v>
      </c>
      <c r="P1410" s="476">
        <f t="shared" si="546"/>
        <v>0.0071009404750727546</v>
      </c>
      <c r="Q1410" s="476">
        <f t="shared" si="546"/>
        <v>0.014114775188069268</v>
      </c>
      <c r="R1410" s="18">
        <v>0</v>
      </c>
      <c r="S1410" s="18">
        <v>0</v>
      </c>
      <c r="T1410" s="159" t="s">
        <v>0</v>
      </c>
      <c r="U1410" s="476">
        <f>ROUND(SUM(I1410:T1410),6)</f>
        <v>1</v>
      </c>
    </row>
    <row r="1411" spans="1:21" ht="14.25">
      <c r="A1411" s="386"/>
      <c r="B1411" s="17">
        <f t="shared" si="518"/>
        <v>93</v>
      </c>
      <c r="G1411" s="17">
        <f t="shared" si="519"/>
        <v>93</v>
      </c>
      <c r="J1411" s="129"/>
      <c r="K1411" s="129"/>
      <c r="L1411" s="129"/>
      <c r="M1411" s="129"/>
      <c r="N1411" s="129"/>
      <c r="O1411" s="129"/>
      <c r="P1411" s="129"/>
      <c r="Q1411" s="129"/>
      <c r="R1411" s="159"/>
      <c r="S1411" s="159"/>
      <c r="T1411" s="129"/>
      <c r="U1411" s="233"/>
    </row>
    <row r="1412" spans="1:21" ht="14.25">
      <c r="A1412" s="386"/>
      <c r="B1412" s="17">
        <f t="shared" si="518"/>
        <v>94</v>
      </c>
      <c r="G1412" s="17">
        <f t="shared" si="519"/>
        <v>94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233"/>
    </row>
    <row r="1413" spans="1:1" ht="14.25">
      <c r="A1413" s="386"/>
    </row>
  </sheetData>
  <pageMargins left="0.5" right="0.5" top="1.5" bottom="0.75" header="1.5" footer="0.5"/>
  <pageSetup orientation="landscape" pageOrder="overThenDown" scale="46" r:id="rId1"/>
  <headerFooter alignWithMargins="0">
    <oddHeader xml:space="preserve">&amp;RSchedules II-I-1-TBILLTDCS and II-I-2-TBILLTDCS
Page &amp;P of &amp;N
</oddHeader>
  </headerFooter>
  <rowBreaks count="36" manualBreakCount="36">
    <brk id="40" min="1" max="20" man="1"/>
    <brk id="90" min="1" max="20" man="1"/>
    <brk id="118" min="1" max="20" man="1"/>
    <brk id="164" min="1" max="20" man="1"/>
    <brk id="195" min="1" max="20" man="1"/>
    <brk id="219" min="1" max="20" man="1"/>
    <brk id="238" min="1" max="20" man="1"/>
    <brk id="267" min="1" max="20" man="1"/>
    <brk id="315" min="1" max="20" man="1"/>
    <brk id="355" min="1" max="20" man="1"/>
    <brk id="375" min="1" max="20" man="1"/>
    <brk id="400" min="1" max="20" man="1"/>
    <brk id="422" min="1" max="20" man="1"/>
    <brk id="442" min="1" max="20" man="1"/>
    <brk id="465" min="1" max="20" man="1"/>
    <brk id="488" min="1" max="20" man="1"/>
    <brk id="552" min="1" max="20" man="1"/>
    <brk id="600" min="1" max="20" man="1"/>
    <brk id="641" min="1" max="20" man="1"/>
    <brk id="687" min="1" max="20" man="1"/>
    <brk id="731" min="1" max="20" man="1"/>
    <brk id="765" min="1" max="20" man="1"/>
    <brk id="805" min="1" max="20" man="1"/>
    <brk id="852" min="1" max="20" man="1"/>
    <brk id="902" min="1" max="20" man="1"/>
    <brk id="935" min="1" max="20" man="1"/>
    <brk id="956" min="1" max="20" man="1"/>
    <brk id="1005" min="1" max="20" man="1"/>
    <brk id="1041" min="1" max="20" man="1"/>
    <brk id="1073" min="1" max="20" man="1"/>
    <brk id="1131" min="1" max="20" man="1"/>
    <brk id="1158" min="1" max="20" man="1"/>
    <brk id="1198" min="1" max="20" man="1"/>
    <brk id="1249" min="1" max="20" man="1"/>
    <brk id="1305" min="1" max="20" man="1"/>
    <brk id="1356" min="1" max="20" man="1"/>
  </rowBreaks>
  <colBreaks count="1" manualBreakCount="1">
    <brk id="12" min="2" max="140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5"/>
  <dimension ref="A1:Y1200"/>
  <sheetViews>
    <sheetView view="pageBreakPreview" zoomScale="75" zoomScaleNormal="75" zoomScaleSheetLayoutView="75" workbookViewId="0" topLeftCell="A267">
      <selection pane="topLeft" activeCell="J511" sqref="J511"/>
    </sheetView>
  </sheetViews>
  <sheetFormatPr defaultRowHeight="14.25"/>
  <cols>
    <col min="1" max="1" width="1.5" customWidth="1"/>
    <col min="2" max="2" width="5.375" customWidth="1"/>
    <col min="3" max="3" width="7.25" customWidth="1"/>
    <col min="4" max="4" width="40" customWidth="1"/>
    <col min="5" max="5" width="9.25" customWidth="1"/>
    <col min="6" max="6" width="16.5" customWidth="1"/>
    <col min="7" max="7" width="7.75" customWidth="1"/>
    <col min="8" max="8" width="12.25" customWidth="1"/>
    <col min="9" max="9" width="2.125" customWidth="1"/>
    <col min="10" max="10" width="14.125" customWidth="1"/>
    <col min="11" max="11" width="13" customWidth="1"/>
    <col min="12" max="12" width="14.625" bestFit="1" customWidth="1"/>
    <col min="13" max="13" width="12.625" customWidth="1"/>
    <col min="14" max="14" width="13.875" customWidth="1"/>
    <col min="15" max="15" width="13.5" bestFit="1" customWidth="1"/>
    <col min="16" max="16" width="15.375" customWidth="1"/>
    <col min="17" max="17" width="13.875" customWidth="1"/>
    <col min="18" max="18" width="13" bestFit="1" customWidth="1"/>
    <col min="19" max="19" width="14.75" bestFit="1" customWidth="1"/>
    <col min="20" max="20" width="1.5" customWidth="1"/>
    <col min="21" max="21" width="15.375" customWidth="1"/>
    <col min="22" max="22" width="2.625" customWidth="1"/>
    <col min="23" max="23" width="17.25" customWidth="1"/>
    <col min="24" max="24" width="15.25" customWidth="1"/>
    <col min="25" max="25" width="14.25" customWidth="1"/>
    <col min="26" max="26" width="11.125" bestFit="1" customWidth="1"/>
  </cols>
  <sheetData>
    <row r="1" spans="1:21" ht="14.25">
      <c r="A1" s="386" t="s">
        <v>0</v>
      </c>
      <c r="J1" s="129" t="s">
        <v>0</v>
      </c>
      <c r="U1" s="233"/>
    </row>
    <row r="2" spans="1:21" ht="15">
      <c r="A2" s="386"/>
      <c r="B2" s="1245"/>
      <c r="H2" s="134"/>
      <c r="U2" s="134"/>
    </row>
    <row r="3" spans="1:22" ht="15.75" thickBot="1">
      <c r="A3" s="47"/>
      <c r="B3" s="124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129"/>
    </row>
    <row r="4" spans="1:23" ht="15.75">
      <c r="A4" s="47"/>
      <c r="B4" s="920" t="str">
        <f>'WP II-I-1.1'!B3</f>
        <v>2022 RATE CASE</v>
      </c>
      <c r="C4" s="964"/>
      <c r="D4" s="965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167"/>
      <c r="V4" s="167"/>
      <c r="W4" s="167"/>
    </row>
    <row r="5" spans="1:23" ht="15.75">
      <c r="A5" s="47"/>
      <c r="B5" s="917" t="str">
        <f>'WP II-I-1.1'!B4</f>
        <v>ONCOR ELECTRIC DELIVERY COMPANY LLC</v>
      </c>
      <c r="C5" s="840"/>
      <c r="D5" s="9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134"/>
      <c r="V5" s="67"/>
      <c r="W5" s="167"/>
    </row>
    <row r="6" spans="1:23" ht="15.75">
      <c r="A6" s="47"/>
      <c r="B6" s="406" t="str">
        <f>"II-I-1-TOT:  CLASS REVENUE REQUIREMENT"</f>
        <v>II-I-1-TOT:  CLASS REVENUE REQUIREMENT</v>
      </c>
      <c r="C6" s="840"/>
      <c r="D6" s="921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167"/>
    </row>
    <row r="7" spans="1:23" ht="15.75">
      <c r="A7" s="47"/>
      <c r="B7" s="406" t="str">
        <f>'WP II-I-1.1'!B6</f>
        <v>TEST YEAR ENDING 12/31/2021</v>
      </c>
      <c r="C7" s="840"/>
      <c r="D7" s="921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167"/>
    </row>
    <row r="8" spans="1:23" ht="15.75">
      <c r="A8" s="47"/>
      <c r="B8" s="406" t="str">
        <f>'WP II-I-2.2'!$B$7</f>
        <v>SPONSOR:  MATTHEW A. TROXLE</v>
      </c>
      <c r="C8" s="840"/>
      <c r="D8" s="921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167"/>
    </row>
    <row r="9" spans="1:23" ht="16.5" thickBot="1">
      <c r="A9" s="47"/>
      <c r="B9" s="410"/>
      <c r="C9" s="840"/>
      <c r="D9" s="921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167"/>
    </row>
    <row r="10" spans="1:23" ht="15.75" thickBot="1">
      <c r="A10" s="47"/>
      <c r="B10" s="235"/>
      <c r="C10" s="236"/>
      <c r="D10" s="237"/>
      <c r="E10" s="238"/>
      <c r="F10" s="238"/>
      <c r="G10" s="238"/>
      <c r="H10" s="238"/>
      <c r="I10" s="471"/>
      <c r="J10" s="14"/>
      <c r="K10" s="238"/>
      <c r="L10" s="14"/>
      <c r="M10" s="238"/>
      <c r="N10" s="238"/>
      <c r="O10" s="238"/>
      <c r="P10" s="238"/>
      <c r="Q10" s="14"/>
      <c r="R10" s="393" t="str">
        <f>" "</f>
        <v xml:space="preserve"> </v>
      </c>
      <c r="S10" s="394"/>
      <c r="T10" s="238"/>
      <c r="U10" s="13"/>
      <c r="V10" s="67"/>
      <c r="W10" s="167"/>
    </row>
    <row r="11" spans="1:23" ht="15.75">
      <c r="A11" s="47"/>
      <c r="B11" s="235" t="s">
        <v>2</v>
      </c>
      <c r="C11" s="240"/>
      <c r="D11" s="241" t="s">
        <v>729</v>
      </c>
      <c r="E11" s="242" t="s">
        <v>371</v>
      </c>
      <c r="F11" s="287" t="s">
        <v>481</v>
      </c>
      <c r="G11" s="242"/>
      <c r="H11" s="242"/>
      <c r="I11" s="395"/>
      <c r="J11" s="15" t="s">
        <v>730</v>
      </c>
      <c r="K11" s="242" t="s">
        <v>409</v>
      </c>
      <c r="L11" s="15" t="s">
        <v>409</v>
      </c>
      <c r="M11" s="242" t="s">
        <v>410</v>
      </c>
      <c r="N11" s="242" t="s">
        <v>410</v>
      </c>
      <c r="O11" s="242" t="s">
        <v>410</v>
      </c>
      <c r="P11" s="242" t="s">
        <v>411</v>
      </c>
      <c r="Q11" s="15" t="s">
        <v>412</v>
      </c>
      <c r="R11" s="396" t="s">
        <v>407</v>
      </c>
      <c r="S11" s="13" t="s">
        <v>407</v>
      </c>
      <c r="T11" s="242"/>
      <c r="U11" s="15" t="s">
        <v>10</v>
      </c>
      <c r="V11" s="67"/>
      <c r="W11" s="167"/>
    </row>
    <row r="12" spans="1:23" ht="15">
      <c r="A12" s="47"/>
      <c r="B12" s="235"/>
      <c r="C12" s="240"/>
      <c r="D12" s="242"/>
      <c r="E12" s="242"/>
      <c r="F12" s="242" t="s">
        <v>33</v>
      </c>
      <c r="G12" s="242"/>
      <c r="H12" s="242"/>
      <c r="I12" s="395"/>
      <c r="J12" s="15"/>
      <c r="K12" s="242" t="s">
        <v>731</v>
      </c>
      <c r="L12" s="15" t="s">
        <v>732</v>
      </c>
      <c r="M12" s="242" t="s">
        <v>731</v>
      </c>
      <c r="N12" s="242" t="s">
        <v>732</v>
      </c>
      <c r="O12" s="242" t="s">
        <v>414</v>
      </c>
      <c r="P12" s="242"/>
      <c r="Q12" s="15"/>
      <c r="R12" s="235" t="s">
        <v>458</v>
      </c>
      <c r="S12" s="15" t="s">
        <v>415</v>
      </c>
      <c r="T12" s="242"/>
      <c r="U12" s="15"/>
      <c r="V12" s="67"/>
      <c r="W12" s="167"/>
    </row>
    <row r="13" spans="1:23" ht="15.75" thickBot="1">
      <c r="A13" s="47"/>
      <c r="B13" s="243"/>
      <c r="C13" s="243"/>
      <c r="D13" s="245"/>
      <c r="E13" s="245"/>
      <c r="F13" s="16" t="s">
        <v>13</v>
      </c>
      <c r="G13" s="16" t="s">
        <v>14</v>
      </c>
      <c r="H13" s="16" t="s">
        <v>15</v>
      </c>
      <c r="I13" s="243"/>
      <c r="J13" s="16" t="s">
        <v>16</v>
      </c>
      <c r="K13" s="243" t="s">
        <v>17</v>
      </c>
      <c r="L13" s="16" t="s">
        <v>18</v>
      </c>
      <c r="M13" s="16" t="s">
        <v>19</v>
      </c>
      <c r="N13" s="16" t="s">
        <v>20</v>
      </c>
      <c r="O13" s="16" t="s">
        <v>21</v>
      </c>
      <c r="P13" s="16" t="s">
        <v>22</v>
      </c>
      <c r="Q13" s="16" t="s">
        <v>418</v>
      </c>
      <c r="R13" s="243" t="s">
        <v>419</v>
      </c>
      <c r="S13" s="16" t="s">
        <v>733</v>
      </c>
      <c r="T13" s="16"/>
      <c r="U13" s="16" t="s">
        <v>734</v>
      </c>
      <c r="V13" s="67"/>
      <c r="W13" s="167"/>
    </row>
    <row r="14" spans="1:23" ht="15">
      <c r="A14" s="47"/>
      <c r="B14" s="67"/>
      <c r="C14" s="12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12"/>
      <c r="V14" s="67"/>
      <c r="W14" s="167"/>
    </row>
    <row r="15" spans="1:24" ht="15.75">
      <c r="A15" s="47"/>
      <c r="B15" s="17">
        <f t="shared" si="0" ref="B15:B24">B14+1</f>
        <v>1</v>
      </c>
      <c r="C15" s="12"/>
      <c r="D15" s="247" t="s">
        <v>642</v>
      </c>
      <c r="E15" s="58" t="s">
        <v>253</v>
      </c>
      <c r="F15" s="121">
        <f>F638+F686</f>
        <v>2018203513.23</v>
      </c>
      <c r="G15" s="246"/>
      <c r="H15" s="246"/>
      <c r="I15" s="246"/>
      <c r="J15" s="121">
        <f t="shared" si="1" ref="J15:Q15">J638+J686</f>
        <v>953625803.39322329</v>
      </c>
      <c r="K15" s="121">
        <f t="shared" si="1"/>
        <v>30038080.711575851</v>
      </c>
      <c r="L15" s="121">
        <f t="shared" si="1"/>
        <v>671729051.9770453</v>
      </c>
      <c r="M15" s="121">
        <f t="shared" si="1"/>
        <v>478783.11594837112</v>
      </c>
      <c r="N15" s="121">
        <f t="shared" si="1"/>
        <v>164102443.80067378</v>
      </c>
      <c r="O15" s="121">
        <f>O638+O686</f>
        <v>47325215.699722119</v>
      </c>
      <c r="P15" s="121">
        <f t="shared" si="1"/>
        <v>138144336.85670269</v>
      </c>
      <c r="Q15" s="121">
        <f t="shared" si="1"/>
        <v>11345271.913414145</v>
      </c>
      <c r="R15" s="121">
        <f>R638+R686</f>
        <v>230092.83599067153</v>
      </c>
      <c r="S15" s="121">
        <f>S638+S686</f>
        <v>1184432.9257035789</v>
      </c>
      <c r="T15" s="246"/>
      <c r="U15" s="121">
        <f>SUM(I15:T15)</f>
        <v>2018203513.2299995</v>
      </c>
      <c r="V15" s="67"/>
      <c r="W15" s="167"/>
      <c r="X15" s="370">
        <f>U15-F15</f>
        <v>0</v>
      </c>
    </row>
    <row r="16" spans="1:24" ht="15.75">
      <c r="A16" s="47"/>
      <c r="B16" s="17">
        <f t="shared" si="0"/>
        <v>2</v>
      </c>
      <c r="C16" s="12"/>
      <c r="D16" s="247" t="s">
        <v>643</v>
      </c>
      <c r="E16" s="58" t="s">
        <v>253</v>
      </c>
      <c r="F16" s="121">
        <f>F706+F716+F726</f>
        <v>22154356.539999999</v>
      </c>
      <c r="G16" s="246"/>
      <c r="H16" s="246"/>
      <c r="I16" s="246"/>
      <c r="J16" s="121">
        <f t="shared" si="2" ref="J16:Q16">J706+J716+J726</f>
        <v>12396027.732325992</v>
      </c>
      <c r="K16" s="121">
        <f t="shared" si="2"/>
        <v>1795948.0173080142</v>
      </c>
      <c r="L16" s="121">
        <f t="shared" si="2"/>
        <v>5932491.5899607381</v>
      </c>
      <c r="M16" s="121">
        <f t="shared" si="2"/>
        <v>75000.036176562309</v>
      </c>
      <c r="N16" s="121">
        <f t="shared" si="2"/>
        <v>1660187.3809779678</v>
      </c>
      <c r="O16" s="121">
        <f>O706+O716+O726</f>
        <v>66099.854048811976</v>
      </c>
      <c r="P16" s="121">
        <f t="shared" si="2"/>
        <v>163243.39526535178</v>
      </c>
      <c r="Q16" s="121">
        <f t="shared" si="2"/>
        <v>45041.363707374519</v>
      </c>
      <c r="R16" s="121">
        <f>R706+R716+R726</f>
        <v>6091.1524909255131</v>
      </c>
      <c r="S16" s="121">
        <f>S706+S716+S726</f>
        <v>14226.017738264094</v>
      </c>
      <c r="T16" s="246"/>
      <c r="U16" s="121">
        <f>SUM(I16:T16)</f>
        <v>22154356.539999999</v>
      </c>
      <c r="V16" s="67"/>
      <c r="W16" s="167"/>
      <c r="X16" s="370">
        <f t="shared" si="3" ref="X16:X79">U16-F16</f>
        <v>0</v>
      </c>
    </row>
    <row r="17" spans="1:24" ht="17.25">
      <c r="A17" s="47"/>
      <c r="B17" s="17">
        <f t="shared" si="0"/>
        <v>3</v>
      </c>
      <c r="C17" s="12"/>
      <c r="D17" s="632" t="s">
        <v>644</v>
      </c>
      <c r="E17" s="58" t="s">
        <v>253</v>
      </c>
      <c r="F17" s="265">
        <f>F760</f>
        <v>509963538.95000005</v>
      </c>
      <c r="G17" s="246"/>
      <c r="H17" s="246"/>
      <c r="I17" s="246"/>
      <c r="J17" s="265">
        <f t="shared" si="4" ref="J17:Q17">J760</f>
        <v>276144532.53218412</v>
      </c>
      <c r="K17" s="265">
        <f t="shared" si="4"/>
        <v>14974355.872417778</v>
      </c>
      <c r="L17" s="265">
        <f t="shared" si="4"/>
        <v>167149177.54922953</v>
      </c>
      <c r="M17" s="265">
        <f t="shared" si="4"/>
        <v>374928.97748593712</v>
      </c>
      <c r="N17" s="265">
        <f t="shared" si="4"/>
        <v>31377473.373496491</v>
      </c>
      <c r="O17" s="265">
        <f>O760</f>
        <v>2525755.3176536588</v>
      </c>
      <c r="P17" s="265">
        <f t="shared" si="4"/>
        <v>929639.9444649237</v>
      </c>
      <c r="Q17" s="265">
        <f t="shared" si="4"/>
        <v>14811581.693930956</v>
      </c>
      <c r="R17" s="265">
        <f>R760</f>
        <v>293244.97370865877</v>
      </c>
      <c r="S17" s="265">
        <f>S760</f>
        <v>1382848.7154278045</v>
      </c>
      <c r="T17" s="246"/>
      <c r="U17" s="265">
        <f>SUM(I17:T17)</f>
        <v>509963538.94999987</v>
      </c>
      <c r="V17" s="67"/>
      <c r="W17" s="167"/>
      <c r="X17" s="370">
        <f t="shared" si="3"/>
        <v>0</v>
      </c>
    </row>
    <row r="18" spans="1:24" ht="15.75">
      <c r="A18" s="290"/>
      <c r="B18" s="17">
        <f t="shared" si="0"/>
        <v>4</v>
      </c>
      <c r="C18" s="167"/>
      <c r="D18" s="247" t="s">
        <v>506</v>
      </c>
      <c r="E18" s="58"/>
      <c r="F18" s="53">
        <f>SUM(F15:F17)</f>
        <v>2550321408.7200003</v>
      </c>
      <c r="G18" s="58"/>
      <c r="H18" s="20"/>
      <c r="I18" s="58"/>
      <c r="J18" s="53">
        <f t="shared" si="5" ref="J18:Q18">SUM(J15:J17)</f>
        <v>1242166363.6577334</v>
      </c>
      <c r="K18" s="53">
        <f t="shared" si="5"/>
        <v>46808384.60130164</v>
      </c>
      <c r="L18" s="53">
        <f t="shared" si="5"/>
        <v>844810721.11623549</v>
      </c>
      <c r="M18" s="53">
        <f t="shared" si="5"/>
        <v>928712.1296108705</v>
      </c>
      <c r="N18" s="53">
        <f t="shared" si="5"/>
        <v>197140104.55514824</v>
      </c>
      <c r="O18" s="53">
        <f>SUM(O15:O17)</f>
        <v>49917070.871424586</v>
      </c>
      <c r="P18" s="53">
        <f t="shared" si="5"/>
        <v>139237220.19643295</v>
      </c>
      <c r="Q18" s="53">
        <f t="shared" si="5"/>
        <v>26201894.971052475</v>
      </c>
      <c r="R18" s="53">
        <f>SUM(R15:R17)</f>
        <v>529428.96219025576</v>
      </c>
      <c r="S18" s="53">
        <f>SUM(S15:S17)</f>
        <v>2581507.6588696474</v>
      </c>
      <c r="T18" s="50"/>
      <c r="U18" s="251">
        <f>SUM(I18:T18)</f>
        <v>2550321408.7199998</v>
      </c>
      <c r="V18" s="67"/>
      <c r="W18" s="167" t="b">
        <f>' WP II-I-1.4'!$L$18=F18</f>
        <v>1</v>
      </c>
      <c r="X18" s="370">
        <f t="shared" si="3"/>
        <v>0</v>
      </c>
    </row>
    <row r="19" spans="1:24" ht="15" customHeight="1">
      <c r="A19" s="290"/>
      <c r="B19" s="17">
        <f t="shared" si="0"/>
        <v>5</v>
      </c>
      <c r="C19" s="167"/>
      <c r="D19" s="247"/>
      <c r="E19" s="58"/>
      <c r="F19" s="50"/>
      <c r="G19" s="58"/>
      <c r="H19" s="20"/>
      <c r="I19" s="58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121"/>
      <c r="V19" s="67"/>
      <c r="W19" s="167"/>
      <c r="X19" s="370">
        <f t="shared" si="3"/>
        <v>0</v>
      </c>
    </row>
    <row r="20" spans="1:24" ht="15.75">
      <c r="A20" s="290"/>
      <c r="B20" s="17">
        <f t="shared" si="0"/>
        <v>6</v>
      </c>
      <c r="C20" s="167"/>
      <c r="D20" s="214" t="s">
        <v>640</v>
      </c>
      <c r="E20" s="58" t="s">
        <v>297</v>
      </c>
      <c r="F20" s="50">
        <f>F1035</f>
        <v>523660785.71999991</v>
      </c>
      <c r="G20" s="58"/>
      <c r="H20" s="20"/>
      <c r="I20" s="58"/>
      <c r="J20" s="50">
        <f t="shared" si="6" ref="J20:Q20">J1035</f>
        <v>281123047.32723951</v>
      </c>
      <c r="K20" s="50">
        <f t="shared" si="6"/>
        <v>15761938.405365963</v>
      </c>
      <c r="L20" s="50">
        <f t="shared" si="6"/>
        <v>169466382.40089017</v>
      </c>
      <c r="M20" s="50">
        <f t="shared" si="6"/>
        <v>291163.56087818439</v>
      </c>
      <c r="N20" s="50">
        <f t="shared" si="6"/>
        <v>27629168.085555062</v>
      </c>
      <c r="O20" s="50">
        <f>O1035</f>
        <v>1898475.8477377635</v>
      </c>
      <c r="P20" s="50">
        <f t="shared" si="6"/>
        <v>724734.40091823856</v>
      </c>
      <c r="Q20" s="50">
        <f t="shared" si="6"/>
        <v>25262785.72578226</v>
      </c>
      <c r="R20" s="50">
        <f>R1035</f>
        <v>226786.57457081863</v>
      </c>
      <c r="S20" s="50">
        <f>S1035</f>
        <v>1276303.3910621018</v>
      </c>
      <c r="T20" s="50"/>
      <c r="U20" s="121">
        <f>SUM(I20:T20)</f>
        <v>523660785.72000009</v>
      </c>
      <c r="V20" s="67"/>
      <c r="W20" s="167"/>
      <c r="X20" s="370">
        <f t="shared" si="3"/>
        <v>0</v>
      </c>
    </row>
    <row r="21" spans="1:24" ht="17.25">
      <c r="A21" s="290"/>
      <c r="B21" s="17">
        <f t="shared" si="0"/>
        <v>7</v>
      </c>
      <c r="C21" s="167"/>
      <c r="D21" s="633" t="s">
        <v>641</v>
      </c>
      <c r="E21" s="58" t="s">
        <v>330</v>
      </c>
      <c r="F21" s="630">
        <f>F1037+F1038</f>
        <v>22687054.27</v>
      </c>
      <c r="G21" s="58"/>
      <c r="H21" s="20"/>
      <c r="I21" s="58"/>
      <c r="J21" s="630">
        <f t="shared" si="7" ref="J21:Q21">J1037+J1038</f>
        <v>12650658.705585858</v>
      </c>
      <c r="K21" s="630">
        <f t="shared" si="7"/>
        <v>2137050.8743085344</v>
      </c>
      <c r="L21" s="630">
        <f t="shared" si="7"/>
        <v>5773978.6577372681</v>
      </c>
      <c r="M21" s="630">
        <f t="shared" si="7"/>
        <v>94427.673574776083</v>
      </c>
      <c r="N21" s="630">
        <f t="shared" si="7"/>
        <v>1828228.1142489093</v>
      </c>
      <c r="O21" s="630">
        <f>O1037+O1038</f>
        <v>52758.302818698437</v>
      </c>
      <c r="P21" s="630">
        <f t="shared" si="7"/>
        <v>144326.38593582937</v>
      </c>
      <c r="Q21" s="630">
        <f t="shared" si="7"/>
        <v>-10486.3385122645</v>
      </c>
      <c r="R21" s="630">
        <f>R1037+R1038</f>
        <v>6021.1820817181388</v>
      </c>
      <c r="S21" s="630">
        <f>S1037+S1038</f>
        <v>10090.71222068092</v>
      </c>
      <c r="T21" s="50"/>
      <c r="U21" s="265">
        <f>SUM(I21:T21)</f>
        <v>22687054.270000003</v>
      </c>
      <c r="V21" s="67"/>
      <c r="W21" s="167"/>
      <c r="X21" s="370">
        <f t="shared" si="3"/>
        <v>0</v>
      </c>
    </row>
    <row r="22" spans="1:24" ht="15" customHeight="1">
      <c r="A22" s="290"/>
      <c r="B22" s="17">
        <f t="shared" si="0"/>
        <v>8</v>
      </c>
      <c r="C22" s="167"/>
      <c r="D22" s="12" t="s">
        <v>507</v>
      </c>
      <c r="E22" s="58"/>
      <c r="F22" s="53">
        <f>SUM(F20:F21)</f>
        <v>546347839.98999989</v>
      </c>
      <c r="G22" s="58"/>
      <c r="H22" s="58"/>
      <c r="I22" s="58"/>
      <c r="J22" s="53">
        <f t="shared" si="8" ref="J22:Q22">SUM(J20:J21)</f>
        <v>293773706.03282535</v>
      </c>
      <c r="K22" s="53">
        <f t="shared" si="8"/>
        <v>17898989.279674497</v>
      </c>
      <c r="L22" s="53">
        <f t="shared" si="8"/>
        <v>175240361.05862743</v>
      </c>
      <c r="M22" s="53">
        <f t="shared" si="8"/>
        <v>385591.23445296049</v>
      </c>
      <c r="N22" s="53">
        <f t="shared" si="8"/>
        <v>29457396.199803971</v>
      </c>
      <c r="O22" s="53">
        <f>SUM(O20:O21)</f>
        <v>1951234.1505564619</v>
      </c>
      <c r="P22" s="53">
        <f t="shared" si="8"/>
        <v>869060.78685406793</v>
      </c>
      <c r="Q22" s="53">
        <f t="shared" si="8"/>
        <v>25252299.387269996</v>
      </c>
      <c r="R22" s="53">
        <f>SUM(R20:R21)</f>
        <v>232807.75665253677</v>
      </c>
      <c r="S22" s="53">
        <f>SUM(S20:S21)</f>
        <v>1286394.1032827827</v>
      </c>
      <c r="T22" s="50"/>
      <c r="U22" s="251">
        <f>SUM(I22:T22)</f>
        <v>546347839.99000013</v>
      </c>
      <c r="V22" s="67"/>
      <c r="W22" s="167" t="b">
        <f>' WP II-I-1.4'!$L$22=F22</f>
        <v>1</v>
      </c>
      <c r="X22" s="370">
        <f t="shared" si="3"/>
        <v>0</v>
      </c>
    </row>
    <row r="23" spans="1:24" ht="15.75">
      <c r="A23" s="290"/>
      <c r="B23" s="17">
        <f t="shared" si="0"/>
        <v>9</v>
      </c>
      <c r="C23" s="167"/>
      <c r="D23" s="12"/>
      <c r="E23" s="58"/>
      <c r="F23" s="50"/>
      <c r="G23" s="58"/>
      <c r="H23" s="58"/>
      <c r="I23" s="58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121"/>
      <c r="V23" s="67"/>
      <c r="W23" s="167"/>
      <c r="X23" s="370">
        <f t="shared" si="3"/>
        <v>0</v>
      </c>
    </row>
    <row r="24" spans="1:24" ht="15.75">
      <c r="A24" s="290"/>
      <c r="B24" s="17">
        <f t="shared" si="0"/>
        <v>10</v>
      </c>
      <c r="C24" s="167"/>
      <c r="D24" s="12" t="s">
        <v>364</v>
      </c>
      <c r="E24" s="58" t="s">
        <v>305</v>
      </c>
      <c r="F24" s="50">
        <f>+F1072</f>
        <v>460498198.73000002</v>
      </c>
      <c r="G24" s="58"/>
      <c r="H24" s="58"/>
      <c r="I24" s="58"/>
      <c r="J24" s="50">
        <f t="shared" si="9" ref="J24:Q24">+J1072</f>
        <v>210697996.6051693</v>
      </c>
      <c r="K24" s="50">
        <f t="shared" si="9"/>
        <v>8641668.9486459792</v>
      </c>
      <c r="L24" s="50">
        <f t="shared" si="9"/>
        <v>178652944.13622558</v>
      </c>
      <c r="M24" s="50">
        <f t="shared" si="9"/>
        <v>71539.685166159703</v>
      </c>
      <c r="N24" s="50">
        <f>+N1072</f>
        <v>28656331.881986994</v>
      </c>
      <c r="O24" s="50">
        <f>+O1072</f>
        <v>3850802.1869688313</v>
      </c>
      <c r="P24" s="50">
        <f t="shared" si="9"/>
        <v>22791528.856317755</v>
      </c>
      <c r="Q24" s="50">
        <f t="shared" si="9"/>
        <v>5993922.560486896</v>
      </c>
      <c r="R24" s="50">
        <f>+R1072</f>
        <v>330064.78976667323</v>
      </c>
      <c r="S24" s="50">
        <f>+S1072</f>
        <v>811399.07926575246</v>
      </c>
      <c r="T24" s="50"/>
      <c r="U24" s="121">
        <f>SUM(I24:T24)</f>
        <v>460498198.7299999</v>
      </c>
      <c r="V24" s="67"/>
      <c r="W24" s="167" t="b">
        <f>' WP II-I-1.4'!$L$24=F24</f>
        <v>1</v>
      </c>
      <c r="X24" s="370">
        <f t="shared" si="3"/>
        <v>0</v>
      </c>
    </row>
    <row r="25" spans="1:24" ht="15.75">
      <c r="A25" s="290"/>
      <c r="B25" s="17">
        <f t="shared" si="10" ref="B25:B39">B24+1</f>
        <v>11</v>
      </c>
      <c r="C25" s="167"/>
      <c r="D25" s="247" t="s">
        <v>508</v>
      </c>
      <c r="E25" s="58" t="s">
        <v>316</v>
      </c>
      <c r="F25" s="50">
        <f>+F1130</f>
        <v>82404685.944568411</v>
      </c>
      <c r="G25" s="58"/>
      <c r="H25" s="58"/>
      <c r="I25" s="58"/>
      <c r="J25" s="50">
        <f t="shared" si="11" ref="J25:Q25">+J1130</f>
        <v>45850278.323586799</v>
      </c>
      <c r="K25" s="50">
        <f t="shared" si="11"/>
        <v>1770897.0750423032</v>
      </c>
      <c r="L25" s="50">
        <f t="shared" si="11"/>
        <v>28788315.074287303</v>
      </c>
      <c r="M25" s="50">
        <f t="shared" si="11"/>
        <v>25535.902038935445</v>
      </c>
      <c r="N25" s="50">
        <f t="shared" si="11"/>
        <v>4606241.090191206</v>
      </c>
      <c r="O25" s="50">
        <f>+O1130</f>
        <v>442044.22908963409</v>
      </c>
      <c r="P25" s="50">
        <f t="shared" si="11"/>
        <v>162487.88675137755</v>
      </c>
      <c r="Q25" s="50">
        <f t="shared" si="11"/>
        <v>473466.33778424712</v>
      </c>
      <c r="R25" s="50">
        <f>+R1130</f>
        <v>52629.278813041012</v>
      </c>
      <c r="S25" s="50">
        <f>+S1130</f>
        <v>232790.74698357988</v>
      </c>
      <c r="T25" s="50"/>
      <c r="U25" s="121">
        <f>SUM(I25:T25)</f>
        <v>82404685.944568396</v>
      </c>
      <c r="V25" s="67"/>
      <c r="W25" s="726">
        <f>' WP II-I-1.4'!$L$25-F25</f>
        <v>0</v>
      </c>
      <c r="X25" s="370">
        <f t="shared" si="3"/>
        <v>0</v>
      </c>
    </row>
    <row r="26" spans="1:24" ht="15.75">
      <c r="A26" s="290"/>
      <c r="B26" s="17">
        <f t="shared" si="10"/>
        <v>12</v>
      </c>
      <c r="C26" s="167"/>
      <c r="D26" s="151"/>
      <c r="E26" s="248"/>
      <c r="F26" s="50"/>
      <c r="G26" s="248"/>
      <c r="H26" s="248"/>
      <c r="I26" s="248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67"/>
      <c r="W26" s="167"/>
      <c r="X26" s="370">
        <f t="shared" si="3"/>
        <v>0</v>
      </c>
    </row>
    <row r="27" spans="1:24" ht="15.75">
      <c r="A27" s="290"/>
      <c r="B27" s="17">
        <f t="shared" si="10"/>
        <v>13</v>
      </c>
      <c r="C27" s="167"/>
      <c r="D27" s="12" t="s">
        <v>509</v>
      </c>
      <c r="E27" s="58" t="s">
        <v>510</v>
      </c>
      <c r="F27" s="50">
        <f>+F83</f>
        <v>683000510.00813854</v>
      </c>
      <c r="G27" s="58"/>
      <c r="H27" s="58"/>
      <c r="I27" s="58"/>
      <c r="J27" s="50">
        <f t="shared" si="12" ref="J27:Q27">+J83</f>
        <v>379834069.69047773</v>
      </c>
      <c r="K27" s="50">
        <f t="shared" si="12"/>
        <v>15300982.107665461</v>
      </c>
      <c r="L27" s="50">
        <f t="shared" si="12"/>
        <v>237996209.06867737</v>
      </c>
      <c r="M27" s="50">
        <f t="shared" si="12"/>
        <v>245203.69598301943</v>
      </c>
      <c r="N27" s="50">
        <f t="shared" si="12"/>
        <v>38356622.668801248</v>
      </c>
      <c r="O27" s="50">
        <f>+O83</f>
        <v>3620199.2762538223</v>
      </c>
      <c r="P27" s="50">
        <f t="shared" si="12"/>
        <v>1383463.2660256971</v>
      </c>
      <c r="Q27" s="50">
        <f t="shared" si="12"/>
        <v>3922745.944692445</v>
      </c>
      <c r="R27" s="50">
        <f>+R83</f>
        <v>432136.60320334812</v>
      </c>
      <c r="S27" s="50">
        <f>+S83</f>
        <v>1908877.6863581536</v>
      </c>
      <c r="T27" s="50"/>
      <c r="U27" s="121">
        <f>SUM(I27:T27)</f>
        <v>683000510.00813818</v>
      </c>
      <c r="V27" s="67"/>
      <c r="W27" s="249" t="b">
        <f>' WP II-I-1.4'!$L$27=F27</f>
        <v>1</v>
      </c>
      <c r="X27" s="370">
        <f t="shared" si="3"/>
        <v>0</v>
      </c>
    </row>
    <row r="28" spans="1:24" ht="15.75">
      <c r="A28" s="290"/>
      <c r="B28" s="17">
        <f t="shared" si="10"/>
        <v>14</v>
      </c>
      <c r="C28" s="167"/>
      <c r="D28" s="247"/>
      <c r="E28" s="248"/>
      <c r="F28" s="12"/>
      <c r="G28" s="248"/>
      <c r="H28" s="248"/>
      <c r="I28" s="24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1"/>
      <c r="V28" s="67"/>
      <c r="W28" s="167"/>
      <c r="X28" s="370">
        <f t="shared" si="3"/>
        <v>0</v>
      </c>
    </row>
    <row r="29" spans="1:24" s="664" customFormat="1" ht="15">
      <c r="A29" s="751"/>
      <c r="B29" s="728">
        <f t="shared" si="10"/>
        <v>15</v>
      </c>
      <c r="C29" s="167"/>
      <c r="D29" s="1223" t="s">
        <v>511</v>
      </c>
      <c r="E29" s="1224"/>
      <c r="F29" s="704">
        <f>+F18+F22+F24+F25+F27</f>
        <v>4322572643.3927069</v>
      </c>
      <c r="G29" s="1224"/>
      <c r="H29" s="1224"/>
      <c r="I29" s="1224"/>
      <c r="J29" s="704">
        <f t="shared" si="13" ref="J29:Q29">+J18+J22+J24+J25+J27</f>
        <v>2172322414.3097925</v>
      </c>
      <c r="K29" s="704">
        <f t="shared" si="13"/>
        <v>90420922.012329891</v>
      </c>
      <c r="L29" s="704">
        <f t="shared" si="13"/>
        <v>1465488550.4540534</v>
      </c>
      <c r="M29" s="704">
        <f t="shared" si="13"/>
        <v>1656582.6472519455</v>
      </c>
      <c r="N29" s="704">
        <f t="shared" si="13"/>
        <v>298216696.39593172</v>
      </c>
      <c r="O29" s="704">
        <f>+O18+O22+O24+O25+O27</f>
        <v>59781350.714293331</v>
      </c>
      <c r="P29" s="704">
        <f t="shared" si="13"/>
        <v>164443760.99238184</v>
      </c>
      <c r="Q29" s="704">
        <f t="shared" si="13"/>
        <v>61844329.201286063</v>
      </c>
      <c r="R29" s="704">
        <f>+R18+R22+R24+R25+R27</f>
        <v>1577067.390625855</v>
      </c>
      <c r="S29" s="704">
        <f>+S18+S22+S24+S25+S27</f>
        <v>6820969.2747599166</v>
      </c>
      <c r="T29" s="704"/>
      <c r="U29" s="777">
        <f>SUM(I29:T29)</f>
        <v>4322572643.3927078</v>
      </c>
      <c r="W29" s="167" t="b">
        <f>' WP II-I-1.4'!$L$29=F29</f>
        <v>1</v>
      </c>
      <c r="X29" s="729">
        <f t="shared" si="3"/>
        <v>0</v>
      </c>
    </row>
    <row r="30" spans="1:24" ht="15.75">
      <c r="A30" s="290"/>
      <c r="B30" s="17">
        <f t="shared" si="10"/>
        <v>16</v>
      </c>
      <c r="C30" s="167"/>
      <c r="D30" s="12"/>
      <c r="E30" s="58"/>
      <c r="F30" s="12"/>
      <c r="G30" s="58"/>
      <c r="H30" s="58"/>
      <c r="I30" s="5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67"/>
      <c r="W30" s="167"/>
      <c r="X30" s="370">
        <f t="shared" si="3"/>
        <v>0</v>
      </c>
    </row>
    <row r="31" spans="1:24" ht="15.75">
      <c r="A31" s="290"/>
      <c r="B31" s="17">
        <f t="shared" si="10"/>
        <v>17</v>
      </c>
      <c r="C31" s="167"/>
      <c r="D31" s="12" t="s">
        <v>512</v>
      </c>
      <c r="E31" s="58" t="s">
        <v>335</v>
      </c>
      <c r="F31" s="50">
        <f>+F1186</f>
        <v>57057627.599999994</v>
      </c>
      <c r="G31" s="58"/>
      <c r="H31" s="58"/>
      <c r="I31" s="58"/>
      <c r="J31" s="50">
        <f t="shared" si="14" ref="J31:Q31">+J1186</f>
        <v>36873130.591759935</v>
      </c>
      <c r="K31" s="50">
        <f t="shared" si="14"/>
        <v>2417394.4998616055</v>
      </c>
      <c r="L31" s="50">
        <f t="shared" si="14"/>
        <v>14530138.192260621</v>
      </c>
      <c r="M31" s="50">
        <f t="shared" si="14"/>
        <v>37722.117905883446</v>
      </c>
      <c r="N31" s="50">
        <f t="shared" si="14"/>
        <v>2409772.5133022121</v>
      </c>
      <c r="O31" s="50">
        <f>+O1186</f>
        <v>131631.27719676026</v>
      </c>
      <c r="P31" s="50">
        <f t="shared" si="14"/>
        <v>67300.001663012808</v>
      </c>
      <c r="Q31" s="50">
        <f t="shared" si="14"/>
        <v>533688.89720402774</v>
      </c>
      <c r="R31" s="50">
        <f>+R1186</f>
        <v>3613.0677866034262</v>
      </c>
      <c r="S31" s="50">
        <f>+S1186</f>
        <v>53236.441059334698</v>
      </c>
      <c r="T31" s="50"/>
      <c r="U31" s="121">
        <f>SUM(I31:T31)</f>
        <v>57057627.600000001</v>
      </c>
      <c r="V31" s="67"/>
      <c r="W31" s="167" t="b">
        <f>' WP II-I-1.4'!$L$31=F31</f>
        <v>1</v>
      </c>
      <c r="X31" s="370">
        <f t="shared" si="3"/>
        <v>0</v>
      </c>
    </row>
    <row r="32" spans="1:24" ht="15.75" thickBot="1">
      <c r="A32" s="290"/>
      <c r="B32" s="17">
        <f t="shared" si="10"/>
        <v>18</v>
      </c>
      <c r="C32" s="167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67"/>
      <c r="W32" s="167"/>
      <c r="X32" s="370">
        <f t="shared" si="3"/>
        <v>0</v>
      </c>
    </row>
    <row r="33" spans="1:24" ht="16.5" thickBot="1">
      <c r="A33" s="290"/>
      <c r="B33" s="17">
        <f t="shared" si="10"/>
        <v>19</v>
      </c>
      <c r="C33" s="167"/>
      <c r="D33" s="253" t="s">
        <v>513</v>
      </c>
      <c r="E33" s="254"/>
      <c r="F33" s="255">
        <f>+F29-F31</f>
        <v>4265515015.792707</v>
      </c>
      <c r="G33" s="254"/>
      <c r="H33" s="397"/>
      <c r="I33" s="616"/>
      <c r="J33" s="360">
        <f t="shared" si="15" ref="J33:Q33">+J29-J31</f>
        <v>2135449283.7180326</v>
      </c>
      <c r="K33" s="255">
        <f t="shared" si="15"/>
        <v>88003527.512468278</v>
      </c>
      <c r="L33" s="380">
        <f t="shared" si="15"/>
        <v>1450958412.2617929</v>
      </c>
      <c r="M33" s="446">
        <f t="shared" si="15"/>
        <v>1618860.5293460621</v>
      </c>
      <c r="N33" s="255">
        <f t="shared" si="15"/>
        <v>295806923.88262951</v>
      </c>
      <c r="O33" s="255">
        <f>+O29-O31</f>
        <v>59649719.437096573</v>
      </c>
      <c r="P33" s="255">
        <f t="shared" si="15"/>
        <v>164376460.99071884</v>
      </c>
      <c r="Q33" s="255">
        <f t="shared" si="15"/>
        <v>61310640.304082036</v>
      </c>
      <c r="R33" s="255">
        <f>+R29-R31</f>
        <v>1573454.3228392515</v>
      </c>
      <c r="S33" s="380">
        <f>+S29-S31</f>
        <v>6767732.8337005815</v>
      </c>
      <c r="T33" s="1011"/>
      <c r="U33" s="256">
        <f>SUM(I33:T33)</f>
        <v>4265515015.792706</v>
      </c>
      <c r="V33" s="67"/>
      <c r="W33" s="726">
        <f>' WP II-I-1.4'!$L$33-F33</f>
        <v>0</v>
      </c>
      <c r="X33" s="370">
        <f t="shared" si="3"/>
        <v>0</v>
      </c>
    </row>
    <row r="34" spans="1:24" ht="16.5" thickBot="1">
      <c r="A34" s="47"/>
      <c r="B34" s="17">
        <f t="shared" si="10"/>
        <v>20</v>
      </c>
      <c r="C34" s="167"/>
      <c r="D34" s="12"/>
      <c r="E34" s="150"/>
      <c r="F34" s="121"/>
      <c r="G34" s="150"/>
      <c r="H34" s="150"/>
      <c r="I34" s="150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7"/>
      <c r="W34" s="167"/>
      <c r="X34" s="370">
        <f t="shared" si="3"/>
        <v>0</v>
      </c>
    </row>
    <row r="35" spans="1:24" ht="15.75">
      <c r="A35" s="47"/>
      <c r="B35" s="17">
        <f t="shared" si="10"/>
        <v>21</v>
      </c>
      <c r="C35" s="167"/>
      <c r="D35" s="398" t="s">
        <v>735</v>
      </c>
      <c r="E35" s="399"/>
      <c r="F35" s="400">
        <f>'WP II-I-1.5'!D54</f>
        <v>0</v>
      </c>
      <c r="G35" s="399"/>
      <c r="H35" s="401"/>
      <c r="I35" s="482"/>
      <c r="J35" s="635">
        <f>'WP II-I-1.5'!F54</f>
        <v>0</v>
      </c>
      <c r="K35" s="400">
        <f>'WP II-I-1.5'!G54</f>
        <v>0</v>
      </c>
      <c r="L35" s="402">
        <f>'WP II-I-1.5'!H54</f>
        <v>0</v>
      </c>
      <c r="M35" s="400">
        <f>'WP II-I-1.5'!I54</f>
        <v>0</v>
      </c>
      <c r="N35" s="400">
        <f>'WP II-I-1.5'!J54</f>
        <v>0</v>
      </c>
      <c r="O35" s="400">
        <f>'WP II-I-1.5'!K54</f>
        <v>0</v>
      </c>
      <c r="P35" s="400">
        <f>'WP II-I-1.5'!L54</f>
        <v>0</v>
      </c>
      <c r="Q35" s="400">
        <f>'WP II-I-1.5'!M54</f>
        <v>0</v>
      </c>
      <c r="R35" s="400">
        <f>'WP II-I-1.5'!N54</f>
        <v>0</v>
      </c>
      <c r="S35" s="400">
        <f>'WP II-I-1.5'!O54</f>
        <v>0</v>
      </c>
      <c r="T35" s="1465"/>
      <c r="U35" s="402">
        <f>SUM(I35:T35)</f>
        <v>0</v>
      </c>
      <c r="V35" s="67"/>
      <c r="W35" s="167"/>
      <c r="X35" s="370">
        <f t="shared" si="3"/>
        <v>0</v>
      </c>
    </row>
    <row r="36" spans="1:24" ht="15">
      <c r="A36" s="47"/>
      <c r="B36" s="17">
        <f t="shared" si="10"/>
        <v>22</v>
      </c>
      <c r="C36" s="167"/>
      <c r="D36" s="403" t="s">
        <v>736</v>
      </c>
      <c r="E36" s="404"/>
      <c r="F36" s="404"/>
      <c r="G36" s="404"/>
      <c r="H36" s="405"/>
      <c r="I36" s="483"/>
      <c r="J36" s="483"/>
      <c r="K36" s="404"/>
      <c r="L36" s="405"/>
      <c r="M36" s="404"/>
      <c r="N36" s="404"/>
      <c r="O36" s="404"/>
      <c r="P36" s="404"/>
      <c r="Q36" s="404"/>
      <c r="R36" s="404"/>
      <c r="S36" s="404"/>
      <c r="T36" s="1466"/>
      <c r="U36" s="405"/>
      <c r="V36" s="67"/>
      <c r="W36" s="167"/>
      <c r="X36" s="370">
        <f t="shared" si="3"/>
        <v>0</v>
      </c>
    </row>
    <row r="37" spans="1:24" ht="15.75">
      <c r="A37" s="47"/>
      <c r="B37" s="17">
        <f t="shared" si="10"/>
        <v>23</v>
      </c>
      <c r="C37" s="167"/>
      <c r="D37" s="406" t="s">
        <v>737</v>
      </c>
      <c r="E37" s="150"/>
      <c r="F37" s="22">
        <f>F33+F35</f>
        <v>4265515015.792707</v>
      </c>
      <c r="G37" s="150"/>
      <c r="H37" s="407"/>
      <c r="I37" s="484"/>
      <c r="J37" s="636">
        <f t="shared" si="16" ref="J37:Q37">J33+J35</f>
        <v>2135449283.7180326</v>
      </c>
      <c r="K37" s="896">
        <f t="shared" si="16"/>
        <v>88003527.512468278</v>
      </c>
      <c r="L37" s="485">
        <f t="shared" si="16"/>
        <v>1450958412.2617929</v>
      </c>
      <c r="M37" s="896">
        <f t="shared" si="16"/>
        <v>1618860.5293460621</v>
      </c>
      <c r="N37" s="896">
        <f t="shared" si="16"/>
        <v>295806923.88262951</v>
      </c>
      <c r="O37" s="896">
        <f>O33+O35</f>
        <v>59649719.437096573</v>
      </c>
      <c r="P37" s="896">
        <f t="shared" si="16"/>
        <v>164376460.99071884</v>
      </c>
      <c r="Q37" s="896">
        <f t="shared" si="16"/>
        <v>61310640.304082036</v>
      </c>
      <c r="R37" s="896">
        <f>R33+R35</f>
        <v>1573454.3228392515</v>
      </c>
      <c r="S37" s="896">
        <f>S33+S35</f>
        <v>6767732.8337005815</v>
      </c>
      <c r="T37" s="324"/>
      <c r="U37" s="408">
        <f>SUM(I37:T37)</f>
        <v>4265515015.792706</v>
      </c>
      <c r="V37" s="67"/>
      <c r="W37" s="167"/>
      <c r="X37" s="370">
        <f t="shared" si="3"/>
        <v>0</v>
      </c>
    </row>
    <row r="38" spans="1:24" ht="15.75">
      <c r="A38" s="47"/>
      <c r="B38" s="17">
        <f t="shared" si="10"/>
        <v>24</v>
      </c>
      <c r="C38" s="167"/>
      <c r="D38" s="403"/>
      <c r="E38" s="150"/>
      <c r="F38" s="24"/>
      <c r="G38" s="150"/>
      <c r="H38" s="407"/>
      <c r="I38" s="484"/>
      <c r="J38" s="637"/>
      <c r="K38" s="24"/>
      <c r="L38" s="409"/>
      <c r="M38" s="24"/>
      <c r="N38" s="24"/>
      <c r="O38" s="24"/>
      <c r="P38" s="24"/>
      <c r="Q38" s="24"/>
      <c r="R38" s="24"/>
      <c r="S38" s="24"/>
      <c r="T38" s="1467"/>
      <c r="U38" s="409"/>
      <c r="V38" s="67"/>
      <c r="W38" s="167"/>
      <c r="X38" s="370">
        <f t="shared" si="3"/>
        <v>0</v>
      </c>
    </row>
    <row r="39" spans="1:24" ht="16.5" thickBot="1">
      <c r="A39" s="47"/>
      <c r="B39" s="17">
        <f t="shared" si="10"/>
        <v>25</v>
      </c>
      <c r="C39" s="167"/>
      <c r="D39" s="410" t="s">
        <v>1385</v>
      </c>
      <c r="E39" s="411"/>
      <c r="F39" s="412">
        <f>+F37-F622-('II-I-DIST'!F753*0.727923)</f>
        <v>2611346368.5786715</v>
      </c>
      <c r="G39" s="411"/>
      <c r="H39" s="413"/>
      <c r="I39" s="1225"/>
      <c r="J39" s="1060">
        <f>+J37-J622-('II-I-DIST'!J753*0.727923)</f>
        <v>1376436324.9662237</v>
      </c>
      <c r="K39" s="412">
        <f>+K37-K622-('II-I-DIST'!K753*0.727923)</f>
        <v>66776949.635808654</v>
      </c>
      <c r="L39" s="412">
        <f>+L37-L622-('II-I-DIST'!L753*0.727923)</f>
        <v>899222732.82073951</v>
      </c>
      <c r="M39" s="412">
        <f>+M37-M622-('II-I-DIST'!M753*0.727923)</f>
        <v>1399041.2868119557</v>
      </c>
      <c r="N39" s="412">
        <f>+N37-N622-('II-I-DIST'!N753*0.727923)</f>
        <v>157122302.14203998</v>
      </c>
      <c r="O39" s="412">
        <f>+O37-O622-('II-I-DIST'!O753*0.727923)</f>
        <v>14242448.874059126</v>
      </c>
      <c r="P39" s="412">
        <f>+P37-P622-('II-I-DIST'!P753*0.727923)</f>
        <v>26521580.734449066</v>
      </c>
      <c r="Q39" s="412">
        <f>+Q37-Q622-('II-I-DIST'!Q753*0.727923)</f>
        <v>61287007.390126593</v>
      </c>
      <c r="R39" s="412">
        <f>+R37-R622-('II-I-DIST'!R753*0.727923)</f>
        <v>1572849.4675184619</v>
      </c>
      <c r="S39" s="412">
        <f>+S37-S622-('II-I-DIST'!S753*0.727923)</f>
        <v>6765131.2608941952</v>
      </c>
      <c r="T39" s="314"/>
      <c r="U39" s="1001">
        <f>SUM(I39:T39)</f>
        <v>2611346368.578671</v>
      </c>
      <c r="V39" s="421"/>
      <c r="W39" s="726">
        <f>U37-F622-1646626-U39</f>
        <v>-0.22596502304077148</v>
      </c>
      <c r="X39" s="370">
        <f t="shared" si="3"/>
        <v>0</v>
      </c>
    </row>
    <row r="40" spans="1:24" ht="15.75">
      <c r="A40" s="47"/>
      <c r="B40" s="67"/>
      <c r="C40" s="67"/>
      <c r="D40" s="67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67"/>
      <c r="V40" s="67"/>
      <c r="W40" s="167"/>
      <c r="X40" s="370">
        <f t="shared" si="3"/>
        <v>0</v>
      </c>
    </row>
    <row r="41" spans="1:24" ht="16.5" thickBot="1">
      <c r="A41" s="47"/>
      <c r="B41" s="67"/>
      <c r="C41" s="67"/>
      <c r="D41" s="67"/>
      <c r="E41" s="150"/>
      <c r="F41" s="877"/>
      <c r="G41" s="877"/>
      <c r="H41" s="134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34"/>
      <c r="V41" s="134"/>
      <c r="W41" s="726"/>
      <c r="X41" s="370"/>
    </row>
    <row r="42" spans="1:24" ht="15.75">
      <c r="A42" s="47"/>
      <c r="B42" s="920" t="str">
        <f>+$B$4</f>
        <v>2022 RATE CASE</v>
      </c>
      <c r="C42" s="964"/>
      <c r="D42" s="965"/>
      <c r="E42" s="67"/>
      <c r="F42" s="67"/>
      <c r="G42" s="67"/>
      <c r="H42" s="67"/>
      <c r="I42" s="118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134"/>
      <c r="V42" s="167"/>
      <c r="W42" s="167"/>
      <c r="X42" s="370">
        <f t="shared" si="3"/>
        <v>0</v>
      </c>
    </row>
    <row r="43" spans="1:24" ht="15.75">
      <c r="A43" s="290"/>
      <c r="B43" s="917" t="str">
        <f>+$B$5</f>
        <v>ONCOR ELECTRIC DELIVERY COMPANY LLC</v>
      </c>
      <c r="C43" s="840"/>
      <c r="D43" s="9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134"/>
      <c r="V43" s="67"/>
      <c r="W43" s="167"/>
      <c r="X43" s="370">
        <f t="shared" si="3"/>
        <v>0</v>
      </c>
    </row>
    <row r="44" spans="1:24" ht="15.75">
      <c r="A44" s="47"/>
      <c r="B44" s="917" t="str">
        <f>+$B$6</f>
        <v>II-I-1-TOT:  CLASS REVENUE REQUIREMENT</v>
      </c>
      <c r="C44" s="840"/>
      <c r="D44" s="921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167"/>
      <c r="X44" s="370">
        <f t="shared" si="3"/>
        <v>0</v>
      </c>
    </row>
    <row r="45" spans="1:24" ht="15.75">
      <c r="A45" s="47"/>
      <c r="B45" s="406" t="str">
        <f>+$B$7</f>
        <v>TEST YEAR ENDING 12/31/2021</v>
      </c>
      <c r="C45" s="840"/>
      <c r="D45" s="921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167"/>
      <c r="X45" s="370">
        <f t="shared" si="3"/>
        <v>0</v>
      </c>
    </row>
    <row r="46" spans="1:24" ht="15.75">
      <c r="A46" s="47"/>
      <c r="B46" s="406" t="str">
        <f>+$B$8</f>
        <v>SPONSOR:  MATTHEW A. TROXLE</v>
      </c>
      <c r="C46" s="840"/>
      <c r="D46" s="921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167"/>
      <c r="X46" s="370">
        <f t="shared" si="3"/>
        <v>0</v>
      </c>
    </row>
    <row r="47" spans="1:24" ht="16.5" thickBot="1">
      <c r="A47" s="47"/>
      <c r="B47" s="410"/>
      <c r="C47" s="840"/>
      <c r="D47" s="92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167"/>
      <c r="X47" s="370">
        <f t="shared" si="3"/>
        <v>0</v>
      </c>
    </row>
    <row r="48" spans="1:24" ht="15.75" thickBot="1">
      <c r="A48" s="47"/>
      <c r="B48" s="235"/>
      <c r="C48" s="236"/>
      <c r="D48" s="259"/>
      <c r="E48" s="238"/>
      <c r="F48" s="14"/>
      <c r="G48" s="238"/>
      <c r="H48" s="238"/>
      <c r="I48" s="238"/>
      <c r="J48" s="238"/>
      <c r="K48" s="238"/>
      <c r="L48" s="14"/>
      <c r="M48" s="238"/>
      <c r="N48" s="238"/>
      <c r="O48" s="238"/>
      <c r="P48" s="238"/>
      <c r="Q48" s="14"/>
      <c r="R48" s="393" t="str">
        <f>R$10</f>
        <v xml:space="preserve"> </v>
      </c>
      <c r="S48" s="394"/>
      <c r="T48" s="238"/>
      <c r="U48" s="13"/>
      <c r="V48" s="67"/>
      <c r="W48" s="167"/>
      <c r="X48" s="370">
        <f t="shared" si="3"/>
        <v>0</v>
      </c>
    </row>
    <row r="49" spans="1:24" ht="15.75">
      <c r="A49" s="47"/>
      <c r="B49" s="235" t="s">
        <v>2</v>
      </c>
      <c r="C49" s="240"/>
      <c r="D49" s="241" t="s">
        <v>738</v>
      </c>
      <c r="E49" s="242" t="s">
        <v>371</v>
      </c>
      <c r="F49" s="287" t="str">
        <f>F$11</f>
        <v>TOTAL</v>
      </c>
      <c r="G49" s="242"/>
      <c r="H49" s="242"/>
      <c r="I49" s="242"/>
      <c r="J49" s="242" t="s">
        <v>730</v>
      </c>
      <c r="K49" s="242" t="s">
        <v>409</v>
      </c>
      <c r="L49" s="15" t="s">
        <v>409</v>
      </c>
      <c r="M49" s="242" t="s">
        <v>410</v>
      </c>
      <c r="N49" s="242" t="s">
        <v>410</v>
      </c>
      <c r="O49" s="242" t="s">
        <v>410</v>
      </c>
      <c r="P49" s="242" t="s">
        <v>411</v>
      </c>
      <c r="Q49" s="15" t="s">
        <v>412</v>
      </c>
      <c r="R49" s="396" t="str">
        <f>R$11</f>
        <v>Wholesale</v>
      </c>
      <c r="S49" s="13" t="str">
        <f>S$11</f>
        <v>Wholesale</v>
      </c>
      <c r="T49" s="242"/>
      <c r="U49" s="15" t="s">
        <v>10</v>
      </c>
      <c r="V49" s="67"/>
      <c r="W49" s="167"/>
      <c r="X49" s="370"/>
    </row>
    <row r="50" spans="1:24" ht="15">
      <c r="A50" s="47"/>
      <c r="B50" s="235"/>
      <c r="C50" s="240"/>
      <c r="D50" s="242"/>
      <c r="E50" s="242"/>
      <c r="F50" s="15" t="str">
        <f>F$12</f>
        <v>(Dist+Met+Cust)</v>
      </c>
      <c r="G50" s="242"/>
      <c r="H50" s="242"/>
      <c r="I50" s="242"/>
      <c r="J50" s="242"/>
      <c r="K50" s="242" t="s">
        <v>731</v>
      </c>
      <c r="L50" s="15" t="s">
        <v>732</v>
      </c>
      <c r="M50" s="242" t="s">
        <v>731</v>
      </c>
      <c r="N50" s="242" t="s">
        <v>732</v>
      </c>
      <c r="O50" s="242" t="s">
        <v>414</v>
      </c>
      <c r="P50" s="242"/>
      <c r="Q50" s="15"/>
      <c r="R50" s="235" t="str">
        <f>R$12</f>
        <v>XFMR</v>
      </c>
      <c r="S50" s="15" t="str">
        <f>S$12</f>
        <v>DLS</v>
      </c>
      <c r="T50" s="242"/>
      <c r="U50" s="15"/>
      <c r="V50" s="67"/>
      <c r="W50" s="167"/>
      <c r="X50" s="370"/>
    </row>
    <row r="51" spans="1:24" ht="15.75" thickBot="1">
      <c r="A51" s="47"/>
      <c r="B51" s="243"/>
      <c r="C51" s="243"/>
      <c r="D51" s="245"/>
      <c r="E51" s="245"/>
      <c r="F51" s="16" t="s">
        <v>13</v>
      </c>
      <c r="G51" s="16" t="s">
        <v>14</v>
      </c>
      <c r="H51" s="16" t="s">
        <v>15</v>
      </c>
      <c r="I51" s="16"/>
      <c r="J51" s="243" t="str">
        <f t="shared" si="17" ref="J51:Q51">J$13</f>
        <v>(d)</v>
      </c>
      <c r="K51" s="243" t="str">
        <f t="shared" si="17"/>
        <v>(e)</v>
      </c>
      <c r="L51" s="16" t="str">
        <f t="shared" si="17"/>
        <v>(f)</v>
      </c>
      <c r="M51" s="243" t="str">
        <f t="shared" si="17"/>
        <v>(g)</v>
      </c>
      <c r="N51" s="243" t="str">
        <f t="shared" si="17"/>
        <v>(h)</v>
      </c>
      <c r="O51" s="243" t="str">
        <f>O$13</f>
        <v>(i)</v>
      </c>
      <c r="P51" s="243" t="str">
        <f t="shared" si="17"/>
        <v>(j)</v>
      </c>
      <c r="Q51" s="243" t="str">
        <f t="shared" si="17"/>
        <v>(k)</v>
      </c>
      <c r="R51" s="243" t="str">
        <f>R$13</f>
        <v>(l)</v>
      </c>
      <c r="S51" s="16" t="str">
        <f>S$13</f>
        <v>(m)</v>
      </c>
      <c r="T51" s="16"/>
      <c r="U51" s="16" t="s">
        <v>734</v>
      </c>
      <c r="V51" s="67"/>
      <c r="W51" s="167"/>
      <c r="X51" s="370"/>
    </row>
    <row r="52" spans="1:24" ht="15">
      <c r="A52" s="47"/>
      <c r="B52" s="6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1"/>
      <c r="V52" s="67"/>
      <c r="W52" s="167"/>
      <c r="X52" s="370">
        <f t="shared" si="3"/>
        <v>0</v>
      </c>
    </row>
    <row r="53" spans="1:24" ht="15.75">
      <c r="A53" s="47"/>
      <c r="B53" s="17">
        <f t="shared" si="18" ref="B53:B58">B52+1</f>
        <v>1</v>
      </c>
      <c r="C53" s="12"/>
      <c r="D53" s="260" t="s">
        <v>646</v>
      </c>
      <c r="E53" s="261" t="s">
        <v>24</v>
      </c>
      <c r="F53" s="121">
        <f>F106</f>
        <v>819044260.51999998</v>
      </c>
      <c r="G53" s="12"/>
      <c r="H53" s="12"/>
      <c r="I53" s="12"/>
      <c r="J53" s="121">
        <f t="shared" si="19" ref="J53:Q53">J106</f>
        <v>456222026.48561829</v>
      </c>
      <c r="K53" s="121">
        <f t="shared" si="19"/>
        <v>48574009.573761046</v>
      </c>
      <c r="L53" s="121">
        <f t="shared" si="19"/>
        <v>245190807.36131701</v>
      </c>
      <c r="M53" s="121">
        <f t="shared" si="19"/>
        <v>1885917.7662385926</v>
      </c>
      <c r="N53" s="121">
        <f t="shared" si="19"/>
        <v>55937888.230067603</v>
      </c>
      <c r="O53" s="121">
        <f>O106</f>
        <v>3044699.917387303</v>
      </c>
      <c r="P53" s="121">
        <f t="shared" si="19"/>
        <v>3191084.4917337643</v>
      </c>
      <c r="Q53" s="121">
        <f t="shared" si="19"/>
        <v>3337436.4921890739</v>
      </c>
      <c r="R53" s="121">
        <f>R106</f>
        <v>359044.09327928151</v>
      </c>
      <c r="S53" s="121">
        <f>S106</f>
        <v>1301346.1084080639</v>
      </c>
      <c r="T53" s="12"/>
      <c r="U53" s="121">
        <f>SUM(I53:T53)</f>
        <v>819044260.51999998</v>
      </c>
      <c r="V53" s="67"/>
      <c r="W53" s="167"/>
      <c r="X53" s="370">
        <f t="shared" si="3"/>
        <v>0</v>
      </c>
    </row>
    <row r="54" spans="1:24" ht="15.75">
      <c r="A54" s="47"/>
      <c r="B54" s="17">
        <f t="shared" si="18"/>
        <v>2</v>
      </c>
      <c r="C54" s="12"/>
      <c r="D54" s="260" t="s">
        <v>647</v>
      </c>
      <c r="E54" s="261" t="s">
        <v>24</v>
      </c>
      <c r="F54" s="121">
        <f>F118</f>
        <v>381860650.86000001</v>
      </c>
      <c r="G54" s="12"/>
      <c r="H54" s="12"/>
      <c r="I54" s="12"/>
      <c r="J54" s="121">
        <f t="shared" si="20" ref="J54:Q54">J118</f>
        <v>200982037.20894235</v>
      </c>
      <c r="K54" s="121">
        <f t="shared" si="20"/>
        <v>4908024.6976150116</v>
      </c>
      <c r="L54" s="121">
        <f t="shared" si="20"/>
        <v>129406773.75201213</v>
      </c>
      <c r="M54" s="121">
        <f t="shared" si="20"/>
        <v>73158.983194750224</v>
      </c>
      <c r="N54" s="121">
        <f t="shared" si="20"/>
        <v>30964564.910100192</v>
      </c>
      <c r="O54" s="121">
        <f>O118</f>
        <v>11197862.036053781</v>
      </c>
      <c r="P54" s="121">
        <f t="shared" si="20"/>
        <v>0</v>
      </c>
      <c r="Q54" s="121">
        <f t="shared" si="20"/>
        <v>1305252.9491979284</v>
      </c>
      <c r="R54" s="121">
        <f>R118</f>
        <v>1342133.8510991004</v>
      </c>
      <c r="S54" s="121">
        <f>S118</f>
        <v>1680842.4717847591</v>
      </c>
      <c r="T54" s="12"/>
      <c r="U54" s="121">
        <f>SUM(I54:T54)</f>
        <v>381860650.85999995</v>
      </c>
      <c r="V54" s="67"/>
      <c r="W54" s="167"/>
      <c r="X54" s="370">
        <f t="shared" si="3"/>
        <v>0</v>
      </c>
    </row>
    <row r="55" spans="1:24" ht="17.25">
      <c r="A55" s="47"/>
      <c r="B55" s="17">
        <f t="shared" si="18"/>
        <v>3</v>
      </c>
      <c r="C55" s="12"/>
      <c r="D55" s="631" t="s">
        <v>645</v>
      </c>
      <c r="E55" s="261" t="s">
        <v>24</v>
      </c>
      <c r="F55" s="265">
        <f>F154</f>
        <v>15192967215.919998</v>
      </c>
      <c r="G55" s="12"/>
      <c r="H55" s="12"/>
      <c r="I55" s="12"/>
      <c r="J55" s="265">
        <f t="shared" si="21" ref="J55:Q55">J154</f>
        <v>8282497803.0008507</v>
      </c>
      <c r="K55" s="265">
        <f t="shared" si="21"/>
        <v>377373981.02260995</v>
      </c>
      <c r="L55" s="265">
        <f t="shared" si="21"/>
        <v>5105714376.9763021</v>
      </c>
      <c r="M55" s="265">
        <f t="shared" si="21"/>
        <v>3819224.5336989793</v>
      </c>
      <c r="N55" s="265">
        <f t="shared" si="21"/>
        <v>756430958.79248762</v>
      </c>
      <c r="O55" s="265">
        <f>O154</f>
        <v>58052556.348317809</v>
      </c>
      <c r="P55" s="265">
        <f t="shared" si="21"/>
        <v>16755769.321184928</v>
      </c>
      <c r="Q55" s="265">
        <f t="shared" si="21"/>
        <v>546320663.33373451</v>
      </c>
      <c r="R55" s="265">
        <f>R154</f>
        <v>6951146.6177991116</v>
      </c>
      <c r="S55" s="265">
        <f>S154</f>
        <v>39050735.973011844</v>
      </c>
      <c r="T55" s="12"/>
      <c r="U55" s="265">
        <f>SUM(I55:T55)</f>
        <v>15192967215.919998</v>
      </c>
      <c r="V55" s="67"/>
      <c r="W55" s="167"/>
      <c r="X55" s="370">
        <f t="shared" si="3"/>
        <v>0</v>
      </c>
    </row>
    <row r="56" spans="1:24" ht="15.75">
      <c r="A56" s="290"/>
      <c r="B56" s="17">
        <f t="shared" si="18"/>
        <v>4</v>
      </c>
      <c r="C56" s="167"/>
      <c r="D56" s="260" t="s">
        <v>515</v>
      </c>
      <c r="E56" s="261"/>
      <c r="F56" s="269">
        <f>SUM(F53:F55)</f>
        <v>16393872127.299999</v>
      </c>
      <c r="G56" s="261"/>
      <c r="H56" s="261"/>
      <c r="I56" s="261"/>
      <c r="J56" s="269">
        <f t="shared" si="22" ref="J56:Q56">SUM(J53:J55)</f>
        <v>8939701866.6954117</v>
      </c>
      <c r="K56" s="269">
        <f t="shared" si="22"/>
        <v>430856015.29398602</v>
      </c>
      <c r="L56" s="269">
        <f t="shared" si="22"/>
        <v>5480311958.0896311</v>
      </c>
      <c r="M56" s="269">
        <f t="shared" si="22"/>
        <v>5778301.2831323221</v>
      </c>
      <c r="N56" s="269">
        <f t="shared" si="22"/>
        <v>843333411.93265545</v>
      </c>
      <c r="O56" s="269">
        <f>SUM(O53:O55)</f>
        <v>72295118.301758885</v>
      </c>
      <c r="P56" s="269">
        <f t="shared" si="22"/>
        <v>19946853.812918693</v>
      </c>
      <c r="Q56" s="269">
        <f t="shared" si="22"/>
        <v>550963352.77512157</v>
      </c>
      <c r="R56" s="269">
        <f>SUM(R53:R55)</f>
        <v>8652324.5621774942</v>
      </c>
      <c r="S56" s="269">
        <f>SUM(S53:S55)</f>
        <v>42032924.553204671</v>
      </c>
      <c r="T56" s="262"/>
      <c r="U56" s="251">
        <f>SUM(I56:T56)</f>
        <v>16393872127.300001</v>
      </c>
      <c r="V56" s="67"/>
      <c r="W56" s="167" t="b">
        <f>' WP II-I-1.4'!$L$56=F56</f>
        <v>1</v>
      </c>
      <c r="X56" s="370">
        <f t="shared" si="3"/>
        <v>0</v>
      </c>
    </row>
    <row r="57" spans="1:24" ht="15.75">
      <c r="A57" s="290"/>
      <c r="B57" s="17">
        <f t="shared" si="18"/>
        <v>5</v>
      </c>
      <c r="C57" s="167"/>
      <c r="D57" s="260"/>
      <c r="E57" s="261"/>
      <c r="F57" s="262"/>
      <c r="G57" s="261"/>
      <c r="H57" s="261"/>
      <c r="I57" s="261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121"/>
      <c r="V57" s="67"/>
      <c r="W57" s="167"/>
      <c r="X57" s="370">
        <f t="shared" si="3"/>
        <v>0</v>
      </c>
    </row>
    <row r="58" spans="1:24" ht="15.75">
      <c r="A58" s="290"/>
      <c r="B58" s="17">
        <f t="shared" si="18"/>
        <v>6</v>
      </c>
      <c r="C58" s="167"/>
      <c r="D58" s="260" t="s">
        <v>516</v>
      </c>
      <c r="E58" s="261" t="s">
        <v>90</v>
      </c>
      <c r="F58" s="262">
        <f>+F194</f>
        <v>534959372.48000002</v>
      </c>
      <c r="G58" s="261"/>
      <c r="H58" s="261"/>
      <c r="I58" s="261"/>
      <c r="J58" s="262">
        <f t="shared" si="23" ref="J58:Q58">+J194</f>
        <v>297908730.44144917</v>
      </c>
      <c r="K58" s="262">
        <f t="shared" si="23"/>
        <v>23708558.801479205</v>
      </c>
      <c r="L58" s="262">
        <f t="shared" si="23"/>
        <v>170497621.48057556</v>
      </c>
      <c r="M58" s="262">
        <f t="shared" si="23"/>
        <v>804374.90999616403</v>
      </c>
      <c r="N58" s="262">
        <f t="shared" si="23"/>
        <v>33717705.625009626</v>
      </c>
      <c r="O58" s="262">
        <f>+O194</f>
        <v>2309195.5155436457</v>
      </c>
      <c r="P58" s="262">
        <f t="shared" si="23"/>
        <v>1517679.4898304048</v>
      </c>
      <c r="Q58" s="262">
        <f t="shared" si="23"/>
        <v>3107884.364567019</v>
      </c>
      <c r="R58" s="262">
        <f>+R194</f>
        <v>274340.79078890686</v>
      </c>
      <c r="S58" s="262">
        <f>+S194</f>
        <v>1113281.0607604617</v>
      </c>
      <c r="T58" s="262"/>
      <c r="U58" s="121">
        <f>SUM(I58:T58)</f>
        <v>534959372.4800002</v>
      </c>
      <c r="V58" s="67"/>
      <c r="W58" s="167"/>
      <c r="X58" s="370">
        <f t="shared" si="3"/>
        <v>0</v>
      </c>
    </row>
    <row r="59" spans="1:24" ht="17.25">
      <c r="A59" s="290"/>
      <c r="B59" s="17">
        <f t="shared" si="24" ref="B59:B89">B58+1</f>
        <v>7</v>
      </c>
      <c r="C59" s="167"/>
      <c r="D59" s="260" t="s">
        <v>517</v>
      </c>
      <c r="E59" s="261" t="s">
        <v>109</v>
      </c>
      <c r="F59" s="264">
        <f>+F212</f>
        <v>108581708.61999999</v>
      </c>
      <c r="G59" s="261"/>
      <c r="H59" s="261"/>
      <c r="I59" s="261"/>
      <c r="J59" s="264">
        <f t="shared" si="25" ref="J59:Q59">+J212</f>
        <v>60478625.224259637</v>
      </c>
      <c r="K59" s="264">
        <f t="shared" si="25"/>
        <v>5195568.2886560494</v>
      </c>
      <c r="L59" s="264">
        <f t="shared" si="25"/>
        <v>34116669.829920247</v>
      </c>
      <c r="M59" s="264">
        <f t="shared" si="25"/>
        <v>183691.8053203962</v>
      </c>
      <c r="N59" s="264">
        <f t="shared" si="25"/>
        <v>6979194.9849865735</v>
      </c>
      <c r="O59" s="264">
        <f>+O212</f>
        <v>453461.26675616775</v>
      </c>
      <c r="P59" s="264">
        <f t="shared" si="25"/>
        <v>335135.58113027614</v>
      </c>
      <c r="Q59" s="264">
        <f t="shared" si="25"/>
        <v>572147.61147050653</v>
      </c>
      <c r="R59" s="264">
        <f>+R212</f>
        <v>53789.359872921224</v>
      </c>
      <c r="S59" s="264">
        <f>+S212</f>
        <v>213424.66762723753</v>
      </c>
      <c r="T59" s="264"/>
      <c r="U59" s="265">
        <f>SUM(I59:T59)</f>
        <v>108581708.62000001</v>
      </c>
      <c r="V59" s="67"/>
      <c r="W59" s="167"/>
      <c r="X59" s="370">
        <f t="shared" si="3"/>
        <v>0</v>
      </c>
    </row>
    <row r="60" spans="1:24" ht="15.75">
      <c r="A60" s="290"/>
      <c r="B60" s="17">
        <f t="shared" si="24"/>
        <v>8</v>
      </c>
      <c r="C60" s="249"/>
      <c r="D60" s="268" t="s">
        <v>518</v>
      </c>
      <c r="E60" s="261"/>
      <c r="F60" s="269">
        <f>+F56+F58+F59</f>
        <v>17037413208.4</v>
      </c>
      <c r="G60" s="261"/>
      <c r="H60" s="261"/>
      <c r="I60" s="261"/>
      <c r="J60" s="269">
        <f t="shared" si="26" ref="J60:Q60">+J56+J58+J59</f>
        <v>9298089222.3611202</v>
      </c>
      <c r="K60" s="269">
        <f t="shared" si="26"/>
        <v>459760142.3841213</v>
      </c>
      <c r="L60" s="269">
        <f t="shared" si="26"/>
        <v>5684926249.4001265</v>
      </c>
      <c r="M60" s="269">
        <f t="shared" si="26"/>
        <v>6766367.9984488823</v>
      </c>
      <c r="N60" s="269">
        <f t="shared" si="26"/>
        <v>884030312.54265165</v>
      </c>
      <c r="O60" s="269">
        <f>+O56+O58+O59</f>
        <v>75057775.084058687</v>
      </c>
      <c r="P60" s="269">
        <f t="shared" si="26"/>
        <v>21799668.883879375</v>
      </c>
      <c r="Q60" s="269">
        <f t="shared" si="26"/>
        <v>554643384.75115907</v>
      </c>
      <c r="R60" s="269">
        <f>+R56+R58+R59</f>
        <v>8980454.7128393222</v>
      </c>
      <c r="S60" s="269">
        <f>+S56+S58+S59</f>
        <v>43359630.281592369</v>
      </c>
      <c r="T60" s="269"/>
      <c r="U60" s="251">
        <f>SUM(I60:T60)</f>
        <v>17037413208.399998</v>
      </c>
      <c r="V60" s="133"/>
      <c r="W60" s="167" t="b">
        <f>' WP II-I-1.4'!$L$60=F60</f>
        <v>1</v>
      </c>
      <c r="X60" s="370">
        <f t="shared" si="3"/>
        <v>0</v>
      </c>
    </row>
    <row r="61" spans="1:24" ht="15.75">
      <c r="A61" s="290"/>
      <c r="B61" s="17">
        <f t="shared" si="24"/>
        <v>9</v>
      </c>
      <c r="C61" s="167"/>
      <c r="D61" s="260"/>
      <c r="E61" s="261"/>
      <c r="F61" s="262"/>
      <c r="G61" s="261"/>
      <c r="H61" s="261"/>
      <c r="I61" s="261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67"/>
      <c r="W61" s="167"/>
      <c r="X61" s="370">
        <f t="shared" si="3"/>
        <v>0</v>
      </c>
    </row>
    <row r="62" spans="1:24" ht="15.75">
      <c r="A62" s="290"/>
      <c r="B62" s="17">
        <f t="shared" si="24"/>
        <v>10</v>
      </c>
      <c r="C62" s="167"/>
      <c r="D62" s="270" t="s">
        <v>519</v>
      </c>
      <c r="E62" s="261" t="s">
        <v>36</v>
      </c>
      <c r="F62" s="262">
        <f>+F349+F308</f>
        <v>6571378311.1500006</v>
      </c>
      <c r="G62" s="261"/>
      <c r="H62" s="261"/>
      <c r="I62" s="261"/>
      <c r="J62" s="262">
        <f t="shared" si="27" ref="J62:Q62">+J349+J308</f>
        <v>3472257573.3834515</v>
      </c>
      <c r="K62" s="262">
        <f t="shared" si="27"/>
        <v>224281797.3307969</v>
      </c>
      <c r="L62" s="262">
        <f t="shared" si="27"/>
        <v>2054746510.247797</v>
      </c>
      <c r="M62" s="262">
        <f t="shared" si="27"/>
        <v>3202533.9838215066</v>
      </c>
      <c r="N62" s="262">
        <f t="shared" si="27"/>
        <v>304675731.90298271</v>
      </c>
      <c r="O62" s="262">
        <f>+O349+O308</f>
        <v>20754987.257787425</v>
      </c>
      <c r="P62" s="262">
        <f t="shared" si="27"/>
        <v>8244831.2473591398</v>
      </c>
      <c r="Q62" s="262">
        <f t="shared" si="27"/>
        <v>466652716.42371094</v>
      </c>
      <c r="R62" s="262">
        <f>+R349+R308</f>
        <v>2479287.9781749751</v>
      </c>
      <c r="S62" s="262">
        <f>+S349+S308</f>
        <v>14082341.394118035</v>
      </c>
      <c r="T62" s="262"/>
      <c r="U62" s="121">
        <f>SUM(I62:T62)</f>
        <v>6571378311.1500015</v>
      </c>
      <c r="V62" s="67"/>
      <c r="W62" s="167"/>
      <c r="X62" s="370">
        <f t="shared" si="3"/>
        <v>0</v>
      </c>
    </row>
    <row r="63" spans="1:24" ht="16.5" thickBot="1">
      <c r="A63" s="290"/>
      <c r="B63" s="17">
        <f t="shared" si="24"/>
        <v>11</v>
      </c>
      <c r="C63" s="167"/>
      <c r="D63" s="260" t="s">
        <v>0</v>
      </c>
      <c r="E63" s="261"/>
      <c r="F63" s="271"/>
      <c r="G63" s="261"/>
      <c r="H63" s="261"/>
      <c r="I63" s="26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62"/>
      <c r="V63" s="67"/>
      <c r="W63" s="167"/>
      <c r="X63" s="370">
        <f t="shared" si="3"/>
        <v>0</v>
      </c>
    </row>
    <row r="64" spans="1:24" ht="16.5" thickBot="1">
      <c r="A64" s="290"/>
      <c r="B64" s="17">
        <f t="shared" si="24"/>
        <v>12</v>
      </c>
      <c r="C64" s="249"/>
      <c r="D64" s="1018" t="s">
        <v>520</v>
      </c>
      <c r="E64" s="1013"/>
      <c r="F64" s="1019">
        <f>+F60-F62</f>
        <v>10466034897.25</v>
      </c>
      <c r="G64" s="1013"/>
      <c r="H64" s="1013"/>
      <c r="I64" s="1016"/>
      <c r="J64" s="1019">
        <f t="shared" si="28" ref="J64:Q64">+J60-J62</f>
        <v>5825831648.9776688</v>
      </c>
      <c r="K64" s="1019">
        <f t="shared" si="28"/>
        <v>235478345.0533244</v>
      </c>
      <c r="L64" s="1019">
        <f t="shared" si="28"/>
        <v>3630179739.1523294</v>
      </c>
      <c r="M64" s="1019">
        <f t="shared" si="28"/>
        <v>3563834.0146273756</v>
      </c>
      <c r="N64" s="1019">
        <f t="shared" si="28"/>
        <v>579354580.63966894</v>
      </c>
      <c r="O64" s="1019">
        <f>+O60-O62</f>
        <v>54302787.826271266</v>
      </c>
      <c r="P64" s="1019">
        <f t="shared" si="28"/>
        <v>13554837.636520235</v>
      </c>
      <c r="Q64" s="1019">
        <f t="shared" si="28"/>
        <v>87990668.32744813</v>
      </c>
      <c r="R64" s="1019">
        <f>+R60-R62</f>
        <v>6501166.734664347</v>
      </c>
      <c r="S64" s="1019">
        <f>+S60-S62</f>
        <v>29277288.887474336</v>
      </c>
      <c r="T64" s="1020"/>
      <c r="U64" s="1015">
        <f>SUM(I64:T64)</f>
        <v>10466034897.249998</v>
      </c>
      <c r="V64" s="133"/>
      <c r="W64" s="249" t="b">
        <f>' WP II-I-1.4'!$L$64=F64</f>
        <v>1</v>
      </c>
      <c r="X64" s="370">
        <f t="shared" si="3"/>
        <v>0</v>
      </c>
    </row>
    <row r="65" spans="1:24" ht="15.75">
      <c r="A65" s="290"/>
      <c r="B65" s="17">
        <f t="shared" si="24"/>
        <v>13</v>
      </c>
      <c r="C65" s="167"/>
      <c r="D65" s="260"/>
      <c r="E65" s="261"/>
      <c r="F65" s="12"/>
      <c r="G65" s="261"/>
      <c r="H65" s="261"/>
      <c r="I65" s="26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67"/>
      <c r="W65" s="167"/>
      <c r="X65" s="370">
        <f t="shared" si="3"/>
        <v>0</v>
      </c>
    </row>
    <row r="66" spans="1:24" ht="15.75">
      <c r="A66" s="290"/>
      <c r="B66" s="17">
        <f t="shared" si="24"/>
        <v>14</v>
      </c>
      <c r="C66" s="167"/>
      <c r="D66" s="274" t="s">
        <v>521</v>
      </c>
      <c r="E66" s="275"/>
      <c r="F66" s="12"/>
      <c r="G66" s="275"/>
      <c r="H66" s="275"/>
      <c r="I66" s="27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67"/>
      <c r="W66" s="167"/>
      <c r="X66" s="370">
        <f t="shared" si="3"/>
        <v>0</v>
      </c>
    </row>
    <row r="67" spans="1:24" ht="15.75">
      <c r="A67" s="290"/>
      <c r="B67" s="17">
        <f t="shared" si="24"/>
        <v>15</v>
      </c>
      <c r="C67" s="167"/>
      <c r="D67" s="41" t="s">
        <v>0</v>
      </c>
      <c r="E67" s="261"/>
      <c r="F67" s="12"/>
      <c r="G67" s="261"/>
      <c r="H67" s="261"/>
      <c r="I67" s="26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7"/>
      <c r="W67" s="167"/>
      <c r="X67" s="370">
        <f t="shared" si="3"/>
        <v>0</v>
      </c>
    </row>
    <row r="68" spans="1:24" ht="15.75">
      <c r="A68" s="290"/>
      <c r="B68" s="17">
        <f t="shared" si="24"/>
        <v>16</v>
      </c>
      <c r="C68" s="167"/>
      <c r="D68" s="41" t="s">
        <v>116</v>
      </c>
      <c r="E68" s="261" t="s">
        <v>117</v>
      </c>
      <c r="F68" s="262">
        <f>+F237</f>
        <v>0</v>
      </c>
      <c r="G68" s="261"/>
      <c r="H68" s="261"/>
      <c r="I68" s="261"/>
      <c r="J68" s="262">
        <f t="shared" si="29" ref="J68:Q68">+J237</f>
        <v>0</v>
      </c>
      <c r="K68" s="262">
        <f t="shared" si="29"/>
        <v>0</v>
      </c>
      <c r="L68" s="262">
        <f t="shared" si="29"/>
        <v>0</v>
      </c>
      <c r="M68" s="262">
        <f t="shared" si="29"/>
        <v>0</v>
      </c>
      <c r="N68" s="262">
        <f t="shared" si="29"/>
        <v>0</v>
      </c>
      <c r="O68" s="262">
        <f>+O237</f>
        <v>0</v>
      </c>
      <c r="P68" s="262">
        <f t="shared" si="29"/>
        <v>0</v>
      </c>
      <c r="Q68" s="262">
        <f t="shared" si="29"/>
        <v>0</v>
      </c>
      <c r="R68" s="262">
        <f>+R237</f>
        <v>0</v>
      </c>
      <c r="S68" s="262">
        <f>+S237</f>
        <v>0</v>
      </c>
      <c r="T68" s="262"/>
      <c r="U68" s="121">
        <f t="shared" si="30" ref="U68:U77">SUM(I68:T68)</f>
        <v>0</v>
      </c>
      <c r="V68" s="67"/>
      <c r="W68" s="167"/>
      <c r="X68" s="370">
        <f t="shared" si="3"/>
        <v>0</v>
      </c>
    </row>
    <row r="69" spans="1:24" ht="15.75">
      <c r="A69" s="290"/>
      <c r="B69" s="17">
        <f t="shared" si="24"/>
        <v>17</v>
      </c>
      <c r="C69" s="167"/>
      <c r="D69" s="41" t="s">
        <v>118</v>
      </c>
      <c r="E69" s="261" t="s">
        <v>119</v>
      </c>
      <c r="F69" s="262">
        <f>+F374</f>
        <v>1745979.3400000001</v>
      </c>
      <c r="G69" s="261"/>
      <c r="H69" s="261"/>
      <c r="I69" s="261"/>
      <c r="J69" s="262">
        <f t="shared" si="31" ref="J69:Q69">+J374</f>
        <v>918949.05612198694</v>
      </c>
      <c r="K69" s="262">
        <f t="shared" si="31"/>
        <v>22440.93415476655</v>
      </c>
      <c r="L69" s="262">
        <f t="shared" si="31"/>
        <v>591685.87524851703</v>
      </c>
      <c r="M69" s="262">
        <f t="shared" si="31"/>
        <v>334.50441386345329</v>
      </c>
      <c r="N69" s="262">
        <f t="shared" si="31"/>
        <v>141579.1087229487</v>
      </c>
      <c r="O69" s="262">
        <f>+O374</f>
        <v>51199.922597649958</v>
      </c>
      <c r="P69" s="262">
        <f t="shared" si="31"/>
        <v>0</v>
      </c>
      <c r="Q69" s="262">
        <f t="shared" si="31"/>
        <v>5968.0008339198394</v>
      </c>
      <c r="R69" s="262">
        <f>+R374</f>
        <v>6136.6311775150507</v>
      </c>
      <c r="S69" s="262">
        <f>+S374</f>
        <v>7685.3067288325165</v>
      </c>
      <c r="T69" s="262"/>
      <c r="U69" s="121">
        <f t="shared" si="30"/>
        <v>1745979.3399999996</v>
      </c>
      <c r="V69" s="67"/>
      <c r="W69" s="167"/>
      <c r="X69" s="370">
        <f t="shared" si="3"/>
        <v>0</v>
      </c>
    </row>
    <row r="70" spans="1:24" ht="15.75">
      <c r="A70" s="290"/>
      <c r="B70" s="17">
        <f t="shared" si="24"/>
        <v>18</v>
      </c>
      <c r="C70" s="167"/>
      <c r="D70" s="42" t="s">
        <v>522</v>
      </c>
      <c r="E70" s="261" t="s">
        <v>523</v>
      </c>
      <c r="F70" s="121">
        <f>F395</f>
        <v>0</v>
      </c>
      <c r="G70" s="261"/>
      <c r="H70" s="415"/>
      <c r="I70" s="261"/>
      <c r="J70" s="121">
        <f t="shared" si="32" ref="J70:Q70">J395</f>
        <v>0</v>
      </c>
      <c r="K70" s="121">
        <f t="shared" si="32"/>
        <v>0</v>
      </c>
      <c r="L70" s="121">
        <f t="shared" si="32"/>
        <v>0</v>
      </c>
      <c r="M70" s="121">
        <f t="shared" si="32"/>
        <v>0</v>
      </c>
      <c r="N70" s="121">
        <f t="shared" si="32"/>
        <v>0</v>
      </c>
      <c r="O70" s="121">
        <f>O395</f>
        <v>0</v>
      </c>
      <c r="P70" s="121">
        <f t="shared" si="32"/>
        <v>0</v>
      </c>
      <c r="Q70" s="121">
        <f t="shared" si="32"/>
        <v>0</v>
      </c>
      <c r="R70" s="121">
        <f>R395</f>
        <v>0</v>
      </c>
      <c r="S70" s="121">
        <f>S395</f>
        <v>0</v>
      </c>
      <c r="T70" s="121"/>
      <c r="U70" s="121">
        <f t="shared" si="30"/>
        <v>0</v>
      </c>
      <c r="V70" s="67"/>
      <c r="W70" s="167"/>
      <c r="X70" s="370">
        <f t="shared" si="3"/>
        <v>0</v>
      </c>
    </row>
    <row r="71" spans="1:24" ht="15.75">
      <c r="A71" s="290"/>
      <c r="B71" s="17">
        <f t="shared" si="24"/>
        <v>19</v>
      </c>
      <c r="C71" s="167"/>
      <c r="D71" s="41" t="s">
        <v>524</v>
      </c>
      <c r="E71" s="261" t="s">
        <v>121</v>
      </c>
      <c r="F71" s="262">
        <f>+F421</f>
        <v>74796187.739999995</v>
      </c>
      <c r="G71" s="261"/>
      <c r="H71" s="261"/>
      <c r="I71" s="261"/>
      <c r="J71" s="262">
        <f t="shared" si="33" ref="J71:Q71">+J421</f>
        <v>40747701.920247979</v>
      </c>
      <c r="K71" s="262">
        <f t="shared" si="33"/>
        <v>1654265.3506130565</v>
      </c>
      <c r="L71" s="262">
        <f t="shared" si="33"/>
        <v>25381208.777047392</v>
      </c>
      <c r="M71" s="262">
        <f t="shared" si="33"/>
        <v>9167.6393458609873</v>
      </c>
      <c r="N71" s="262">
        <f t="shared" si="33"/>
        <v>3721746.0001039128</v>
      </c>
      <c r="O71" s="262">
        <f>+O421</f>
        <v>340329.75567960716</v>
      </c>
      <c r="P71" s="262">
        <f t="shared" si="33"/>
        <v>67916.736598132062</v>
      </c>
      <c r="Q71" s="262">
        <f t="shared" si="33"/>
        <v>2631405.8795316732</v>
      </c>
      <c r="R71" s="262">
        <f>+R421</f>
        <v>40789.395565958082</v>
      </c>
      <c r="S71" s="262">
        <f>+S421</f>
        <v>201656.28526640055</v>
      </c>
      <c r="T71" s="262"/>
      <c r="U71" s="121">
        <f t="shared" si="30"/>
        <v>74796187.73999995</v>
      </c>
      <c r="V71" s="67"/>
      <c r="W71" s="167"/>
      <c r="X71" s="370">
        <f t="shared" si="3"/>
        <v>0</v>
      </c>
    </row>
    <row r="72" spans="1:24" ht="15.75">
      <c r="A72" s="290"/>
      <c r="B72" s="17">
        <f t="shared" si="24"/>
        <v>20</v>
      </c>
      <c r="C72" s="167"/>
      <c r="D72" s="41" t="s">
        <v>123</v>
      </c>
      <c r="E72" s="261" t="s">
        <v>124</v>
      </c>
      <c r="F72" s="262">
        <f>+F441</f>
        <v>-16280093.570000006</v>
      </c>
      <c r="G72" s="261"/>
      <c r="H72" s="415"/>
      <c r="I72" s="261"/>
      <c r="J72" s="262">
        <f t="shared" si="34" ref="J72:Q72">+J441</f>
        <v>-7625839.0663234713</v>
      </c>
      <c r="K72" s="262">
        <f t="shared" si="34"/>
        <v>-184146.95343877364</v>
      </c>
      <c r="L72" s="262">
        <f t="shared" si="34"/>
        <v>-5475610.0792162586</v>
      </c>
      <c r="M72" s="262">
        <f t="shared" si="34"/>
        <v>-1015.3781894974011</v>
      </c>
      <c r="N72" s="262">
        <f t="shared" si="34"/>
        <v>-1327565.4475834633</v>
      </c>
      <c r="O72" s="262">
        <f>+O441</f>
        <v>-399194.90434583469</v>
      </c>
      <c r="P72" s="262">
        <f t="shared" si="34"/>
        <v>-1166777.3119368467</v>
      </c>
      <c r="Q72" s="262">
        <f t="shared" si="34"/>
        <v>-88778.188313451727</v>
      </c>
      <c r="R72" s="262">
        <f>+R441</f>
        <v>-1701.8399989633667</v>
      </c>
      <c r="S72" s="262">
        <f>+S441</f>
        <v>-9464.400653447301</v>
      </c>
      <c r="T72" s="262"/>
      <c r="U72" s="121">
        <f t="shared" si="30"/>
        <v>-16280093.57000001</v>
      </c>
      <c r="V72" s="67"/>
      <c r="W72" s="167"/>
      <c r="X72" s="370">
        <f t="shared" si="3"/>
        <v>0</v>
      </c>
    </row>
    <row r="73" spans="1:24" ht="15.75">
      <c r="A73" s="290"/>
      <c r="B73" s="17">
        <f t="shared" si="24"/>
        <v>21</v>
      </c>
      <c r="C73" s="167"/>
      <c r="D73" s="41" t="s">
        <v>125</v>
      </c>
      <c r="E73" s="261" t="s">
        <v>126</v>
      </c>
      <c r="F73" s="262">
        <f>+F462</f>
        <v>104576672.73615386</v>
      </c>
      <c r="G73" s="261"/>
      <c r="H73" s="261"/>
      <c r="I73" s="261"/>
      <c r="J73" s="262">
        <f t="shared" si="35" ref="J73:Q73">+J462</f>
        <v>41996472.030183576</v>
      </c>
      <c r="K73" s="262">
        <f t="shared" si="35"/>
        <v>1500195.2321651203</v>
      </c>
      <c r="L73" s="262">
        <f t="shared" si="35"/>
        <v>43969878.771360263</v>
      </c>
      <c r="M73" s="262">
        <f t="shared" si="35"/>
        <v>758.93271398874992</v>
      </c>
      <c r="N73" s="262">
        <f t="shared" si="35"/>
        <v>7070030.0261587268</v>
      </c>
      <c r="O73" s="262">
        <f>+O462</f>
        <v>1112421.7067687342</v>
      </c>
      <c r="P73" s="262">
        <f t="shared" si="35"/>
        <v>8332812.0589810628</v>
      </c>
      <c r="Q73" s="262">
        <f t="shared" si="35"/>
        <v>382811.32329457736</v>
      </c>
      <c r="R73" s="262">
        <f>+R462</f>
        <v>84880.332742595871</v>
      </c>
      <c r="S73" s="262">
        <f>+S462</f>
        <v>126412.32178517949</v>
      </c>
      <c r="T73" s="262"/>
      <c r="U73" s="121">
        <f t="shared" si="30"/>
        <v>104576672.73615383</v>
      </c>
      <c r="V73" s="67"/>
      <c r="W73" s="167"/>
      <c r="X73" s="370">
        <f t="shared" si="3"/>
        <v>0</v>
      </c>
    </row>
    <row r="74" spans="1:24" ht="15.75">
      <c r="A74" s="290"/>
      <c r="B74" s="17">
        <f t="shared" si="24"/>
        <v>22</v>
      </c>
      <c r="C74" s="167"/>
      <c r="D74" s="42" t="s">
        <v>525</v>
      </c>
      <c r="E74" s="261" t="s">
        <v>128</v>
      </c>
      <c r="F74" s="262">
        <f>F483</f>
        <v>-3096684.4399999999</v>
      </c>
      <c r="G74" s="261"/>
      <c r="H74" s="261"/>
      <c r="I74" s="261"/>
      <c r="J74" s="262">
        <f t="shared" si="36" ref="J74:Q74">J483</f>
        <v>-1486339.8732912485</v>
      </c>
      <c r="K74" s="262">
        <f t="shared" si="36"/>
        <v>-36296.740288185494</v>
      </c>
      <c r="L74" s="262">
        <f t="shared" si="36"/>
        <v>-957013.12601202459</v>
      </c>
      <c r="M74" s="262">
        <f t="shared" si="36"/>
        <v>-541.03896707323975</v>
      </c>
      <c r="N74" s="262">
        <f t="shared" si="36"/>
        <v>-228994.92971677968</v>
      </c>
      <c r="O74" s="262">
        <f>O483</f>
        <v>-82812.519322301494</v>
      </c>
      <c r="P74" s="262">
        <f t="shared" si="36"/>
        <v>-272677.28345938149</v>
      </c>
      <c r="Q74" s="262">
        <f t="shared" si="36"/>
        <v>-9652.8502251521495</v>
      </c>
      <c r="R74" s="262">
        <f>R483</f>
        <v>-9925.5987544232848</v>
      </c>
      <c r="S74" s="262">
        <f>S483</f>
        <v>-12430.479963430034</v>
      </c>
      <c r="T74" s="262"/>
      <c r="U74" s="121">
        <f t="shared" si="30"/>
        <v>-3096684.4399999999</v>
      </c>
      <c r="V74" s="67"/>
      <c r="W74" s="167"/>
      <c r="X74" s="370">
        <f t="shared" si="3"/>
        <v>0</v>
      </c>
    </row>
    <row r="75" spans="1:24" ht="15.75">
      <c r="A75" s="290"/>
      <c r="B75" s="17">
        <f t="shared" si="24"/>
        <v>23</v>
      </c>
      <c r="C75" s="167"/>
      <c r="D75" s="42" t="s">
        <v>526</v>
      </c>
      <c r="E75" s="261" t="s">
        <v>132</v>
      </c>
      <c r="F75" s="262">
        <f>F591</f>
        <v>314699496.47318721</v>
      </c>
      <c r="G75" s="261"/>
      <c r="H75" s="261"/>
      <c r="I75" s="261"/>
      <c r="J75" s="262">
        <f t="shared" si="37" ref="J75:Q75">J591</f>
        <v>172287681.55731773</v>
      </c>
      <c r="K75" s="262">
        <f t="shared" si="37"/>
        <v>14057648.17265727</v>
      </c>
      <c r="L75" s="262">
        <f t="shared" si="37"/>
        <v>98867929.052208155</v>
      </c>
      <c r="M75" s="262">
        <f t="shared" si="37"/>
        <v>494228.67905201175</v>
      </c>
      <c r="N75" s="262">
        <f t="shared" si="37"/>
        <v>21128603.755417481</v>
      </c>
      <c r="O75" s="262">
        <f>O591</f>
        <v>1504600.5241801408</v>
      </c>
      <c r="P75" s="262">
        <f t="shared" si="37"/>
        <v>835047.17749318725</v>
      </c>
      <c r="Q75" s="262">
        <f t="shared" si="37"/>
        <v>4732279.9733454734</v>
      </c>
      <c r="R75" s="262">
        <f>R591</f>
        <v>163489.39363318728</v>
      </c>
      <c r="S75" s="262">
        <f>S591</f>
        <v>627988.18788259546</v>
      </c>
      <c r="T75" s="262"/>
      <c r="U75" s="121">
        <f t="shared" si="30"/>
        <v>314699496.47318721</v>
      </c>
      <c r="V75" s="67"/>
      <c r="W75" s="167"/>
      <c r="X75" s="370">
        <f t="shared" si="3"/>
        <v>0</v>
      </c>
    </row>
    <row r="76" spans="1:24" ht="17.25">
      <c r="A76" s="290"/>
      <c r="B76" s="17">
        <f t="shared" si="24"/>
        <v>24</v>
      </c>
      <c r="C76" s="167"/>
      <c r="D76" s="42" t="s">
        <v>527</v>
      </c>
      <c r="E76" s="261" t="s">
        <v>528</v>
      </c>
      <c r="F76" s="264">
        <f>+F399</f>
        <v>-1254525958.9599993</v>
      </c>
      <c r="G76" s="261"/>
      <c r="H76" s="261"/>
      <c r="I76" s="261"/>
      <c r="J76" s="264">
        <f t="shared" si="38" ref="J76:Q76">+J399</f>
        <v>-684952974.02777207</v>
      </c>
      <c r="K76" s="264">
        <f t="shared" si="38"/>
        <v>-35457243.848259106</v>
      </c>
      <c r="L76" s="264">
        <f t="shared" si="38"/>
        <v>-416725065.67576814</v>
      </c>
      <c r="M76" s="264">
        <f t="shared" si="38"/>
        <v>-588700.74330831098</v>
      </c>
      <c r="N76" s="264">
        <f t="shared" si="38"/>
        <v>-65794409.382541195</v>
      </c>
      <c r="O76" s="264">
        <f>+O399</f>
        <v>-5478987.9678034149</v>
      </c>
      <c r="P76" s="264">
        <f t="shared" si="38"/>
        <v>-1727566.5882999734</v>
      </c>
      <c r="Q76" s="264">
        <f t="shared" si="38"/>
        <v>-40002916.016376942</v>
      </c>
      <c r="R76" s="264">
        <f>+R399</f>
        <v>-655237.84047208657</v>
      </c>
      <c r="S76" s="264">
        <f>+S399</f>
        <v>-3142856.869397718</v>
      </c>
      <c r="T76" s="264"/>
      <c r="U76" s="265">
        <f t="shared" si="30"/>
        <v>-1254525958.9599989</v>
      </c>
      <c r="V76" s="67"/>
      <c r="W76" s="167"/>
      <c r="X76" s="370">
        <f t="shared" si="3"/>
        <v>0</v>
      </c>
    </row>
    <row r="77" spans="1:24" ht="15.75">
      <c r="A77" s="290"/>
      <c r="B77" s="17">
        <f t="shared" si="24"/>
        <v>25</v>
      </c>
      <c r="C77" s="249"/>
      <c r="D77" s="213" t="s">
        <v>491</v>
      </c>
      <c r="E77" s="213"/>
      <c r="F77" s="269">
        <f>SUM(F68:F76)</f>
        <v>-778084400.68065834</v>
      </c>
      <c r="G77" s="213"/>
      <c r="H77" s="213"/>
      <c r="I77" s="213"/>
      <c r="J77" s="269">
        <f t="shared" si="39" ref="J77:Q77">SUM(J68:J76)</f>
        <v>-438114348.40351552</v>
      </c>
      <c r="K77" s="269">
        <f t="shared" si="39"/>
        <v>-18443137.852395851</v>
      </c>
      <c r="L77" s="269">
        <f t="shared" si="39"/>
        <v>-254346986.40513209</v>
      </c>
      <c r="M77" s="269">
        <f t="shared" si="39"/>
        <v>-85767.404939156666</v>
      </c>
      <c r="N77" s="269">
        <f t="shared" si="39"/>
        <v>-35289010.869438365</v>
      </c>
      <c r="O77" s="269">
        <f>SUM(O68:O76)</f>
        <v>-2952443.4822454192</v>
      </c>
      <c r="P77" s="269">
        <f t="shared" si="39"/>
        <v>6068754.7893761806</v>
      </c>
      <c r="Q77" s="269">
        <f t="shared" si="39"/>
        <v>-32348881.877909902</v>
      </c>
      <c r="R77" s="269">
        <f>SUM(R68:R76)</f>
        <v>-371569.52610621694</v>
      </c>
      <c r="S77" s="269">
        <f>SUM(S68:S76)</f>
        <v>-2201009.6483515874</v>
      </c>
      <c r="T77" s="269"/>
      <c r="U77" s="251">
        <f t="shared" si="30"/>
        <v>-778084400.68065798</v>
      </c>
      <c r="V77" s="133"/>
      <c r="W77" s="249"/>
      <c r="X77" s="370">
        <f t="shared" si="3"/>
        <v>0</v>
      </c>
    </row>
    <row r="78" spans="1:24" ht="15.75" thickBot="1">
      <c r="A78" s="290"/>
      <c r="B78" s="17">
        <f t="shared" si="24"/>
        <v>26</v>
      </c>
      <c r="C78" s="167"/>
      <c r="D78" s="41"/>
      <c r="E78" s="41"/>
      <c r="F78" s="12"/>
      <c r="G78" s="41"/>
      <c r="H78" s="41"/>
      <c r="I78" s="4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67"/>
      <c r="W78" s="167"/>
      <c r="X78" s="370">
        <f t="shared" si="3"/>
        <v>0</v>
      </c>
    </row>
    <row r="79" spans="1:25" ht="16.5" thickBot="1">
      <c r="A79" s="290"/>
      <c r="B79" s="17">
        <f t="shared" si="24"/>
        <v>27</v>
      </c>
      <c r="C79" s="249"/>
      <c r="D79" s="276" t="s">
        <v>529</v>
      </c>
      <c r="E79" s="277"/>
      <c r="F79" s="278">
        <f>+F64+F77</f>
        <v>9687950496.5693417</v>
      </c>
      <c r="G79" s="277"/>
      <c r="H79" s="277"/>
      <c r="I79" s="276"/>
      <c r="J79" s="356">
        <f t="shared" si="40" ref="J79:Q79">+J64+J77</f>
        <v>5387717300.5741529</v>
      </c>
      <c r="K79" s="905">
        <f t="shared" si="40"/>
        <v>217035207.20092854</v>
      </c>
      <c r="L79" s="905">
        <f t="shared" si="40"/>
        <v>3375832752.7471972</v>
      </c>
      <c r="M79" s="905">
        <f t="shared" si="40"/>
        <v>3478066.6096882191</v>
      </c>
      <c r="N79" s="905">
        <f t="shared" si="40"/>
        <v>544065569.77023053</v>
      </c>
      <c r="O79" s="905">
        <f>+O64+O77</f>
        <v>51350344.34402585</v>
      </c>
      <c r="P79" s="905">
        <f t="shared" si="40"/>
        <v>19623592.425896414</v>
      </c>
      <c r="Q79" s="905">
        <f t="shared" si="40"/>
        <v>55641786.449538231</v>
      </c>
      <c r="R79" s="905">
        <f>+R64+R77</f>
        <v>6129597.2085581301</v>
      </c>
      <c r="S79" s="279">
        <f>+S64+S77</f>
        <v>27076279.239122748</v>
      </c>
      <c r="T79" s="1004"/>
      <c r="U79" s="279">
        <f>SUM(I79:T79)</f>
        <v>9687950496.5693398</v>
      </c>
      <c r="V79" s="133"/>
      <c r="W79" s="1299">
        <f>' WP II-I-1.4'!$L$79-ROUND(F79,0)</f>
        <v>-0.43066024780273438</v>
      </c>
      <c r="X79" s="370">
        <f t="shared" si="3"/>
        <v>0</v>
      </c>
      <c r="Y79" s="1297"/>
    </row>
    <row r="80" spans="1:24" ht="15">
      <c r="A80" s="290"/>
      <c r="B80" s="17">
        <f t="shared" si="24"/>
        <v>28</v>
      </c>
      <c r="C80" s="167"/>
      <c r="D80" s="281"/>
      <c r="E80" s="281"/>
      <c r="F80" s="262"/>
      <c r="G80" s="281"/>
      <c r="H80" s="281"/>
      <c r="I80" s="281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67"/>
      <c r="W80" s="167"/>
      <c r="X80" s="370">
        <f t="shared" si="41" ref="X80:X143">U80-F80</f>
        <v>0</v>
      </c>
    </row>
    <row r="81" spans="1:25" ht="15.75">
      <c r="A81" s="47"/>
      <c r="B81" s="17">
        <f t="shared" si="24"/>
        <v>29</v>
      </c>
      <c r="C81" s="167"/>
      <c r="D81" s="48" t="s">
        <v>530</v>
      </c>
      <c r="E81" s="281"/>
      <c r="F81" s="282">
        <f>F597</f>
        <v>0.070499999999999993</v>
      </c>
      <c r="G81" s="281"/>
      <c r="H81" s="281"/>
      <c r="I81" s="281"/>
      <c r="J81" s="282">
        <f t="shared" si="42" ref="J81:Q81">J597</f>
        <v>0.070499999999999993</v>
      </c>
      <c r="K81" s="282">
        <f t="shared" si="42"/>
        <v>0.070499999999999993</v>
      </c>
      <c r="L81" s="282">
        <f t="shared" si="42"/>
        <v>0.070499999999999993</v>
      </c>
      <c r="M81" s="282">
        <f t="shared" si="42"/>
        <v>0.070499999999999993</v>
      </c>
      <c r="N81" s="282">
        <f t="shared" si="42"/>
        <v>0.070499999999999993</v>
      </c>
      <c r="O81" s="282">
        <f>O597</f>
        <v>0.070499999999999993</v>
      </c>
      <c r="P81" s="282">
        <f t="shared" si="42"/>
        <v>0.070499999999999993</v>
      </c>
      <c r="Q81" s="282">
        <f t="shared" si="42"/>
        <v>0.070499999999999993</v>
      </c>
      <c r="R81" s="282">
        <f>R597</f>
        <v>0.070499999999999993</v>
      </c>
      <c r="S81" s="282">
        <f>S597</f>
        <v>0.070499999999999993</v>
      </c>
      <c r="T81" s="282"/>
      <c r="U81" s="282">
        <f>U83/U79</f>
        <v>0.070499999999999965</v>
      </c>
      <c r="V81" s="67"/>
      <c r="W81" s="167"/>
      <c r="X81" s="370">
        <f t="shared" si="41"/>
        <v>0</v>
      </c>
      <c r="Y81" s="1298"/>
    </row>
    <row r="82" spans="1:24" ht="15.75" thickBot="1">
      <c r="A82" s="611"/>
      <c r="B82" s="17">
        <f t="shared" si="24"/>
        <v>30</v>
      </c>
      <c r="C82" s="167"/>
      <c r="D82" s="1"/>
      <c r="E82" s="1"/>
      <c r="F82" s="263"/>
      <c r="G82" s="1"/>
      <c r="H82" s="1"/>
      <c r="I82" s="1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67"/>
      <c r="W82" s="167"/>
      <c r="X82" s="370">
        <f t="shared" si="41"/>
        <v>0</v>
      </c>
    </row>
    <row r="83" spans="1:24" ht="16.5" thickBot="1">
      <c r="A83" s="147"/>
      <c r="B83" s="17">
        <f t="shared" si="24"/>
        <v>31</v>
      </c>
      <c r="C83" s="249"/>
      <c r="D83" s="284" t="s">
        <v>531</v>
      </c>
      <c r="E83" s="285"/>
      <c r="F83" s="278">
        <f>+F79*F81</f>
        <v>683000510.00813854</v>
      </c>
      <c r="G83" s="285"/>
      <c r="H83" s="285"/>
      <c r="I83" s="284"/>
      <c r="J83" s="356">
        <f t="shared" si="43" ref="J83:Q83">+J79*J81</f>
        <v>379834069.69047773</v>
      </c>
      <c r="K83" s="905">
        <f t="shared" si="43"/>
        <v>15300982.107665461</v>
      </c>
      <c r="L83" s="905">
        <f t="shared" si="43"/>
        <v>237996209.06867737</v>
      </c>
      <c r="M83" s="905">
        <f t="shared" si="43"/>
        <v>245203.69598301943</v>
      </c>
      <c r="N83" s="905">
        <f t="shared" si="43"/>
        <v>38356622.668801248</v>
      </c>
      <c r="O83" s="905">
        <f>+O79*O81</f>
        <v>3620199.2762538223</v>
      </c>
      <c r="P83" s="905">
        <f t="shared" si="43"/>
        <v>1383463.2660256971</v>
      </c>
      <c r="Q83" s="905">
        <f t="shared" si="43"/>
        <v>3922745.944692445</v>
      </c>
      <c r="R83" s="905">
        <f>+R79*R81</f>
        <v>432136.60320334812</v>
      </c>
      <c r="S83" s="279">
        <f>+S79*S81</f>
        <v>1908877.6863581536</v>
      </c>
      <c r="T83" s="1004"/>
      <c r="U83" s="279">
        <f>SUM(I83:T83)</f>
        <v>683000510.00813818</v>
      </c>
      <c r="V83" s="133"/>
      <c r="W83" s="1300" t="b">
        <f>' WP II-I-1.4'!$L$83=F83</f>
        <v>1</v>
      </c>
      <c r="X83" s="370">
        <f t="shared" si="41"/>
        <v>0</v>
      </c>
    </row>
    <row r="84" spans="1:24" ht="16.5" thickBot="1">
      <c r="A84" s="147"/>
      <c r="B84" s="17">
        <f t="shared" si="24"/>
        <v>32</v>
      </c>
      <c r="C84" s="249"/>
      <c r="J84" s="422"/>
      <c r="K84" s="422"/>
      <c r="L84" s="422"/>
      <c r="V84" s="133"/>
      <c r="W84" s="1495"/>
      <c r="X84" s="370">
        <f t="shared" si="41"/>
        <v>0</v>
      </c>
    </row>
    <row r="85" spans="1:24" ht="15.75">
      <c r="A85" s="147"/>
      <c r="B85" s="17">
        <f t="shared" si="24"/>
        <v>33</v>
      </c>
      <c r="C85" s="249"/>
      <c r="D85" s="416" t="s">
        <v>735</v>
      </c>
      <c r="E85" s="417"/>
      <c r="F85" s="418">
        <f>'WP II-I-1.5'!D54</f>
        <v>0</v>
      </c>
      <c r="G85" s="417"/>
      <c r="H85" s="417"/>
      <c r="I85" s="419"/>
      <c r="J85" s="638">
        <f>'WP II-I-1.5'!F54</f>
        <v>0</v>
      </c>
      <c r="K85" s="418">
        <f>'WP II-I-1.5'!G54</f>
        <v>0</v>
      </c>
      <c r="L85" s="418">
        <f>'WP II-I-1.5'!H54</f>
        <v>0</v>
      </c>
      <c r="M85" s="418">
        <f>'WP II-I-1.5'!I54</f>
        <v>0</v>
      </c>
      <c r="N85" s="418">
        <f>'WP II-I-1.5'!J54</f>
        <v>0</v>
      </c>
      <c r="O85" s="418">
        <f>'WP II-I-1.5'!K54</f>
        <v>0</v>
      </c>
      <c r="P85" s="418">
        <f>'WP II-I-1.5'!L54</f>
        <v>0</v>
      </c>
      <c r="Q85" s="418">
        <f>'WP II-I-1.5'!M54</f>
        <v>0</v>
      </c>
      <c r="R85" s="418">
        <f>'WP II-I-1.5'!N54</f>
        <v>0</v>
      </c>
      <c r="S85" s="420">
        <f>'WP II-I-1.5'!O54</f>
        <v>0</v>
      </c>
      <c r="T85" s="1005"/>
      <c r="U85" s="420">
        <f>SUM(I85:T85)</f>
        <v>0</v>
      </c>
      <c r="V85" s="133"/>
      <c r="W85" s="1495"/>
      <c r="X85" s="370">
        <f t="shared" si="41"/>
        <v>0</v>
      </c>
    </row>
    <row r="86" spans="1:24" ht="15.75">
      <c r="A86" s="147"/>
      <c r="B86" s="17">
        <f t="shared" si="24"/>
        <v>34</v>
      </c>
      <c r="C86" s="249"/>
      <c r="D86" s="421" t="s">
        <v>736</v>
      </c>
      <c r="E86" s="422"/>
      <c r="F86" s="422"/>
      <c r="G86" s="422"/>
      <c r="H86" s="422"/>
      <c r="I86" s="423"/>
      <c r="J86" s="423"/>
      <c r="K86" s="422"/>
      <c r="L86" s="422"/>
      <c r="M86" s="422"/>
      <c r="N86" s="422"/>
      <c r="O86" s="422"/>
      <c r="P86" s="422"/>
      <c r="Q86" s="422"/>
      <c r="R86" s="422"/>
      <c r="S86" s="424"/>
      <c r="T86" s="1006"/>
      <c r="U86" s="424"/>
      <c r="V86" s="133"/>
      <c r="W86" s="1495"/>
      <c r="X86" s="370">
        <f t="shared" si="41"/>
        <v>0</v>
      </c>
    </row>
    <row r="87" spans="1:24" ht="15.75">
      <c r="A87" s="147"/>
      <c r="B87" s="17">
        <f t="shared" si="24"/>
        <v>35</v>
      </c>
      <c r="C87" s="249"/>
      <c r="D87" s="425" t="s">
        <v>739</v>
      </c>
      <c r="E87" s="422"/>
      <c r="F87" s="269">
        <f>F83+F85</f>
        <v>683000510.00813854</v>
      </c>
      <c r="G87" s="422"/>
      <c r="H87" s="422"/>
      <c r="I87" s="423"/>
      <c r="J87" s="639">
        <f t="shared" si="44" ref="J87:Q87">J83+J85</f>
        <v>379834069.69047773</v>
      </c>
      <c r="K87" s="269">
        <f t="shared" si="44"/>
        <v>15300982.107665461</v>
      </c>
      <c r="L87" s="269">
        <f t="shared" si="44"/>
        <v>237996209.06867737</v>
      </c>
      <c r="M87" s="269">
        <f t="shared" si="44"/>
        <v>245203.69598301943</v>
      </c>
      <c r="N87" s="269">
        <f t="shared" si="44"/>
        <v>38356622.668801248</v>
      </c>
      <c r="O87" s="269">
        <f>O83+O85</f>
        <v>3620199.2762538223</v>
      </c>
      <c r="P87" s="269">
        <f t="shared" si="44"/>
        <v>1383463.2660256971</v>
      </c>
      <c r="Q87" s="269">
        <f t="shared" si="44"/>
        <v>3922745.944692445</v>
      </c>
      <c r="R87" s="269">
        <f>R83+R85</f>
        <v>432136.60320334812</v>
      </c>
      <c r="S87" s="426">
        <f>S83+S85</f>
        <v>1908877.6863581536</v>
      </c>
      <c r="T87" s="1006"/>
      <c r="U87" s="426">
        <f>SUM(I87:T87)</f>
        <v>683000510.00813818</v>
      </c>
      <c r="V87" s="133"/>
      <c r="W87" s="1300"/>
      <c r="X87" s="370">
        <f t="shared" si="41"/>
        <v>0</v>
      </c>
    </row>
    <row r="88" spans="1:24" ht="15.75">
      <c r="A88" s="147"/>
      <c r="B88" s="17">
        <f t="shared" si="24"/>
        <v>36</v>
      </c>
      <c r="C88" s="249"/>
      <c r="D88" s="425"/>
      <c r="E88" s="422"/>
      <c r="F88" s="422"/>
      <c r="G88" s="422"/>
      <c r="H88" s="422"/>
      <c r="I88" s="423"/>
      <c r="J88" s="423"/>
      <c r="K88" s="422"/>
      <c r="L88" s="422"/>
      <c r="M88" s="422"/>
      <c r="N88" s="422"/>
      <c r="O88" s="422"/>
      <c r="P88" s="422"/>
      <c r="Q88" s="422"/>
      <c r="R88" s="422"/>
      <c r="S88" s="424"/>
      <c r="T88" s="1006"/>
      <c r="U88" s="424"/>
      <c r="V88" s="133"/>
      <c r="W88" s="1495"/>
      <c r="X88" s="370">
        <f t="shared" si="41"/>
        <v>0</v>
      </c>
    </row>
    <row r="89" spans="1:24" ht="16.5" thickBot="1">
      <c r="A89" s="147"/>
      <c r="B89" s="17">
        <f t="shared" si="24"/>
        <v>37</v>
      </c>
      <c r="C89" s="249"/>
      <c r="D89" s="427" t="s">
        <v>740</v>
      </c>
      <c r="E89" s="428"/>
      <c r="F89" s="429">
        <f>F87/F79</f>
        <v>0.070499999999999993</v>
      </c>
      <c r="G89" s="430"/>
      <c r="H89" s="430"/>
      <c r="I89" s="431"/>
      <c r="J89" s="640">
        <f t="shared" si="45" ref="J89:U89">J87/J79</f>
        <v>0.070499999999999993</v>
      </c>
      <c r="K89" s="429">
        <f t="shared" si="45"/>
        <v>0.070499999999999993</v>
      </c>
      <c r="L89" s="429">
        <f t="shared" si="45"/>
        <v>0.070499999999999993</v>
      </c>
      <c r="M89" s="429">
        <f t="shared" si="45"/>
        <v>0.070499999999999993</v>
      </c>
      <c r="N89" s="429">
        <f t="shared" si="45"/>
        <v>0.070499999999999993</v>
      </c>
      <c r="O89" s="429">
        <f>O87/O79</f>
        <v>0.070499999999999993</v>
      </c>
      <c r="P89" s="429">
        <f t="shared" si="45"/>
        <v>0.070499999999999993</v>
      </c>
      <c r="Q89" s="429">
        <f t="shared" si="45"/>
        <v>0.070499999999999993</v>
      </c>
      <c r="R89" s="429">
        <f>R87/R79</f>
        <v>0.070499999999999993</v>
      </c>
      <c r="S89" s="432">
        <f>S87/S79</f>
        <v>0.070499999999999993</v>
      </c>
      <c r="T89" s="1007"/>
      <c r="U89" s="432">
        <f t="shared" si="45"/>
        <v>0.070499999999999965</v>
      </c>
      <c r="V89" s="133"/>
      <c r="W89" s="1300" t="b">
        <f>' WP II-I-1.4'!$L$81=F89</f>
        <v>1</v>
      </c>
      <c r="X89" s="370">
        <f t="shared" si="41"/>
        <v>0</v>
      </c>
    </row>
    <row r="90" spans="1:24" ht="16.5" thickBot="1">
      <c r="A90" s="147"/>
      <c r="B90" s="133"/>
      <c r="C90" s="17"/>
      <c r="V90" s="133"/>
      <c r="W90" s="249"/>
      <c r="X90" s="370">
        <f t="shared" si="41"/>
        <v>0</v>
      </c>
    </row>
    <row r="91" spans="1:24" ht="15">
      <c r="A91" s="47"/>
      <c r="B91" s="920" t="str">
        <f>+$B$4</f>
        <v>2022 RATE CASE</v>
      </c>
      <c r="C91" s="935"/>
      <c r="D91" s="401"/>
      <c r="V91" s="134"/>
      <c r="X91" s="370"/>
    </row>
    <row r="92" spans="1:24" ht="15">
      <c r="A92" s="290"/>
      <c r="B92" s="917" t="str">
        <f>+$B$5</f>
        <v>ONCOR ELECTRIC DELIVERY COMPANY LLC</v>
      </c>
      <c r="C92" s="8"/>
      <c r="D92" s="405"/>
      <c r="V92" s="67"/>
      <c r="X92" s="370">
        <f t="shared" si="41"/>
        <v>0</v>
      </c>
    </row>
    <row r="93" spans="1:24" ht="15">
      <c r="A93" s="47"/>
      <c r="B93" s="917" t="str">
        <f>+$B$6</f>
        <v>II-I-1-TOT:  CLASS REVENUE REQUIREMENT</v>
      </c>
      <c r="C93" s="85"/>
      <c r="D93" s="405"/>
      <c r="V93" s="67"/>
      <c r="X93" s="370">
        <f t="shared" si="41"/>
        <v>0</v>
      </c>
    </row>
    <row r="94" spans="1:24" ht="15">
      <c r="A94" s="47"/>
      <c r="B94" s="406" t="str">
        <f>+$B$7</f>
        <v>TEST YEAR ENDING 12/31/2021</v>
      </c>
      <c r="C94" s="85"/>
      <c r="D94" s="405"/>
      <c r="V94" s="67"/>
      <c r="X94" s="370">
        <f t="shared" si="41"/>
        <v>0</v>
      </c>
    </row>
    <row r="95" spans="1:24" ht="15">
      <c r="A95" s="47"/>
      <c r="B95" s="406" t="str">
        <f>+$B$8</f>
        <v>SPONSOR:  MATTHEW A. TROXLE</v>
      </c>
      <c r="C95" s="85"/>
      <c r="D95" s="405"/>
      <c r="V95" s="67"/>
      <c r="X95" s="370">
        <f t="shared" si="41"/>
        <v>0</v>
      </c>
    </row>
    <row r="96" spans="1:24" ht="15.75" thickBot="1">
      <c r="A96" s="47"/>
      <c r="B96" s="410"/>
      <c r="C96" s="934"/>
      <c r="D96" s="93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12"/>
      <c r="V96" s="67"/>
      <c r="W96" s="129"/>
      <c r="X96" s="370">
        <f t="shared" si="41"/>
        <v>0</v>
      </c>
    </row>
    <row r="97" spans="1:24" ht="15" thickBot="1">
      <c r="A97" s="47"/>
      <c r="B97" s="13"/>
      <c r="C97" s="14"/>
      <c r="D97" s="14"/>
      <c r="E97" s="14"/>
      <c r="F97" s="14"/>
      <c r="G97" s="14"/>
      <c r="H97" s="14"/>
      <c r="I97" s="14"/>
      <c r="J97" s="238"/>
      <c r="K97" s="238"/>
      <c r="L97" s="14"/>
      <c r="M97" s="238"/>
      <c r="N97" s="238"/>
      <c r="O97" s="238"/>
      <c r="P97" s="238"/>
      <c r="Q97" s="14"/>
      <c r="R97" s="393" t="str">
        <f>R$10</f>
        <v xml:space="preserve"> </v>
      </c>
      <c r="S97" s="394"/>
      <c r="T97" s="238"/>
      <c r="U97" s="13"/>
      <c r="V97" s="67"/>
      <c r="W97" s="129"/>
      <c r="X97" s="370">
        <f t="shared" si="41"/>
        <v>0</v>
      </c>
    </row>
    <row r="98" spans="1:24" ht="15">
      <c r="A98" s="47"/>
      <c r="B98" s="15" t="s">
        <v>2</v>
      </c>
      <c r="C98" s="15" t="s">
        <v>370</v>
      </c>
      <c r="D98" s="287" t="s">
        <v>532</v>
      </c>
      <c r="E98" s="15" t="s">
        <v>371</v>
      </c>
      <c r="F98" s="287" t="str">
        <f>F$11</f>
        <v>TOTAL</v>
      </c>
      <c r="G98" s="242" t="s">
        <v>741</v>
      </c>
      <c r="H98" s="242" t="s">
        <v>376</v>
      </c>
      <c r="I98" s="15"/>
      <c r="J98" s="242" t="s">
        <v>730</v>
      </c>
      <c r="K98" s="242" t="s">
        <v>409</v>
      </c>
      <c r="L98" s="15" t="s">
        <v>409</v>
      </c>
      <c r="M98" s="242" t="s">
        <v>410</v>
      </c>
      <c r="N98" s="242" t="s">
        <v>410</v>
      </c>
      <c r="O98" s="242" t="s">
        <v>410</v>
      </c>
      <c r="P98" s="242" t="s">
        <v>411</v>
      </c>
      <c r="Q98" s="15" t="s">
        <v>412</v>
      </c>
      <c r="R98" s="396" t="str">
        <f>R$11</f>
        <v>Wholesale</v>
      </c>
      <c r="S98" s="13" t="str">
        <f>S$11</f>
        <v>Wholesale</v>
      </c>
      <c r="T98" s="242"/>
      <c r="U98" s="15" t="s">
        <v>10</v>
      </c>
      <c r="V98" s="67"/>
      <c r="W98" s="129"/>
      <c r="X98" s="370"/>
    </row>
    <row r="99" spans="1:24" ht="14.25">
      <c r="A99" s="47"/>
      <c r="B99" s="15"/>
      <c r="C99" s="15"/>
      <c r="D99" s="15"/>
      <c r="E99" s="15"/>
      <c r="F99" s="15" t="str">
        <f>F$12</f>
        <v>(Dist+Met+Cust)</v>
      </c>
      <c r="G99" s="242" t="s">
        <v>742</v>
      </c>
      <c r="H99" s="242" t="s">
        <v>743</v>
      </c>
      <c r="I99" s="15"/>
      <c r="J99" s="242"/>
      <c r="K99" s="242" t="s">
        <v>731</v>
      </c>
      <c r="L99" s="15" t="s">
        <v>732</v>
      </c>
      <c r="M99" s="242" t="s">
        <v>731</v>
      </c>
      <c r="N99" s="242" t="s">
        <v>732</v>
      </c>
      <c r="O99" s="242" t="s">
        <v>414</v>
      </c>
      <c r="P99" s="242"/>
      <c r="Q99" s="15"/>
      <c r="R99" s="235" t="str">
        <f>R$12</f>
        <v>XFMR</v>
      </c>
      <c r="S99" s="15" t="str">
        <f>S$12</f>
        <v>DLS</v>
      </c>
      <c r="T99" s="242"/>
      <c r="U99" s="15"/>
      <c r="V99" s="67"/>
      <c r="W99" s="129"/>
      <c r="X99" s="370"/>
    </row>
    <row r="100" spans="1:24" ht="15" thickBot="1">
      <c r="A100" s="47"/>
      <c r="B100" s="16"/>
      <c r="C100" s="16"/>
      <c r="D100" s="16"/>
      <c r="E100" s="16"/>
      <c r="F100" s="16" t="s">
        <v>13</v>
      </c>
      <c r="G100" s="16" t="s">
        <v>14</v>
      </c>
      <c r="H100" s="16" t="s">
        <v>15</v>
      </c>
      <c r="I100" s="16"/>
      <c r="J100" s="243" t="str">
        <f t="shared" si="46" ref="J100:Q100">J$13</f>
        <v>(d)</v>
      </c>
      <c r="K100" s="243" t="str">
        <f t="shared" si="46"/>
        <v>(e)</v>
      </c>
      <c r="L100" s="16" t="str">
        <f t="shared" si="46"/>
        <v>(f)</v>
      </c>
      <c r="M100" s="243" t="str">
        <f t="shared" si="46"/>
        <v>(g)</v>
      </c>
      <c r="N100" s="243" t="str">
        <f t="shared" si="46"/>
        <v>(h)</v>
      </c>
      <c r="O100" s="243" t="str">
        <f>O$13</f>
        <v>(i)</v>
      </c>
      <c r="P100" s="243" t="str">
        <f t="shared" si="46"/>
        <v>(j)</v>
      </c>
      <c r="Q100" s="243" t="str">
        <f t="shared" si="46"/>
        <v>(k)</v>
      </c>
      <c r="R100" s="243" t="str">
        <f>R$13</f>
        <v>(l)</v>
      </c>
      <c r="S100" s="16" t="str">
        <f>S$13</f>
        <v>(m)</v>
      </c>
      <c r="T100" s="16"/>
      <c r="U100" s="16" t="s">
        <v>734</v>
      </c>
      <c r="V100" s="67"/>
      <c r="W100" s="129"/>
      <c r="X100" s="370"/>
    </row>
    <row r="101" spans="1:24" ht="14.25">
      <c r="A101" s="47"/>
      <c r="B101" s="67"/>
      <c r="C101" s="67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67"/>
      <c r="W101" s="129"/>
      <c r="X101" s="370">
        <f t="shared" si="41"/>
        <v>0</v>
      </c>
    </row>
    <row r="102" spans="1:24" ht="15">
      <c r="A102" s="47"/>
      <c r="B102" s="17">
        <f t="shared" si="47" ref="B102:B118">B101+1</f>
        <v>1</v>
      </c>
      <c r="C102" s="8" t="s">
        <v>533</v>
      </c>
      <c r="D102" s="8"/>
      <c r="E102" s="20" t="s">
        <v>24</v>
      </c>
      <c r="F102" s="20"/>
      <c r="G102" s="20"/>
      <c r="H102" s="20"/>
      <c r="I102" s="20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20"/>
      <c r="U102" s="8"/>
      <c r="V102" s="67"/>
      <c r="W102" s="129"/>
      <c r="X102" s="370">
        <f t="shared" si="41"/>
        <v>0</v>
      </c>
    </row>
    <row r="103" spans="1:24" ht="14.25">
      <c r="A103" s="47"/>
      <c r="B103" s="17">
        <f t="shared" si="47"/>
        <v>2</v>
      </c>
      <c r="C103" s="1" t="s">
        <v>25</v>
      </c>
      <c r="D103" s="1" t="s">
        <v>26</v>
      </c>
      <c r="E103" s="17"/>
      <c r="F103" s="118">
        <f>' WP II-I-1.4'!L103</f>
        <v>0</v>
      </c>
      <c r="G103" s="17" t="s">
        <v>805</v>
      </c>
      <c r="H103" s="47" t="s">
        <v>320</v>
      </c>
      <c r="I103" s="17"/>
      <c r="J103" s="434">
        <f>'II-I-DIST'!J103+'II-I-MET'!J103+'II-I-TBILLTDCS'!J103</f>
        <v>0</v>
      </c>
      <c r="K103" s="434">
        <f>'II-I-DIST'!K103+'II-I-MET'!K103+'II-I-TBILLTDCS'!K103</f>
        <v>0</v>
      </c>
      <c r="L103" s="434">
        <f>'II-I-DIST'!L103+'II-I-MET'!L103+'II-I-TBILLTDCS'!L103</f>
        <v>0</v>
      </c>
      <c r="M103" s="434">
        <f>'II-I-DIST'!M103+'II-I-MET'!M103+'II-I-TBILLTDCS'!M103</f>
        <v>0</v>
      </c>
      <c r="N103" s="434">
        <f>'II-I-DIST'!N103+'II-I-MET'!N103+'II-I-TBILLTDCS'!N103</f>
        <v>0</v>
      </c>
      <c r="O103" s="434">
        <f>'II-I-DIST'!O103+'II-I-MET'!O103+'II-I-TBILLTDCS'!O103</f>
        <v>0</v>
      </c>
      <c r="P103" s="434">
        <f>'II-I-DIST'!P103+'II-I-MET'!P103+'II-I-TBILLTDCS'!P103</f>
        <v>0</v>
      </c>
      <c r="Q103" s="434">
        <f>'II-I-DIST'!Q103+'II-I-MET'!Q103+'II-I-TBILLTDCS'!Q103</f>
        <v>0</v>
      </c>
      <c r="R103" s="434">
        <f>'II-I-DIST'!R103+'II-I-MET'!R103+'II-I-TBILLTDCS'!R103</f>
        <v>0</v>
      </c>
      <c r="S103" s="434">
        <f>'II-I-DIST'!S103+'II-I-MET'!S103+'II-I-TBILLTDCS'!S103</f>
        <v>0</v>
      </c>
      <c r="T103" s="17"/>
      <c r="U103" s="118">
        <f>SUM(I103:T103)</f>
        <v>0</v>
      </c>
      <c r="V103" s="67"/>
      <c r="X103" s="370">
        <f t="shared" si="41"/>
        <v>0</v>
      </c>
    </row>
    <row r="104" spans="1:24" ht="14.25">
      <c r="A104" s="47"/>
      <c r="B104" s="17">
        <f t="shared" si="47"/>
        <v>3</v>
      </c>
      <c r="C104" s="1" t="s">
        <v>27</v>
      </c>
      <c r="D104" s="1" t="s">
        <v>28</v>
      </c>
      <c r="E104" s="17"/>
      <c r="F104" s="118">
        <f>' WP II-I-1.4'!L104</f>
        <v>0</v>
      </c>
      <c r="G104" s="17" t="s">
        <v>805</v>
      </c>
      <c r="H104" s="47" t="s">
        <v>320</v>
      </c>
      <c r="I104" s="17"/>
      <c r="J104" s="434">
        <f>'II-I-DIST'!J104+'II-I-MET'!J104+'II-I-TBILLTDCS'!J104</f>
        <v>0</v>
      </c>
      <c r="K104" s="434">
        <f>'II-I-DIST'!K104+'II-I-MET'!K104+'II-I-TBILLTDCS'!K104</f>
        <v>0</v>
      </c>
      <c r="L104" s="434">
        <f>'II-I-DIST'!L104+'II-I-MET'!L104+'II-I-TBILLTDCS'!L104</f>
        <v>0</v>
      </c>
      <c r="M104" s="434">
        <f>'II-I-DIST'!M104+'II-I-MET'!M104+'II-I-TBILLTDCS'!M104</f>
        <v>0</v>
      </c>
      <c r="N104" s="434">
        <f>'II-I-DIST'!N104+'II-I-MET'!N104+'II-I-TBILLTDCS'!N104</f>
        <v>0</v>
      </c>
      <c r="O104" s="434">
        <f>'II-I-DIST'!O104+'II-I-MET'!O104+'II-I-TBILLTDCS'!O104</f>
        <v>0</v>
      </c>
      <c r="P104" s="434">
        <f>'II-I-DIST'!P104+'II-I-MET'!P104+'II-I-TBILLTDCS'!P104</f>
        <v>0</v>
      </c>
      <c r="Q104" s="434">
        <f>'II-I-DIST'!Q104+'II-I-MET'!Q104+'II-I-TBILLTDCS'!Q104</f>
        <v>0</v>
      </c>
      <c r="R104" s="434">
        <f>'II-I-DIST'!R104+'II-I-MET'!R104+'II-I-TBILLTDCS'!R104</f>
        <v>0</v>
      </c>
      <c r="S104" s="434">
        <f>'II-I-DIST'!S104+'II-I-MET'!S104+'II-I-TBILLTDCS'!S104</f>
        <v>0</v>
      </c>
      <c r="T104" s="17"/>
      <c r="U104" s="118">
        <f>SUM(I104:T104)</f>
        <v>0</v>
      </c>
      <c r="V104" s="67"/>
      <c r="X104" s="370">
        <f t="shared" si="41"/>
        <v>0</v>
      </c>
    </row>
    <row r="105" spans="1:24" ht="14.25">
      <c r="A105" s="47"/>
      <c r="B105" s="17">
        <f t="shared" si="47"/>
        <v>4</v>
      </c>
      <c r="C105" s="1" t="s">
        <v>29</v>
      </c>
      <c r="D105" s="1" t="s">
        <v>34</v>
      </c>
      <c r="E105" s="17"/>
      <c r="F105" s="118">
        <f>' WP II-I-1.4'!L105</f>
        <v>819044260.51999998</v>
      </c>
      <c r="G105" s="17" t="s">
        <v>805</v>
      </c>
      <c r="H105" s="47" t="s">
        <v>320</v>
      </c>
      <c r="I105" s="17"/>
      <c r="J105" s="435">
        <f>'II-I-DIST'!J105+'II-I-MET'!J105+'II-I-TBILLTDCS'!J105</f>
        <v>456222026.48561829</v>
      </c>
      <c r="K105" s="435">
        <f>'II-I-DIST'!K105+'II-I-MET'!K105+'II-I-TBILLTDCS'!K105</f>
        <v>48574009.573761046</v>
      </c>
      <c r="L105" s="435">
        <f>'II-I-DIST'!L105+'II-I-MET'!L105+'II-I-TBILLTDCS'!L105</f>
        <v>245190807.36131701</v>
      </c>
      <c r="M105" s="435">
        <f>'II-I-DIST'!M105+'II-I-MET'!M105+'II-I-TBILLTDCS'!M105</f>
        <v>1885917.7662385926</v>
      </c>
      <c r="N105" s="435">
        <f>'II-I-DIST'!N105+'II-I-MET'!N105+'II-I-TBILLTDCS'!N105</f>
        <v>55937888.230067603</v>
      </c>
      <c r="O105" s="435">
        <f>'II-I-DIST'!O105+'II-I-MET'!O105+'II-I-TBILLTDCS'!O105</f>
        <v>3044699.917387303</v>
      </c>
      <c r="P105" s="435">
        <f>'II-I-DIST'!P105+'II-I-MET'!P105+'II-I-TBILLTDCS'!P105</f>
        <v>3191084.4917337643</v>
      </c>
      <c r="Q105" s="435">
        <f>'II-I-DIST'!Q105+'II-I-MET'!Q105+'II-I-TBILLTDCS'!Q105</f>
        <v>3337436.4921890739</v>
      </c>
      <c r="R105" s="435">
        <f>'II-I-DIST'!R105+'II-I-MET'!R105+'II-I-TBILLTDCS'!R105</f>
        <v>359044.09327928151</v>
      </c>
      <c r="S105" s="435">
        <f>'II-I-DIST'!S105+'II-I-MET'!S105+'II-I-TBILLTDCS'!S105</f>
        <v>1301346.1084080639</v>
      </c>
      <c r="T105" s="17"/>
      <c r="U105" s="118">
        <f>SUM(I105:T105)</f>
        <v>819044260.51999998</v>
      </c>
      <c r="V105" s="67"/>
      <c r="X105" s="370">
        <f t="shared" si="41"/>
        <v>0</v>
      </c>
    </row>
    <row r="106" spans="1:24" ht="15">
      <c r="A106" s="47"/>
      <c r="B106" s="17">
        <f t="shared" si="47"/>
        <v>5</v>
      </c>
      <c r="C106" s="8"/>
      <c r="D106" s="297" t="s">
        <v>491</v>
      </c>
      <c r="E106" s="20"/>
      <c r="F106" s="298">
        <f>SUM(F103:F105)</f>
        <v>819044260.51999998</v>
      </c>
      <c r="G106" s="17"/>
      <c r="H106" s="20"/>
      <c r="I106" s="1000"/>
      <c r="J106" s="907">
        <f t="shared" si="48" ref="J106:Q106">SUM(J103:J105)</f>
        <v>456222026.48561829</v>
      </c>
      <c r="K106" s="907">
        <f t="shared" si="48"/>
        <v>48574009.573761046</v>
      </c>
      <c r="L106" s="907">
        <f t="shared" si="48"/>
        <v>245190807.36131701</v>
      </c>
      <c r="M106" s="907">
        <f t="shared" si="48"/>
        <v>1885917.7662385926</v>
      </c>
      <c r="N106" s="907">
        <f t="shared" si="48"/>
        <v>55937888.230067603</v>
      </c>
      <c r="O106" s="907">
        <f>SUM(O103:O105)</f>
        <v>3044699.917387303</v>
      </c>
      <c r="P106" s="907">
        <f t="shared" si="48"/>
        <v>3191084.4917337643</v>
      </c>
      <c r="Q106" s="907">
        <f t="shared" si="48"/>
        <v>3337436.4921890739</v>
      </c>
      <c r="R106" s="907">
        <f>SUM(R103:R105)</f>
        <v>359044.09327928151</v>
      </c>
      <c r="S106" s="907">
        <f>SUM(S103:S105)</f>
        <v>1301346.1084080639</v>
      </c>
      <c r="T106" s="20"/>
      <c r="U106" s="299">
        <f>SUM(I106:T106)</f>
        <v>819044260.51999998</v>
      </c>
      <c r="V106" s="67"/>
      <c r="W106" s="1300" t="b">
        <f>' WP II-I-1.4'!$L$106=F106</f>
        <v>1</v>
      </c>
      <c r="X106" s="370">
        <f t="shared" si="41"/>
        <v>0</v>
      </c>
    </row>
    <row r="107" spans="1:24" ht="15">
      <c r="A107" s="47"/>
      <c r="B107" s="17">
        <f t="shared" si="47"/>
        <v>6</v>
      </c>
      <c r="C107" s="8" t="s">
        <v>566</v>
      </c>
      <c r="D107" s="8"/>
      <c r="E107" s="20" t="s">
        <v>24</v>
      </c>
      <c r="F107" s="20"/>
      <c r="G107" s="17"/>
      <c r="H107" s="17"/>
      <c r="I107" s="1000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20"/>
      <c r="U107" s="8"/>
      <c r="V107" s="67"/>
      <c r="X107" s="370">
        <f t="shared" si="41"/>
        <v>0</v>
      </c>
    </row>
    <row r="108" spans="1:24" ht="15">
      <c r="A108" s="47"/>
      <c r="B108" s="17">
        <f t="shared" si="47"/>
        <v>7</v>
      </c>
      <c r="C108" s="1" t="s">
        <v>39</v>
      </c>
      <c r="D108" s="1" t="s">
        <v>40</v>
      </c>
      <c r="E108" s="20"/>
      <c r="F108" s="118">
        <f>' WP II-I-1.4'!L108</f>
        <v>0</v>
      </c>
      <c r="G108" s="17" t="s">
        <v>805</v>
      </c>
      <c r="H108" s="28" t="s">
        <v>320</v>
      </c>
      <c r="I108" s="1000"/>
      <c r="J108" s="19">
        <f>'II-I-DIST'!J108+'II-I-MET'!J108+'II-I-TBILLTDCS'!J108</f>
        <v>0</v>
      </c>
      <c r="K108" s="19">
        <f>'II-I-DIST'!K108+'II-I-MET'!K108+'II-I-TBILLTDCS'!K108</f>
        <v>0</v>
      </c>
      <c r="L108" s="19">
        <f>'II-I-DIST'!L108+'II-I-MET'!L108+'II-I-TBILLTDCS'!L108</f>
        <v>0</v>
      </c>
      <c r="M108" s="19">
        <f>'II-I-DIST'!M108+'II-I-MET'!M108+'II-I-TBILLTDCS'!M108</f>
        <v>0</v>
      </c>
      <c r="N108" s="19">
        <f>'II-I-DIST'!N108+'II-I-MET'!N108+'II-I-TBILLTDCS'!N108</f>
        <v>0</v>
      </c>
      <c r="O108" s="19">
        <f>'II-I-DIST'!O108+'II-I-MET'!O108+'II-I-TBILLTDCS'!O108</f>
        <v>0</v>
      </c>
      <c r="P108" s="19">
        <f>'II-I-DIST'!P108+'II-I-MET'!P108+'II-I-TBILLTDCS'!P108</f>
        <v>0</v>
      </c>
      <c r="Q108" s="19">
        <f>'II-I-DIST'!Q108+'II-I-MET'!Q108+'II-I-TBILLTDCS'!Q108</f>
        <v>0</v>
      </c>
      <c r="R108" s="19">
        <f>'II-I-DIST'!R108+'II-I-MET'!R108+'II-I-TBILLTDCS'!R108</f>
        <v>0</v>
      </c>
      <c r="S108" s="19">
        <f>'II-I-DIST'!S108+'II-I-MET'!S108+'II-I-TBILLTDCS'!S108</f>
        <v>0</v>
      </c>
      <c r="T108" s="1000"/>
      <c r="U108" s="118">
        <f t="shared" si="49" ref="U108:U118">SUM(I108:T108)</f>
        <v>0</v>
      </c>
      <c r="V108" s="67"/>
      <c r="X108" s="370">
        <f t="shared" si="41"/>
        <v>0</v>
      </c>
    </row>
    <row r="109" spans="1:24" ht="14.25">
      <c r="A109" s="47"/>
      <c r="B109" s="17">
        <f t="shared" si="47"/>
        <v>8</v>
      </c>
      <c r="C109" s="1" t="s">
        <v>41</v>
      </c>
      <c r="D109" s="1" t="s">
        <v>42</v>
      </c>
      <c r="E109" s="17"/>
      <c r="F109" s="118">
        <f>' WP II-I-1.4'!L109</f>
        <v>0</v>
      </c>
      <c r="G109" s="17" t="s">
        <v>805</v>
      </c>
      <c r="H109" s="28" t="s">
        <v>320</v>
      </c>
      <c r="I109" s="17"/>
      <c r="J109" s="19">
        <f>'II-I-DIST'!J109+'II-I-MET'!J109+'II-I-TBILLTDCS'!J109</f>
        <v>0</v>
      </c>
      <c r="K109" s="19">
        <f>'II-I-DIST'!K109+'II-I-MET'!K109+'II-I-TBILLTDCS'!K109</f>
        <v>0</v>
      </c>
      <c r="L109" s="19">
        <f>'II-I-DIST'!L109+'II-I-MET'!L109+'II-I-TBILLTDCS'!L109</f>
        <v>0</v>
      </c>
      <c r="M109" s="19">
        <f>'II-I-DIST'!M109+'II-I-MET'!M109+'II-I-TBILLTDCS'!M109</f>
        <v>0</v>
      </c>
      <c r="N109" s="19">
        <f>'II-I-DIST'!N109+'II-I-MET'!N109+'II-I-TBILLTDCS'!N109</f>
        <v>0</v>
      </c>
      <c r="O109" s="19">
        <f>'II-I-DIST'!O109+'II-I-MET'!O109+'II-I-TBILLTDCS'!O109</f>
        <v>0</v>
      </c>
      <c r="P109" s="19">
        <f>'II-I-DIST'!P109+'II-I-MET'!P109+'II-I-TBILLTDCS'!P109</f>
        <v>0</v>
      </c>
      <c r="Q109" s="19">
        <f>'II-I-DIST'!Q109+'II-I-MET'!Q109+'II-I-TBILLTDCS'!Q109</f>
        <v>0</v>
      </c>
      <c r="R109" s="19">
        <f>'II-I-DIST'!R109+'II-I-MET'!R109+'II-I-TBILLTDCS'!R109</f>
        <v>0</v>
      </c>
      <c r="S109" s="19">
        <f>'II-I-DIST'!S109+'II-I-MET'!S109+'II-I-TBILLTDCS'!S109</f>
        <v>0</v>
      </c>
      <c r="T109" s="17"/>
      <c r="U109" s="118">
        <f t="shared" si="49"/>
        <v>0</v>
      </c>
      <c r="V109" s="67"/>
      <c r="X109" s="370">
        <f t="shared" si="41"/>
        <v>0</v>
      </c>
    </row>
    <row r="110" spans="1:24" ht="14.25">
      <c r="A110" s="47"/>
      <c r="B110" s="17">
        <f t="shared" si="47"/>
        <v>9</v>
      </c>
      <c r="C110" s="1" t="s">
        <v>43</v>
      </c>
      <c r="D110" s="1" t="s">
        <v>44</v>
      </c>
      <c r="E110" s="17"/>
      <c r="F110" s="118">
        <f>' WP II-I-1.4'!L110</f>
        <v>0</v>
      </c>
      <c r="G110" s="17" t="s">
        <v>805</v>
      </c>
      <c r="H110" s="28" t="s">
        <v>320</v>
      </c>
      <c r="I110" s="17"/>
      <c r="J110" s="19">
        <f>'II-I-DIST'!J110+'II-I-MET'!J110+'II-I-TBILLTDCS'!J110</f>
        <v>0</v>
      </c>
      <c r="K110" s="19">
        <f>'II-I-DIST'!K110+'II-I-MET'!K110+'II-I-TBILLTDCS'!K110</f>
        <v>0</v>
      </c>
      <c r="L110" s="19">
        <f>'II-I-DIST'!L110+'II-I-MET'!L110+'II-I-TBILLTDCS'!L110</f>
        <v>0</v>
      </c>
      <c r="M110" s="19">
        <f>'II-I-DIST'!M110+'II-I-MET'!M110+'II-I-TBILLTDCS'!M110</f>
        <v>0</v>
      </c>
      <c r="N110" s="19">
        <f>'II-I-DIST'!N110+'II-I-MET'!N110+'II-I-TBILLTDCS'!N110</f>
        <v>0</v>
      </c>
      <c r="O110" s="19">
        <f>'II-I-DIST'!O110+'II-I-MET'!O110+'II-I-TBILLTDCS'!O110</f>
        <v>0</v>
      </c>
      <c r="P110" s="19">
        <f>'II-I-DIST'!P110+'II-I-MET'!P110+'II-I-TBILLTDCS'!P110</f>
        <v>0</v>
      </c>
      <c r="Q110" s="19">
        <f>'II-I-DIST'!Q110+'II-I-MET'!Q110+'II-I-TBILLTDCS'!Q110</f>
        <v>0</v>
      </c>
      <c r="R110" s="19">
        <f>'II-I-DIST'!R110+'II-I-MET'!R110+'II-I-TBILLTDCS'!R110</f>
        <v>0</v>
      </c>
      <c r="S110" s="19">
        <f>'II-I-DIST'!S110+'II-I-MET'!S110+'II-I-TBILLTDCS'!S110</f>
        <v>0</v>
      </c>
      <c r="T110" s="17"/>
      <c r="U110" s="118">
        <f t="shared" si="49"/>
        <v>0</v>
      </c>
      <c r="V110" s="67"/>
      <c r="X110" s="370">
        <f t="shared" si="41"/>
        <v>0</v>
      </c>
    </row>
    <row r="111" spans="1:24" ht="14.25">
      <c r="A111" s="47"/>
      <c r="B111" s="17">
        <f t="shared" si="47"/>
        <v>10</v>
      </c>
      <c r="C111" s="1" t="s">
        <v>45</v>
      </c>
      <c r="D111" s="1" t="s">
        <v>46</v>
      </c>
      <c r="E111" s="17"/>
      <c r="F111" s="118">
        <f>' WP II-I-1.4'!L111</f>
        <v>381860650.86000001</v>
      </c>
      <c r="G111" s="17" t="s">
        <v>805</v>
      </c>
      <c r="H111" s="28" t="s">
        <v>320</v>
      </c>
      <c r="I111" s="17"/>
      <c r="J111" s="19">
        <f>'II-I-DIST'!J111+'II-I-MET'!J111+'II-I-TBILLTDCS'!J111</f>
        <v>200982037.20894235</v>
      </c>
      <c r="K111" s="19">
        <f>'II-I-DIST'!K111+'II-I-MET'!K111+'II-I-TBILLTDCS'!K111</f>
        <v>4908024.6976150116</v>
      </c>
      <c r="L111" s="19">
        <f>'II-I-DIST'!L111+'II-I-MET'!L111+'II-I-TBILLTDCS'!L111</f>
        <v>129406773.75201213</v>
      </c>
      <c r="M111" s="19">
        <f>'II-I-DIST'!M111+'II-I-MET'!M111+'II-I-TBILLTDCS'!M111</f>
        <v>73158.983194750224</v>
      </c>
      <c r="N111" s="19">
        <f>'II-I-DIST'!N111+'II-I-MET'!N111+'II-I-TBILLTDCS'!N111</f>
        <v>30964564.910100192</v>
      </c>
      <c r="O111" s="19">
        <f>'II-I-DIST'!O111+'II-I-MET'!O111+'II-I-TBILLTDCS'!O111</f>
        <v>11197862.036053781</v>
      </c>
      <c r="P111" s="19">
        <f>'II-I-DIST'!P111+'II-I-MET'!P111+'II-I-TBILLTDCS'!P111</f>
        <v>0</v>
      </c>
      <c r="Q111" s="19">
        <f>'II-I-DIST'!Q111+'II-I-MET'!Q111+'II-I-TBILLTDCS'!Q111</f>
        <v>1305252.9491979284</v>
      </c>
      <c r="R111" s="19">
        <f>'II-I-DIST'!R111+'II-I-MET'!R111+'II-I-TBILLTDCS'!R111</f>
        <v>1342133.8510991004</v>
      </c>
      <c r="S111" s="19">
        <f>'II-I-DIST'!S111+'II-I-MET'!S111+'II-I-TBILLTDCS'!S111</f>
        <v>1680842.4717847591</v>
      </c>
      <c r="T111" s="17"/>
      <c r="U111" s="118">
        <f t="shared" si="49"/>
        <v>381860650.85999995</v>
      </c>
      <c r="V111" s="67"/>
      <c r="X111" s="370">
        <f t="shared" si="41"/>
        <v>0</v>
      </c>
    </row>
    <row r="112" spans="1:24" ht="14.25">
      <c r="A112" s="47"/>
      <c r="B112" s="17">
        <f t="shared" si="47"/>
        <v>11</v>
      </c>
      <c r="C112" s="1" t="s">
        <v>47</v>
      </c>
      <c r="D112" s="1" t="s">
        <v>48</v>
      </c>
      <c r="E112" s="17"/>
      <c r="F112" s="118">
        <f>' WP II-I-1.4'!L112</f>
        <v>0</v>
      </c>
      <c r="G112" s="17" t="s">
        <v>805</v>
      </c>
      <c r="H112" s="28" t="s">
        <v>320</v>
      </c>
      <c r="I112" s="17"/>
      <c r="J112" s="19">
        <f>'II-I-DIST'!J112+'II-I-MET'!J112+'II-I-TBILLTDCS'!J112</f>
        <v>0</v>
      </c>
      <c r="K112" s="19">
        <f>'II-I-DIST'!K112+'II-I-MET'!K112+'II-I-TBILLTDCS'!K112</f>
        <v>0</v>
      </c>
      <c r="L112" s="19">
        <f>'II-I-DIST'!L112+'II-I-MET'!L112+'II-I-TBILLTDCS'!L112</f>
        <v>0</v>
      </c>
      <c r="M112" s="19">
        <f>'II-I-DIST'!M112+'II-I-MET'!M112+'II-I-TBILLTDCS'!M112</f>
        <v>0</v>
      </c>
      <c r="N112" s="19">
        <f>'II-I-DIST'!N112+'II-I-MET'!N112+'II-I-TBILLTDCS'!N112</f>
        <v>0</v>
      </c>
      <c r="O112" s="19">
        <f>'II-I-DIST'!O112+'II-I-MET'!O112+'II-I-TBILLTDCS'!O112</f>
        <v>0</v>
      </c>
      <c r="P112" s="19">
        <f>'II-I-DIST'!P112+'II-I-MET'!P112+'II-I-TBILLTDCS'!P112</f>
        <v>0</v>
      </c>
      <c r="Q112" s="19">
        <f>'II-I-DIST'!Q112+'II-I-MET'!Q112+'II-I-TBILLTDCS'!Q112</f>
        <v>0</v>
      </c>
      <c r="R112" s="19">
        <f>'II-I-DIST'!R112+'II-I-MET'!R112+'II-I-TBILLTDCS'!R112</f>
        <v>0</v>
      </c>
      <c r="S112" s="19">
        <f>'II-I-DIST'!S112+'II-I-MET'!S112+'II-I-TBILLTDCS'!S112</f>
        <v>0</v>
      </c>
      <c r="T112" s="17"/>
      <c r="U112" s="118">
        <f t="shared" si="49"/>
        <v>0</v>
      </c>
      <c r="V112" s="67"/>
      <c r="X112" s="370">
        <f t="shared" si="41"/>
        <v>0</v>
      </c>
    </row>
    <row r="113" spans="1:24" ht="14.25">
      <c r="A113" s="47"/>
      <c r="B113" s="17">
        <f t="shared" si="47"/>
        <v>12</v>
      </c>
      <c r="C113" s="1" t="s">
        <v>49</v>
      </c>
      <c r="D113" s="1" t="s">
        <v>50</v>
      </c>
      <c r="E113" s="17"/>
      <c r="F113" s="118">
        <f>' WP II-I-1.4'!L113</f>
        <v>0</v>
      </c>
      <c r="G113" s="17" t="s">
        <v>805</v>
      </c>
      <c r="H113" s="28" t="s">
        <v>320</v>
      </c>
      <c r="I113" s="17"/>
      <c r="J113" s="19">
        <f>'II-I-DIST'!J113+'II-I-MET'!J113+'II-I-TBILLTDCS'!J113</f>
        <v>0</v>
      </c>
      <c r="K113" s="19">
        <f>'II-I-DIST'!K113+'II-I-MET'!K113+'II-I-TBILLTDCS'!K113</f>
        <v>0</v>
      </c>
      <c r="L113" s="19">
        <f>'II-I-DIST'!L113+'II-I-MET'!L113+'II-I-TBILLTDCS'!L113</f>
        <v>0</v>
      </c>
      <c r="M113" s="19">
        <f>'II-I-DIST'!M113+'II-I-MET'!M113+'II-I-TBILLTDCS'!M113</f>
        <v>0</v>
      </c>
      <c r="N113" s="19">
        <f>'II-I-DIST'!N113+'II-I-MET'!N113+'II-I-TBILLTDCS'!N113</f>
        <v>0</v>
      </c>
      <c r="O113" s="19">
        <f>'II-I-DIST'!O113+'II-I-MET'!O113+'II-I-TBILLTDCS'!O113</f>
        <v>0</v>
      </c>
      <c r="P113" s="19">
        <f>'II-I-DIST'!P113+'II-I-MET'!P113+'II-I-TBILLTDCS'!P113</f>
        <v>0</v>
      </c>
      <c r="Q113" s="19">
        <f>'II-I-DIST'!Q113+'II-I-MET'!Q113+'II-I-TBILLTDCS'!Q113</f>
        <v>0</v>
      </c>
      <c r="R113" s="19">
        <f>'II-I-DIST'!R113+'II-I-MET'!R113+'II-I-TBILLTDCS'!R113</f>
        <v>0</v>
      </c>
      <c r="S113" s="19">
        <f>'II-I-DIST'!S113+'II-I-MET'!S113+'II-I-TBILLTDCS'!S113</f>
        <v>0</v>
      </c>
      <c r="T113" s="17"/>
      <c r="U113" s="118">
        <f t="shared" si="49"/>
        <v>0</v>
      </c>
      <c r="V113" s="67"/>
      <c r="X113" s="370">
        <f t="shared" si="41"/>
        <v>0</v>
      </c>
    </row>
    <row r="114" spans="1:24" ht="14.25">
      <c r="A114" s="47"/>
      <c r="B114" s="17">
        <f t="shared" si="47"/>
        <v>13</v>
      </c>
      <c r="C114" s="1" t="s">
        <v>51</v>
      </c>
      <c r="D114" s="1" t="s">
        <v>534</v>
      </c>
      <c r="E114" s="17"/>
      <c r="F114" s="118">
        <f>' WP II-I-1.4'!L114</f>
        <v>0</v>
      </c>
      <c r="G114" s="17" t="s">
        <v>805</v>
      </c>
      <c r="H114" s="28" t="s">
        <v>320</v>
      </c>
      <c r="I114" s="17"/>
      <c r="J114" s="19">
        <f>'II-I-DIST'!J114+'II-I-MET'!J114+'II-I-TBILLTDCS'!J114</f>
        <v>0</v>
      </c>
      <c r="K114" s="19">
        <f>'II-I-DIST'!K114+'II-I-MET'!K114+'II-I-TBILLTDCS'!K114</f>
        <v>0</v>
      </c>
      <c r="L114" s="19">
        <f>'II-I-DIST'!L114+'II-I-MET'!L114+'II-I-TBILLTDCS'!L114</f>
        <v>0</v>
      </c>
      <c r="M114" s="19">
        <f>'II-I-DIST'!M114+'II-I-MET'!M114+'II-I-TBILLTDCS'!M114</f>
        <v>0</v>
      </c>
      <c r="N114" s="19">
        <f>'II-I-DIST'!N114+'II-I-MET'!N114+'II-I-TBILLTDCS'!N114</f>
        <v>0</v>
      </c>
      <c r="O114" s="19">
        <f>'II-I-DIST'!O114+'II-I-MET'!O114+'II-I-TBILLTDCS'!O114</f>
        <v>0</v>
      </c>
      <c r="P114" s="19">
        <f>'II-I-DIST'!P114+'II-I-MET'!P114+'II-I-TBILLTDCS'!P114</f>
        <v>0</v>
      </c>
      <c r="Q114" s="19">
        <f>'II-I-DIST'!Q114+'II-I-MET'!Q114+'II-I-TBILLTDCS'!Q114</f>
        <v>0</v>
      </c>
      <c r="R114" s="19">
        <f>'II-I-DIST'!R114+'II-I-MET'!R114+'II-I-TBILLTDCS'!R114</f>
        <v>0</v>
      </c>
      <c r="S114" s="19">
        <f>'II-I-DIST'!S114+'II-I-MET'!S114+'II-I-TBILLTDCS'!S114</f>
        <v>0</v>
      </c>
      <c r="T114" s="17"/>
      <c r="U114" s="118">
        <f t="shared" si="49"/>
        <v>0</v>
      </c>
      <c r="V114" s="67"/>
      <c r="X114" s="370">
        <f t="shared" si="41"/>
        <v>0</v>
      </c>
    </row>
    <row r="115" spans="1:24" ht="14.25">
      <c r="A115" s="47"/>
      <c r="B115" s="17">
        <f t="shared" si="47"/>
        <v>14</v>
      </c>
      <c r="C115" s="1" t="s">
        <v>53</v>
      </c>
      <c r="D115" s="1" t="s">
        <v>54</v>
      </c>
      <c r="E115" s="17"/>
      <c r="F115" s="118">
        <f>' WP II-I-1.4'!L115</f>
        <v>0</v>
      </c>
      <c r="G115" s="17" t="s">
        <v>805</v>
      </c>
      <c r="H115" s="28" t="s">
        <v>320</v>
      </c>
      <c r="I115" s="17"/>
      <c r="J115" s="19">
        <f>'II-I-DIST'!J115+'II-I-MET'!J115+'II-I-TBILLTDCS'!J115</f>
        <v>0</v>
      </c>
      <c r="K115" s="19">
        <f>'II-I-DIST'!K115+'II-I-MET'!K115+'II-I-TBILLTDCS'!K115</f>
        <v>0</v>
      </c>
      <c r="L115" s="19">
        <f>'II-I-DIST'!L115+'II-I-MET'!L115+'II-I-TBILLTDCS'!L115</f>
        <v>0</v>
      </c>
      <c r="M115" s="19">
        <f>'II-I-DIST'!M115+'II-I-MET'!M115+'II-I-TBILLTDCS'!M115</f>
        <v>0</v>
      </c>
      <c r="N115" s="19">
        <f>'II-I-DIST'!N115+'II-I-MET'!N115+'II-I-TBILLTDCS'!N115</f>
        <v>0</v>
      </c>
      <c r="O115" s="19">
        <f>'II-I-DIST'!O115+'II-I-MET'!O115+'II-I-TBILLTDCS'!O115</f>
        <v>0</v>
      </c>
      <c r="P115" s="19">
        <f>'II-I-DIST'!P115+'II-I-MET'!P115+'II-I-TBILLTDCS'!P115</f>
        <v>0</v>
      </c>
      <c r="Q115" s="19">
        <f>'II-I-DIST'!Q115+'II-I-MET'!Q115+'II-I-TBILLTDCS'!Q115</f>
        <v>0</v>
      </c>
      <c r="R115" s="19">
        <f>'II-I-DIST'!R115+'II-I-MET'!R115+'II-I-TBILLTDCS'!R115</f>
        <v>0</v>
      </c>
      <c r="S115" s="19">
        <f>'II-I-DIST'!S115+'II-I-MET'!S115+'II-I-TBILLTDCS'!S115</f>
        <v>0</v>
      </c>
      <c r="T115" s="17"/>
      <c r="U115" s="118">
        <f t="shared" si="49"/>
        <v>0</v>
      </c>
      <c r="V115" s="67"/>
      <c r="X115" s="370">
        <f t="shared" si="41"/>
        <v>0</v>
      </c>
    </row>
    <row r="116" spans="1:24" ht="14.25">
      <c r="A116" s="47"/>
      <c r="B116" s="17">
        <f t="shared" si="47"/>
        <v>15</v>
      </c>
      <c r="C116" s="1" t="s">
        <v>55</v>
      </c>
      <c r="D116" s="31" t="s">
        <v>535</v>
      </c>
      <c r="E116" s="17"/>
      <c r="F116" s="118">
        <f>' WP II-I-1.4'!L116</f>
        <v>0</v>
      </c>
      <c r="G116" s="17" t="s">
        <v>805</v>
      </c>
      <c r="H116" s="28" t="s">
        <v>320</v>
      </c>
      <c r="I116" s="17"/>
      <c r="J116" s="19">
        <f>'II-I-DIST'!J116+'II-I-MET'!J116+'II-I-TBILLTDCS'!J116</f>
        <v>0</v>
      </c>
      <c r="K116" s="19">
        <f>'II-I-DIST'!K116+'II-I-MET'!K116+'II-I-TBILLTDCS'!K116</f>
        <v>0</v>
      </c>
      <c r="L116" s="19">
        <f>'II-I-DIST'!L116+'II-I-MET'!L116+'II-I-TBILLTDCS'!L116</f>
        <v>0</v>
      </c>
      <c r="M116" s="19">
        <f>'II-I-DIST'!M116+'II-I-MET'!M116+'II-I-TBILLTDCS'!M116</f>
        <v>0</v>
      </c>
      <c r="N116" s="19">
        <f>'II-I-DIST'!N116+'II-I-MET'!N116+'II-I-TBILLTDCS'!N116</f>
        <v>0</v>
      </c>
      <c r="O116" s="19">
        <f>'II-I-DIST'!O116+'II-I-MET'!O116+'II-I-TBILLTDCS'!O116</f>
        <v>0</v>
      </c>
      <c r="P116" s="19">
        <f>'II-I-DIST'!P116+'II-I-MET'!P116+'II-I-TBILLTDCS'!P116</f>
        <v>0</v>
      </c>
      <c r="Q116" s="19">
        <f>'II-I-DIST'!Q116+'II-I-MET'!Q116+'II-I-TBILLTDCS'!Q116</f>
        <v>0</v>
      </c>
      <c r="R116" s="19">
        <f>'II-I-DIST'!R116+'II-I-MET'!R116+'II-I-TBILLTDCS'!R116</f>
        <v>0</v>
      </c>
      <c r="S116" s="19">
        <f>'II-I-DIST'!S116+'II-I-MET'!S116+'II-I-TBILLTDCS'!S116</f>
        <v>0</v>
      </c>
      <c r="T116" s="17"/>
      <c r="U116" s="118">
        <f t="shared" si="49"/>
        <v>0</v>
      </c>
      <c r="V116" s="67"/>
      <c r="X116" s="370">
        <f t="shared" si="41"/>
        <v>0</v>
      </c>
    </row>
    <row r="117" spans="1:24" ht="14.25">
      <c r="A117" s="47"/>
      <c r="B117" s="17">
        <f t="shared" si="47"/>
        <v>16</v>
      </c>
      <c r="C117" s="1" t="s">
        <v>57</v>
      </c>
      <c r="D117" s="1" t="s">
        <v>58</v>
      </c>
      <c r="E117" s="17"/>
      <c r="F117" s="118">
        <f>' WP II-I-1.4'!L117</f>
        <v>0</v>
      </c>
      <c r="G117" s="17" t="s">
        <v>805</v>
      </c>
      <c r="H117" s="28" t="s">
        <v>320</v>
      </c>
      <c r="I117" s="17"/>
      <c r="J117" s="83">
        <f>'II-I-DIST'!J117+'II-I-MET'!J117+'II-I-TBILLTDCS'!J117</f>
        <v>0</v>
      </c>
      <c r="K117" s="83">
        <f>'II-I-DIST'!K117+'II-I-MET'!K117+'II-I-TBILLTDCS'!K117</f>
        <v>0</v>
      </c>
      <c r="L117" s="83">
        <f>'II-I-DIST'!L117+'II-I-MET'!L117+'II-I-TBILLTDCS'!L117</f>
        <v>0</v>
      </c>
      <c r="M117" s="83">
        <f>'II-I-DIST'!M117+'II-I-MET'!M117+'II-I-TBILLTDCS'!M117</f>
        <v>0</v>
      </c>
      <c r="N117" s="83">
        <f>'II-I-DIST'!N117+'II-I-MET'!N117+'II-I-TBILLTDCS'!N117</f>
        <v>0</v>
      </c>
      <c r="O117" s="83">
        <f>'II-I-DIST'!O117+'II-I-MET'!O117+'II-I-TBILLTDCS'!O117</f>
        <v>0</v>
      </c>
      <c r="P117" s="83">
        <f>'II-I-DIST'!P117+'II-I-MET'!P117+'II-I-TBILLTDCS'!P117</f>
        <v>0</v>
      </c>
      <c r="Q117" s="83">
        <f>'II-I-DIST'!Q117+'II-I-MET'!Q117+'II-I-TBILLTDCS'!Q117</f>
        <v>0</v>
      </c>
      <c r="R117" s="83">
        <f>'II-I-DIST'!R117+'II-I-MET'!R117+'II-I-TBILLTDCS'!R117</f>
        <v>0</v>
      </c>
      <c r="S117" s="83">
        <f>'II-I-DIST'!S117+'II-I-MET'!S117+'II-I-TBILLTDCS'!S117</f>
        <v>0</v>
      </c>
      <c r="T117" s="17"/>
      <c r="U117" s="118">
        <f t="shared" si="49"/>
        <v>0</v>
      </c>
      <c r="V117" s="67"/>
      <c r="X117" s="370">
        <f t="shared" si="41"/>
        <v>0</v>
      </c>
    </row>
    <row r="118" spans="1:24" ht="15">
      <c r="A118" s="47"/>
      <c r="B118" s="17">
        <f t="shared" si="47"/>
        <v>17</v>
      </c>
      <c r="C118" s="8"/>
      <c r="D118" s="297" t="s">
        <v>491</v>
      </c>
      <c r="E118" s="20"/>
      <c r="F118" s="22">
        <f>SUM(F108:F117)</f>
        <v>381860650.86000001</v>
      </c>
      <c r="G118" s="17"/>
      <c r="H118" s="20"/>
      <c r="I118" s="20"/>
      <c r="J118" s="22">
        <f t="shared" si="50" ref="J118:Q118">SUM(J108:J117)</f>
        <v>200982037.20894235</v>
      </c>
      <c r="K118" s="22">
        <f t="shared" si="50"/>
        <v>4908024.6976150116</v>
      </c>
      <c r="L118" s="22">
        <f t="shared" si="50"/>
        <v>129406773.75201213</v>
      </c>
      <c r="M118" s="22">
        <f t="shared" si="50"/>
        <v>73158.983194750224</v>
      </c>
      <c r="N118" s="22">
        <f t="shared" si="50"/>
        <v>30964564.910100192</v>
      </c>
      <c r="O118" s="22">
        <f>SUM(O108:O117)</f>
        <v>11197862.036053781</v>
      </c>
      <c r="P118" s="22">
        <f t="shared" si="50"/>
        <v>0</v>
      </c>
      <c r="Q118" s="22">
        <f t="shared" si="50"/>
        <v>1305252.9491979284</v>
      </c>
      <c r="R118" s="22">
        <f>SUM(R108:R117)</f>
        <v>1342133.8510991004</v>
      </c>
      <c r="S118" s="22">
        <f>SUM(S108:S117)</f>
        <v>1680842.4717847591</v>
      </c>
      <c r="T118" s="20"/>
      <c r="U118" s="299">
        <f t="shared" si="49"/>
        <v>381860650.85999995</v>
      </c>
      <c r="V118" s="67"/>
      <c r="W118" s="1300" t="b">
        <f>' WP II-I-1.4'!$L$118=F118</f>
        <v>1</v>
      </c>
      <c r="X118" s="370">
        <f t="shared" si="41"/>
        <v>0</v>
      </c>
    </row>
    <row r="119" spans="1:24" ht="14.25">
      <c r="A119" s="47"/>
      <c r="B119" s="17"/>
      <c r="C119" s="1"/>
      <c r="D119" s="1"/>
      <c r="E119" s="17"/>
      <c r="F119" s="19"/>
      <c r="G119" s="17"/>
      <c r="H119" s="134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34"/>
      <c r="V119" s="134"/>
      <c r="X119" s="370"/>
    </row>
    <row r="120" spans="1:24" ht="15" thickBot="1">
      <c r="A120" s="47"/>
      <c r="B120" s="17"/>
      <c r="C120" s="1"/>
      <c r="D120" s="1"/>
      <c r="E120" s="17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"/>
      <c r="V120" s="134"/>
      <c r="X120" s="370">
        <f t="shared" si="41"/>
        <v>0</v>
      </c>
    </row>
    <row r="121" spans="1:24" ht="15">
      <c r="A121" s="47"/>
      <c r="B121" s="920" t="str">
        <f>+$B$4</f>
        <v>2022 RATE CASE</v>
      </c>
      <c r="C121" s="935"/>
      <c r="D121" s="624"/>
      <c r="F121" s="67"/>
      <c r="U121" s="134"/>
      <c r="X121" s="370">
        <f t="shared" si="41"/>
        <v>0</v>
      </c>
    </row>
    <row r="122" spans="1:24" ht="15">
      <c r="A122" s="290"/>
      <c r="B122" s="917" t="str">
        <f>+$B$5</f>
        <v>ONCOR ELECTRIC DELIVERY COMPANY LLC</v>
      </c>
      <c r="C122" s="8"/>
      <c r="D122" s="967"/>
      <c r="F122" s="67"/>
      <c r="U122" s="134"/>
      <c r="V122" s="67"/>
      <c r="X122" s="370">
        <f t="shared" si="41"/>
        <v>0</v>
      </c>
    </row>
    <row r="123" spans="1:24" ht="15">
      <c r="A123" s="47"/>
      <c r="B123" s="917" t="str">
        <f>+$B$6</f>
        <v>II-I-1-TOT:  CLASS REVENUE REQUIREMENT</v>
      </c>
      <c r="C123" s="85"/>
      <c r="D123" s="967"/>
      <c r="F123" s="12"/>
      <c r="U123" s="12"/>
      <c r="V123" s="67"/>
      <c r="X123" s="370">
        <f t="shared" si="41"/>
        <v>0</v>
      </c>
    </row>
    <row r="124" spans="1:24" ht="15">
      <c r="A124" s="47"/>
      <c r="B124" s="406" t="str">
        <f>+$B$7</f>
        <v>TEST YEAR ENDING 12/31/2021</v>
      </c>
      <c r="C124" s="85"/>
      <c r="D124" s="967"/>
      <c r="F124" s="12"/>
      <c r="K124" s="129"/>
      <c r="U124" s="12"/>
      <c r="V124" s="67"/>
      <c r="X124" s="370">
        <f t="shared" si="41"/>
        <v>0</v>
      </c>
    </row>
    <row r="125" spans="1:24" ht="15">
      <c r="A125" s="47"/>
      <c r="B125" s="406" t="str">
        <f>+$B$8</f>
        <v>SPONSOR:  MATTHEW A. TROXLE</v>
      </c>
      <c r="C125" s="85"/>
      <c r="D125" s="967"/>
      <c r="F125" s="12"/>
      <c r="U125" s="12"/>
      <c r="V125" s="67"/>
      <c r="X125" s="370">
        <f t="shared" si="41"/>
        <v>0</v>
      </c>
    </row>
    <row r="126" spans="1:24" ht="15.75" thickBot="1">
      <c r="A126" s="47"/>
      <c r="B126" s="410"/>
      <c r="C126" s="934"/>
      <c r="D126" s="968"/>
      <c r="F126" s="12"/>
      <c r="U126" s="12"/>
      <c r="V126" s="67"/>
      <c r="W126" s="129"/>
      <c r="X126" s="370">
        <f t="shared" si="41"/>
        <v>0</v>
      </c>
    </row>
    <row r="127" spans="1:24" ht="15" thickBot="1">
      <c r="A127" s="47"/>
      <c r="B127" s="13"/>
      <c r="C127" s="14"/>
      <c r="D127" s="14"/>
      <c r="E127" s="14"/>
      <c r="F127" s="13"/>
      <c r="G127" s="14"/>
      <c r="H127" s="14"/>
      <c r="I127" s="14"/>
      <c r="J127" s="238"/>
      <c r="K127" s="238"/>
      <c r="L127" s="14"/>
      <c r="M127" s="238"/>
      <c r="N127" s="238"/>
      <c r="O127" s="238"/>
      <c r="P127" s="238"/>
      <c r="Q127" s="14"/>
      <c r="R127" s="393" t="str">
        <f>R$10</f>
        <v xml:space="preserve"> </v>
      </c>
      <c r="S127" s="394"/>
      <c r="T127" s="238"/>
      <c r="U127" s="13"/>
      <c r="V127" s="67"/>
      <c r="W127" s="129"/>
      <c r="X127" s="370">
        <f t="shared" si="41"/>
        <v>0</v>
      </c>
    </row>
    <row r="128" spans="1:24" ht="15">
      <c r="A128" s="47"/>
      <c r="B128" s="15" t="s">
        <v>2</v>
      </c>
      <c r="C128" s="15" t="s">
        <v>370</v>
      </c>
      <c r="D128" s="287" t="s">
        <v>567</v>
      </c>
      <c r="E128" s="15" t="s">
        <v>371</v>
      </c>
      <c r="F128" s="287" t="str">
        <f>F$11</f>
        <v>TOTAL</v>
      </c>
      <c r="G128" s="242" t="s">
        <v>741</v>
      </c>
      <c r="H128" s="242" t="s">
        <v>376</v>
      </c>
      <c r="I128" s="15"/>
      <c r="J128" s="242" t="s">
        <v>730</v>
      </c>
      <c r="K128" s="242" t="s">
        <v>409</v>
      </c>
      <c r="L128" s="15" t="s">
        <v>409</v>
      </c>
      <c r="M128" s="242" t="s">
        <v>410</v>
      </c>
      <c r="N128" s="242" t="s">
        <v>410</v>
      </c>
      <c r="O128" s="242" t="s">
        <v>410</v>
      </c>
      <c r="P128" s="242" t="s">
        <v>411</v>
      </c>
      <c r="Q128" s="15" t="s">
        <v>412</v>
      </c>
      <c r="R128" s="396" t="str">
        <f>R$11</f>
        <v>Wholesale</v>
      </c>
      <c r="S128" s="13" t="str">
        <f>S$11</f>
        <v>Wholesale</v>
      </c>
      <c r="T128" s="242"/>
      <c r="U128" s="15" t="s">
        <v>10</v>
      </c>
      <c r="V128" s="67"/>
      <c r="W128" s="129"/>
      <c r="X128" s="370"/>
    </row>
    <row r="129" spans="1:24" ht="14.25">
      <c r="A129" s="47"/>
      <c r="B129" s="15"/>
      <c r="C129" s="15"/>
      <c r="D129" s="15"/>
      <c r="E129" s="15"/>
      <c r="F129" s="15" t="str">
        <f>F$12</f>
        <v>(Dist+Met+Cust)</v>
      </c>
      <c r="G129" s="242" t="s">
        <v>742</v>
      </c>
      <c r="H129" s="242" t="s">
        <v>743</v>
      </c>
      <c r="I129" s="15"/>
      <c r="J129" s="242"/>
      <c r="K129" s="242" t="s">
        <v>731</v>
      </c>
      <c r="L129" s="15" t="s">
        <v>732</v>
      </c>
      <c r="M129" s="242" t="s">
        <v>731</v>
      </c>
      <c r="N129" s="242" t="s">
        <v>732</v>
      </c>
      <c r="O129" s="242" t="s">
        <v>414</v>
      </c>
      <c r="P129" s="242"/>
      <c r="Q129" s="15"/>
      <c r="R129" s="235" t="str">
        <f>R$12</f>
        <v>XFMR</v>
      </c>
      <c r="S129" s="15" t="str">
        <f>S$12</f>
        <v>DLS</v>
      </c>
      <c r="T129" s="242"/>
      <c r="U129" s="15"/>
      <c r="V129" s="67"/>
      <c r="W129" s="129"/>
      <c r="X129" s="370"/>
    </row>
    <row r="130" spans="1:24" ht="15" thickBot="1">
      <c r="A130" s="47"/>
      <c r="B130" s="16"/>
      <c r="C130" s="16"/>
      <c r="D130" s="16"/>
      <c r="E130" s="16"/>
      <c r="F130" s="16" t="s">
        <v>13</v>
      </c>
      <c r="G130" s="16" t="s">
        <v>14</v>
      </c>
      <c r="H130" s="16" t="s">
        <v>15</v>
      </c>
      <c r="I130" s="16"/>
      <c r="J130" s="243" t="str">
        <f t="shared" si="51" ref="J130:Q130">J$13</f>
        <v>(d)</v>
      </c>
      <c r="K130" s="243" t="str">
        <f t="shared" si="51"/>
        <v>(e)</v>
      </c>
      <c r="L130" s="16" t="str">
        <f t="shared" si="51"/>
        <v>(f)</v>
      </c>
      <c r="M130" s="243" t="str">
        <f t="shared" si="51"/>
        <v>(g)</v>
      </c>
      <c r="N130" s="243" t="str">
        <f t="shared" si="51"/>
        <v>(h)</v>
      </c>
      <c r="O130" s="243" t="str">
        <f>O$13</f>
        <v>(i)</v>
      </c>
      <c r="P130" s="243" t="str">
        <f t="shared" si="51"/>
        <v>(j)</v>
      </c>
      <c r="Q130" s="243" t="str">
        <f t="shared" si="51"/>
        <v>(k)</v>
      </c>
      <c r="R130" s="243" t="str">
        <f>R$13</f>
        <v>(l)</v>
      </c>
      <c r="S130" s="16" t="str">
        <f>S$13</f>
        <v>(m)</v>
      </c>
      <c r="T130" s="16"/>
      <c r="U130" s="16" t="s">
        <v>734</v>
      </c>
      <c r="V130" s="67"/>
      <c r="W130" s="129"/>
      <c r="X130" s="370"/>
    </row>
    <row r="131" spans="1:24" ht="14.25">
      <c r="A131" s="47"/>
      <c r="B131" s="67"/>
      <c r="C131" s="67"/>
      <c r="D131" s="100"/>
      <c r="E131" s="100"/>
      <c r="F131" s="288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67"/>
      <c r="W131" s="129"/>
      <c r="X131" s="370">
        <f t="shared" si="41"/>
        <v>0</v>
      </c>
    </row>
    <row r="132" spans="1:24" ht="15">
      <c r="A132" s="47"/>
      <c r="B132" s="17">
        <v>1</v>
      </c>
      <c r="C132" s="8" t="s">
        <v>567</v>
      </c>
      <c r="D132" s="8"/>
      <c r="E132" s="20" t="s">
        <v>24</v>
      </c>
      <c r="F132" s="22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8"/>
      <c r="V132" s="67"/>
      <c r="X132" s="370">
        <f t="shared" si="41"/>
        <v>0</v>
      </c>
    </row>
    <row r="133" spans="1:24" ht="14.25">
      <c r="A133" s="47"/>
      <c r="B133" s="17">
        <f t="shared" si="52" ref="B133:B163">B132+1</f>
        <v>2</v>
      </c>
      <c r="C133" s="1" t="s">
        <v>61</v>
      </c>
      <c r="D133" s="1" t="s">
        <v>42</v>
      </c>
      <c r="E133" s="17"/>
      <c r="F133" s="118">
        <f>' WP II-I-1.4'!L133</f>
        <v>23046028.010000002</v>
      </c>
      <c r="G133" s="17" t="s">
        <v>805</v>
      </c>
      <c r="H133" s="28" t="s">
        <v>320</v>
      </c>
      <c r="I133" s="17"/>
      <c r="J133" s="121">
        <f>'II-I-DIST'!J133+'II-I-MET'!J133+'II-I-TBILLTDCS'!J133</f>
        <v>12552441.094896648</v>
      </c>
      <c r="K133" s="121">
        <f>'II-I-DIST'!K133+'II-I-MET'!K133+'II-I-TBILLTDCS'!K133</f>
        <v>517118.23927808105</v>
      </c>
      <c r="L133" s="121">
        <f>'II-I-DIST'!L133+'II-I-MET'!L133+'II-I-TBILLTDCS'!L133</f>
        <v>7808999.4463880276</v>
      </c>
      <c r="M133" s="121">
        <f>'II-I-DIST'!M133+'II-I-MET'!M133+'II-I-TBILLTDCS'!M133</f>
        <v>2651.3198569671868</v>
      </c>
      <c r="N133" s="121">
        <f>'II-I-DIST'!N133+'II-I-MET'!N133+'II-I-TBILLTDCS'!N133</f>
        <v>1122172.0453652935</v>
      </c>
      <c r="O133" s="121">
        <f>'II-I-DIST'!O133+'II-I-MET'!O133+'II-I-TBILLTDCS'!O133</f>
        <v>89114.886931054905</v>
      </c>
      <c r="P133" s="121">
        <f>'II-I-DIST'!P133+'II-I-MET'!P133+'II-I-TBILLTDCS'!P133</f>
        <v>21184.098630247769</v>
      </c>
      <c r="Q133" s="121">
        <f>'II-I-DIST'!Q133+'II-I-MET'!Q133+'II-I-TBILLTDCS'!Q133</f>
        <v>860751.29043023055</v>
      </c>
      <c r="R133" s="121">
        <f>'II-I-DIST'!R133+'II-I-MET'!R133+'II-I-TBILLTDCS'!R133</f>
        <v>10680.976958096822</v>
      </c>
      <c r="S133" s="121">
        <f>'II-I-DIST'!S133+'II-I-MET'!S133+'II-I-TBILLTDCS'!S133</f>
        <v>60914.611265353509</v>
      </c>
      <c r="T133" s="17"/>
      <c r="U133" s="118">
        <f t="shared" si="53" ref="U133:U154">SUM(I133:T133)</f>
        <v>23046028.010000002</v>
      </c>
      <c r="V133" s="67"/>
      <c r="X133" s="370">
        <f t="shared" si="41"/>
        <v>0</v>
      </c>
    </row>
    <row r="134" spans="1:24" ht="14.25">
      <c r="A134" s="47"/>
      <c r="B134" s="17">
        <f t="shared" si="52"/>
        <v>3</v>
      </c>
      <c r="C134" s="1" t="s">
        <v>62</v>
      </c>
      <c r="D134" s="31" t="s">
        <v>44</v>
      </c>
      <c r="E134" s="17"/>
      <c r="F134" s="118">
        <f>' WP II-I-1.4'!L134</f>
        <v>137062053.49000001</v>
      </c>
      <c r="G134" s="17" t="s">
        <v>805</v>
      </c>
      <c r="H134" s="28" t="s">
        <v>320</v>
      </c>
      <c r="I134" s="17"/>
      <c r="J134" s="121">
        <f>'II-I-DIST'!J134+'II-I-MET'!J134+'II-I-TBILLTDCS'!J134</f>
        <v>74653356.840157658</v>
      </c>
      <c r="K134" s="121">
        <f>'II-I-DIST'!K134+'II-I-MET'!K134+'II-I-TBILLTDCS'!K134</f>
        <v>3075466.5290622879</v>
      </c>
      <c r="L134" s="121">
        <f>'II-I-DIST'!L134+'II-I-MET'!L134+'II-I-TBILLTDCS'!L134</f>
        <v>46442601.708189815</v>
      </c>
      <c r="M134" s="121">
        <f>'II-I-DIST'!M134+'II-I-MET'!M134+'II-I-TBILLTDCS'!M134</f>
        <v>15768.241880859177</v>
      </c>
      <c r="N134" s="121">
        <f>'II-I-DIST'!N134+'II-I-MET'!N134+'II-I-TBILLTDCS'!N134</f>
        <v>6673913.8232454387</v>
      </c>
      <c r="O134" s="121">
        <f>'II-I-DIST'!O134+'II-I-MET'!O134+'II-I-TBILLTDCS'!O134</f>
        <v>529994.55671925785</v>
      </c>
      <c r="P134" s="121">
        <f>'II-I-DIST'!P134+'II-I-MET'!P134+'II-I-TBILLTDCS'!P134</f>
        <v>125988.56767580815</v>
      </c>
      <c r="Q134" s="121">
        <f>'II-I-DIST'!Q134+'II-I-MET'!Q134+'II-I-TBILLTDCS'!Q134</f>
        <v>5119161.5040710336</v>
      </c>
      <c r="R134" s="121">
        <f>'II-I-DIST'!R134+'II-I-MET'!R134+'II-I-TBILLTDCS'!R134</f>
        <v>63523.164795291079</v>
      </c>
      <c r="S134" s="121">
        <f>'II-I-DIST'!S134+'II-I-MET'!S134+'II-I-TBILLTDCS'!S134</f>
        <v>362278.55420255731</v>
      </c>
      <c r="T134" s="17"/>
      <c r="U134" s="118">
        <f t="shared" si="53"/>
        <v>137062053.49000001</v>
      </c>
      <c r="V134" s="67"/>
      <c r="X134" s="370">
        <f t="shared" si="41"/>
        <v>0</v>
      </c>
    </row>
    <row r="135" spans="1:24" ht="14.25">
      <c r="A135" s="47"/>
      <c r="B135" s="17">
        <f t="shared" si="52"/>
        <v>4</v>
      </c>
      <c r="C135" s="1" t="s">
        <v>63</v>
      </c>
      <c r="D135" s="1" t="s">
        <v>46</v>
      </c>
      <c r="E135" s="17"/>
      <c r="F135" s="118">
        <f>' WP II-I-1.4'!L135</f>
        <v>1760200029.54</v>
      </c>
      <c r="G135" s="17" t="s">
        <v>805</v>
      </c>
      <c r="H135" s="28" t="s">
        <v>320</v>
      </c>
      <c r="I135" s="17"/>
      <c r="J135" s="121">
        <f>'II-I-DIST'!J135+'II-I-MET'!J135+'II-I-TBILLTDCS'!J135</f>
        <v>926433731.87432814</v>
      </c>
      <c r="K135" s="121">
        <f>'II-I-DIST'!K135+'II-I-MET'!K135+'II-I-TBILLTDCS'!K135</f>
        <v>22623711.55097704</v>
      </c>
      <c r="L135" s="121">
        <f>'II-I-DIST'!L135+'II-I-MET'!L135+'II-I-TBILLTDCS'!L135</f>
        <v>596505050.90789926</v>
      </c>
      <c r="M135" s="121">
        <f>'II-I-DIST'!M135+'II-I-MET'!M135+'II-I-TBILLTDCS'!M135</f>
        <v>337228.89250436996</v>
      </c>
      <c r="N135" s="121">
        <f>'II-I-DIST'!N135+'II-I-MET'!N135+'II-I-TBILLTDCS'!N135</f>
        <v>142732245.24889347</v>
      </c>
      <c r="O135" s="121">
        <f>'II-I-DIST'!O135+'II-I-MET'!O135+'II-I-TBILLTDCS'!O135</f>
        <v>51616936.812567994</v>
      </c>
      <c r="P135" s="121">
        <f>'II-I-DIST'!P135+'II-I-MET'!P135+'II-I-TBILLTDCS'!P135</f>
        <v>0</v>
      </c>
      <c r="Q135" s="121">
        <f>'II-I-DIST'!Q135+'II-I-MET'!Q135+'II-I-TBILLTDCS'!Q135</f>
        <v>6016609.1336226491</v>
      </c>
      <c r="R135" s="121">
        <f>'II-I-DIST'!R135+'II-I-MET'!R135+'II-I-TBILLTDCS'!R135</f>
        <v>6186612.9412150299</v>
      </c>
      <c r="S135" s="121">
        <f>'II-I-DIST'!S135+'II-I-MET'!S135+'II-I-TBILLTDCS'!S135</f>
        <v>7747902.1779919546</v>
      </c>
      <c r="T135" s="17"/>
      <c r="U135" s="118">
        <f t="shared" si="53"/>
        <v>1760200029.5399997</v>
      </c>
      <c r="V135" s="67"/>
      <c r="X135" s="370">
        <f t="shared" si="41"/>
        <v>0</v>
      </c>
    </row>
    <row r="136" spans="1:24" ht="14.25">
      <c r="A136" s="47"/>
      <c r="B136" s="17">
        <f t="shared" si="52"/>
        <v>5</v>
      </c>
      <c r="C136" s="1" t="s">
        <v>64</v>
      </c>
      <c r="D136" s="1" t="s">
        <v>65</v>
      </c>
      <c r="E136" s="17"/>
      <c r="F136" s="118">
        <f>' WP II-I-1.4'!L136</f>
        <v>0</v>
      </c>
      <c r="G136" s="17" t="s">
        <v>805</v>
      </c>
      <c r="H136" s="28" t="s">
        <v>320</v>
      </c>
      <c r="I136" s="17"/>
      <c r="J136" s="121">
        <f>'II-I-DIST'!J136+'II-I-MET'!J136+'II-I-TBILLTDCS'!J136</f>
        <v>0</v>
      </c>
      <c r="K136" s="121">
        <f>'II-I-DIST'!K136+'II-I-MET'!K136+'II-I-TBILLTDCS'!K136</f>
        <v>0</v>
      </c>
      <c r="L136" s="121">
        <f>'II-I-DIST'!L136+'II-I-MET'!L136+'II-I-TBILLTDCS'!L136</f>
        <v>0</v>
      </c>
      <c r="M136" s="121">
        <f>'II-I-DIST'!M136+'II-I-MET'!M136+'II-I-TBILLTDCS'!M136</f>
        <v>0</v>
      </c>
      <c r="N136" s="121">
        <f>'II-I-DIST'!N136+'II-I-MET'!N136+'II-I-TBILLTDCS'!N136</f>
        <v>0</v>
      </c>
      <c r="O136" s="121">
        <f>'II-I-DIST'!O136+'II-I-MET'!O136+'II-I-TBILLTDCS'!O136</f>
        <v>0</v>
      </c>
      <c r="P136" s="121">
        <f>'II-I-DIST'!P136+'II-I-MET'!P136+'II-I-TBILLTDCS'!P136</f>
        <v>0</v>
      </c>
      <c r="Q136" s="121">
        <f>'II-I-DIST'!Q136+'II-I-MET'!Q136+'II-I-TBILLTDCS'!Q136</f>
        <v>0</v>
      </c>
      <c r="R136" s="121">
        <f>'II-I-DIST'!R136+'II-I-MET'!R136+'II-I-TBILLTDCS'!R136</f>
        <v>0</v>
      </c>
      <c r="S136" s="121">
        <f>'II-I-DIST'!S136+'II-I-MET'!S136+'II-I-TBILLTDCS'!S136</f>
        <v>0</v>
      </c>
      <c r="T136" s="17"/>
      <c r="U136" s="118">
        <f t="shared" si="53"/>
        <v>0</v>
      </c>
      <c r="V136" s="67"/>
      <c r="X136" s="370">
        <f t="shared" si="41"/>
        <v>0</v>
      </c>
    </row>
    <row r="137" spans="1:24" ht="14.25">
      <c r="A137" s="47"/>
      <c r="B137" s="17">
        <f t="shared" si="52"/>
        <v>6</v>
      </c>
      <c r="C137" s="1" t="s">
        <v>380</v>
      </c>
      <c r="D137" s="31" t="s">
        <v>537</v>
      </c>
      <c r="E137" s="17"/>
      <c r="F137" s="118">
        <f>' WP II-I-1.4'!L137</f>
        <v>2222118466.4489856</v>
      </c>
      <c r="G137" s="17" t="s">
        <v>805</v>
      </c>
      <c r="H137" s="28" t="s">
        <v>320</v>
      </c>
      <c r="I137" s="17"/>
      <c r="J137" s="121">
        <f>'II-I-DIST'!J137+'II-I-MET'!J137+'II-I-TBILLTDCS'!J137</f>
        <v>1209263252.1172228</v>
      </c>
      <c r="K137" s="121">
        <f>'II-I-DIST'!K137+'II-I-MET'!K137+'II-I-TBILLTDCS'!K137</f>
        <v>29530469.437621497</v>
      </c>
      <c r="L137" s="121">
        <f>'II-I-DIST'!L137+'II-I-MET'!L137+'II-I-TBILLTDCS'!L137</f>
        <v>778611154.74051559</v>
      </c>
      <c r="M137" s="121">
        <f>'II-I-DIST'!M137+'II-I-MET'!M137+'II-I-TBILLTDCS'!M137</f>
        <v>440180.97919716313</v>
      </c>
      <c r="N137" s="121">
        <f>'II-I-DIST'!N137+'II-I-MET'!N137+'II-I-TBILLTDCS'!N137</f>
        <v>186306751.50662956</v>
      </c>
      <c r="O137" s="121">
        <f>'II-I-DIST'!O137+'II-I-MET'!O137+'II-I-TBILLTDCS'!O137</f>
        <v>0</v>
      </c>
      <c r="P137" s="121">
        <f>'II-I-DIST'!P137+'II-I-MET'!P137+'II-I-TBILLTDCS'!P137</f>
        <v>0</v>
      </c>
      <c r="Q137" s="121">
        <f>'II-I-DIST'!Q137+'II-I-MET'!Q137+'II-I-TBILLTDCS'!Q137</f>
        <v>7853410.4246429401</v>
      </c>
      <c r="R137" s="121">
        <f>'II-I-DIST'!R137+'II-I-MET'!R137+'II-I-TBILLTDCS'!R137</f>
        <v>0</v>
      </c>
      <c r="S137" s="121">
        <f>'II-I-DIST'!S137+'II-I-MET'!S137+'II-I-TBILLTDCS'!S137</f>
        <v>10113247.243155884</v>
      </c>
      <c r="T137" s="17"/>
      <c r="U137" s="118">
        <f t="shared" si="53"/>
        <v>2222118466.4489861</v>
      </c>
      <c r="V137" s="67"/>
      <c r="X137" s="370">
        <f t="shared" si="41"/>
        <v>0</v>
      </c>
    </row>
    <row r="138" spans="1:24" ht="14.25">
      <c r="A138" s="47"/>
      <c r="B138" s="17">
        <f t="shared" si="52"/>
        <v>7</v>
      </c>
      <c r="C138" s="1" t="s">
        <v>382</v>
      </c>
      <c r="D138" s="31" t="s">
        <v>538</v>
      </c>
      <c r="E138" s="17"/>
      <c r="F138" s="118">
        <f>' WP II-I-1.4'!L138</f>
        <v>456239794.36101425</v>
      </c>
      <c r="G138" s="17" t="s">
        <v>805</v>
      </c>
      <c r="H138" s="28" t="s">
        <v>320</v>
      </c>
      <c r="I138" s="17"/>
      <c r="J138" s="121">
        <f>'II-I-DIST'!J138+'II-I-MET'!J138+'II-I-TBILLTDCS'!J138</f>
        <v>272416620.1871559</v>
      </c>
      <c r="K138" s="121">
        <f>'II-I-DIST'!K138+'II-I-MET'!K138+'II-I-TBILLTDCS'!K138</f>
        <v>6652472.6213685749</v>
      </c>
      <c r="L138" s="121">
        <f>'II-I-DIST'!L138+'II-I-MET'!L138+'II-I-TBILLTDCS'!L138</f>
        <v>175401525.5512526</v>
      </c>
      <c r="M138" s="121">
        <f>'II-I-DIST'!M138+'II-I-MET'!M138+'II-I-TBILLTDCS'!M138</f>
        <v>0</v>
      </c>
      <c r="N138" s="121">
        <f>'II-I-DIST'!N138+'II-I-MET'!N138+'II-I-TBILLTDCS'!N138</f>
        <v>0</v>
      </c>
      <c r="O138" s="121">
        <f>'II-I-DIST'!O138+'II-I-MET'!O138+'II-I-TBILLTDCS'!O138</f>
        <v>0</v>
      </c>
      <c r="P138" s="121">
        <f>'II-I-DIST'!P138+'II-I-MET'!P138+'II-I-TBILLTDCS'!P138</f>
        <v>0</v>
      </c>
      <c r="Q138" s="121">
        <f>'II-I-DIST'!Q138+'II-I-MET'!Q138+'II-I-TBILLTDCS'!Q138</f>
        <v>1769176.0012371717</v>
      </c>
      <c r="R138" s="121">
        <f>'II-I-DIST'!R138+'II-I-MET'!R138+'II-I-TBILLTDCS'!R138</f>
        <v>0</v>
      </c>
      <c r="S138" s="121">
        <f>'II-I-DIST'!S138+'II-I-MET'!S138+'II-I-TBILLTDCS'!S138</f>
        <v>0</v>
      </c>
      <c r="T138" s="17"/>
      <c r="U138" s="118">
        <f t="shared" si="53"/>
        <v>456239794.36101425</v>
      </c>
      <c r="V138" s="67"/>
      <c r="X138" s="370">
        <f t="shared" si="41"/>
        <v>0</v>
      </c>
    </row>
    <row r="139" spans="1:24" ht="14.25">
      <c r="A139" s="47"/>
      <c r="B139" s="17">
        <f t="shared" si="52"/>
        <v>8</v>
      </c>
      <c r="C139" s="1" t="s">
        <v>385</v>
      </c>
      <c r="D139" s="1" t="s">
        <v>539</v>
      </c>
      <c r="E139" s="17"/>
      <c r="F139" s="118">
        <f>' WP II-I-1.4'!L139</f>
        <v>1423183157.5036314</v>
      </c>
      <c r="G139" s="17" t="s">
        <v>805</v>
      </c>
      <c r="H139" s="28" t="s">
        <v>320</v>
      </c>
      <c r="I139" s="17"/>
      <c r="J139" s="121">
        <f>'II-I-DIST'!J139+'II-I-MET'!J139+'II-I-TBILLTDCS'!J139</f>
        <v>774487552.9302969</v>
      </c>
      <c r="K139" s="121">
        <f>'II-I-DIST'!K139+'II-I-MET'!K139+'II-I-TBILLTDCS'!K139</f>
        <v>18913153.088529762</v>
      </c>
      <c r="L139" s="121">
        <f>'II-I-DIST'!L139+'II-I-MET'!L139+'II-I-TBILLTDCS'!L139</f>
        <v>498671109.75498253</v>
      </c>
      <c r="M139" s="121">
        <f>'II-I-DIST'!M139+'II-I-MET'!M139+'II-I-TBILLTDCS'!M139</f>
        <v>281919.3329723588</v>
      </c>
      <c r="N139" s="121">
        <f>'II-I-DIST'!N139+'II-I-MET'!N139+'II-I-TBILLTDCS'!N139</f>
        <v>119322455.07016791</v>
      </c>
      <c r="O139" s="121">
        <f>'II-I-DIST'!O139+'II-I-MET'!O139+'II-I-TBILLTDCS'!O139</f>
        <v>0</v>
      </c>
      <c r="P139" s="121">
        <f>'II-I-DIST'!P139+'II-I-MET'!P139+'II-I-TBILLTDCS'!P139</f>
        <v>0</v>
      </c>
      <c r="Q139" s="121">
        <f>'II-I-DIST'!Q139+'II-I-MET'!Q139+'II-I-TBILLTDCS'!Q139</f>
        <v>5029813.4928765586</v>
      </c>
      <c r="R139" s="121">
        <f>'II-I-DIST'!R139+'II-I-MET'!R139+'II-I-TBILLTDCS'!R139</f>
        <v>0</v>
      </c>
      <c r="S139" s="121">
        <f>'II-I-DIST'!S139+'II-I-MET'!S139+'II-I-TBILLTDCS'!S139</f>
        <v>6477153.8338052481</v>
      </c>
      <c r="T139" s="17"/>
      <c r="U139" s="118">
        <f t="shared" si="53"/>
        <v>1423183157.5036314</v>
      </c>
      <c r="V139" s="67"/>
      <c r="X139" s="370">
        <f t="shared" si="41"/>
        <v>0</v>
      </c>
    </row>
    <row r="140" spans="1:24" ht="14.25">
      <c r="A140" s="47"/>
      <c r="B140" s="17">
        <f t="shared" si="52"/>
        <v>9</v>
      </c>
      <c r="C140" s="1" t="s">
        <v>387</v>
      </c>
      <c r="D140" s="1" t="s">
        <v>540</v>
      </c>
      <c r="E140" s="17"/>
      <c r="F140" s="118">
        <f>' WP II-I-1.4'!L140</f>
        <v>252227700.61636847</v>
      </c>
      <c r="G140" s="17" t="s">
        <v>805</v>
      </c>
      <c r="H140" s="28" t="s">
        <v>320</v>
      </c>
      <c r="I140" s="17"/>
      <c r="J140" s="121">
        <f>'II-I-DIST'!J140+'II-I-MET'!J140+'II-I-TBILLTDCS'!J140</f>
        <v>150602859.65568173</v>
      </c>
      <c r="K140" s="121">
        <f>'II-I-DIST'!K140+'II-I-MET'!K140+'II-I-TBILLTDCS'!K140</f>
        <v>3677754.3156908825</v>
      </c>
      <c r="L140" s="121">
        <f>'II-I-DIST'!L140+'II-I-MET'!L140+'II-I-TBILLTDCS'!L140</f>
        <v>96969015.024999008</v>
      </c>
      <c r="M140" s="121">
        <f>'II-I-DIST'!M140+'II-I-MET'!M140+'II-I-TBILLTDCS'!M140</f>
        <v>0</v>
      </c>
      <c r="N140" s="121">
        <f>'II-I-DIST'!N140+'II-I-MET'!N140+'II-I-TBILLTDCS'!N140</f>
        <v>0</v>
      </c>
      <c r="O140" s="121">
        <f>'II-I-DIST'!O140+'II-I-MET'!O140+'II-I-TBILLTDCS'!O140</f>
        <v>0</v>
      </c>
      <c r="P140" s="121">
        <f>'II-I-DIST'!P140+'II-I-MET'!P140+'II-I-TBILLTDCS'!P140</f>
        <v>0</v>
      </c>
      <c r="Q140" s="121">
        <f>'II-I-DIST'!Q140+'II-I-MET'!Q140+'II-I-TBILLTDCS'!Q140</f>
        <v>978071.61999686388</v>
      </c>
      <c r="R140" s="121">
        <f>'II-I-DIST'!R140+'II-I-MET'!R140+'II-I-TBILLTDCS'!R140</f>
        <v>0</v>
      </c>
      <c r="S140" s="121">
        <f>'II-I-DIST'!S140+'II-I-MET'!S140+'II-I-TBILLTDCS'!S140</f>
        <v>0</v>
      </c>
      <c r="T140" s="17"/>
      <c r="U140" s="118">
        <f t="shared" si="53"/>
        <v>252227700.6163685</v>
      </c>
      <c r="V140" s="67"/>
      <c r="X140" s="370">
        <f t="shared" si="41"/>
        <v>0</v>
      </c>
    </row>
    <row r="141" spans="1:24" ht="14.25">
      <c r="A141" s="47"/>
      <c r="B141" s="17">
        <f t="shared" si="52"/>
        <v>10</v>
      </c>
      <c r="C141" s="1" t="s">
        <v>390</v>
      </c>
      <c r="D141" s="1" t="s">
        <v>391</v>
      </c>
      <c r="E141" s="17"/>
      <c r="F141" s="118">
        <f>' WP II-I-1.4'!L141</f>
        <v>656988431.26209927</v>
      </c>
      <c r="G141" s="17" t="s">
        <v>805</v>
      </c>
      <c r="H141" s="28" t="s">
        <v>320</v>
      </c>
      <c r="I141" s="17"/>
      <c r="J141" s="121">
        <f>'II-I-DIST'!J141+'II-I-MET'!J141+'II-I-TBILLTDCS'!J141</f>
        <v>357529078.21381348</v>
      </c>
      <c r="K141" s="121">
        <f>'II-I-DIST'!K141+'II-I-MET'!K141+'II-I-TBILLTDCS'!K141</f>
        <v>8730937.2039286457</v>
      </c>
      <c r="L141" s="121">
        <f>'II-I-DIST'!L141+'II-I-MET'!L141+'II-I-TBILLTDCS'!L141</f>
        <v>230203082.7067458</v>
      </c>
      <c r="M141" s="121">
        <f>'II-I-DIST'!M141+'II-I-MET'!M141+'II-I-TBILLTDCS'!M141</f>
        <v>130143.29135039306</v>
      </c>
      <c r="N141" s="121">
        <f>'II-I-DIST'!N141+'II-I-MET'!N141+'II-I-TBILLTDCS'!N141</f>
        <v>55083193.022323206</v>
      </c>
      <c r="O141" s="121">
        <f>'II-I-DIST'!O141+'II-I-MET'!O141+'II-I-TBILLTDCS'!O141</f>
        <v>0</v>
      </c>
      <c r="P141" s="121">
        <f>'II-I-DIST'!P141+'II-I-MET'!P141+'II-I-TBILLTDCS'!P141</f>
        <v>0</v>
      </c>
      <c r="Q141" s="121">
        <f>'II-I-DIST'!Q141+'II-I-MET'!Q141+'II-I-TBILLTDCS'!Q141</f>
        <v>2321928.3187852637</v>
      </c>
      <c r="R141" s="121">
        <f>'II-I-DIST'!R141+'II-I-MET'!R141+'II-I-TBILLTDCS'!R141</f>
        <v>0</v>
      </c>
      <c r="S141" s="121">
        <f>'II-I-DIST'!S141+'II-I-MET'!S141+'II-I-TBILLTDCS'!S141</f>
        <v>2990068.5051524322</v>
      </c>
      <c r="T141" s="17"/>
      <c r="U141" s="118">
        <f t="shared" si="53"/>
        <v>656988431.26209927</v>
      </c>
      <c r="V141" s="67"/>
      <c r="X141" s="370">
        <f t="shared" si="41"/>
        <v>0</v>
      </c>
    </row>
    <row r="142" spans="1:24" ht="14.25">
      <c r="A142" s="47"/>
      <c r="B142" s="17">
        <f t="shared" si="52"/>
        <v>11</v>
      </c>
      <c r="C142" s="1" t="s">
        <v>392</v>
      </c>
      <c r="D142" s="1" t="s">
        <v>393</v>
      </c>
      <c r="E142" s="17"/>
      <c r="F142" s="118">
        <f>' WP II-I-1.4'!L142</f>
        <v>425130046.84790057</v>
      </c>
      <c r="G142" s="17" t="s">
        <v>805</v>
      </c>
      <c r="H142" s="28" t="s">
        <v>320</v>
      </c>
      <c r="I142" s="17"/>
      <c r="J142" s="121">
        <f>'II-I-DIST'!J142+'II-I-MET'!J142+'II-I-TBILLTDCS'!J142</f>
        <v>253841273.67607921</v>
      </c>
      <c r="K142" s="121">
        <f>'II-I-DIST'!K142+'II-I-MET'!K142+'II-I-TBILLTDCS'!K142</f>
        <v>6198858.6531295031</v>
      </c>
      <c r="L142" s="121">
        <f>'II-I-DIST'!L142+'II-I-MET'!L142+'II-I-TBILLTDCS'!L142</f>
        <v>163441373.8048299</v>
      </c>
      <c r="M142" s="121">
        <f>'II-I-DIST'!M142+'II-I-MET'!M142+'II-I-TBILLTDCS'!M142</f>
        <v>0</v>
      </c>
      <c r="N142" s="121">
        <f>'II-I-DIST'!N142+'II-I-MET'!N142+'II-I-TBILLTDCS'!N142</f>
        <v>0</v>
      </c>
      <c r="O142" s="121">
        <f>'II-I-DIST'!O142+'II-I-MET'!O142+'II-I-TBILLTDCS'!O142</f>
        <v>0</v>
      </c>
      <c r="P142" s="121">
        <f>'II-I-DIST'!P142+'II-I-MET'!P142+'II-I-TBILLTDCS'!P142</f>
        <v>0</v>
      </c>
      <c r="Q142" s="121">
        <f>'II-I-DIST'!Q142+'II-I-MET'!Q142+'II-I-TBILLTDCS'!Q142</f>
        <v>1648540.7138619598</v>
      </c>
      <c r="R142" s="121">
        <f>'II-I-DIST'!R142+'II-I-MET'!R142+'II-I-TBILLTDCS'!R142</f>
        <v>0</v>
      </c>
      <c r="S142" s="121">
        <f>'II-I-DIST'!S142+'II-I-MET'!S142+'II-I-TBILLTDCS'!S142</f>
        <v>0</v>
      </c>
      <c r="T142" s="17"/>
      <c r="U142" s="118">
        <f t="shared" si="53"/>
        <v>425130046.84790057</v>
      </c>
      <c r="V142" s="67"/>
      <c r="X142" s="370">
        <f t="shared" si="41"/>
        <v>0</v>
      </c>
    </row>
    <row r="143" spans="1:24" ht="14.25">
      <c r="A143" s="47"/>
      <c r="B143" s="17">
        <f t="shared" si="52"/>
        <v>12</v>
      </c>
      <c r="C143" s="1" t="s">
        <v>395</v>
      </c>
      <c r="D143" s="31" t="s">
        <v>541</v>
      </c>
      <c r="E143" s="30"/>
      <c r="F143" s="118">
        <f>' WP II-I-1.4'!L143</f>
        <v>2071962156.2558694</v>
      </c>
      <c r="G143" s="17" t="s">
        <v>805</v>
      </c>
      <c r="H143" s="28" t="s">
        <v>320</v>
      </c>
      <c r="I143" s="30"/>
      <c r="J143" s="121">
        <f>'II-I-DIST'!J143+'II-I-MET'!J143+'II-I-TBILLTDCS'!J143</f>
        <v>1127549108.2803202</v>
      </c>
      <c r="K143" s="121">
        <f>'II-I-DIST'!K143+'II-I-MET'!K143+'II-I-TBILLTDCS'!K143</f>
        <v>27534992.420543376</v>
      </c>
      <c r="L143" s="121">
        <f>'II-I-DIST'!L143+'II-I-MET'!L143+'II-I-TBILLTDCS'!L143</f>
        <v>725997678.0801698</v>
      </c>
      <c r="M143" s="121">
        <f>'II-I-DIST'!M143+'II-I-MET'!M143+'II-I-TBILLTDCS'!M143</f>
        <v>410436.41217636777</v>
      </c>
      <c r="N143" s="121">
        <f>'II-I-DIST'!N143+'II-I-MET'!N143+'II-I-TBILLTDCS'!N143</f>
        <v>173717353.23975569</v>
      </c>
      <c r="O143" s="121">
        <f>'II-I-DIST'!O143+'II-I-MET'!O143+'II-I-TBILLTDCS'!O143</f>
        <v>0</v>
      </c>
      <c r="P143" s="121">
        <f>'II-I-DIST'!P143+'II-I-MET'!P143+'II-I-TBILLTDCS'!P143</f>
        <v>0</v>
      </c>
      <c r="Q143" s="121">
        <f>'II-I-DIST'!Q143+'II-I-MET'!Q143+'II-I-TBILLTDCS'!Q143</f>
        <v>7322728.0377218686</v>
      </c>
      <c r="R143" s="121">
        <f>'II-I-DIST'!R143+'II-I-MET'!R143+'II-I-TBILLTDCS'!R143</f>
        <v>0</v>
      </c>
      <c r="S143" s="121">
        <f>'II-I-DIST'!S143+'II-I-MET'!S143+'II-I-TBILLTDCS'!S143</f>
        <v>9429859.7851821817</v>
      </c>
      <c r="T143" s="30"/>
      <c r="U143" s="118">
        <f t="shared" si="53"/>
        <v>2071962156.2558696</v>
      </c>
      <c r="V143" s="67"/>
      <c r="X143" s="370">
        <f t="shared" si="41"/>
        <v>0</v>
      </c>
    </row>
    <row r="144" spans="1:24" ht="14.25">
      <c r="A144" s="47"/>
      <c r="B144" s="17">
        <f t="shared" si="52"/>
        <v>13</v>
      </c>
      <c r="C144" s="1" t="s">
        <v>397</v>
      </c>
      <c r="D144" s="31" t="s">
        <v>542</v>
      </c>
      <c r="E144" s="30"/>
      <c r="F144" s="118">
        <f>' WP II-I-1.4'!L144</f>
        <v>481965371.7141304</v>
      </c>
      <c r="G144" s="17" t="s">
        <v>805</v>
      </c>
      <c r="H144" s="28" t="s">
        <v>320</v>
      </c>
      <c r="I144" s="30"/>
      <c r="J144" s="121">
        <f>'II-I-DIST'!J144+'II-I-MET'!J144+'II-I-TBILLTDCS'!J144</f>
        <v>287777127.80073285</v>
      </c>
      <c r="K144" s="121">
        <f>'II-I-DIST'!K144+'II-I-MET'!K144+'II-I-TBILLTDCS'!K144</f>
        <v>7027579.5303355856</v>
      </c>
      <c r="L144" s="121">
        <f>'II-I-DIST'!L144+'II-I-MET'!L144+'II-I-TBILLTDCS'!L144</f>
        <v>185291731.46751431</v>
      </c>
      <c r="M144" s="121">
        <f>'II-I-DIST'!M144+'II-I-MET'!M144+'II-I-TBILLTDCS'!M144</f>
        <v>0</v>
      </c>
      <c r="N144" s="121">
        <f>'II-I-DIST'!N144+'II-I-MET'!N144+'II-I-TBILLTDCS'!N144</f>
        <v>0</v>
      </c>
      <c r="O144" s="121">
        <f>'II-I-DIST'!O144+'II-I-MET'!O144+'II-I-TBILLTDCS'!O144</f>
        <v>0</v>
      </c>
      <c r="P144" s="121">
        <f>'II-I-DIST'!P144+'II-I-MET'!P144+'II-I-TBILLTDCS'!P144</f>
        <v>0</v>
      </c>
      <c r="Q144" s="121">
        <f>'II-I-DIST'!Q144+'II-I-MET'!Q144+'II-I-TBILLTDCS'!Q144</f>
        <v>1868932.9155476536</v>
      </c>
      <c r="R144" s="121">
        <f>'II-I-DIST'!R144+'II-I-MET'!R144+'II-I-TBILLTDCS'!R144</f>
        <v>0</v>
      </c>
      <c r="S144" s="121">
        <f>'II-I-DIST'!S144+'II-I-MET'!S144+'II-I-TBILLTDCS'!S144</f>
        <v>0</v>
      </c>
      <c r="T144" s="30"/>
      <c r="U144" s="118">
        <f t="shared" si="53"/>
        <v>481965371.71413046</v>
      </c>
      <c r="V144" s="67"/>
      <c r="X144" s="370">
        <f t="shared" si="54" ref="X144:X204">U144-F144</f>
        <v>0</v>
      </c>
    </row>
    <row r="145" spans="1:24" ht="14.25">
      <c r="A145" s="47"/>
      <c r="B145" s="17">
        <f t="shared" si="52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18">
        <f>' WP II-I-1.4'!L145</f>
        <v>146592103.22000006</v>
      </c>
      <c r="G145" s="17" t="s">
        <v>805</v>
      </c>
      <c r="H145" s="28" t="s">
        <v>320</v>
      </c>
      <c r="I145" s="17"/>
      <c r="J145" s="121">
        <f>'II-I-DIST'!J145+'II-I-MET'!J145+'II-I-TBILLTDCS'!J145</f>
        <v>79774524.24388577</v>
      </c>
      <c r="K145" s="121">
        <f>'II-I-DIST'!K145+'II-I-MET'!K145+'II-I-TBILLTDCS'!K145</f>
        <v>1948111.0882682318</v>
      </c>
      <c r="L145" s="121">
        <f>'II-I-DIST'!L145+'II-I-MET'!L145+'II-I-TBILLTDCS'!L145</f>
        <v>51364609.262422256</v>
      </c>
      <c r="M145" s="121">
        <f>'II-I-DIST'!M145+'II-I-MET'!M145+'II-I-TBILLTDCS'!M145</f>
        <v>29038.530803925802</v>
      </c>
      <c r="N145" s="121">
        <f>'II-I-DIST'!N145+'II-I-MET'!N145+'II-I-TBILLTDCS'!N145</f>
        <v>12290568.194182161</v>
      </c>
      <c r="O145" s="121">
        <f>'II-I-DIST'!O145+'II-I-MET'!O145+'II-I-TBILLTDCS'!O145</f>
        <v>0</v>
      </c>
      <c r="P145" s="121">
        <f>'II-I-DIST'!P145+'II-I-MET'!P145+'II-I-TBILLTDCS'!P145</f>
        <v>0</v>
      </c>
      <c r="Q145" s="121">
        <f>'II-I-DIST'!Q145+'II-I-MET'!Q145+'II-I-TBILLTDCS'!Q145</f>
        <v>518085.76769447053</v>
      </c>
      <c r="R145" s="121">
        <f>'II-I-DIST'!R145+'II-I-MET'!R145+'II-I-TBILLTDCS'!R145</f>
        <v>0</v>
      </c>
      <c r="S145" s="121">
        <f>'II-I-DIST'!S145+'II-I-MET'!S145+'II-I-TBILLTDCS'!S145</f>
        <v>667166.13274323079</v>
      </c>
      <c r="T145" s="17"/>
      <c r="U145" s="118">
        <f t="shared" si="53"/>
        <v>146592103.22000006</v>
      </c>
      <c r="V145" s="67"/>
      <c r="X145" s="370">
        <f t="shared" si="54"/>
        <v>0</v>
      </c>
    </row>
    <row r="146" spans="1:24" ht="14.25">
      <c r="A146" s="47"/>
      <c r="B146" s="17">
        <f t="shared" si="52"/>
        <v>15</v>
      </c>
      <c r="C146" s="1" t="s">
        <v>402</v>
      </c>
      <c r="D146" s="1" t="str">
        <f>'WP II-I-1.2'!D40</f>
        <v>Secondary Transformers</v>
      </c>
      <c r="E146" s="17"/>
      <c r="F146" s="118">
        <f>' WP II-I-1.4'!L146</f>
        <v>2196294899.3600001</v>
      </c>
      <c r="G146" s="17" t="s">
        <v>805</v>
      </c>
      <c r="H146" s="28" t="s">
        <v>320</v>
      </c>
      <c r="I146" s="17"/>
      <c r="J146" s="121">
        <f>'II-I-DIST'!J146+'II-I-MET'!J146+'II-I-TBILLTDCS'!J146</f>
        <v>1311387653.6260915</v>
      </c>
      <c r="K146" s="121">
        <f>'II-I-DIST'!K146+'II-I-MET'!K146+'II-I-TBILLTDCS'!K146</f>
        <v>32024369.349251892</v>
      </c>
      <c r="L146" s="121">
        <f>'II-I-DIST'!L146+'II-I-MET'!L146+'II-I-TBILLTDCS'!L146</f>
        <v>844366231.68243539</v>
      </c>
      <c r="M146" s="121">
        <f>'II-I-DIST'!M146+'II-I-MET'!M146+'II-I-TBILLTDCS'!M146</f>
        <v>0</v>
      </c>
      <c r="N146" s="121">
        <f>'II-I-DIST'!N146+'II-I-MET'!N146+'II-I-TBILLTDCS'!N146</f>
        <v>0</v>
      </c>
      <c r="O146" s="121">
        <f>'II-I-DIST'!O146+'II-I-MET'!O146+'II-I-TBILLTDCS'!O146</f>
        <v>0</v>
      </c>
      <c r="P146" s="121">
        <f>'II-I-DIST'!P146+'II-I-MET'!P146+'II-I-TBILLTDCS'!P146</f>
        <v>0</v>
      </c>
      <c r="Q146" s="121">
        <f>'II-I-DIST'!Q146+'II-I-MET'!Q146+'II-I-TBILLTDCS'!Q146</f>
        <v>8516644.7022214178</v>
      </c>
      <c r="R146" s="121">
        <f>'II-I-DIST'!R146+'II-I-MET'!R146+'II-I-TBILLTDCS'!R146</f>
        <v>0</v>
      </c>
      <c r="S146" s="121">
        <f>'II-I-DIST'!S146+'II-I-MET'!S146+'II-I-TBILLTDCS'!S146</f>
        <v>0</v>
      </c>
      <c r="T146" s="17"/>
      <c r="U146" s="118">
        <f t="shared" si="53"/>
        <v>2196294899.3600001</v>
      </c>
      <c r="V146" s="67"/>
      <c r="X146" s="370">
        <f t="shared" si="54"/>
        <v>0</v>
      </c>
    </row>
    <row r="147" spans="1:24" ht="14.25">
      <c r="A147" s="47"/>
      <c r="B147" s="17">
        <f t="shared" si="52"/>
        <v>16</v>
      </c>
      <c r="C147" s="1" t="s">
        <v>404</v>
      </c>
      <c r="D147" s="1" t="str">
        <f>'WP II-I-1.2'!D41</f>
        <v>Capacitors</v>
      </c>
      <c r="E147" s="17"/>
      <c r="F147" s="118">
        <f>' WP II-I-1.4'!L147</f>
        <v>150190759.82000005</v>
      </c>
      <c r="G147" s="17" t="s">
        <v>805</v>
      </c>
      <c r="H147" s="28" t="s">
        <v>320</v>
      </c>
      <c r="I147" s="17"/>
      <c r="J147" s="121">
        <f>'II-I-DIST'!J147+'II-I-MET'!J147+'II-I-TBILLTDCS'!J147</f>
        <v>72088234.770338818</v>
      </c>
      <c r="K147" s="121">
        <f>'II-I-DIST'!K147+'II-I-MET'!K147+'II-I-TBILLTDCS'!K147</f>
        <v>1760410.2415006766</v>
      </c>
      <c r="L147" s="121">
        <f>'II-I-DIST'!L147+'II-I-MET'!L147+'II-I-TBILLTDCS'!L147</f>
        <v>46415620.105437487</v>
      </c>
      <c r="M147" s="121">
        <f>'II-I-DIST'!M147+'II-I-MET'!M147+'II-I-TBILLTDCS'!M147</f>
        <v>26240.663242057002</v>
      </c>
      <c r="N147" s="121">
        <f>'II-I-DIST'!N147+'II-I-MET'!N147+'II-I-TBILLTDCS'!N147</f>
        <v>11106369.782092053</v>
      </c>
      <c r="O147" s="121">
        <f>'II-I-DIST'!O147+'II-I-MET'!O147+'II-I-TBILLTDCS'!O147</f>
        <v>4016449.0249529257</v>
      </c>
      <c r="P147" s="121">
        <f>'II-I-DIST'!P147+'II-I-MET'!P147+'II-I-TBILLTDCS'!P147</f>
        <v>13224986.007427361</v>
      </c>
      <c r="Q147" s="121">
        <f>'II-I-DIST'!Q147+'II-I-MET'!Q147+'II-I-TBILLTDCS'!Q147</f>
        <v>468168.11264897883</v>
      </c>
      <c r="R147" s="121">
        <f>'II-I-DIST'!R147+'II-I-MET'!R147+'II-I-TBILLTDCS'!R147</f>
        <v>481396.55411427037</v>
      </c>
      <c r="S147" s="121">
        <f>'II-I-DIST'!S147+'II-I-MET'!S147+'II-I-TBILLTDCS'!S147</f>
        <v>602884.55824541277</v>
      </c>
      <c r="T147" s="17"/>
      <c r="U147" s="118">
        <f t="shared" si="53"/>
        <v>150190759.82000005</v>
      </c>
      <c r="V147" s="67"/>
      <c r="X147" s="370">
        <f t="shared" si="54"/>
        <v>0</v>
      </c>
    </row>
    <row r="148" spans="1:24" ht="14.25">
      <c r="A148" s="47"/>
      <c r="B148" s="17">
        <f t="shared" si="52"/>
        <v>17</v>
      </c>
      <c r="C148" s="1" t="s">
        <v>76</v>
      </c>
      <c r="D148" s="31" t="s">
        <v>77</v>
      </c>
      <c r="E148" s="30"/>
      <c r="F148" s="118">
        <f>' WP II-I-1.4'!L148</f>
        <v>1652238990.3599999</v>
      </c>
      <c r="G148" s="17" t="s">
        <v>805</v>
      </c>
      <c r="H148" s="28" t="s">
        <v>320</v>
      </c>
      <c r="I148" s="30"/>
      <c r="J148" s="121">
        <f>'II-I-DIST'!J148+'II-I-MET'!J148+'II-I-TBILLTDCS'!J148</f>
        <v>1013191738.4131759</v>
      </c>
      <c r="K148" s="121">
        <f>'II-I-DIST'!K148+'II-I-MET'!K148+'II-I-TBILLTDCS'!K148</f>
        <v>156208073.51939485</v>
      </c>
      <c r="L148" s="121">
        <f>'II-I-DIST'!L148+'II-I-MET'!L148+'II-I-TBILLTDCS'!L148</f>
        <v>481829206.51545835</v>
      </c>
      <c r="M148" s="121">
        <f>'II-I-DIST'!M148+'II-I-MET'!M148+'II-I-TBILLTDCS'!M148</f>
        <v>0</v>
      </c>
      <c r="N148" s="121">
        <f>'II-I-DIST'!N148+'II-I-MET'!N148+'II-I-TBILLTDCS'!N148</f>
        <v>0</v>
      </c>
      <c r="O148" s="121">
        <f>'II-I-DIST'!O148+'II-I-MET'!O148+'II-I-TBILLTDCS'!O148</f>
        <v>0</v>
      </c>
      <c r="P148" s="121">
        <f>'II-I-DIST'!P148+'II-I-MET'!P148+'II-I-TBILLTDCS'!P148</f>
        <v>0</v>
      </c>
      <c r="Q148" s="121">
        <f>'II-I-DIST'!Q148+'II-I-MET'!Q148+'II-I-TBILLTDCS'!Q148</f>
        <v>1009971.911970859</v>
      </c>
      <c r="R148" s="121">
        <f>'II-I-DIST'!R148+'II-I-MET'!R148+'II-I-TBILLTDCS'!R148</f>
        <v>0</v>
      </c>
      <c r="S148" s="121">
        <f>'II-I-DIST'!S148+'II-I-MET'!S148+'II-I-TBILLTDCS'!S148</f>
        <v>0</v>
      </c>
      <c r="T148" s="30"/>
      <c r="U148" s="118">
        <f t="shared" si="53"/>
        <v>1652238990.3599999</v>
      </c>
      <c r="V148" s="67"/>
      <c r="X148" s="370">
        <f t="shared" si="54"/>
        <v>0</v>
      </c>
    </row>
    <row r="149" spans="1:24" ht="14.25">
      <c r="A149" s="47"/>
      <c r="B149" s="17">
        <f t="shared" si="52"/>
        <v>18</v>
      </c>
      <c r="C149" s="1" t="s">
        <v>78</v>
      </c>
      <c r="D149" s="1" t="s">
        <v>79</v>
      </c>
      <c r="E149" s="17"/>
      <c r="F149" s="118">
        <f>' WP II-I-1.4'!L149</f>
        <v>574147483.07000005</v>
      </c>
      <c r="G149" s="17" t="s">
        <v>805</v>
      </c>
      <c r="H149" s="28" t="s">
        <v>320</v>
      </c>
      <c r="I149" s="17"/>
      <c r="J149" s="121">
        <f>'II-I-DIST'!J149+'II-I-MET'!J149+'II-I-TBILLTDCS'!J149</f>
        <v>320089986.17930245</v>
      </c>
      <c r="K149" s="121">
        <f>'II-I-DIST'!K149+'II-I-MET'!K149+'II-I-TBILLTDCS'!K149</f>
        <v>49349632.649223678</v>
      </c>
      <c r="L149" s="121">
        <f>'II-I-DIST'!L149+'II-I-MET'!L149+'II-I-TBILLTDCS'!L149</f>
        <v>152220649.0706929</v>
      </c>
      <c r="M149" s="121">
        <f>'II-I-DIST'!M149+'II-I-MET'!M149+'II-I-TBILLTDCS'!M149</f>
        <v>2137409.0370628219</v>
      </c>
      <c r="N149" s="121">
        <f>'II-I-DIST'!N149+'II-I-MET'!N149+'II-I-TBILLTDCS'!N149</f>
        <v>44601968.854590081</v>
      </c>
      <c r="O149" s="121">
        <f>'II-I-DIST'!O149+'II-I-MET'!O149+'II-I-TBILLTDCS'!O149</f>
        <v>1524183.3465529084</v>
      </c>
      <c r="P149" s="121">
        <f>'II-I-DIST'!P149+'II-I-MET'!P149+'II-I-TBILLTDCS'!P149</f>
        <v>3318029.9005728695</v>
      </c>
      <c r="Q149" s="121">
        <f>'II-I-DIST'!Q149+'II-I-MET'!Q149+'II-I-TBILLTDCS'!Q149</f>
        <v>319072.7708168528</v>
      </c>
      <c r="R149" s="121">
        <f>'II-I-DIST'!R149+'II-I-MET'!R149+'II-I-TBILLTDCS'!R149</f>
        <v>175867.30921764328</v>
      </c>
      <c r="S149" s="121">
        <f>'II-I-DIST'!S149+'II-I-MET'!S149+'II-I-TBILLTDCS'!S149</f>
        <v>410683.9519678686</v>
      </c>
      <c r="T149" s="17"/>
      <c r="U149" s="118">
        <f t="shared" si="53"/>
        <v>574147483.07000017</v>
      </c>
      <c r="V149" s="67"/>
      <c r="X149" s="370">
        <f t="shared" si="54"/>
        <v>0</v>
      </c>
    </row>
    <row r="150" spans="1:24" ht="14.25">
      <c r="A150" s="47"/>
      <c r="B150" s="17">
        <f t="shared" si="52"/>
        <v>19</v>
      </c>
      <c r="C150" s="1" t="s">
        <v>80</v>
      </c>
      <c r="D150" s="1" t="s">
        <v>543</v>
      </c>
      <c r="E150" s="17"/>
      <c r="F150" s="118">
        <f>' WP II-I-1.4'!L150</f>
        <v>54631096.93</v>
      </c>
      <c r="G150" s="17" t="s">
        <v>805</v>
      </c>
      <c r="H150" s="28" t="s">
        <v>320</v>
      </c>
      <c r="I150" s="17"/>
      <c r="J150" s="121">
        <f>'II-I-DIST'!J150+'II-I-MET'!J150+'II-I-TBILLTDCS'!J150</f>
        <v>0</v>
      </c>
      <c r="K150" s="121">
        <f>'II-I-DIST'!K150+'II-I-MET'!K150+'II-I-TBILLTDCS'!K150</f>
        <v>0</v>
      </c>
      <c r="L150" s="121">
        <f>'II-I-DIST'!L150+'II-I-MET'!L150+'II-I-TBILLTDCS'!L150</f>
        <v>0</v>
      </c>
      <c r="M150" s="121">
        <f>'II-I-DIST'!M150+'II-I-MET'!M150+'II-I-TBILLTDCS'!M150</f>
        <v>0</v>
      </c>
      <c r="N150" s="121">
        <f>'II-I-DIST'!N150+'II-I-MET'!N150+'II-I-TBILLTDCS'!N150</f>
        <v>0</v>
      </c>
      <c r="O150" s="121">
        <f>'II-I-DIST'!O150+'II-I-MET'!O150+'II-I-TBILLTDCS'!O150</f>
        <v>0</v>
      </c>
      <c r="P150" s="121">
        <f>'II-I-DIST'!P150+'II-I-MET'!P150+'II-I-TBILLTDCS'!P150</f>
        <v>0</v>
      </c>
      <c r="Q150" s="121">
        <f>'II-I-DIST'!Q150+'II-I-MET'!Q150+'II-I-TBILLTDCS'!Q150</f>
        <v>54631096.93</v>
      </c>
      <c r="R150" s="121">
        <f>'II-I-DIST'!R150+'II-I-MET'!R150+'II-I-TBILLTDCS'!R150</f>
        <v>0</v>
      </c>
      <c r="S150" s="121">
        <f>'II-I-DIST'!S150+'II-I-MET'!S150+'II-I-TBILLTDCS'!S150</f>
        <v>0</v>
      </c>
      <c r="T150" s="17"/>
      <c r="U150" s="118">
        <f t="shared" si="53"/>
        <v>54631096.93</v>
      </c>
      <c r="V150" s="67"/>
      <c r="X150" s="370">
        <f t="shared" si="54"/>
        <v>0</v>
      </c>
    </row>
    <row r="151" spans="1:24" ht="14.25">
      <c r="A151" s="47"/>
      <c r="B151" s="17">
        <f t="shared" si="52"/>
        <v>20</v>
      </c>
      <c r="C151" s="1" t="s">
        <v>82</v>
      </c>
      <c r="D151" s="1" t="s">
        <v>544</v>
      </c>
      <c r="E151" s="17"/>
      <c r="F151" s="118">
        <f>' WP II-I-1.4'!L151</f>
        <v>0</v>
      </c>
      <c r="G151" s="17" t="s">
        <v>805</v>
      </c>
      <c r="H151" s="28" t="s">
        <v>320</v>
      </c>
      <c r="I151" s="17"/>
      <c r="J151" s="121">
        <f>'II-I-DIST'!J151+'II-I-MET'!J151+'II-I-TBILLTDCS'!J151</f>
        <v>0</v>
      </c>
      <c r="K151" s="121">
        <f>'II-I-DIST'!K151+'II-I-MET'!K151+'II-I-TBILLTDCS'!K151</f>
        <v>0</v>
      </c>
      <c r="L151" s="121">
        <f>'II-I-DIST'!L151+'II-I-MET'!L151+'II-I-TBILLTDCS'!L151</f>
        <v>0</v>
      </c>
      <c r="M151" s="121">
        <f>'II-I-DIST'!M151+'II-I-MET'!M151+'II-I-TBILLTDCS'!M151</f>
        <v>0</v>
      </c>
      <c r="N151" s="121">
        <f>'II-I-DIST'!N151+'II-I-MET'!N151+'II-I-TBILLTDCS'!N151</f>
        <v>0</v>
      </c>
      <c r="O151" s="121">
        <f>'II-I-DIST'!O151+'II-I-MET'!O151+'II-I-TBILLTDCS'!O151</f>
        <v>0</v>
      </c>
      <c r="P151" s="121">
        <f>'II-I-DIST'!P151+'II-I-MET'!P151+'II-I-TBILLTDCS'!P151</f>
        <v>0</v>
      </c>
      <c r="Q151" s="121">
        <f>'II-I-DIST'!Q151+'II-I-MET'!Q151+'II-I-TBILLTDCS'!Q151</f>
        <v>0</v>
      </c>
      <c r="R151" s="121">
        <f>'II-I-DIST'!R151+'II-I-MET'!R151+'II-I-TBILLTDCS'!R151</f>
        <v>0</v>
      </c>
      <c r="S151" s="121">
        <f>'II-I-DIST'!S151+'II-I-MET'!S151+'II-I-TBILLTDCS'!S151</f>
        <v>0</v>
      </c>
      <c r="T151" s="17"/>
      <c r="U151" s="118">
        <f t="shared" si="53"/>
        <v>0</v>
      </c>
      <c r="V151" s="67"/>
      <c r="X151" s="370">
        <f t="shared" si="54"/>
        <v>0</v>
      </c>
    </row>
    <row r="152" spans="1:24" ht="14.25">
      <c r="A152" s="47"/>
      <c r="B152" s="17">
        <f t="shared" si="52"/>
        <v>21</v>
      </c>
      <c r="C152" s="1" t="s">
        <v>84</v>
      </c>
      <c r="D152" s="1" t="s">
        <v>88</v>
      </c>
      <c r="E152" s="17"/>
      <c r="F152" s="118">
        <f>' WP II-I-1.4'!L152</f>
        <v>437403825.88999999</v>
      </c>
      <c r="G152" s="17" t="s">
        <v>805</v>
      </c>
      <c r="H152" s="28" t="s">
        <v>320</v>
      </c>
      <c r="I152" s="17"/>
      <c r="J152" s="121">
        <f>'II-I-DIST'!J152+'II-I-MET'!J152+'II-I-TBILLTDCS'!J152</f>
        <v>0</v>
      </c>
      <c r="K152" s="121">
        <f>'II-I-DIST'!K152+'II-I-MET'!K152+'II-I-TBILLTDCS'!K152</f>
        <v>0</v>
      </c>
      <c r="L152" s="121">
        <f>'II-I-DIST'!L152+'II-I-MET'!L152+'II-I-TBILLTDCS'!L152</f>
        <v>0</v>
      </c>
      <c r="M152" s="121">
        <f>'II-I-DIST'!M152+'II-I-MET'!M152+'II-I-TBILLTDCS'!M152</f>
        <v>0</v>
      </c>
      <c r="N152" s="121">
        <f>'II-I-DIST'!N152+'II-I-MET'!N152+'II-I-TBILLTDCS'!N152</f>
        <v>0</v>
      </c>
      <c r="O152" s="121">
        <f>'II-I-DIST'!O152+'II-I-MET'!O152+'II-I-TBILLTDCS'!O152</f>
        <v>0</v>
      </c>
      <c r="P152" s="121">
        <f>'II-I-DIST'!P152+'II-I-MET'!P152+'II-I-TBILLTDCS'!P152</f>
        <v>0</v>
      </c>
      <c r="Q152" s="121">
        <f>'II-I-DIST'!Q152+'II-I-MET'!Q152+'II-I-TBILLTDCS'!Q152</f>
        <v>437403825.88999999</v>
      </c>
      <c r="R152" s="121">
        <f>'II-I-DIST'!R152+'II-I-MET'!R152+'II-I-TBILLTDCS'!R152</f>
        <v>0</v>
      </c>
      <c r="S152" s="121">
        <f>'II-I-DIST'!S152+'II-I-MET'!S152+'II-I-TBILLTDCS'!S152</f>
        <v>0</v>
      </c>
      <c r="T152" s="17"/>
      <c r="U152" s="118">
        <f t="shared" si="53"/>
        <v>437403825.88999999</v>
      </c>
      <c r="V152" s="67"/>
      <c r="X152" s="370">
        <f t="shared" si="54"/>
        <v>0</v>
      </c>
    </row>
    <row r="153" spans="1:24" ht="14.25">
      <c r="A153" s="47"/>
      <c r="B153" s="17">
        <f t="shared" si="52"/>
        <v>22</v>
      </c>
      <c r="C153" s="1" t="s">
        <v>86</v>
      </c>
      <c r="D153" s="1" t="s">
        <v>40</v>
      </c>
      <c r="E153" s="17"/>
      <c r="F153" s="118">
        <f>' WP II-I-1.4'!L153</f>
        <v>71344821.219999999</v>
      </c>
      <c r="G153" s="17" t="s">
        <v>805</v>
      </c>
      <c r="H153" s="28" t="s">
        <v>320</v>
      </c>
      <c r="I153" s="17"/>
      <c r="J153" s="201">
        <f>'II-I-DIST'!J153+'II-I-MET'!J153+'II-I-TBILLTDCS'!J153</f>
        <v>38859263.097371474</v>
      </c>
      <c r="K153" s="201">
        <f>'II-I-DIST'!K153+'II-I-MET'!K153+'II-I-TBILLTDCS'!K153</f>
        <v>1600870.5845053718</v>
      </c>
      <c r="L153" s="201">
        <f>'II-I-DIST'!L153+'II-I-MET'!L153+'II-I-TBILLTDCS'!L153</f>
        <v>24174737.146370098</v>
      </c>
      <c r="M153" s="201">
        <f>'II-I-DIST'!M153+'II-I-MET'!M153+'II-I-TBILLTDCS'!M153</f>
        <v>8207.8326516951893</v>
      </c>
      <c r="N153" s="201">
        <f>'II-I-DIST'!N153+'II-I-MET'!N153+'II-I-TBILLTDCS'!N153</f>
        <v>3473968.0052427649</v>
      </c>
      <c r="O153" s="201">
        <f>'II-I-DIST'!O153+'II-I-MET'!O153+'II-I-TBILLTDCS'!O153</f>
        <v>275877.720593668</v>
      </c>
      <c r="P153" s="201">
        <f>'II-I-DIST'!P153+'II-I-MET'!P153+'II-I-TBILLTDCS'!P153</f>
        <v>65580.746878640697</v>
      </c>
      <c r="Q153" s="201">
        <f>'II-I-DIST'!Q153+'II-I-MET'!Q153+'II-I-TBILLTDCS'!Q153</f>
        <v>2664673.7955877841</v>
      </c>
      <c r="R153" s="201">
        <f>'II-I-DIST'!R153+'II-I-MET'!R153+'II-I-TBILLTDCS'!R153</f>
        <v>33065.671498780634</v>
      </c>
      <c r="S153" s="201">
        <f>'II-I-DIST'!S153+'II-I-MET'!S153+'II-I-TBILLTDCS'!S153</f>
        <v>188576.61929971958</v>
      </c>
      <c r="T153" s="17"/>
      <c r="U153" s="118">
        <f t="shared" si="53"/>
        <v>71344821.219999984</v>
      </c>
      <c r="V153" s="67"/>
      <c r="X153" s="370">
        <f t="shared" si="54"/>
        <v>0</v>
      </c>
    </row>
    <row r="154" spans="1:24" ht="15">
      <c r="A154" s="47"/>
      <c r="B154" s="17">
        <f t="shared" si="52"/>
        <v>23</v>
      </c>
      <c r="C154" s="67"/>
      <c r="D154" s="297" t="s">
        <v>491</v>
      </c>
      <c r="E154" s="150"/>
      <c r="F154" s="22">
        <f>SUM(F133:F153)</f>
        <v>15192967215.919998</v>
      </c>
      <c r="G154" s="150"/>
      <c r="H154" s="150"/>
      <c r="I154" s="150"/>
      <c r="J154" s="896">
        <f t="shared" si="55" ref="J154:Q154">SUM(J133:J153)</f>
        <v>8282497803.0008507</v>
      </c>
      <c r="K154" s="896">
        <f t="shared" si="55"/>
        <v>377373981.02260995</v>
      </c>
      <c r="L154" s="896">
        <f t="shared" si="55"/>
        <v>5105714376.9763021</v>
      </c>
      <c r="M154" s="896">
        <f t="shared" si="55"/>
        <v>3819224.5336989793</v>
      </c>
      <c r="N154" s="896">
        <f t="shared" si="55"/>
        <v>756430958.79248762</v>
      </c>
      <c r="O154" s="896">
        <f>SUM(O133:O153)</f>
        <v>58052556.348317809</v>
      </c>
      <c r="P154" s="896">
        <f t="shared" si="55"/>
        <v>16755769.321184928</v>
      </c>
      <c r="Q154" s="896">
        <f t="shared" si="55"/>
        <v>546320663.33373451</v>
      </c>
      <c r="R154" s="896">
        <f>SUM(R133:R153)</f>
        <v>6951146.6177991116</v>
      </c>
      <c r="S154" s="896">
        <f>SUM(S133:S153)</f>
        <v>39050735.973011844</v>
      </c>
      <c r="T154" s="150"/>
      <c r="U154" s="299">
        <f t="shared" si="53"/>
        <v>15192967215.919998</v>
      </c>
      <c r="V154" s="67"/>
      <c r="W154" s="1300" t="b">
        <f>' WP II-I-1.4'!$L$154=F154</f>
        <v>1</v>
      </c>
      <c r="X154" s="370">
        <f t="shared" si="54"/>
        <v>0</v>
      </c>
    </row>
    <row r="155" spans="1:24" ht="14.25">
      <c r="A155" s="47"/>
      <c r="B155" s="17">
        <f t="shared" si="52"/>
        <v>24</v>
      </c>
      <c r="C155" s="67"/>
      <c r="D155" s="1"/>
      <c r="E155" s="17"/>
      <c r="F155" s="19"/>
      <c r="G155" s="17"/>
      <c r="H155" s="17"/>
      <c r="I155" s="17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7"/>
      <c r="U155" s="1"/>
      <c r="V155" s="67"/>
      <c r="X155" s="370">
        <f t="shared" si="54"/>
        <v>0</v>
      </c>
    </row>
    <row r="156" spans="1:24" ht="15">
      <c r="A156" s="47"/>
      <c r="B156" s="17">
        <f t="shared" si="52"/>
        <v>25</v>
      </c>
      <c r="C156" s="67"/>
      <c r="D156" s="297" t="s">
        <v>568</v>
      </c>
      <c r="E156" s="17"/>
      <c r="F156" s="22">
        <f>SUM(F137:F138)</f>
        <v>2678358260.8099999</v>
      </c>
      <c r="G156" s="17"/>
      <c r="H156" s="17"/>
      <c r="I156" s="17"/>
      <c r="J156" s="896">
        <f t="shared" si="56" ref="J156:Q156">SUM(J137:J138)</f>
        <v>1481679872.3043788</v>
      </c>
      <c r="K156" s="896">
        <f t="shared" si="56"/>
        <v>36182942.058990069</v>
      </c>
      <c r="L156" s="896">
        <f t="shared" si="56"/>
        <v>954012680.29176819</v>
      </c>
      <c r="M156" s="896">
        <f t="shared" si="56"/>
        <v>440180.97919716313</v>
      </c>
      <c r="N156" s="896">
        <f t="shared" si="56"/>
        <v>186306751.50662956</v>
      </c>
      <c r="O156" s="896">
        <f>SUM(O137:O138)</f>
        <v>0</v>
      </c>
      <c r="P156" s="896">
        <f t="shared" si="56"/>
        <v>0</v>
      </c>
      <c r="Q156" s="896">
        <f t="shared" si="56"/>
        <v>9622586.4258801118</v>
      </c>
      <c r="R156" s="896">
        <f>SUM(R137:R138)</f>
        <v>0</v>
      </c>
      <c r="S156" s="896">
        <f>SUM(S137:S138)</f>
        <v>10113247.243155884</v>
      </c>
      <c r="T156" s="17"/>
      <c r="U156" s="299">
        <f>SUM(I156:T156)</f>
        <v>2678358260.8099995</v>
      </c>
      <c r="V156" s="67"/>
      <c r="W156" s="1300" t="b">
        <f>' WP II-I-1.4'!$L$156=F156</f>
        <v>1</v>
      </c>
      <c r="X156" s="370">
        <f t="shared" si="54"/>
        <v>0</v>
      </c>
    </row>
    <row r="157" spans="1:24" ht="15">
      <c r="A157" s="47"/>
      <c r="B157" s="17">
        <f t="shared" si="52"/>
        <v>26</v>
      </c>
      <c r="C157" s="67"/>
      <c r="D157" s="297" t="s">
        <v>569</v>
      </c>
      <c r="E157" s="17"/>
      <c r="F157" s="22">
        <f>SUM(F139:F140)</f>
        <v>1675410858.1199999</v>
      </c>
      <c r="G157" s="17"/>
      <c r="H157" s="17"/>
      <c r="I157" s="17"/>
      <c r="J157" s="896">
        <f t="shared" si="57" ref="J157:Q157">SUM(J139:J140)</f>
        <v>925090412.58597863</v>
      </c>
      <c r="K157" s="896">
        <f t="shared" si="57"/>
        <v>22590907.404220644</v>
      </c>
      <c r="L157" s="896">
        <f t="shared" si="57"/>
        <v>595640124.77998149</v>
      </c>
      <c r="M157" s="896">
        <f t="shared" si="57"/>
        <v>281919.3329723588</v>
      </c>
      <c r="N157" s="896">
        <f t="shared" si="57"/>
        <v>119322455.07016791</v>
      </c>
      <c r="O157" s="896">
        <f>SUM(O139:O140)</f>
        <v>0</v>
      </c>
      <c r="P157" s="896">
        <f t="shared" si="57"/>
        <v>0</v>
      </c>
      <c r="Q157" s="896">
        <f t="shared" si="57"/>
        <v>6007885.112873422</v>
      </c>
      <c r="R157" s="896">
        <f>SUM(R139:R140)</f>
        <v>0</v>
      </c>
      <c r="S157" s="896">
        <f>SUM(S139:S140)</f>
        <v>6477153.8338052481</v>
      </c>
      <c r="T157" s="17"/>
      <c r="U157" s="299">
        <f>SUM(I157:T157)</f>
        <v>1675410858.1199997</v>
      </c>
      <c r="V157" s="67"/>
      <c r="W157" s="1300" t="b">
        <f>' WP II-I-1.4'!$L$157=F157</f>
        <v>1</v>
      </c>
      <c r="X157" s="370">
        <f t="shared" si="54"/>
        <v>0</v>
      </c>
    </row>
    <row r="158" spans="1:24" ht="15">
      <c r="A158" s="47"/>
      <c r="B158" s="17">
        <f t="shared" si="52"/>
        <v>27</v>
      </c>
      <c r="C158" s="67"/>
      <c r="D158" s="297" t="s">
        <v>570</v>
      </c>
      <c r="E158" s="17"/>
      <c r="F158" s="22">
        <f>SUM(F141:F142)</f>
        <v>1082118478.1099999</v>
      </c>
      <c r="G158" s="17"/>
      <c r="H158" s="17"/>
      <c r="I158" s="17"/>
      <c r="J158" s="896">
        <f t="shared" si="58" ref="J158:Q158">SUM(J141:J142)</f>
        <v>611370351.8898927</v>
      </c>
      <c r="K158" s="896">
        <f t="shared" si="58"/>
        <v>14929795.857058149</v>
      </c>
      <c r="L158" s="896">
        <f t="shared" si="58"/>
        <v>393644456.5115757</v>
      </c>
      <c r="M158" s="896">
        <f t="shared" si="58"/>
        <v>130143.29135039306</v>
      </c>
      <c r="N158" s="896">
        <f t="shared" si="58"/>
        <v>55083193.022323206</v>
      </c>
      <c r="O158" s="896">
        <f>SUM(O141:O142)</f>
        <v>0</v>
      </c>
      <c r="P158" s="896">
        <f t="shared" si="58"/>
        <v>0</v>
      </c>
      <c r="Q158" s="896">
        <f t="shared" si="58"/>
        <v>3970469.0326472232</v>
      </c>
      <c r="R158" s="896">
        <f>SUM(R141:R142)</f>
        <v>0</v>
      </c>
      <c r="S158" s="896">
        <f>SUM(S141:S142)</f>
        <v>2990068.5051524322</v>
      </c>
      <c r="T158" s="17"/>
      <c r="U158" s="299">
        <f>SUM(I158:T158)</f>
        <v>1082118478.1099997</v>
      </c>
      <c r="V158" s="67"/>
      <c r="W158" s="1300" t="b">
        <f>' WP II-I-1.4'!$L$158=F158</f>
        <v>1</v>
      </c>
      <c r="X158" s="370">
        <f t="shared" si="54"/>
        <v>0</v>
      </c>
    </row>
    <row r="159" spans="1:24" ht="15">
      <c r="A159" s="47"/>
      <c r="B159" s="17">
        <f t="shared" si="52"/>
        <v>28</v>
      </c>
      <c r="C159" s="67"/>
      <c r="D159" s="297" t="s">
        <v>571</v>
      </c>
      <c r="E159" s="17"/>
      <c r="F159" s="22">
        <f>SUM(F143:F144)</f>
        <v>2553927527.9699998</v>
      </c>
      <c r="G159" s="17"/>
      <c r="H159" s="17"/>
      <c r="I159" s="17"/>
      <c r="J159" s="896">
        <f t="shared" si="59" ref="J159:Q159">SUM(J143:J144)</f>
        <v>1415326236.081053</v>
      </c>
      <c r="K159" s="896">
        <f t="shared" si="59"/>
        <v>34562571.950878963</v>
      </c>
      <c r="L159" s="896">
        <f t="shared" si="59"/>
        <v>911289409.54768407</v>
      </c>
      <c r="M159" s="896">
        <f t="shared" si="59"/>
        <v>410436.41217636777</v>
      </c>
      <c r="N159" s="896">
        <f t="shared" si="59"/>
        <v>173717353.23975569</v>
      </c>
      <c r="O159" s="896">
        <f>SUM(O143:O144)</f>
        <v>0</v>
      </c>
      <c r="P159" s="896">
        <f t="shared" si="59"/>
        <v>0</v>
      </c>
      <c r="Q159" s="896">
        <f t="shared" si="59"/>
        <v>9191660.9532695226</v>
      </c>
      <c r="R159" s="896">
        <f>SUM(R143:R144)</f>
        <v>0</v>
      </c>
      <c r="S159" s="896">
        <f>SUM(S143:S144)</f>
        <v>9429859.7851821817</v>
      </c>
      <c r="T159" s="17"/>
      <c r="U159" s="299">
        <f>SUM(I159:T159)</f>
        <v>2553927527.9699993</v>
      </c>
      <c r="V159" s="67"/>
      <c r="W159" s="1300" t="b">
        <f>' WP II-I-1.4'!$L$159=F159</f>
        <v>1</v>
      </c>
      <c r="X159" s="370">
        <f t="shared" si="54"/>
        <v>0</v>
      </c>
    </row>
    <row r="160" spans="1:24" ht="15">
      <c r="A160" s="47"/>
      <c r="B160" s="17">
        <f t="shared" si="52"/>
        <v>29</v>
      </c>
      <c r="C160" s="67"/>
      <c r="D160" s="297" t="s">
        <v>572</v>
      </c>
      <c r="E160" s="17"/>
      <c r="F160" s="22">
        <f>SUM(F145:F147)</f>
        <v>2493077762.4000006</v>
      </c>
      <c r="G160" s="17"/>
      <c r="H160" s="17"/>
      <c r="I160" s="17"/>
      <c r="J160" s="896">
        <f t="shared" si="60" ref="J160:Q160">SUM(J145:J147)</f>
        <v>1463250412.640316</v>
      </c>
      <c r="K160" s="896">
        <f t="shared" si="60"/>
        <v>35732890.6790208</v>
      </c>
      <c r="L160" s="896">
        <f t="shared" si="60"/>
        <v>942146461.05029511</v>
      </c>
      <c r="M160" s="896">
        <f t="shared" si="60"/>
        <v>55279.194045982804</v>
      </c>
      <c r="N160" s="896">
        <f t="shared" si="60"/>
        <v>23396937.976274215</v>
      </c>
      <c r="O160" s="896">
        <f>SUM(O145:O147)</f>
        <v>4016449.0249529257</v>
      </c>
      <c r="P160" s="896">
        <f t="shared" si="60"/>
        <v>13224986.007427361</v>
      </c>
      <c r="Q160" s="896">
        <f t="shared" si="60"/>
        <v>9502898.582564868</v>
      </c>
      <c r="R160" s="896">
        <f>SUM(R145:R147)</f>
        <v>481396.55411427037</v>
      </c>
      <c r="S160" s="896">
        <f>SUM(S145:S147)</f>
        <v>1270050.6909886436</v>
      </c>
      <c r="T160" s="17"/>
      <c r="U160" s="299">
        <f>SUM(I160:T160)</f>
        <v>2493077762.3999996</v>
      </c>
      <c r="V160" s="67"/>
      <c r="W160" s="1300" t="b">
        <f>' WP II-I-1.4'!$L$160=F160</f>
        <v>1</v>
      </c>
      <c r="X160" s="370">
        <f t="shared" si="54"/>
        <v>0</v>
      </c>
    </row>
    <row r="161" spans="1:24" ht="15" thickBot="1">
      <c r="A161" s="47"/>
      <c r="B161" s="17">
        <f t="shared" si="52"/>
        <v>30</v>
      </c>
      <c r="C161" s="67"/>
      <c r="D161" s="1"/>
      <c r="E161" s="17"/>
      <c r="F161" s="19"/>
      <c r="G161" s="17"/>
      <c r="H161" s="17"/>
      <c r="I161" s="17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7"/>
      <c r="U161" s="1"/>
      <c r="V161" s="67"/>
      <c r="W161" s="1300" t="b">
        <f>' WP II-I-1.4'!$L$161=F161</f>
        <v>1</v>
      </c>
      <c r="X161" s="370">
        <f t="shared" si="54"/>
        <v>0</v>
      </c>
    </row>
    <row r="162" spans="1:24" ht="15">
      <c r="A162" s="47"/>
      <c r="B162" s="17">
        <f t="shared" si="52"/>
        <v>31</v>
      </c>
      <c r="C162" s="303" t="s">
        <v>545</v>
      </c>
      <c r="D162" s="304"/>
      <c r="E162" s="305" t="s">
        <v>24</v>
      </c>
      <c r="F162" s="306">
        <f>F106+F118+F154</f>
        <v>16393872127.299999</v>
      </c>
      <c r="G162" s="305"/>
      <c r="H162" s="437"/>
      <c r="I162" s="857"/>
      <c r="J162" s="439">
        <f t="shared" si="61" ref="J162:Q162">J106+J118+J154</f>
        <v>8939701866.6954117</v>
      </c>
      <c r="K162" s="908">
        <f t="shared" si="61"/>
        <v>430856015.29398602</v>
      </c>
      <c r="L162" s="908">
        <f t="shared" si="61"/>
        <v>5480311958.0896311</v>
      </c>
      <c r="M162" s="908">
        <f t="shared" si="61"/>
        <v>5778301.2831323221</v>
      </c>
      <c r="N162" s="908">
        <f t="shared" si="61"/>
        <v>843333411.93265545</v>
      </c>
      <c r="O162" s="908">
        <f>O106+O118+O154</f>
        <v>72295118.301758885</v>
      </c>
      <c r="P162" s="908">
        <f t="shared" si="61"/>
        <v>19946853.812918693</v>
      </c>
      <c r="Q162" s="908">
        <f t="shared" si="61"/>
        <v>550963352.77512157</v>
      </c>
      <c r="R162" s="908">
        <f>R106+R118+R154</f>
        <v>8652324.5621774942</v>
      </c>
      <c r="S162" s="641">
        <f>S106+S118+S154</f>
        <v>42032924.553204671</v>
      </c>
      <c r="T162" s="437"/>
      <c r="U162" s="307">
        <f>SUM(I162:T162)</f>
        <v>16393872127.300001</v>
      </c>
      <c r="V162" s="67"/>
      <c r="W162" s="1300" t="b">
        <f>' WP II-I-1.4'!$L$162=F162</f>
        <v>1</v>
      </c>
      <c r="X162" s="370">
        <f t="shared" si="54"/>
        <v>0</v>
      </c>
    </row>
    <row r="163" spans="1:24" ht="15.75" thickBot="1">
      <c r="A163" s="47"/>
      <c r="B163" s="17">
        <f t="shared" si="52"/>
        <v>32</v>
      </c>
      <c r="C163" s="309" t="s">
        <v>546</v>
      </c>
      <c r="D163" s="310"/>
      <c r="E163" s="311" t="s">
        <v>24</v>
      </c>
      <c r="F163" s="312">
        <f>F118+F154</f>
        <v>15574827866.779999</v>
      </c>
      <c r="G163" s="311"/>
      <c r="H163" s="440"/>
      <c r="I163" s="1062"/>
      <c r="J163" s="442">
        <f t="shared" si="62" ref="J163:S163">J118+J154</f>
        <v>8483479840.2097931</v>
      </c>
      <c r="K163" s="312">
        <f t="shared" si="62"/>
        <v>382282005.72022498</v>
      </c>
      <c r="L163" s="312">
        <f t="shared" si="62"/>
        <v>5235121150.7283144</v>
      </c>
      <c r="M163" s="312">
        <f t="shared" si="62"/>
        <v>3892383.5168937296</v>
      </c>
      <c r="N163" s="312">
        <f t="shared" si="62"/>
        <v>787395523.70258784</v>
      </c>
      <c r="O163" s="312">
        <f t="shared" si="62"/>
        <v>69250418.384371594</v>
      </c>
      <c r="P163" s="312">
        <f t="shared" si="62"/>
        <v>16755769.321184928</v>
      </c>
      <c r="Q163" s="312">
        <f t="shared" si="62"/>
        <v>547625916.2829324</v>
      </c>
      <c r="R163" s="312">
        <f t="shared" si="62"/>
        <v>8293280.4688982125</v>
      </c>
      <c r="S163" s="443">
        <f t="shared" si="62"/>
        <v>40731578.444796599</v>
      </c>
      <c r="T163" s="440"/>
      <c r="U163" s="313">
        <f>SUM(I163:T163)</f>
        <v>15574827866.779997</v>
      </c>
      <c r="V163" s="67"/>
      <c r="W163" s="1300" t="b">
        <f>' WP II-I-1.4'!$L$163=F163</f>
        <v>1</v>
      </c>
      <c r="X163" s="370">
        <f t="shared" si="54"/>
        <v>0</v>
      </c>
    </row>
    <row r="164" spans="1:24" ht="14.25">
      <c r="A164" s="4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X164" s="370">
        <f t="shared" si="54"/>
        <v>0</v>
      </c>
    </row>
    <row r="165" spans="1:24" ht="14.25">
      <c r="A165" s="47"/>
      <c r="B165" s="67"/>
      <c r="C165" s="67"/>
      <c r="D165" s="67"/>
      <c r="E165" s="67"/>
      <c r="F165" s="67"/>
      <c r="G165" s="67"/>
      <c r="H165" s="134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134"/>
      <c r="V165" s="134"/>
      <c r="X165" s="370"/>
    </row>
    <row r="166" spans="1:24" ht="15" thickBot="1">
      <c r="A166" s="4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134"/>
      <c r="X166" s="370">
        <f t="shared" si="54"/>
        <v>0</v>
      </c>
    </row>
    <row r="167" spans="1:24" ht="15">
      <c r="A167" s="47"/>
      <c r="B167" s="920" t="str">
        <f>+$B$4</f>
        <v>2022 RATE CASE</v>
      </c>
      <c r="C167" s="935"/>
      <c r="D167" s="624"/>
      <c r="F167" s="12"/>
      <c r="U167" s="134"/>
      <c r="X167" s="370">
        <f t="shared" si="54"/>
        <v>0</v>
      </c>
    </row>
    <row r="168" spans="1:24" ht="15">
      <c r="A168" s="290"/>
      <c r="B168" s="917" t="str">
        <f>+$B$5</f>
        <v>ONCOR ELECTRIC DELIVERY COMPANY LLC</v>
      </c>
      <c r="C168" s="8"/>
      <c r="D168" s="967"/>
      <c r="F168" s="12"/>
      <c r="U168" s="134"/>
      <c r="V168" s="67"/>
      <c r="X168" s="370">
        <f t="shared" si="54"/>
        <v>0</v>
      </c>
    </row>
    <row r="169" spans="1:24" ht="15">
      <c r="A169" s="47"/>
      <c r="B169" s="917" t="str">
        <f>+$B$6</f>
        <v>II-I-1-TOT:  CLASS REVENUE REQUIREMENT</v>
      </c>
      <c r="C169" s="85"/>
      <c r="D169" s="967"/>
      <c r="F169" s="12"/>
      <c r="U169" s="12"/>
      <c r="V169" s="67"/>
      <c r="X169" s="370">
        <f t="shared" si="54"/>
        <v>0</v>
      </c>
    </row>
    <row r="170" spans="1:24" ht="15">
      <c r="A170" s="47"/>
      <c r="B170" s="406" t="str">
        <f>+$B$7</f>
        <v>TEST YEAR ENDING 12/31/2021</v>
      </c>
      <c r="C170" s="85"/>
      <c r="D170" s="967"/>
      <c r="F170" s="12"/>
      <c r="U170" s="12"/>
      <c r="V170" s="67"/>
      <c r="X170" s="370">
        <f t="shared" si="54"/>
        <v>0</v>
      </c>
    </row>
    <row r="171" spans="1:24" ht="15">
      <c r="A171" s="47"/>
      <c r="B171" s="406" t="str">
        <f>+$B$8</f>
        <v>SPONSOR:  MATTHEW A. TROXLE</v>
      </c>
      <c r="C171" s="85"/>
      <c r="D171" s="967"/>
      <c r="F171" s="12"/>
      <c r="U171" s="12"/>
      <c r="V171" s="67"/>
      <c r="X171" s="370">
        <f t="shared" si="54"/>
        <v>0</v>
      </c>
    </row>
    <row r="172" spans="1:24" ht="15.75" thickBot="1">
      <c r="A172" s="47"/>
      <c r="B172" s="410"/>
      <c r="C172" s="934"/>
      <c r="D172" s="968"/>
      <c r="F172" s="12"/>
      <c r="U172" s="12"/>
      <c r="V172" s="67"/>
      <c r="X172" s="370">
        <f t="shared" si="54"/>
        <v>0</v>
      </c>
    </row>
    <row r="173" spans="1:24" ht="15" thickBot="1">
      <c r="A173" s="47"/>
      <c r="B173" s="13"/>
      <c r="C173" s="14"/>
      <c r="D173" s="14"/>
      <c r="E173" s="14"/>
      <c r="F173" s="13"/>
      <c r="G173" s="14"/>
      <c r="H173" s="14"/>
      <c r="I173" s="14"/>
      <c r="J173" s="238"/>
      <c r="K173" s="238"/>
      <c r="L173" s="14"/>
      <c r="M173" s="238"/>
      <c r="N173" s="238"/>
      <c r="O173" s="238"/>
      <c r="P173" s="238"/>
      <c r="Q173" s="14"/>
      <c r="R173" s="393" t="str">
        <f>R$10</f>
        <v xml:space="preserve"> </v>
      </c>
      <c r="S173" s="394"/>
      <c r="T173" s="238"/>
      <c r="U173" s="13"/>
      <c r="V173" s="67"/>
      <c r="X173" s="370">
        <f t="shared" si="54"/>
        <v>0</v>
      </c>
    </row>
    <row r="174" spans="1:24" ht="15">
      <c r="A174" s="47"/>
      <c r="B174" s="15" t="s">
        <v>2</v>
      </c>
      <c r="C174" s="15" t="s">
        <v>370</v>
      </c>
      <c r="D174" s="287" t="s">
        <v>547</v>
      </c>
      <c r="E174" s="15" t="s">
        <v>371</v>
      </c>
      <c r="F174" s="287" t="str">
        <f>F$11</f>
        <v>TOTAL</v>
      </c>
      <c r="G174" s="242" t="s">
        <v>741</v>
      </c>
      <c r="H174" s="242" t="s">
        <v>376</v>
      </c>
      <c r="I174" s="15"/>
      <c r="J174" s="242" t="s">
        <v>730</v>
      </c>
      <c r="K174" s="242" t="s">
        <v>409</v>
      </c>
      <c r="L174" s="15" t="s">
        <v>409</v>
      </c>
      <c r="M174" s="242" t="s">
        <v>410</v>
      </c>
      <c r="N174" s="242" t="s">
        <v>410</v>
      </c>
      <c r="O174" s="242" t="s">
        <v>410</v>
      </c>
      <c r="P174" s="242" t="s">
        <v>411</v>
      </c>
      <c r="Q174" s="15" t="s">
        <v>412</v>
      </c>
      <c r="R174" s="396" t="str">
        <f>R$11</f>
        <v>Wholesale</v>
      </c>
      <c r="S174" s="13" t="str">
        <f>S$11</f>
        <v>Wholesale</v>
      </c>
      <c r="T174" s="242"/>
      <c r="U174" s="15" t="s">
        <v>10</v>
      </c>
      <c r="V174" s="67"/>
      <c r="X174" s="370"/>
    </row>
    <row r="175" spans="1:24" ht="14.25">
      <c r="A175" s="47"/>
      <c r="B175" s="15"/>
      <c r="C175" s="15"/>
      <c r="D175" s="15"/>
      <c r="E175" s="15"/>
      <c r="F175" s="15" t="str">
        <f>F$12</f>
        <v>(Dist+Met+Cust)</v>
      </c>
      <c r="G175" s="242" t="s">
        <v>742</v>
      </c>
      <c r="H175" s="242" t="s">
        <v>743</v>
      </c>
      <c r="I175" s="15"/>
      <c r="J175" s="242"/>
      <c r="K175" s="242" t="s">
        <v>731</v>
      </c>
      <c r="L175" s="15" t="s">
        <v>732</v>
      </c>
      <c r="M175" s="242" t="s">
        <v>731</v>
      </c>
      <c r="N175" s="242" t="s">
        <v>732</v>
      </c>
      <c r="O175" s="242" t="s">
        <v>414</v>
      </c>
      <c r="P175" s="242"/>
      <c r="Q175" s="15"/>
      <c r="R175" s="235" t="str">
        <f>R$12</f>
        <v>XFMR</v>
      </c>
      <c r="S175" s="15" t="str">
        <f>S$12</f>
        <v>DLS</v>
      </c>
      <c r="T175" s="242"/>
      <c r="U175" s="15"/>
      <c r="V175" s="67"/>
      <c r="X175" s="370"/>
    </row>
    <row r="176" spans="1:24" ht="15" thickBot="1">
      <c r="A176" s="47"/>
      <c r="B176" s="16"/>
      <c r="C176" s="16"/>
      <c r="D176" s="16"/>
      <c r="E176" s="16"/>
      <c r="F176" s="16" t="s">
        <v>13</v>
      </c>
      <c r="G176" s="16" t="s">
        <v>14</v>
      </c>
      <c r="H176" s="16" t="s">
        <v>15</v>
      </c>
      <c r="I176" s="16"/>
      <c r="J176" s="243" t="str">
        <f t="shared" si="63" ref="J176:Q176">J$13</f>
        <v>(d)</v>
      </c>
      <c r="K176" s="243" t="str">
        <f t="shared" si="63"/>
        <v>(e)</v>
      </c>
      <c r="L176" s="16" t="str">
        <f t="shared" si="63"/>
        <v>(f)</v>
      </c>
      <c r="M176" s="243" t="str">
        <f t="shared" si="63"/>
        <v>(g)</v>
      </c>
      <c r="N176" s="243" t="str">
        <f t="shared" si="63"/>
        <v>(h)</v>
      </c>
      <c r="O176" s="243" t="str">
        <f>O$13</f>
        <v>(i)</v>
      </c>
      <c r="P176" s="243" t="str">
        <f t="shared" si="63"/>
        <v>(j)</v>
      </c>
      <c r="Q176" s="243" t="str">
        <f t="shared" si="63"/>
        <v>(k)</v>
      </c>
      <c r="R176" s="243" t="str">
        <f>R$13</f>
        <v>(l)</v>
      </c>
      <c r="S176" s="16" t="str">
        <f>S$13</f>
        <v>(m)</v>
      </c>
      <c r="T176" s="16"/>
      <c r="U176" s="16" t="s">
        <v>734</v>
      </c>
      <c r="V176" s="67"/>
      <c r="X176" s="370"/>
    </row>
    <row r="177" spans="1:24" ht="14.25">
      <c r="A177" s="47"/>
      <c r="B177" s="67"/>
      <c r="C177" s="100"/>
      <c r="D177" s="100"/>
      <c r="E177" s="315"/>
      <c r="F177" s="100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1"/>
      <c r="V177" s="67"/>
      <c r="X177" s="370">
        <f t="shared" si="54"/>
        <v>0</v>
      </c>
    </row>
    <row r="178" spans="1:24" ht="15">
      <c r="A178" s="47"/>
      <c r="B178" s="17">
        <f t="shared" si="64" ref="B178:B194">B177+1</f>
        <v>1</v>
      </c>
      <c r="C178" s="49" t="s">
        <v>547</v>
      </c>
      <c r="D178" s="49"/>
      <c r="E178" s="58" t="s">
        <v>90</v>
      </c>
      <c r="F178" s="49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49"/>
      <c r="V178" s="67"/>
      <c r="X178" s="370">
        <f t="shared" si="54"/>
        <v>0</v>
      </c>
    </row>
    <row r="179" spans="1:24" ht="14.25">
      <c r="A179" s="47"/>
      <c r="B179" s="17">
        <f t="shared" si="64"/>
        <v>2</v>
      </c>
      <c r="C179" s="12" t="s">
        <v>91</v>
      </c>
      <c r="D179" s="12" t="s">
        <v>40</v>
      </c>
      <c r="E179" s="11"/>
      <c r="F179" s="118">
        <f>' WP II-I-1.4'!L179</f>
        <v>25876197.079999998</v>
      </c>
      <c r="G179" s="11" t="s">
        <v>805</v>
      </c>
      <c r="H179" s="47" t="s">
        <v>320</v>
      </c>
      <c r="I179" s="11"/>
      <c r="J179" s="434">
        <f>'II-I-DIST'!J179+'II-I-MET'!J179+'II-I-TBILLTDCS'!J179</f>
        <v>14407617.211370427</v>
      </c>
      <c r="K179" s="434">
        <f>'II-I-DIST'!K179+'II-I-MET'!K179+'II-I-TBILLTDCS'!K179</f>
        <v>914785.50202723802</v>
      </c>
      <c r="L179" s="434">
        <f>'II-I-DIST'!L179+'II-I-MET'!L179+'II-I-TBILLTDCS'!L179</f>
        <v>8546411.2094582543</v>
      </c>
      <c r="M179" s="434">
        <f>'II-I-DIST'!M179+'II-I-MET'!M179+'II-I-TBILLTDCS'!M179</f>
        <v>26540.125410126067</v>
      </c>
      <c r="N179" s="434">
        <f>'II-I-DIST'!N179+'II-I-MET'!N179+'II-I-TBILLTDCS'!N179</f>
        <v>1549368.9545349267</v>
      </c>
      <c r="O179" s="434">
        <f>'II-I-DIST'!O179+'II-I-MET'!O179+'II-I-TBILLTDCS'!O179</f>
        <v>120969.90937248134</v>
      </c>
      <c r="P179" s="434">
        <f>'II-I-DIST'!P179+'II-I-MET'!P179+'II-I-TBILLTDCS'!P179</f>
        <v>57015.634994028609</v>
      </c>
      <c r="Q179" s="434">
        <f>'II-I-DIST'!Q179+'II-I-MET'!Q179+'II-I-TBILLTDCS'!Q179</f>
        <v>177598.56391897961</v>
      </c>
      <c r="R179" s="434">
        <f>'II-I-DIST'!R179+'II-I-MET'!R179+'II-I-TBILLTDCS'!R179</f>
        <v>14422.260991151745</v>
      </c>
      <c r="S179" s="434">
        <f>'II-I-DIST'!S179+'II-I-MET'!S179+'II-I-TBILLTDCS'!S179</f>
        <v>61467.70792238992</v>
      </c>
      <c r="T179" s="11"/>
      <c r="U179" s="118">
        <f t="shared" si="65" ref="U179:U188">SUM(I179:T179)</f>
        <v>25876197.080000006</v>
      </c>
      <c r="V179" s="67"/>
      <c r="X179" s="370">
        <f t="shared" si="54"/>
        <v>0</v>
      </c>
    </row>
    <row r="180" spans="1:24" ht="14.25">
      <c r="A180" s="47"/>
      <c r="B180" s="17">
        <f t="shared" si="64"/>
        <v>3</v>
      </c>
      <c r="C180" s="12" t="s">
        <v>92</v>
      </c>
      <c r="D180" s="12" t="s">
        <v>42</v>
      </c>
      <c r="E180" s="11"/>
      <c r="F180" s="118">
        <f>' WP II-I-1.4'!L180</f>
        <v>82104.300000000003</v>
      </c>
      <c r="G180" s="11" t="s">
        <v>805</v>
      </c>
      <c r="H180" s="47" t="s">
        <v>320</v>
      </c>
      <c r="I180" s="11"/>
      <c r="J180" s="434">
        <f>'II-I-DIST'!J180+'II-I-MET'!J180+'II-I-TBILLTDCS'!J180</f>
        <v>45702.065010244172</v>
      </c>
      <c r="K180" s="434">
        <f>'II-I-DIST'!K180+'II-I-MET'!K180+'II-I-TBILLTDCS'!K180</f>
        <v>1745.471274693628</v>
      </c>
      <c r="L180" s="434">
        <f>'II-I-DIST'!L180+'II-I-MET'!L180+'II-I-TBILLTDCS'!L180</f>
        <v>28609.817534668044</v>
      </c>
      <c r="M180" s="434">
        <f>'II-I-DIST'!M180+'II-I-MET'!M180+'II-I-TBILLTDCS'!M180</f>
        <v>22.529382165545478</v>
      </c>
      <c r="N180" s="434">
        <f>'II-I-DIST'!N180+'II-I-MET'!N180+'II-I-TBILLTDCS'!N180</f>
        <v>4509.1783974436757</v>
      </c>
      <c r="O180" s="434">
        <f>'II-I-DIST'!O180+'II-I-MET'!O180+'II-I-TBILLTDCS'!O180</f>
        <v>430.07045683895581</v>
      </c>
      <c r="P180" s="434">
        <f>'II-I-DIST'!P180+'II-I-MET'!P180+'II-I-TBILLTDCS'!P180</f>
        <v>99.14015978233806</v>
      </c>
      <c r="Q180" s="434">
        <f>'II-I-DIST'!Q180+'II-I-MET'!Q180+'II-I-TBILLTDCS'!Q180</f>
        <v>701.49975536382783</v>
      </c>
      <c r="R180" s="434">
        <f>'II-I-DIST'!R180+'II-I-MET'!R180+'II-I-TBILLTDCS'!R180</f>
        <v>51.506803903521735</v>
      </c>
      <c r="S180" s="434">
        <f>'II-I-DIST'!S180+'II-I-MET'!S180+'II-I-TBILLTDCS'!S180</f>
        <v>233.0212248962965</v>
      </c>
      <c r="T180" s="11"/>
      <c r="U180" s="118">
        <f t="shared" si="65"/>
        <v>82104.300000000003</v>
      </c>
      <c r="V180" s="67"/>
      <c r="X180" s="370">
        <f t="shared" si="54"/>
        <v>0</v>
      </c>
    </row>
    <row r="181" spans="1:24" ht="14.25">
      <c r="A181" s="47"/>
      <c r="B181" s="17">
        <f t="shared" si="64"/>
        <v>4</v>
      </c>
      <c r="C181" s="12" t="s">
        <v>93</v>
      </c>
      <c r="D181" s="12" t="s">
        <v>44</v>
      </c>
      <c r="E181" s="11"/>
      <c r="F181" s="118">
        <f>' WP II-I-1.4'!L181</f>
        <v>179909715.68000001</v>
      </c>
      <c r="G181" s="11" t="s">
        <v>805</v>
      </c>
      <c r="H181" s="47" t="s">
        <v>320</v>
      </c>
      <c r="I181" s="11"/>
      <c r="J181" s="434">
        <f>'II-I-DIST'!J181+'II-I-MET'!J181+'II-I-TBILLTDCS'!J181</f>
        <v>100167498.91347337</v>
      </c>
      <c r="K181" s="434">
        <f>'II-I-DIST'!K181+'II-I-MET'!K181+'II-I-TBILLTDCS'!K181</f>
        <v>5918961.6846540989</v>
      </c>
      <c r="L181" s="434">
        <f>'II-I-DIST'!L181+'II-I-MET'!L181+'II-I-TBILLTDCS'!L181</f>
        <v>59990111.30252406</v>
      </c>
      <c r="M181" s="434">
        <f>'II-I-DIST'!M181+'II-I-MET'!M181+'II-I-TBILLTDCS'!M181</f>
        <v>161002.28542616838</v>
      </c>
      <c r="N181" s="434">
        <f>'II-I-DIST'!N181+'II-I-MET'!N181+'II-I-TBILLTDCS'!N181</f>
        <v>10617165.413420061</v>
      </c>
      <c r="O181" s="434">
        <f>'II-I-DIST'!O181+'II-I-MET'!O181+'II-I-TBILLTDCS'!O181</f>
        <v>858706.06832547986</v>
      </c>
      <c r="P181" s="434">
        <f>'II-I-DIST'!P181+'II-I-MET'!P181+'II-I-TBILLTDCS'!P181</f>
        <v>365229.69616420817</v>
      </c>
      <c r="Q181" s="434">
        <f>'II-I-DIST'!Q181+'II-I-MET'!Q181+'II-I-TBILLTDCS'!Q181</f>
        <v>1286718.7389734672</v>
      </c>
      <c r="R181" s="434">
        <f>'II-I-DIST'!R181+'II-I-MET'!R181+'II-I-TBILLTDCS'!R181</f>
        <v>102465.41779866874</v>
      </c>
      <c r="S181" s="434">
        <f>'II-I-DIST'!S181+'II-I-MET'!S181+'II-I-TBILLTDCS'!S181</f>
        <v>441856.15924043686</v>
      </c>
      <c r="T181" s="11"/>
      <c r="U181" s="118">
        <f t="shared" si="65"/>
        <v>179909715.68000001</v>
      </c>
      <c r="V181" s="67"/>
      <c r="X181" s="370">
        <f t="shared" si="54"/>
        <v>0</v>
      </c>
    </row>
    <row r="182" spans="1:24" ht="14.25">
      <c r="A182" s="47"/>
      <c r="B182" s="17">
        <f t="shared" si="64"/>
        <v>5</v>
      </c>
      <c r="C182" s="12" t="s">
        <v>94</v>
      </c>
      <c r="D182" s="12" t="s">
        <v>95</v>
      </c>
      <c r="E182" s="11"/>
      <c r="F182" s="118">
        <f>' WP II-I-1.4'!L182</f>
        <v>247043819.93000001</v>
      </c>
      <c r="G182" s="11" t="s">
        <v>805</v>
      </c>
      <c r="H182" s="47" t="s">
        <v>320</v>
      </c>
      <c r="I182" s="11"/>
      <c r="J182" s="434">
        <f>'II-I-DIST'!J182+'II-I-MET'!J182+'II-I-TBILLTDCS'!J182</f>
        <v>137612318.80126721</v>
      </c>
      <c r="K182" s="434">
        <f>'II-I-DIST'!K182+'II-I-MET'!K182+'II-I-TBILLTDCS'!K182</f>
        <v>14748207.793808363</v>
      </c>
      <c r="L182" s="434">
        <f>'II-I-DIST'!L182+'II-I-MET'!L182+'II-I-TBILLTDCS'!L182</f>
        <v>73832694.248671785</v>
      </c>
      <c r="M182" s="434">
        <f>'II-I-DIST'!M182+'II-I-MET'!M182+'II-I-TBILLTDCS'!M182</f>
        <v>574009.46291572775</v>
      </c>
      <c r="N182" s="434">
        <f>'II-I-DIST'!N182+'II-I-MET'!N182+'II-I-TBILLTDCS'!N182</f>
        <v>16906681.746679213</v>
      </c>
      <c r="O182" s="434">
        <f>'II-I-DIST'!O182+'II-I-MET'!O182+'II-I-TBILLTDCS'!O182</f>
        <v>914514.53790631786</v>
      </c>
      <c r="P182" s="434">
        <f>'II-I-DIST'!P182+'II-I-MET'!P182+'II-I-TBILLTDCS'!P182</f>
        <v>969368.82831244858</v>
      </c>
      <c r="Q182" s="434">
        <f>'II-I-DIST'!Q182+'II-I-MET'!Q182+'II-I-TBILLTDCS'!Q182</f>
        <v>988852.9206832659</v>
      </c>
      <c r="R182" s="434">
        <f>'II-I-DIST'!R182+'II-I-MET'!R182+'II-I-TBILLTDCS'!R182</f>
        <v>107818.99180503604</v>
      </c>
      <c r="S182" s="434">
        <f>'II-I-DIST'!S182+'II-I-MET'!S182+'II-I-TBILLTDCS'!S182</f>
        <v>389352.59795066464</v>
      </c>
      <c r="T182" s="11"/>
      <c r="U182" s="118">
        <f t="shared" si="65"/>
        <v>247043819.93000007</v>
      </c>
      <c r="V182" s="67"/>
      <c r="X182" s="370">
        <f t="shared" si="54"/>
        <v>0</v>
      </c>
    </row>
    <row r="183" spans="1:24" ht="14.25">
      <c r="A183" s="47"/>
      <c r="B183" s="17">
        <f t="shared" si="64"/>
        <v>6</v>
      </c>
      <c r="C183" s="12" t="s">
        <v>96</v>
      </c>
      <c r="D183" s="12" t="s">
        <v>98</v>
      </c>
      <c r="E183" s="11"/>
      <c r="F183" s="118">
        <f>' WP II-I-1.4'!L183</f>
        <v>12716429.41</v>
      </c>
      <c r="G183" s="11" t="s">
        <v>805</v>
      </c>
      <c r="H183" s="47" t="s">
        <v>320</v>
      </c>
      <c r="I183" s="11"/>
      <c r="J183" s="434">
        <f>'II-I-DIST'!J183+'II-I-MET'!J183+'II-I-TBILLTDCS'!J183</f>
        <v>7077929.0518187257</v>
      </c>
      <c r="K183" s="434">
        <f>'II-I-DIST'!K183+'II-I-MET'!K183+'II-I-TBILLTDCS'!K183</f>
        <v>235287.24912285185</v>
      </c>
      <c r="L183" s="434">
        <f>'II-I-DIST'!L183+'II-I-MET'!L183+'II-I-TBILLTDCS'!L183</f>
        <v>4476282.2361617619</v>
      </c>
      <c r="M183" s="434">
        <f>'II-I-DIST'!M183+'II-I-MET'!M183+'II-I-TBILLTDCS'!M183</f>
        <v>1620.9168328317517</v>
      </c>
      <c r="N183" s="434">
        <f>'II-I-DIST'!N183+'II-I-MET'!N183+'II-I-TBILLTDCS'!N183</f>
        <v>686053.60944511346</v>
      </c>
      <c r="O183" s="434">
        <f>'II-I-DIST'!O183+'II-I-MET'!O183+'II-I-TBILLTDCS'!O183</f>
        <v>68009.725694575813</v>
      </c>
      <c r="P183" s="434">
        <f>'II-I-DIST'!P183+'II-I-MET'!P183+'II-I-TBILLTDCS'!P183</f>
        <v>12877.898660242672</v>
      </c>
      <c r="Q183" s="434">
        <f>'II-I-DIST'!Q183+'II-I-MET'!Q183+'II-I-TBILLTDCS'!Q183</f>
        <v>112976.43810165529</v>
      </c>
      <c r="R183" s="434">
        <f>'II-I-DIST'!R183+'II-I-MET'!R183+'II-I-TBILLTDCS'!R183</f>
        <v>8151.3912892269991</v>
      </c>
      <c r="S183" s="434">
        <f>'II-I-DIST'!S183+'II-I-MET'!S183+'II-I-TBILLTDCS'!S183</f>
        <v>37240.892873015633</v>
      </c>
      <c r="T183" s="11"/>
      <c r="U183" s="118">
        <f t="shared" si="65"/>
        <v>12716429.410000002</v>
      </c>
      <c r="V183" s="67"/>
      <c r="X183" s="370">
        <f t="shared" si="54"/>
        <v>0</v>
      </c>
    </row>
    <row r="184" spans="1:24" ht="14.25">
      <c r="A184" s="47"/>
      <c r="B184" s="17">
        <f t="shared" si="64"/>
        <v>7</v>
      </c>
      <c r="C184" s="12" t="s">
        <v>99</v>
      </c>
      <c r="D184" s="12" t="s">
        <v>548</v>
      </c>
      <c r="E184" s="11"/>
      <c r="F184" s="118">
        <f>' WP II-I-1.4'!L184</f>
        <v>3803354.7600000002</v>
      </c>
      <c r="G184" s="11" t="s">
        <v>805</v>
      </c>
      <c r="H184" s="47" t="s">
        <v>320</v>
      </c>
      <c r="I184" s="11"/>
      <c r="J184" s="434">
        <f>'II-I-DIST'!J184+'II-I-MET'!J184+'II-I-TBILLTDCS'!J184</f>
        <v>2117458.6355521148</v>
      </c>
      <c r="K184" s="434">
        <f>'II-I-DIST'!K184+'II-I-MET'!K184+'II-I-TBILLTDCS'!K184</f>
        <v>109165.94630265309</v>
      </c>
      <c r="L184" s="434">
        <f>'II-I-DIST'!L184+'II-I-MET'!L184+'II-I-TBILLTDCS'!L184</f>
        <v>1288839.796905271</v>
      </c>
      <c r="M184" s="434">
        <f>'II-I-DIST'!M184+'II-I-MET'!M184+'II-I-TBILLTDCS'!M184</f>
        <v>2552.6233859568433</v>
      </c>
      <c r="N184" s="434">
        <f>'II-I-DIST'!N184+'II-I-MET'!N184+'II-I-TBILLTDCS'!N184</f>
        <v>218842.02970181603</v>
      </c>
      <c r="O184" s="434">
        <f>'II-I-DIST'!O184+'II-I-MET'!O184+'II-I-TBILLTDCS'!O184</f>
        <v>18791.861739659991</v>
      </c>
      <c r="P184" s="434">
        <f>'II-I-DIST'!P184+'II-I-MET'!P184+'II-I-TBILLTDCS'!P184</f>
        <v>6593.0120383107242</v>
      </c>
      <c r="Q184" s="434">
        <f>'II-I-DIST'!Q184+'II-I-MET'!Q184+'II-I-TBILLTDCS'!Q184</f>
        <v>28999.947161282507</v>
      </c>
      <c r="R184" s="434">
        <f>'II-I-DIST'!R184+'II-I-MET'!R184+'II-I-TBILLTDCS'!R184</f>
        <v>2245.4947575915094</v>
      </c>
      <c r="S184" s="434">
        <f>'II-I-DIST'!S184+'II-I-MET'!S184+'II-I-TBILLTDCS'!S184</f>
        <v>9865.4124553440997</v>
      </c>
      <c r="T184" s="11"/>
      <c r="U184" s="118">
        <f t="shared" si="65"/>
        <v>3803354.7600000002</v>
      </c>
      <c r="V184" s="67"/>
      <c r="X184" s="370">
        <f t="shared" si="54"/>
        <v>0</v>
      </c>
    </row>
    <row r="185" spans="1:24" ht="14.25">
      <c r="A185" s="47"/>
      <c r="B185" s="17">
        <f t="shared" si="64"/>
        <v>8</v>
      </c>
      <c r="C185" s="12" t="s">
        <v>101</v>
      </c>
      <c r="D185" s="12" t="s">
        <v>549</v>
      </c>
      <c r="E185" s="11"/>
      <c r="F185" s="118">
        <f>' WP II-I-1.4'!L185</f>
        <v>28551508.509999998</v>
      </c>
      <c r="G185" s="11" t="s">
        <v>805</v>
      </c>
      <c r="H185" s="47" t="s">
        <v>320</v>
      </c>
      <c r="I185" s="11"/>
      <c r="J185" s="434">
        <f>'II-I-DIST'!J185+'II-I-MET'!J185+'II-I-TBILLTDCS'!J185</f>
        <v>15894021.427814692</v>
      </c>
      <c r="K185" s="434">
        <f>'II-I-DIST'!K185+'II-I-MET'!K185+'II-I-TBILLTDCS'!K185</f>
        <v>701555.53166622994</v>
      </c>
      <c r="L185" s="434">
        <f>'II-I-DIST'!L185+'II-I-MET'!L185+'II-I-TBILLTDCS'!L185</f>
        <v>9827153.0964195691</v>
      </c>
      <c r="M185" s="434">
        <f>'II-I-DIST'!M185+'II-I-MET'!M185+'II-I-TBILLTDCS'!M185</f>
        <v>12875.546345843435</v>
      </c>
      <c r="N185" s="434">
        <f>'II-I-DIST'!N185+'II-I-MET'!N185+'II-I-TBILLTDCS'!N185</f>
        <v>1601329.9822100124</v>
      </c>
      <c r="O185" s="434">
        <f>'II-I-DIST'!O185+'II-I-MET'!O185+'II-I-TBILLTDCS'!O185</f>
        <v>145779.04858993151</v>
      </c>
      <c r="P185" s="434">
        <f>'II-I-DIST'!P185+'II-I-MET'!P185+'II-I-TBILLTDCS'!P185</f>
        <v>41158.685302599697</v>
      </c>
      <c r="Q185" s="434">
        <f>'II-I-DIST'!Q185+'II-I-MET'!Q185+'II-I-TBILLTDCS'!Q185</f>
        <v>232264.03449100614</v>
      </c>
      <c r="R185" s="434">
        <f>'II-I-DIST'!R185+'II-I-MET'!R185+'II-I-TBILLTDCS'!R185</f>
        <v>17442.035568710664</v>
      </c>
      <c r="S185" s="434">
        <f>'II-I-DIST'!S185+'II-I-MET'!S185+'II-I-TBILLTDCS'!S185</f>
        <v>77929.121591403979</v>
      </c>
      <c r="T185" s="11"/>
      <c r="U185" s="118">
        <f t="shared" si="65"/>
        <v>28551508.510000002</v>
      </c>
      <c r="V185" s="67"/>
      <c r="X185" s="370">
        <f t="shared" si="54"/>
        <v>0</v>
      </c>
    </row>
    <row r="186" spans="1:24" ht="14.25">
      <c r="A186" s="47"/>
      <c r="B186" s="17">
        <f t="shared" si="64"/>
        <v>9</v>
      </c>
      <c r="C186" s="12" t="s">
        <v>103</v>
      </c>
      <c r="D186" s="12" t="s">
        <v>104</v>
      </c>
      <c r="E186" s="11"/>
      <c r="F186" s="118">
        <f>' WP II-I-1.4'!L186</f>
        <v>21471307.77</v>
      </c>
      <c r="G186" s="11" t="s">
        <v>805</v>
      </c>
      <c r="H186" s="47" t="s">
        <v>320</v>
      </c>
      <c r="I186" s="11"/>
      <c r="J186" s="434">
        <f>'II-I-DIST'!J186+'II-I-MET'!J186+'II-I-TBILLTDCS'!J186</f>
        <v>11954261.779772451</v>
      </c>
      <c r="K186" s="434">
        <f>'II-I-DIST'!K186+'II-I-MET'!K186+'II-I-TBILLTDCS'!K186</f>
        <v>649349.79164351255</v>
      </c>
      <c r="L186" s="434">
        <f>'II-I-DIST'!L186+'II-I-MET'!L186+'II-I-TBILLTDCS'!L186</f>
        <v>7233368.9413832929</v>
      </c>
      <c r="M186" s="434">
        <f>'II-I-DIST'!M186+'II-I-MET'!M186+'II-I-TBILLTDCS'!M186</f>
        <v>16173.131908803627</v>
      </c>
      <c r="N186" s="434">
        <f>'II-I-DIST'!N186+'II-I-MET'!N186+'II-I-TBILLTDCS'!N186</f>
        <v>1247077.9370683646</v>
      </c>
      <c r="O186" s="434">
        <f>'II-I-DIST'!O186+'II-I-MET'!O186+'II-I-TBILLTDCS'!O186</f>
        <v>104766.29852044201</v>
      </c>
      <c r="P186" s="434">
        <f>'II-I-DIST'!P186+'II-I-MET'!P186+'II-I-TBILLTDCS'!P186</f>
        <v>39556.719915802649</v>
      </c>
      <c r="Q186" s="434">
        <f>'II-I-DIST'!Q186+'II-I-MET'!Q186+'II-I-TBILLTDCS'!Q186</f>
        <v>159631.92541143435</v>
      </c>
      <c r="R186" s="434">
        <f>'II-I-DIST'!R186+'II-I-MET'!R186+'II-I-TBILLTDCS'!R186</f>
        <v>12512.533084248898</v>
      </c>
      <c r="S186" s="434">
        <f>'II-I-DIST'!S186+'II-I-MET'!S186+'II-I-TBILLTDCS'!S186</f>
        <v>54608.711291647429</v>
      </c>
      <c r="T186" s="11"/>
      <c r="U186" s="118">
        <f t="shared" si="65"/>
        <v>21471307.77</v>
      </c>
      <c r="V186" s="67"/>
      <c r="X186" s="370">
        <f t="shared" si="54"/>
        <v>0</v>
      </c>
    </row>
    <row r="187" spans="1:24" ht="14.25">
      <c r="A187" s="47"/>
      <c r="B187" s="17">
        <f t="shared" si="64"/>
        <v>10</v>
      </c>
      <c r="C187" s="12" t="s">
        <v>105</v>
      </c>
      <c r="D187" s="12" t="s">
        <v>106</v>
      </c>
      <c r="E187" s="11"/>
      <c r="F187" s="118">
        <f>' WP II-I-1.4'!L187</f>
        <v>8557215.6699999999</v>
      </c>
      <c r="G187" s="11" t="s">
        <v>805</v>
      </c>
      <c r="H187" s="47" t="s">
        <v>320</v>
      </c>
      <c r="I187" s="11"/>
      <c r="J187" s="435">
        <f>'II-I-DIST'!J187+'II-I-MET'!J187+'II-I-TBILLTDCS'!J187</f>
        <v>4763766.9281484904</v>
      </c>
      <c r="K187" s="435">
        <f>'II-I-DIST'!K187+'II-I-MET'!K187+'II-I-TBILLTDCS'!K187</f>
        <v>221099.46841624822</v>
      </c>
      <c r="L187" s="435">
        <f>'II-I-DIST'!L187+'II-I-MET'!L187+'II-I-TBILLTDCS'!L187</f>
        <v>2931353.9762842567</v>
      </c>
      <c r="M187" s="435">
        <f>'II-I-DIST'!M187+'II-I-MET'!M187+'II-I-TBILLTDCS'!M187</f>
        <v>4436.4957346253705</v>
      </c>
      <c r="N187" s="435">
        <f>'II-I-DIST'!N187+'II-I-MET'!N187+'II-I-TBILLTDCS'!N187</f>
        <v>483749.59293635772</v>
      </c>
      <c r="O187" s="435">
        <f>'II-I-DIST'!O187+'II-I-MET'!O187+'II-I-TBILLTDCS'!O187</f>
        <v>43258.976877429435</v>
      </c>
      <c r="P187" s="435">
        <f>'II-I-DIST'!P187+'II-I-MET'!P187+'II-I-TBILLTDCS'!P187</f>
        <v>13101.398671048766</v>
      </c>
      <c r="Q187" s="435">
        <f>'II-I-DIST'!Q187+'II-I-MET'!Q187+'II-I-TBILLTDCS'!Q187</f>
        <v>68274.305818162597</v>
      </c>
      <c r="R187" s="435">
        <f>'II-I-DIST'!R187+'II-I-MET'!R187+'II-I-TBILLTDCS'!R187</f>
        <v>5173.8122559177364</v>
      </c>
      <c r="S187" s="435">
        <f>'II-I-DIST'!S187+'II-I-MET'!S187+'II-I-TBILLTDCS'!S187</f>
        <v>23000.714857464201</v>
      </c>
      <c r="T187" s="11"/>
      <c r="U187" s="118">
        <f t="shared" si="65"/>
        <v>8557215.6700000018</v>
      </c>
      <c r="V187" s="67"/>
      <c r="X187" s="370">
        <f t="shared" si="54"/>
        <v>0</v>
      </c>
    </row>
    <row r="188" spans="1:24" ht="15">
      <c r="A188" s="47"/>
      <c r="B188" s="17">
        <f t="shared" si="64"/>
        <v>11</v>
      </c>
      <c r="C188" s="1"/>
      <c r="D188" s="297" t="s">
        <v>491</v>
      </c>
      <c r="E188" s="20"/>
      <c r="F188" s="21">
        <f>SUM(F179:F187)</f>
        <v>528011653.11000001</v>
      </c>
      <c r="G188" s="20"/>
      <c r="H188" s="20"/>
      <c r="I188" s="1009"/>
      <c r="J188" s="895">
        <f t="shared" si="66" ref="J188:Q188">SUM(J179:J187)</f>
        <v>294040574.81422776</v>
      </c>
      <c r="K188" s="895">
        <f t="shared" si="66"/>
        <v>23500158.438915886</v>
      </c>
      <c r="L188" s="895">
        <f t="shared" si="66"/>
        <v>168154824.62534297</v>
      </c>
      <c r="M188" s="895">
        <f t="shared" si="66"/>
        <v>799233.11734224879</v>
      </c>
      <c r="N188" s="895">
        <f t="shared" si="66"/>
        <v>33314778.444393314</v>
      </c>
      <c r="O188" s="895">
        <f>SUM(O179:O187)</f>
        <v>2275226.4974831571</v>
      </c>
      <c r="P188" s="895">
        <f t="shared" si="66"/>
        <v>1505001.0142184722</v>
      </c>
      <c r="Q188" s="895">
        <f t="shared" si="66"/>
        <v>3056018.3743146174</v>
      </c>
      <c r="R188" s="895">
        <f>SUM(R179:R187)</f>
        <v>270283.44435445586</v>
      </c>
      <c r="S188" s="895">
        <f>SUM(S179:S187)</f>
        <v>1095554.3394072631</v>
      </c>
      <c r="T188" s="1000"/>
      <c r="U188" s="299">
        <f t="shared" si="65"/>
        <v>528011653.11000013</v>
      </c>
      <c r="V188" s="67"/>
      <c r="W188" s="1300" t="b">
        <f>' WP II-I-1.4'!$L$188=F188</f>
        <v>1</v>
      </c>
      <c r="X188" s="370">
        <f t="shared" si="54"/>
        <v>0</v>
      </c>
    </row>
    <row r="189" spans="1:24" ht="15">
      <c r="A189" s="47"/>
      <c r="B189" s="17">
        <f t="shared" si="64"/>
        <v>12</v>
      </c>
      <c r="C189" s="8"/>
      <c r="D189" s="297" t="s">
        <v>0</v>
      </c>
      <c r="E189" s="20"/>
      <c r="F189" s="18"/>
      <c r="G189" s="20"/>
      <c r="H189" s="20"/>
      <c r="I189" s="1009"/>
      <c r="J189" s="1059"/>
      <c r="K189" s="1059"/>
      <c r="L189" s="1059"/>
      <c r="M189" s="1059"/>
      <c r="N189" s="1059"/>
      <c r="O189" s="1059"/>
      <c r="P189" s="1059"/>
      <c r="Q189" s="1059"/>
      <c r="R189" s="1059"/>
      <c r="S189" s="1059"/>
      <c r="T189" s="1000"/>
      <c r="U189" s="121"/>
      <c r="V189" s="67"/>
      <c r="X189" s="370">
        <f t="shared" si="54"/>
        <v>0</v>
      </c>
    </row>
    <row r="190" spans="1:24" ht="14.25">
      <c r="A190" s="47"/>
      <c r="B190" s="17">
        <f t="shared" si="64"/>
        <v>13</v>
      </c>
      <c r="C190" s="1" t="s">
        <v>110</v>
      </c>
      <c r="D190" s="1" t="s">
        <v>550</v>
      </c>
      <c r="E190" s="17"/>
      <c r="F190" s="118">
        <f>' WP II-I-1.4'!L190</f>
        <v>6947719.3699999992</v>
      </c>
      <c r="G190" s="11" t="s">
        <v>805</v>
      </c>
      <c r="H190" s="47" t="s">
        <v>320</v>
      </c>
      <c r="I190" s="17"/>
      <c r="J190" s="434">
        <f>'II-I-DIST'!J190+'II-I-MET'!J190+'II-I-TBILLTDCS'!J190</f>
        <v>3868155.6272213925</v>
      </c>
      <c r="K190" s="434">
        <f>'II-I-DIST'!K190+'II-I-MET'!K190+'II-I-TBILLTDCS'!K190</f>
        <v>208400.36256331982</v>
      </c>
      <c r="L190" s="434">
        <f>'II-I-DIST'!L190+'II-I-MET'!L190+'II-I-TBILLTDCS'!L190</f>
        <v>2342796.8552325857</v>
      </c>
      <c r="M190" s="434">
        <f>'II-I-DIST'!M190+'II-I-MET'!M190+'II-I-TBILLTDCS'!M190</f>
        <v>5141.7926539152086</v>
      </c>
      <c r="N190" s="434">
        <f>'II-I-DIST'!N190+'II-I-MET'!N190+'II-I-TBILLTDCS'!N190</f>
        <v>402927.18061631441</v>
      </c>
      <c r="O190" s="434">
        <f>'II-I-DIST'!O190+'II-I-MET'!O190+'II-I-TBILLTDCS'!O190</f>
        <v>33969.018060488539</v>
      </c>
      <c r="P190" s="434">
        <f>'II-I-DIST'!P190+'II-I-MET'!P190+'II-I-TBILLTDCS'!P190</f>
        <v>12678.475611932641</v>
      </c>
      <c r="Q190" s="434">
        <f>'II-I-DIST'!Q190+'II-I-MET'!Q190+'II-I-TBILLTDCS'!Q190</f>
        <v>51865.990252401709</v>
      </c>
      <c r="R190" s="434">
        <f>'II-I-DIST'!R190+'II-I-MET'!R190+'II-I-TBILLTDCS'!R190</f>
        <v>4057.3464344510212</v>
      </c>
      <c r="S190" s="434">
        <f>'II-I-DIST'!S190+'II-I-MET'!S190+'II-I-TBILLTDCS'!S190</f>
        <v>17726.72135319866</v>
      </c>
      <c r="T190" s="17"/>
      <c r="U190" s="118">
        <f>SUM(I190:T190)</f>
        <v>6947719.3700000001</v>
      </c>
      <c r="V190" s="67"/>
      <c r="X190" s="370">
        <f t="shared" si="54"/>
        <v>0</v>
      </c>
    </row>
    <row r="191" spans="1:24" ht="14.25">
      <c r="A191" s="47"/>
      <c r="B191" s="17">
        <f t="shared" si="64"/>
        <v>14</v>
      </c>
      <c r="C191" s="1" t="s">
        <v>112</v>
      </c>
      <c r="D191" s="1" t="s">
        <v>551</v>
      </c>
      <c r="E191" s="17"/>
      <c r="F191" s="118">
        <f>' WP II-I-1.4'!L191</f>
        <v>0</v>
      </c>
      <c r="G191" s="11" t="s">
        <v>805</v>
      </c>
      <c r="H191" s="47" t="s">
        <v>320</v>
      </c>
      <c r="I191" s="17"/>
      <c r="J191" s="435">
        <f>'II-I-DIST'!J191+'II-I-MET'!J191+'II-I-TBILLTDCS'!J191</f>
        <v>0</v>
      </c>
      <c r="K191" s="435">
        <f>'II-I-DIST'!K191+'II-I-MET'!K191+'II-I-TBILLTDCS'!K191</f>
        <v>0</v>
      </c>
      <c r="L191" s="435">
        <f>'II-I-DIST'!L191+'II-I-MET'!L191+'II-I-TBILLTDCS'!L191</f>
        <v>0</v>
      </c>
      <c r="M191" s="435">
        <f>'II-I-DIST'!M191+'II-I-MET'!M191+'II-I-TBILLTDCS'!M191</f>
        <v>0</v>
      </c>
      <c r="N191" s="435">
        <f>'II-I-DIST'!N191+'II-I-MET'!N191+'II-I-TBILLTDCS'!N191</f>
        <v>0</v>
      </c>
      <c r="O191" s="435">
        <f>'II-I-DIST'!O191+'II-I-MET'!O191+'II-I-TBILLTDCS'!O191</f>
        <v>0</v>
      </c>
      <c r="P191" s="435">
        <f>'II-I-DIST'!P191+'II-I-MET'!P191+'II-I-TBILLTDCS'!P191</f>
        <v>0</v>
      </c>
      <c r="Q191" s="435">
        <f>'II-I-DIST'!Q191+'II-I-MET'!Q191+'II-I-TBILLTDCS'!Q191</f>
        <v>0</v>
      </c>
      <c r="R191" s="435">
        <f>'II-I-DIST'!R191+'II-I-MET'!R191+'II-I-TBILLTDCS'!R191</f>
        <v>0</v>
      </c>
      <c r="S191" s="435">
        <f>'II-I-DIST'!S191+'II-I-MET'!S191+'II-I-TBILLTDCS'!S191</f>
        <v>0</v>
      </c>
      <c r="T191" s="17"/>
      <c r="U191" s="118">
        <f>SUM(I191:T191)</f>
        <v>0</v>
      </c>
      <c r="V191" s="67"/>
      <c r="X191" s="370">
        <f t="shared" si="54"/>
        <v>0</v>
      </c>
    </row>
    <row r="192" spans="1:24" ht="15">
      <c r="A192" s="47"/>
      <c r="B192" s="17">
        <f t="shared" si="64"/>
        <v>15</v>
      </c>
      <c r="C192" s="8"/>
      <c r="D192" s="297" t="s">
        <v>491</v>
      </c>
      <c r="E192" s="20"/>
      <c r="F192" s="21">
        <f>+F191+F190</f>
        <v>6947719.3699999992</v>
      </c>
      <c r="G192" s="20"/>
      <c r="H192" s="20"/>
      <c r="I192" s="1009"/>
      <c r="J192" s="895">
        <f t="shared" si="67" ref="J192:Q192">+J191+J190</f>
        <v>3868155.6272213925</v>
      </c>
      <c r="K192" s="895">
        <f t="shared" si="67"/>
        <v>208400.36256331982</v>
      </c>
      <c r="L192" s="895">
        <f t="shared" si="67"/>
        <v>2342796.8552325857</v>
      </c>
      <c r="M192" s="895">
        <f t="shared" si="67"/>
        <v>5141.7926539152086</v>
      </c>
      <c r="N192" s="895">
        <f t="shared" si="67"/>
        <v>402927.18061631441</v>
      </c>
      <c r="O192" s="895">
        <f>+O191+O190</f>
        <v>33969.018060488539</v>
      </c>
      <c r="P192" s="895">
        <f t="shared" si="67"/>
        <v>12678.475611932641</v>
      </c>
      <c r="Q192" s="895">
        <f t="shared" si="67"/>
        <v>51865.990252401709</v>
      </c>
      <c r="R192" s="895">
        <f>+R191+R190</f>
        <v>4057.3464344510212</v>
      </c>
      <c r="S192" s="895">
        <f>+S191+S190</f>
        <v>17726.72135319866</v>
      </c>
      <c r="T192" s="20"/>
      <c r="U192" s="21">
        <f>SUM(I192:T192)</f>
        <v>6947719.3700000001</v>
      </c>
      <c r="V192" s="67"/>
      <c r="W192" s="1300" t="b">
        <f>' WP II-I-1.4'!$L$192=F192</f>
        <v>1</v>
      </c>
      <c r="X192" s="370">
        <f t="shared" si="54"/>
        <v>0</v>
      </c>
    </row>
    <row r="193" spans="1:24" ht="15.75" thickBot="1">
      <c r="A193" s="47"/>
      <c r="B193" s="17">
        <f t="shared" si="64"/>
        <v>16</v>
      </c>
      <c r="C193" s="8"/>
      <c r="D193" s="297"/>
      <c r="E193" s="20"/>
      <c r="F193" s="22"/>
      <c r="G193" s="20"/>
      <c r="H193" s="20"/>
      <c r="I193" s="20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0"/>
      <c r="U193" s="8"/>
      <c r="V193" s="67"/>
      <c r="X193" s="370">
        <f t="shared" si="54"/>
        <v>0</v>
      </c>
    </row>
    <row r="194" spans="1:24" ht="15.75" thickBot="1">
      <c r="A194" s="47"/>
      <c r="B194" s="17">
        <f t="shared" si="64"/>
        <v>17</v>
      </c>
      <c r="C194" s="284" t="s">
        <v>552</v>
      </c>
      <c r="D194" s="285"/>
      <c r="E194" s="316" t="s">
        <v>90</v>
      </c>
      <c r="F194" s="255">
        <f>+F192+F188</f>
        <v>534959372.48000002</v>
      </c>
      <c r="G194" s="316"/>
      <c r="H194" s="444"/>
      <c r="I194" s="1061"/>
      <c r="J194" s="446">
        <f t="shared" si="68" ref="J194:Q194">+J192+J188</f>
        <v>297908730.44144917</v>
      </c>
      <c r="K194" s="903">
        <f t="shared" si="68"/>
        <v>23708558.801479205</v>
      </c>
      <c r="L194" s="903">
        <f t="shared" si="68"/>
        <v>170497621.48057556</v>
      </c>
      <c r="M194" s="903">
        <f t="shared" si="68"/>
        <v>804374.90999616403</v>
      </c>
      <c r="N194" s="903">
        <f t="shared" si="68"/>
        <v>33717705.625009626</v>
      </c>
      <c r="O194" s="903">
        <f>+O192+O188</f>
        <v>2309195.5155436457</v>
      </c>
      <c r="P194" s="903">
        <f t="shared" si="68"/>
        <v>1517679.4898304048</v>
      </c>
      <c r="Q194" s="903">
        <f t="shared" si="68"/>
        <v>3107884.364567019</v>
      </c>
      <c r="R194" s="903">
        <f>+R192+R188</f>
        <v>274340.79078890686</v>
      </c>
      <c r="S194" s="380">
        <f>+S192+S188</f>
        <v>1113281.0607604617</v>
      </c>
      <c r="T194" s="445"/>
      <c r="U194" s="256">
        <f>SUM(I194:T194)</f>
        <v>534959372.4800002</v>
      </c>
      <c r="V194" s="67"/>
      <c r="W194" s="1300" t="b">
        <f>' WP II-I-1.4'!$L$194=F194</f>
        <v>1</v>
      </c>
      <c r="X194" s="370">
        <f t="shared" si="54"/>
        <v>0</v>
      </c>
    </row>
    <row r="195" spans="1:24" ht="14.25">
      <c r="A195" s="4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X195" s="370">
        <f t="shared" si="54"/>
        <v>0</v>
      </c>
    </row>
    <row r="196" spans="1:24" ht="14.25">
      <c r="A196" s="47"/>
      <c r="B196" s="67"/>
      <c r="C196" s="67"/>
      <c r="D196" s="67"/>
      <c r="E196" s="67"/>
      <c r="F196" s="67"/>
      <c r="G196" s="67"/>
      <c r="H196" s="134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134"/>
      <c r="V196" s="134"/>
      <c r="X196" s="370"/>
    </row>
    <row r="197" spans="1:24" ht="15" thickBot="1">
      <c r="A197" s="4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X197" s="370">
        <f t="shared" si="54"/>
        <v>0</v>
      </c>
    </row>
    <row r="198" spans="1:24" ht="15">
      <c r="A198" s="47"/>
      <c r="B198" s="920" t="str">
        <f>+$B$4</f>
        <v>2022 RATE CASE</v>
      </c>
      <c r="C198" s="935"/>
      <c r="D198" s="620"/>
      <c r="F198" s="12"/>
      <c r="U198" s="134"/>
      <c r="X198" s="370">
        <f t="shared" si="54"/>
        <v>0</v>
      </c>
    </row>
    <row r="199" spans="1:24" ht="15">
      <c r="A199" s="290"/>
      <c r="B199" s="917" t="str">
        <f>+$B$5</f>
        <v>ONCOR ELECTRIC DELIVERY COMPANY LLC</v>
      </c>
      <c r="C199" s="8"/>
      <c r="D199" s="621"/>
      <c r="F199" s="12"/>
      <c r="U199" s="134"/>
      <c r="V199" s="67"/>
      <c r="X199" s="370">
        <f t="shared" si="54"/>
        <v>0</v>
      </c>
    </row>
    <row r="200" spans="1:24" ht="15">
      <c r="A200" s="47"/>
      <c r="B200" s="917" t="str">
        <f>+$B$6</f>
        <v>II-I-1-TOT:  CLASS REVENUE REQUIREMENT</v>
      </c>
      <c r="C200" s="85"/>
      <c r="D200" s="621"/>
      <c r="F200" s="12"/>
      <c r="U200" s="12"/>
      <c r="V200" s="67"/>
      <c r="X200" s="370">
        <f t="shared" si="54"/>
        <v>0</v>
      </c>
    </row>
    <row r="201" spans="1:24" ht="15">
      <c r="A201" s="47"/>
      <c r="B201" s="406" t="str">
        <f>+$B$7</f>
        <v>TEST YEAR ENDING 12/31/2021</v>
      </c>
      <c r="C201" s="85"/>
      <c r="D201" s="621"/>
      <c r="F201" s="12"/>
      <c r="U201" s="12"/>
      <c r="V201" s="67"/>
      <c r="X201" s="370">
        <f t="shared" si="54"/>
        <v>0</v>
      </c>
    </row>
    <row r="202" spans="1:24" ht="15">
      <c r="A202" s="47"/>
      <c r="B202" s="406" t="str">
        <f>+$B$8</f>
        <v>SPONSOR:  MATTHEW A. TROXLE</v>
      </c>
      <c r="C202" s="85"/>
      <c r="D202" s="621"/>
      <c r="F202" s="12"/>
      <c r="U202" s="12"/>
      <c r="V202" s="67"/>
      <c r="X202" s="370">
        <f t="shared" si="54"/>
        <v>0</v>
      </c>
    </row>
    <row r="203" spans="1:24" ht="15.75" thickBot="1">
      <c r="A203" s="47"/>
      <c r="B203" s="410"/>
      <c r="C203" s="934"/>
      <c r="D203" s="622"/>
      <c r="F203" s="12"/>
      <c r="U203" s="12"/>
      <c r="V203" s="67"/>
      <c r="X203" s="370">
        <f t="shared" si="54"/>
        <v>0</v>
      </c>
    </row>
    <row r="204" spans="1:24" ht="15" thickBot="1">
      <c r="A204" s="47"/>
      <c r="B204" s="13"/>
      <c r="C204" s="14"/>
      <c r="D204" s="14"/>
      <c r="E204" s="14"/>
      <c r="F204" s="13"/>
      <c r="G204" s="14"/>
      <c r="H204" s="14"/>
      <c r="I204" s="14"/>
      <c r="J204" s="238"/>
      <c r="K204" s="238"/>
      <c r="L204" s="14"/>
      <c r="M204" s="238"/>
      <c r="N204" s="238"/>
      <c r="O204" s="238"/>
      <c r="P204" s="238"/>
      <c r="Q204" s="14"/>
      <c r="R204" s="393" t="str">
        <f>R$10</f>
        <v xml:space="preserve"> </v>
      </c>
      <c r="S204" s="394"/>
      <c r="T204" s="238"/>
      <c r="U204" s="13"/>
      <c r="V204" s="67"/>
      <c r="X204" s="370">
        <f t="shared" si="54"/>
        <v>0</v>
      </c>
    </row>
    <row r="205" spans="1:24" ht="15">
      <c r="A205" s="47"/>
      <c r="B205" s="15" t="s">
        <v>2</v>
      </c>
      <c r="C205" s="15" t="s">
        <v>370</v>
      </c>
      <c r="D205" s="287" t="s">
        <v>108</v>
      </c>
      <c r="E205" s="15" t="s">
        <v>371</v>
      </c>
      <c r="F205" s="287" t="str">
        <f>F$11</f>
        <v>TOTAL</v>
      </c>
      <c r="G205" s="242" t="s">
        <v>741</v>
      </c>
      <c r="H205" s="242" t="s">
        <v>376</v>
      </c>
      <c r="I205" s="15"/>
      <c r="J205" s="242" t="s">
        <v>730</v>
      </c>
      <c r="K205" s="242" t="s">
        <v>409</v>
      </c>
      <c r="L205" s="15" t="s">
        <v>409</v>
      </c>
      <c r="M205" s="242" t="s">
        <v>410</v>
      </c>
      <c r="N205" s="242" t="s">
        <v>410</v>
      </c>
      <c r="O205" s="242" t="s">
        <v>410</v>
      </c>
      <c r="P205" s="242" t="s">
        <v>411</v>
      </c>
      <c r="Q205" s="15" t="s">
        <v>412</v>
      </c>
      <c r="R205" s="396" t="str">
        <f>R$11</f>
        <v>Wholesale</v>
      </c>
      <c r="S205" s="13" t="str">
        <f>S$11</f>
        <v>Wholesale</v>
      </c>
      <c r="T205" s="242"/>
      <c r="U205" s="15" t="s">
        <v>10</v>
      </c>
      <c r="V205" s="67"/>
      <c r="X205" s="370"/>
    </row>
    <row r="206" spans="1:24" ht="14.25">
      <c r="A206" s="47"/>
      <c r="B206" s="15"/>
      <c r="C206" s="15"/>
      <c r="D206" s="15"/>
      <c r="E206" s="15"/>
      <c r="F206" s="15" t="str">
        <f>F$12</f>
        <v>(Dist+Met+Cust)</v>
      </c>
      <c r="G206" s="242" t="s">
        <v>742</v>
      </c>
      <c r="H206" s="242" t="s">
        <v>743</v>
      </c>
      <c r="I206" s="15"/>
      <c r="J206" s="242"/>
      <c r="K206" s="242" t="s">
        <v>731</v>
      </c>
      <c r="L206" s="15" t="s">
        <v>732</v>
      </c>
      <c r="M206" s="242" t="s">
        <v>731</v>
      </c>
      <c r="N206" s="242" t="s">
        <v>732</v>
      </c>
      <c r="O206" s="242" t="s">
        <v>414</v>
      </c>
      <c r="P206" s="242"/>
      <c r="Q206" s="15"/>
      <c r="R206" s="235" t="str">
        <f>R$12</f>
        <v>XFMR</v>
      </c>
      <c r="S206" s="15" t="str">
        <f>S$12</f>
        <v>DLS</v>
      </c>
      <c r="T206" s="242"/>
      <c r="U206" s="15"/>
      <c r="V206" s="67"/>
      <c r="X206" s="370"/>
    </row>
    <row r="207" spans="1:24" ht="15" thickBot="1">
      <c r="A207" s="47"/>
      <c r="B207" s="16"/>
      <c r="C207" s="16"/>
      <c r="D207" s="16"/>
      <c r="E207" s="16"/>
      <c r="F207" s="16" t="s">
        <v>13</v>
      </c>
      <c r="G207" s="16" t="s">
        <v>14</v>
      </c>
      <c r="H207" s="16" t="s">
        <v>15</v>
      </c>
      <c r="I207" s="16"/>
      <c r="J207" s="243" t="str">
        <f t="shared" si="69" ref="J207:Q207">J$13</f>
        <v>(d)</v>
      </c>
      <c r="K207" s="243" t="str">
        <f t="shared" si="69"/>
        <v>(e)</v>
      </c>
      <c r="L207" s="16" t="str">
        <f t="shared" si="69"/>
        <v>(f)</v>
      </c>
      <c r="M207" s="243" t="str">
        <f t="shared" si="69"/>
        <v>(g)</v>
      </c>
      <c r="N207" s="243" t="str">
        <f t="shared" si="69"/>
        <v>(h)</v>
      </c>
      <c r="O207" s="243" t="str">
        <f>O$13</f>
        <v>(i)</v>
      </c>
      <c r="P207" s="243" t="str">
        <f t="shared" si="69"/>
        <v>(j)</v>
      </c>
      <c r="Q207" s="243" t="str">
        <f t="shared" si="69"/>
        <v>(k)</v>
      </c>
      <c r="R207" s="243" t="str">
        <f>R$13</f>
        <v>(l)</v>
      </c>
      <c r="S207" s="16" t="str">
        <f>S$13</f>
        <v>(m)</v>
      </c>
      <c r="T207" s="16"/>
      <c r="U207" s="16" t="s">
        <v>734</v>
      </c>
      <c r="V207" s="67"/>
      <c r="X207" s="370"/>
    </row>
    <row r="208" spans="1:24" ht="14.25">
      <c r="A208" s="47"/>
      <c r="B208" s="67"/>
      <c r="C208" s="100"/>
      <c r="D208" s="100"/>
      <c r="E208" s="315"/>
      <c r="F208" s="100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1"/>
      <c r="V208" s="67"/>
      <c r="X208" s="370">
        <f t="shared" si="70" ref="X208:X271">U208-F208</f>
        <v>0</v>
      </c>
    </row>
    <row r="209" spans="1:24" ht="15">
      <c r="A209" s="47"/>
      <c r="B209" s="17">
        <f t="shared" si="71" ref="B209:B218">B208+1</f>
        <v>1</v>
      </c>
      <c r="C209" s="1" t="s">
        <v>107</v>
      </c>
      <c r="D209" s="1" t="s">
        <v>553</v>
      </c>
      <c r="E209" s="20" t="s">
        <v>109</v>
      </c>
      <c r="F209" s="118">
        <f>' WP II-I-1.4'!L209</f>
        <v>108581708.61999999</v>
      </c>
      <c r="G209" s="17" t="s">
        <v>805</v>
      </c>
      <c r="H209" s="47" t="s">
        <v>320</v>
      </c>
      <c r="I209" s="1000"/>
      <c r="J209" s="435">
        <f>'II-I-DIST'!J209+'II-I-MET'!J209+'II-I-TBILLTDCS'!J209</f>
        <v>60478625.224259637</v>
      </c>
      <c r="K209" s="435">
        <f>'II-I-DIST'!K209+'II-I-MET'!K209+'II-I-TBILLTDCS'!K209</f>
        <v>5195568.2886560494</v>
      </c>
      <c r="L209" s="435">
        <f>'II-I-DIST'!L209+'II-I-MET'!L209+'II-I-TBILLTDCS'!L209</f>
        <v>34116669.829920247</v>
      </c>
      <c r="M209" s="435">
        <f>'II-I-DIST'!M209+'II-I-MET'!M209+'II-I-TBILLTDCS'!M209</f>
        <v>183691.8053203962</v>
      </c>
      <c r="N209" s="435">
        <f>'II-I-DIST'!N209+'II-I-MET'!N209+'II-I-TBILLTDCS'!N209</f>
        <v>6979194.9849865735</v>
      </c>
      <c r="O209" s="435">
        <f>'II-I-DIST'!O209+'II-I-MET'!O209+'II-I-TBILLTDCS'!O209</f>
        <v>453461.26675616775</v>
      </c>
      <c r="P209" s="435">
        <f>'II-I-DIST'!P209+'II-I-MET'!P209+'II-I-TBILLTDCS'!P209</f>
        <v>335135.58113027614</v>
      </c>
      <c r="Q209" s="435">
        <f>'II-I-DIST'!Q209+'II-I-MET'!Q209+'II-I-TBILLTDCS'!Q209</f>
        <v>572147.61147050653</v>
      </c>
      <c r="R209" s="435">
        <f>'II-I-DIST'!R209+'II-I-MET'!R209+'II-I-TBILLTDCS'!R209</f>
        <v>53789.359872921224</v>
      </c>
      <c r="S209" s="435">
        <f>'II-I-DIST'!S209+'II-I-MET'!S209+'II-I-TBILLTDCS'!S209</f>
        <v>213424.66762723753</v>
      </c>
      <c r="T209" s="1000"/>
      <c r="U209" s="118">
        <f>SUM(I209:T209)</f>
        <v>108581708.62000001</v>
      </c>
      <c r="V209" s="67"/>
      <c r="X209" s="370">
        <f t="shared" si="70"/>
        <v>0</v>
      </c>
    </row>
    <row r="210" spans="1:24" ht="15">
      <c r="A210" s="47"/>
      <c r="B210" s="17">
        <f t="shared" si="71"/>
        <v>2</v>
      </c>
      <c r="C210" s="8"/>
      <c r="D210" s="297" t="s">
        <v>491</v>
      </c>
      <c r="E210" s="20"/>
      <c r="F210" s="22">
        <f>+F209</f>
        <v>108581708.61999999</v>
      </c>
      <c r="G210" s="20"/>
      <c r="H210" s="20"/>
      <c r="I210" s="20"/>
      <c r="J210" s="22">
        <f t="shared" si="72" ref="J210:Q210">+J209</f>
        <v>60478625.224259637</v>
      </c>
      <c r="K210" s="22">
        <f t="shared" si="72"/>
        <v>5195568.2886560494</v>
      </c>
      <c r="L210" s="22">
        <f t="shared" si="72"/>
        <v>34116669.829920247</v>
      </c>
      <c r="M210" s="22">
        <f t="shared" si="72"/>
        <v>183691.8053203962</v>
      </c>
      <c r="N210" s="22">
        <f t="shared" si="72"/>
        <v>6979194.9849865735</v>
      </c>
      <c r="O210" s="22">
        <f>+O209</f>
        <v>453461.26675616775</v>
      </c>
      <c r="P210" s="22">
        <f t="shared" si="72"/>
        <v>335135.58113027614</v>
      </c>
      <c r="Q210" s="22">
        <f t="shared" si="72"/>
        <v>572147.61147050653</v>
      </c>
      <c r="R210" s="22">
        <f>+R209</f>
        <v>53789.359872921224</v>
      </c>
      <c r="S210" s="22">
        <f>+S209</f>
        <v>213424.66762723753</v>
      </c>
      <c r="T210" s="20"/>
      <c r="U210" s="299">
        <f>SUM(I210:T210)</f>
        <v>108581708.62000001</v>
      </c>
      <c r="V210" s="67"/>
      <c r="W210" s="1300" t="b">
        <f>' WP II-I-1.4'!$L$210=F210</f>
        <v>1</v>
      </c>
      <c r="X210" s="370">
        <f t="shared" si="70"/>
        <v>0</v>
      </c>
    </row>
    <row r="211" spans="1:24" ht="15.75" thickBot="1">
      <c r="A211" s="47"/>
      <c r="B211" s="17">
        <f t="shared" si="71"/>
        <v>3</v>
      </c>
      <c r="C211" s="1"/>
      <c r="D211" s="297"/>
      <c r="E211" s="17"/>
      <c r="F211" s="19"/>
      <c r="G211" s="17"/>
      <c r="H211" s="17"/>
      <c r="I211" s="17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7"/>
      <c r="U211" s="1"/>
      <c r="V211" s="67"/>
      <c r="X211" s="370">
        <f t="shared" si="70"/>
        <v>0</v>
      </c>
    </row>
    <row r="212" spans="1:24" ht="15.75" thickBot="1">
      <c r="A212" s="47"/>
      <c r="B212" s="17">
        <f t="shared" si="71"/>
        <v>4</v>
      </c>
      <c r="C212" s="284" t="s">
        <v>554</v>
      </c>
      <c r="D212" s="285"/>
      <c r="E212" s="316"/>
      <c r="F212" s="317">
        <f>+F210</f>
        <v>108581708.61999999</v>
      </c>
      <c r="G212" s="316"/>
      <c r="H212" s="444"/>
      <c r="I212" s="445"/>
      <c r="J212" s="447">
        <f t="shared" si="73" ref="J212:Q212">+J210</f>
        <v>60478625.224259637</v>
      </c>
      <c r="K212" s="317">
        <f t="shared" si="73"/>
        <v>5195568.2886560494</v>
      </c>
      <c r="L212" s="317">
        <f t="shared" si="73"/>
        <v>34116669.829920247</v>
      </c>
      <c r="M212" s="317">
        <f t="shared" si="73"/>
        <v>183691.8053203962</v>
      </c>
      <c r="N212" s="317">
        <f t="shared" si="73"/>
        <v>6979194.9849865735</v>
      </c>
      <c r="O212" s="317">
        <f>+O210</f>
        <v>453461.26675616775</v>
      </c>
      <c r="P212" s="317">
        <f t="shared" si="73"/>
        <v>335135.58113027614</v>
      </c>
      <c r="Q212" s="317">
        <f t="shared" si="73"/>
        <v>572147.61147050653</v>
      </c>
      <c r="R212" s="317">
        <f>+R210</f>
        <v>53789.359872921224</v>
      </c>
      <c r="S212" s="256">
        <f>+S210</f>
        <v>213424.66762723753</v>
      </c>
      <c r="T212" s="445"/>
      <c r="U212" s="256">
        <f>SUM(I212:T212)</f>
        <v>108581708.62000001</v>
      </c>
      <c r="V212" s="67"/>
      <c r="W212" s="1300" t="b">
        <f>' WP II-I-1.4'!$L$212=F212</f>
        <v>1</v>
      </c>
      <c r="X212" s="370">
        <f t="shared" si="70"/>
        <v>0</v>
      </c>
    </row>
    <row r="213" spans="1:24" ht="15" thickBot="1">
      <c r="A213" s="47"/>
      <c r="B213" s="17">
        <f t="shared" si="71"/>
        <v>5</v>
      </c>
      <c r="C213" s="12"/>
      <c r="D213" s="12"/>
      <c r="E213" s="11"/>
      <c r="F213" s="12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U213" s="12"/>
      <c r="V213" s="67"/>
      <c r="X213" s="370">
        <f t="shared" si="70"/>
        <v>0</v>
      </c>
    </row>
    <row r="214" spans="1:24" ht="15.75" thickBot="1">
      <c r="A214" s="47"/>
      <c r="B214" s="17">
        <f t="shared" si="71"/>
        <v>6</v>
      </c>
      <c r="C214" s="284" t="s">
        <v>555</v>
      </c>
      <c r="D214" s="285"/>
      <c r="E214" s="316" t="s">
        <v>556</v>
      </c>
      <c r="F214" s="317">
        <f>+F194+F212</f>
        <v>643541081.10000002</v>
      </c>
      <c r="G214" s="316"/>
      <c r="H214" s="444"/>
      <c r="I214" s="445"/>
      <c r="J214" s="447">
        <f t="shared" si="74" ref="J214:Q214">+J194+J212</f>
        <v>358387355.66570878</v>
      </c>
      <c r="K214" s="317">
        <f t="shared" si="74"/>
        <v>28904127.090135254</v>
      </c>
      <c r="L214" s="317">
        <f t="shared" si="74"/>
        <v>204614291.31049579</v>
      </c>
      <c r="M214" s="317">
        <f t="shared" si="74"/>
        <v>988066.71531656024</v>
      </c>
      <c r="N214" s="317">
        <f t="shared" si="74"/>
        <v>40696900.6099962</v>
      </c>
      <c r="O214" s="317">
        <f>+O194+O212</f>
        <v>2762656.7822998133</v>
      </c>
      <c r="P214" s="317">
        <f t="shared" si="74"/>
        <v>1852815.070960681</v>
      </c>
      <c r="Q214" s="317">
        <f t="shared" si="74"/>
        <v>3680031.9760375256</v>
      </c>
      <c r="R214" s="317">
        <f>+R194+R212</f>
        <v>328130.15066182811</v>
      </c>
      <c r="S214" s="256">
        <f>+S194+S212</f>
        <v>1326705.7283876992</v>
      </c>
      <c r="T214" s="445"/>
      <c r="U214" s="256">
        <f>SUM(I214:T214)</f>
        <v>643541081.10000002</v>
      </c>
      <c r="V214" s="67"/>
      <c r="W214" s="1300" t="b">
        <f>' WP II-I-1.4'!$L$214=F214</f>
        <v>1</v>
      </c>
      <c r="X214" s="370">
        <f t="shared" si="70"/>
        <v>0</v>
      </c>
    </row>
    <row r="215" spans="1:24" ht="15" thickBot="1">
      <c r="A215" s="47"/>
      <c r="B215" s="17">
        <f t="shared" si="71"/>
        <v>7</v>
      </c>
      <c r="C215" s="12"/>
      <c r="D215" s="12"/>
      <c r="E215" s="11"/>
      <c r="F215" s="12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U215" s="12"/>
      <c r="V215" s="67"/>
      <c r="X215" s="370">
        <f t="shared" si="70"/>
        <v>0</v>
      </c>
    </row>
    <row r="216" spans="1:24" ht="15.75" thickBot="1">
      <c r="A216" s="47"/>
      <c r="B216" s="17">
        <f t="shared" si="71"/>
        <v>8</v>
      </c>
      <c r="C216" s="284" t="s">
        <v>557</v>
      </c>
      <c r="D216" s="285"/>
      <c r="E216" s="316" t="s">
        <v>558</v>
      </c>
      <c r="F216" s="255">
        <f>+F214+F162</f>
        <v>17037413208.4</v>
      </c>
      <c r="G216" s="316"/>
      <c r="H216" s="444"/>
      <c r="I216" s="445"/>
      <c r="J216" s="446">
        <f t="shared" si="75" ref="J216:Q216">+J214+J162</f>
        <v>9298089222.3611202</v>
      </c>
      <c r="K216" s="903">
        <f t="shared" si="75"/>
        <v>459760142.3841213</v>
      </c>
      <c r="L216" s="903">
        <f t="shared" si="75"/>
        <v>5684926249.4001265</v>
      </c>
      <c r="M216" s="903">
        <f t="shared" si="75"/>
        <v>6766367.9984488823</v>
      </c>
      <c r="N216" s="903">
        <f t="shared" si="75"/>
        <v>884030312.54265165</v>
      </c>
      <c r="O216" s="903">
        <f>+O214+O162</f>
        <v>75057775.084058702</v>
      </c>
      <c r="P216" s="903">
        <f t="shared" si="75"/>
        <v>21799668.883879375</v>
      </c>
      <c r="Q216" s="903">
        <f t="shared" si="75"/>
        <v>554643384.75115907</v>
      </c>
      <c r="R216" s="903">
        <f>+R214+R162</f>
        <v>8980454.7128393222</v>
      </c>
      <c r="S216" s="380">
        <f>+S214+S162</f>
        <v>43359630.281592369</v>
      </c>
      <c r="T216" s="445"/>
      <c r="U216" s="256">
        <f>SUM(I216:T216)</f>
        <v>17037413208.399998</v>
      </c>
      <c r="V216" s="67"/>
      <c r="W216" s="1300" t="b">
        <f>' WP II-I-1.4'!$L$216=F216</f>
        <v>1</v>
      </c>
      <c r="X216" s="370">
        <f t="shared" si="70"/>
        <v>0</v>
      </c>
    </row>
    <row r="217" spans="1:24" ht="15.75" thickBot="1">
      <c r="A217" s="47"/>
      <c r="B217" s="17">
        <f t="shared" si="71"/>
        <v>9</v>
      </c>
      <c r="C217" s="8"/>
      <c r="D217" s="1"/>
      <c r="E217" s="17"/>
      <c r="F217" s="1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7"/>
      <c r="U217" s="1"/>
      <c r="V217" s="67"/>
      <c r="X217" s="370">
        <f t="shared" si="70"/>
        <v>0</v>
      </c>
    </row>
    <row r="218" spans="1:24" ht="15.75" thickBot="1">
      <c r="A218" s="47"/>
      <c r="B218" s="17">
        <f t="shared" si="71"/>
        <v>10</v>
      </c>
      <c r="C218" s="284" t="s">
        <v>559</v>
      </c>
      <c r="D218" s="285"/>
      <c r="E218" s="316" t="s">
        <v>558</v>
      </c>
      <c r="F218" s="255">
        <f>+F214+F163</f>
        <v>16218368947.879999</v>
      </c>
      <c r="G218" s="316"/>
      <c r="H218" s="444"/>
      <c r="I218" s="445"/>
      <c r="J218" s="446">
        <f t="shared" si="76" ref="J218:Q218">+J214+J163</f>
        <v>8841867195.8755016</v>
      </c>
      <c r="K218" s="903">
        <f t="shared" si="76"/>
        <v>411186132.81036025</v>
      </c>
      <c r="L218" s="903">
        <f t="shared" si="76"/>
        <v>5439735442.0388098</v>
      </c>
      <c r="M218" s="903">
        <f t="shared" si="76"/>
        <v>4880450.2322102897</v>
      </c>
      <c r="N218" s="903">
        <f t="shared" si="76"/>
        <v>828092424.31258404</v>
      </c>
      <c r="O218" s="903">
        <f>+O214+O163</f>
        <v>72013075.16667141</v>
      </c>
      <c r="P218" s="903">
        <f t="shared" si="76"/>
        <v>18608584.392145608</v>
      </c>
      <c r="Q218" s="903">
        <f t="shared" si="76"/>
        <v>551305948.2589699</v>
      </c>
      <c r="R218" s="903">
        <f>+R214+R163</f>
        <v>8621410.6195600405</v>
      </c>
      <c r="S218" s="380">
        <f>+S214+S163</f>
        <v>42058284.173184298</v>
      </c>
      <c r="T218" s="445"/>
      <c r="U218" s="256">
        <f>SUM(I218:T218)</f>
        <v>16218368947.879995</v>
      </c>
      <c r="V218" s="67"/>
      <c r="W218" s="1300" t="b">
        <f>' WP II-I-1.4'!$L$218=F218</f>
        <v>1</v>
      </c>
      <c r="X218" s="370">
        <f t="shared" si="70"/>
        <v>0</v>
      </c>
    </row>
    <row r="219" spans="1:24" ht="14.25">
      <c r="A219" s="4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X219" s="370">
        <f t="shared" si="70"/>
        <v>0</v>
      </c>
    </row>
    <row r="220" spans="1:24" ht="14.25">
      <c r="A220" s="47"/>
      <c r="B220" s="67"/>
      <c r="C220" s="67"/>
      <c r="D220" s="67"/>
      <c r="E220" s="67"/>
      <c r="F220" s="67"/>
      <c r="G220" s="67"/>
      <c r="H220" s="134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134"/>
      <c r="V220" s="134"/>
      <c r="X220" s="370"/>
    </row>
    <row r="221" spans="1:24" ht="15" thickBot="1">
      <c r="A221" s="4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X221" s="370">
        <f t="shared" si="70"/>
        <v>0</v>
      </c>
    </row>
    <row r="222" spans="1:24" ht="15">
      <c r="A222" s="47"/>
      <c r="B222" s="920" t="str">
        <f>+$B$4</f>
        <v>2022 RATE CASE</v>
      </c>
      <c r="C222" s="935"/>
      <c r="D222" s="620"/>
      <c r="F222" s="12"/>
      <c r="U222" s="134"/>
      <c r="X222" s="370">
        <f t="shared" si="70"/>
        <v>0</v>
      </c>
    </row>
    <row r="223" spans="1:24" ht="15">
      <c r="A223" s="47"/>
      <c r="B223" s="917" t="str">
        <f>+$B$5</f>
        <v>ONCOR ELECTRIC DELIVERY COMPANY LLC</v>
      </c>
      <c r="C223" s="8"/>
      <c r="D223" s="621"/>
      <c r="F223" s="12"/>
      <c r="U223" s="134"/>
      <c r="V223" s="67"/>
      <c r="X223" s="370">
        <f t="shared" si="70"/>
        <v>0</v>
      </c>
    </row>
    <row r="224" spans="1:24" ht="15">
      <c r="A224" s="47"/>
      <c r="B224" s="917" t="str">
        <f>+$B$6</f>
        <v>II-I-1-TOT:  CLASS REVENUE REQUIREMENT</v>
      </c>
      <c r="C224" s="85"/>
      <c r="D224" s="621"/>
      <c r="F224" s="12"/>
      <c r="U224" s="12"/>
      <c r="V224" s="67"/>
      <c r="X224" s="370">
        <f t="shared" si="70"/>
        <v>0</v>
      </c>
    </row>
    <row r="225" spans="1:24" ht="15">
      <c r="A225" s="47"/>
      <c r="B225" s="406" t="str">
        <f>+$B$7</f>
        <v>TEST YEAR ENDING 12/31/2021</v>
      </c>
      <c r="C225" s="85"/>
      <c r="D225" s="621"/>
      <c r="F225" s="12"/>
      <c r="U225" s="12"/>
      <c r="V225" s="67"/>
      <c r="X225" s="370">
        <f t="shared" si="70"/>
        <v>0</v>
      </c>
    </row>
    <row r="226" spans="1:24" ht="15">
      <c r="A226" s="47"/>
      <c r="B226" s="406" t="str">
        <f>+$B$8</f>
        <v>SPONSOR:  MATTHEW A. TROXLE</v>
      </c>
      <c r="C226" s="85"/>
      <c r="D226" s="621"/>
      <c r="F226" s="12"/>
      <c r="U226" s="12"/>
      <c r="V226" s="67"/>
      <c r="X226" s="370">
        <f t="shared" si="70"/>
        <v>0</v>
      </c>
    </row>
    <row r="227" spans="1:24" ht="15.75" thickBot="1">
      <c r="A227" s="47"/>
      <c r="B227" s="410"/>
      <c r="C227" s="934"/>
      <c r="D227" s="622"/>
      <c r="F227" s="12"/>
      <c r="U227" s="12"/>
      <c r="V227" s="67"/>
      <c r="X227" s="370">
        <f t="shared" si="70"/>
        <v>0</v>
      </c>
    </row>
    <row r="228" spans="1:24" ht="15" thickBot="1">
      <c r="A228" s="47"/>
      <c r="B228" s="13"/>
      <c r="C228" s="14"/>
      <c r="D228" s="14"/>
      <c r="E228" s="14"/>
      <c r="F228" s="13"/>
      <c r="G228" s="14"/>
      <c r="H228" s="14"/>
      <c r="I228" s="14"/>
      <c r="J228" s="238"/>
      <c r="K228" s="238"/>
      <c r="L228" s="14"/>
      <c r="M228" s="238"/>
      <c r="N228" s="238"/>
      <c r="O228" s="238"/>
      <c r="P228" s="238"/>
      <c r="Q228" s="14"/>
      <c r="R228" s="393" t="str">
        <f>R$10</f>
        <v xml:space="preserve"> </v>
      </c>
      <c r="S228" s="394"/>
      <c r="T228" s="238"/>
      <c r="U228" s="13"/>
      <c r="V228" s="67"/>
      <c r="X228" s="370">
        <f t="shared" si="70"/>
        <v>0</v>
      </c>
    </row>
    <row r="229" spans="1:24" ht="15">
      <c r="A229" s="47"/>
      <c r="B229" s="15" t="s">
        <v>2</v>
      </c>
      <c r="C229" s="15" t="s">
        <v>370</v>
      </c>
      <c r="D229" s="287" t="s">
        <v>560</v>
      </c>
      <c r="E229" s="15" t="s">
        <v>371</v>
      </c>
      <c r="F229" s="287" t="str">
        <f>F$11</f>
        <v>TOTAL</v>
      </c>
      <c r="G229" s="242" t="s">
        <v>741</v>
      </c>
      <c r="H229" s="242" t="s">
        <v>376</v>
      </c>
      <c r="I229" s="15"/>
      <c r="J229" s="242" t="s">
        <v>730</v>
      </c>
      <c r="K229" s="242" t="s">
        <v>409</v>
      </c>
      <c r="L229" s="15" t="s">
        <v>409</v>
      </c>
      <c r="M229" s="242" t="s">
        <v>410</v>
      </c>
      <c r="N229" s="242" t="s">
        <v>410</v>
      </c>
      <c r="O229" s="242" t="s">
        <v>410</v>
      </c>
      <c r="P229" s="242" t="s">
        <v>411</v>
      </c>
      <c r="Q229" s="15" t="s">
        <v>412</v>
      </c>
      <c r="R229" s="396" t="str">
        <f>R$11</f>
        <v>Wholesale</v>
      </c>
      <c r="S229" s="13" t="str">
        <f>S$11</f>
        <v>Wholesale</v>
      </c>
      <c r="T229" s="242"/>
      <c r="U229" s="15" t="s">
        <v>10</v>
      </c>
      <c r="V229" s="67"/>
      <c r="X229" s="370"/>
    </row>
    <row r="230" spans="1:24" ht="14.25">
      <c r="A230" s="47"/>
      <c r="B230" s="15"/>
      <c r="C230" s="15"/>
      <c r="D230" s="15"/>
      <c r="E230" s="15"/>
      <c r="F230" s="15" t="str">
        <f>F$12</f>
        <v>(Dist+Met+Cust)</v>
      </c>
      <c r="G230" s="242" t="s">
        <v>742</v>
      </c>
      <c r="H230" s="242" t="s">
        <v>743</v>
      </c>
      <c r="I230" s="15"/>
      <c r="J230" s="242"/>
      <c r="K230" s="242" t="s">
        <v>731</v>
      </c>
      <c r="L230" s="15" t="s">
        <v>732</v>
      </c>
      <c r="M230" s="242" t="s">
        <v>731</v>
      </c>
      <c r="N230" s="242" t="s">
        <v>732</v>
      </c>
      <c r="O230" s="242" t="s">
        <v>414</v>
      </c>
      <c r="P230" s="242"/>
      <c r="Q230" s="15"/>
      <c r="R230" s="235" t="str">
        <f>R$12</f>
        <v>XFMR</v>
      </c>
      <c r="S230" s="15" t="str">
        <f>S$12</f>
        <v>DLS</v>
      </c>
      <c r="T230" s="242"/>
      <c r="U230" s="15"/>
      <c r="V230" s="67"/>
      <c r="X230" s="370"/>
    </row>
    <row r="231" spans="1:24" ht="15" thickBot="1">
      <c r="A231" s="47"/>
      <c r="B231" s="16"/>
      <c r="C231" s="16"/>
      <c r="D231" s="16"/>
      <c r="E231" s="16"/>
      <c r="F231" s="16" t="s">
        <v>13</v>
      </c>
      <c r="G231" s="16" t="s">
        <v>14</v>
      </c>
      <c r="H231" s="16" t="s">
        <v>15</v>
      </c>
      <c r="I231" s="16"/>
      <c r="J231" s="243" t="str">
        <f t="shared" si="77" ref="J231:Q231">J$13</f>
        <v>(d)</v>
      </c>
      <c r="K231" s="243" t="str">
        <f t="shared" si="77"/>
        <v>(e)</v>
      </c>
      <c r="L231" s="16" t="str">
        <f t="shared" si="77"/>
        <v>(f)</v>
      </c>
      <c r="M231" s="243" t="str">
        <f t="shared" si="77"/>
        <v>(g)</v>
      </c>
      <c r="N231" s="243" t="str">
        <f t="shared" si="77"/>
        <v>(h)</v>
      </c>
      <c r="O231" s="243" t="str">
        <f>O$13</f>
        <v>(i)</v>
      </c>
      <c r="P231" s="243" t="str">
        <f t="shared" si="77"/>
        <v>(j)</v>
      </c>
      <c r="Q231" s="243" t="str">
        <f t="shared" si="77"/>
        <v>(k)</v>
      </c>
      <c r="R231" s="243" t="str">
        <f>R$13</f>
        <v>(l)</v>
      </c>
      <c r="S231" s="16" t="str">
        <f>S$13</f>
        <v>(m)</v>
      </c>
      <c r="T231" s="16"/>
      <c r="U231" s="16" t="s">
        <v>734</v>
      </c>
      <c r="V231" s="67"/>
      <c r="X231" s="370"/>
    </row>
    <row r="232" spans="1:24" ht="14.25">
      <c r="A232" s="47"/>
      <c r="B232" s="67"/>
      <c r="C232" s="100"/>
      <c r="D232" s="100"/>
      <c r="E232" s="315"/>
      <c r="F232" s="100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1"/>
      <c r="V232" s="67"/>
      <c r="X232" s="370">
        <f t="shared" si="70"/>
        <v>0</v>
      </c>
    </row>
    <row r="233" spans="1:24" ht="15">
      <c r="A233" s="47"/>
      <c r="B233" s="17">
        <f>B232+1</f>
        <v>1</v>
      </c>
      <c r="C233" s="8"/>
      <c r="D233" s="8" t="s">
        <v>560</v>
      </c>
      <c r="E233" s="20"/>
      <c r="F233" s="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8"/>
      <c r="V233" s="67"/>
      <c r="X233" s="370">
        <f t="shared" si="70"/>
        <v>0</v>
      </c>
    </row>
    <row r="234" spans="1:24" ht="14.25">
      <c r="A234" s="47"/>
      <c r="B234" s="17">
        <f>B233+1</f>
        <v>2</v>
      </c>
      <c r="C234" s="1" t="s">
        <v>561</v>
      </c>
      <c r="D234" s="1" t="s">
        <v>116</v>
      </c>
      <c r="E234" s="17"/>
      <c r="F234" s="118">
        <f>' WP II-I-1.4'!L234</f>
        <v>0</v>
      </c>
      <c r="G234" s="40" t="s">
        <v>805</v>
      </c>
      <c r="H234" s="47" t="s">
        <v>320</v>
      </c>
      <c r="I234" s="17"/>
      <c r="J234" s="435">
        <f>'II-I-DIST'!J234+'II-I-MET'!J234+'II-I-TBILLTDCS'!J234</f>
        <v>0</v>
      </c>
      <c r="K234" s="435">
        <f>'II-I-DIST'!K234+'II-I-MET'!K234+'II-I-TBILLTDCS'!K234</f>
        <v>0</v>
      </c>
      <c r="L234" s="435">
        <f>'II-I-DIST'!L234+'II-I-MET'!L234+'II-I-TBILLTDCS'!L234</f>
        <v>0</v>
      </c>
      <c r="M234" s="435">
        <f>'II-I-DIST'!M234+'II-I-MET'!M234+'II-I-TBILLTDCS'!M234</f>
        <v>0</v>
      </c>
      <c r="N234" s="435">
        <f>'II-I-DIST'!N234+'II-I-MET'!N234+'II-I-TBILLTDCS'!N234</f>
        <v>0</v>
      </c>
      <c r="O234" s="435">
        <f>'II-I-DIST'!O234+'II-I-MET'!O234+'II-I-TBILLTDCS'!O234</f>
        <v>0</v>
      </c>
      <c r="P234" s="435">
        <f>'II-I-DIST'!P234+'II-I-MET'!P234+'II-I-TBILLTDCS'!P234</f>
        <v>0</v>
      </c>
      <c r="Q234" s="435">
        <f>'II-I-DIST'!Q234+'II-I-MET'!Q234+'II-I-TBILLTDCS'!Q234</f>
        <v>0</v>
      </c>
      <c r="R234" s="435">
        <f>'II-I-DIST'!R234+'II-I-MET'!R234+'II-I-TBILLTDCS'!R234</f>
        <v>0</v>
      </c>
      <c r="S234" s="435">
        <f>'II-I-DIST'!S234+'II-I-MET'!S234+'II-I-TBILLTDCS'!S234</f>
        <v>0</v>
      </c>
      <c r="T234" s="17"/>
      <c r="U234" s="118">
        <f>SUM(I234:T234)</f>
        <v>0</v>
      </c>
      <c r="V234" s="67"/>
      <c r="X234" s="370">
        <f t="shared" si="70"/>
        <v>0</v>
      </c>
    </row>
    <row r="235" spans="1:24" ht="15">
      <c r="A235" s="47"/>
      <c r="B235" s="17">
        <f>B234+1</f>
        <v>3</v>
      </c>
      <c r="C235" s="1"/>
      <c r="D235" s="297" t="s">
        <v>491</v>
      </c>
      <c r="E235" s="20"/>
      <c r="F235" s="22">
        <f>+F234</f>
        <v>0</v>
      </c>
      <c r="G235" s="20"/>
      <c r="H235" s="20"/>
      <c r="I235" s="20"/>
      <c r="J235" s="22">
        <f t="shared" si="78" ref="J235:Q235">+J234</f>
        <v>0</v>
      </c>
      <c r="K235" s="22">
        <f t="shared" si="78"/>
        <v>0</v>
      </c>
      <c r="L235" s="22">
        <f t="shared" si="78"/>
        <v>0</v>
      </c>
      <c r="M235" s="22">
        <f t="shared" si="78"/>
        <v>0</v>
      </c>
      <c r="N235" s="22">
        <f t="shared" si="78"/>
        <v>0</v>
      </c>
      <c r="O235" s="22">
        <f>+O234</f>
        <v>0</v>
      </c>
      <c r="P235" s="22">
        <f t="shared" si="78"/>
        <v>0</v>
      </c>
      <c r="Q235" s="22">
        <f t="shared" si="78"/>
        <v>0</v>
      </c>
      <c r="R235" s="22">
        <f>+R234</f>
        <v>0</v>
      </c>
      <c r="S235" s="22">
        <f>+S234</f>
        <v>0</v>
      </c>
      <c r="T235" s="20"/>
      <c r="U235" s="299">
        <f>SUM(I235:T235)</f>
        <v>0</v>
      </c>
      <c r="V235" s="67"/>
      <c r="W235" s="1300" t="b">
        <f>' WP II-I-1.4'!$L$235=F235</f>
        <v>1</v>
      </c>
      <c r="X235" s="370">
        <f t="shared" si="70"/>
        <v>0</v>
      </c>
    </row>
    <row r="236" spans="1:24" ht="15.75" thickBot="1">
      <c r="A236" s="47"/>
      <c r="B236" s="17">
        <f>B235+1</f>
        <v>4</v>
      </c>
      <c r="C236" s="1"/>
      <c r="D236" s="1"/>
      <c r="E236" s="20"/>
      <c r="F236" s="19"/>
      <c r="G236" s="20"/>
      <c r="H236" s="20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  <c r="U236" s="8"/>
      <c r="V236" s="67"/>
      <c r="X236" s="370">
        <f t="shared" si="70"/>
        <v>0</v>
      </c>
    </row>
    <row r="237" spans="1:24" ht="15.75" thickBot="1">
      <c r="A237" s="47"/>
      <c r="B237" s="17">
        <f>B236+1</f>
        <v>5</v>
      </c>
      <c r="C237" s="284" t="s">
        <v>562</v>
      </c>
      <c r="D237" s="285"/>
      <c r="E237" s="316" t="s">
        <v>117</v>
      </c>
      <c r="F237" s="255">
        <f>+F235</f>
        <v>0</v>
      </c>
      <c r="G237" s="316"/>
      <c r="H237" s="444"/>
      <c r="I237" s="445"/>
      <c r="J237" s="446">
        <f t="shared" si="79" ref="J237:Q237">+J235</f>
        <v>0</v>
      </c>
      <c r="K237" s="903">
        <f t="shared" si="79"/>
        <v>0</v>
      </c>
      <c r="L237" s="903">
        <f t="shared" si="79"/>
        <v>0</v>
      </c>
      <c r="M237" s="903">
        <f t="shared" si="79"/>
        <v>0</v>
      </c>
      <c r="N237" s="903">
        <f t="shared" si="79"/>
        <v>0</v>
      </c>
      <c r="O237" s="903">
        <f>+O235</f>
        <v>0</v>
      </c>
      <c r="P237" s="903">
        <f t="shared" si="79"/>
        <v>0</v>
      </c>
      <c r="Q237" s="903">
        <f t="shared" si="79"/>
        <v>0</v>
      </c>
      <c r="R237" s="903">
        <f>+R235</f>
        <v>0</v>
      </c>
      <c r="S237" s="380">
        <f>+S235</f>
        <v>0</v>
      </c>
      <c r="T237" s="445"/>
      <c r="U237" s="256">
        <f>SUM(I237:T237)</f>
        <v>0</v>
      </c>
      <c r="V237" s="67"/>
      <c r="X237" s="370">
        <f t="shared" si="70"/>
        <v>0</v>
      </c>
    </row>
    <row r="238" spans="1:24" ht="15" thickBot="1">
      <c r="A238" s="4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X238" s="370">
        <f t="shared" si="70"/>
        <v>0</v>
      </c>
    </row>
    <row r="239" spans="1:24" ht="15">
      <c r="A239" s="47"/>
      <c r="B239" s="920" t="str">
        <f>+$B$4</f>
        <v>2022 RATE CASE</v>
      </c>
      <c r="C239" s="935"/>
      <c r="D239" s="965"/>
      <c r="E239" s="67"/>
      <c r="F239" s="67"/>
      <c r="G239" s="67"/>
      <c r="H239" s="134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134"/>
      <c r="V239" s="134"/>
      <c r="X239" s="370"/>
    </row>
    <row r="240" spans="1:24" ht="15">
      <c r="A240" s="290"/>
      <c r="B240" s="917" t="str">
        <f>+$B$5</f>
        <v>ONCOR ELECTRIC DELIVERY COMPANY LLC</v>
      </c>
      <c r="C240" s="8"/>
      <c r="D240" s="966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134"/>
      <c r="V240" s="67"/>
      <c r="X240" s="370">
        <f t="shared" si="70"/>
        <v>0</v>
      </c>
    </row>
    <row r="241" spans="1:24" ht="15">
      <c r="A241" s="47"/>
      <c r="B241" s="917" t="str">
        <f>+$B$6</f>
        <v>II-I-1-TOT:  CLASS REVENUE REQUIREMENT</v>
      </c>
      <c r="C241" s="85"/>
      <c r="D241" s="921"/>
      <c r="E241" s="67"/>
      <c r="F241" s="12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12"/>
      <c r="V241" s="67"/>
      <c r="X241" s="370">
        <f t="shared" si="70"/>
        <v>0</v>
      </c>
    </row>
    <row r="242" spans="1:24" ht="15">
      <c r="A242" s="47"/>
      <c r="B242" s="406" t="str">
        <f>+$B$7</f>
        <v>TEST YEAR ENDING 12/31/2021</v>
      </c>
      <c r="C242" s="85"/>
      <c r="D242" s="921"/>
      <c r="E242" s="67"/>
      <c r="F242" s="12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12"/>
      <c r="V242" s="67"/>
      <c r="X242" s="370">
        <f t="shared" si="70"/>
        <v>0</v>
      </c>
    </row>
    <row r="243" spans="1:24" ht="15">
      <c r="A243" s="47"/>
      <c r="B243" s="406" t="str">
        <f>+$B$8</f>
        <v>SPONSOR:  MATTHEW A. TROXLE</v>
      </c>
      <c r="C243" s="85"/>
      <c r="D243" s="921"/>
      <c r="E243" s="67"/>
      <c r="F243" s="12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12"/>
      <c r="V243" s="67"/>
      <c r="X243" s="370">
        <f t="shared" si="70"/>
        <v>0</v>
      </c>
    </row>
    <row r="244" spans="1:24" ht="15.75" thickBot="1">
      <c r="A244" s="47"/>
      <c r="B244" s="410"/>
      <c r="C244" s="934"/>
      <c r="D244" s="930"/>
      <c r="E244" s="67"/>
      <c r="F244" s="12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12"/>
      <c r="V244" s="67"/>
      <c r="W244" s="129"/>
      <c r="X244" s="370">
        <f t="shared" si="70"/>
        <v>0</v>
      </c>
    </row>
    <row r="245" spans="1:24" ht="15" thickBot="1">
      <c r="A245" s="47"/>
      <c r="B245" s="13"/>
      <c r="C245" s="14"/>
      <c r="D245" s="14"/>
      <c r="E245" s="14"/>
      <c r="F245" s="13"/>
      <c r="G245" s="14"/>
      <c r="H245" s="14"/>
      <c r="I245" s="14"/>
      <c r="J245" s="238"/>
      <c r="K245" s="238"/>
      <c r="L245" s="14"/>
      <c r="M245" s="238"/>
      <c r="N245" s="238"/>
      <c r="O245" s="238"/>
      <c r="P245" s="238"/>
      <c r="Q245" s="14"/>
      <c r="R245" s="393" t="str">
        <f>R$10</f>
        <v xml:space="preserve"> </v>
      </c>
      <c r="S245" s="394"/>
      <c r="T245" s="238"/>
      <c r="U245" s="13"/>
      <c r="V245" s="67"/>
      <c r="W245" s="129"/>
      <c r="X245" s="370">
        <f t="shared" si="70"/>
        <v>0</v>
      </c>
    </row>
    <row r="246" spans="1:24" ht="15">
      <c r="A246" s="47"/>
      <c r="B246" s="15" t="s">
        <v>2</v>
      </c>
      <c r="C246" s="15" t="s">
        <v>370</v>
      </c>
      <c r="D246" s="287" t="s">
        <v>563</v>
      </c>
      <c r="E246" s="15" t="s">
        <v>371</v>
      </c>
      <c r="F246" s="287" t="str">
        <f>F$11</f>
        <v>TOTAL</v>
      </c>
      <c r="G246" s="242" t="s">
        <v>741</v>
      </c>
      <c r="H246" s="242" t="s">
        <v>376</v>
      </c>
      <c r="I246" s="15"/>
      <c r="J246" s="242" t="s">
        <v>730</v>
      </c>
      <c r="K246" s="242" t="s">
        <v>409</v>
      </c>
      <c r="L246" s="15" t="s">
        <v>409</v>
      </c>
      <c r="M246" s="242" t="s">
        <v>410</v>
      </c>
      <c r="N246" s="242" t="s">
        <v>410</v>
      </c>
      <c r="O246" s="242" t="s">
        <v>410</v>
      </c>
      <c r="P246" s="242" t="s">
        <v>411</v>
      </c>
      <c r="Q246" s="15" t="s">
        <v>412</v>
      </c>
      <c r="R246" s="396" t="str">
        <f>R$11</f>
        <v>Wholesale</v>
      </c>
      <c r="S246" s="13" t="str">
        <f>S$11</f>
        <v>Wholesale</v>
      </c>
      <c r="T246" s="242"/>
      <c r="U246" s="15" t="s">
        <v>10</v>
      </c>
      <c r="V246" s="67"/>
      <c r="W246" s="129"/>
      <c r="X246" s="370"/>
    </row>
    <row r="247" spans="1:24" ht="14.25">
      <c r="A247" s="47"/>
      <c r="B247" s="15"/>
      <c r="C247" s="15"/>
      <c r="D247" s="15"/>
      <c r="E247" s="15"/>
      <c r="F247" s="15" t="str">
        <f>F$12</f>
        <v>(Dist+Met+Cust)</v>
      </c>
      <c r="G247" s="242" t="s">
        <v>742</v>
      </c>
      <c r="H247" s="242" t="s">
        <v>743</v>
      </c>
      <c r="I247" s="15"/>
      <c r="J247" s="242"/>
      <c r="K247" s="242" t="s">
        <v>731</v>
      </c>
      <c r="L247" s="15" t="s">
        <v>732</v>
      </c>
      <c r="M247" s="242" t="s">
        <v>731</v>
      </c>
      <c r="N247" s="242" t="s">
        <v>732</v>
      </c>
      <c r="O247" s="242" t="s">
        <v>414</v>
      </c>
      <c r="P247" s="242"/>
      <c r="Q247" s="15"/>
      <c r="R247" s="235" t="str">
        <f>R$12</f>
        <v>XFMR</v>
      </c>
      <c r="S247" s="15" t="str">
        <f>S$12</f>
        <v>DLS</v>
      </c>
      <c r="T247" s="242"/>
      <c r="U247" s="15"/>
      <c r="V247" s="67"/>
      <c r="W247" s="129"/>
      <c r="X247" s="370"/>
    </row>
    <row r="248" spans="1:24" ht="15" thickBot="1">
      <c r="A248" s="47"/>
      <c r="B248" s="16"/>
      <c r="C248" s="16"/>
      <c r="D248" s="16"/>
      <c r="E248" s="16"/>
      <c r="F248" s="16" t="s">
        <v>13</v>
      </c>
      <c r="G248" s="16" t="s">
        <v>14</v>
      </c>
      <c r="H248" s="16" t="s">
        <v>15</v>
      </c>
      <c r="I248" s="16"/>
      <c r="J248" s="243" t="str">
        <f t="shared" si="80" ref="J248:Q248">J$13</f>
        <v>(d)</v>
      </c>
      <c r="K248" s="243" t="str">
        <f t="shared" si="80"/>
        <v>(e)</v>
      </c>
      <c r="L248" s="16" t="str">
        <f t="shared" si="80"/>
        <v>(f)</v>
      </c>
      <c r="M248" s="243" t="str">
        <f t="shared" si="80"/>
        <v>(g)</v>
      </c>
      <c r="N248" s="243" t="str">
        <f t="shared" si="80"/>
        <v>(h)</v>
      </c>
      <c r="O248" s="243" t="str">
        <f>O$13</f>
        <v>(i)</v>
      </c>
      <c r="P248" s="243" t="str">
        <f t="shared" si="80"/>
        <v>(j)</v>
      </c>
      <c r="Q248" s="243" t="str">
        <f t="shared" si="80"/>
        <v>(k)</v>
      </c>
      <c r="R248" s="243" t="str">
        <f>R$13</f>
        <v>(l)</v>
      </c>
      <c r="S248" s="16" t="str">
        <f>S$13</f>
        <v>(m)</v>
      </c>
      <c r="T248" s="16"/>
      <c r="U248" s="16" t="s">
        <v>734</v>
      </c>
      <c r="V248" s="67"/>
      <c r="W248" s="129"/>
      <c r="X248" s="370"/>
    </row>
    <row r="249" spans="1:24" ht="14.25">
      <c r="A249" s="47"/>
      <c r="B249" s="67"/>
      <c r="C249" s="67"/>
      <c r="D249" s="100"/>
      <c r="E249" s="100"/>
      <c r="F249" s="288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67"/>
      <c r="W249" s="129"/>
      <c r="X249" s="370">
        <f t="shared" si="70"/>
        <v>0</v>
      </c>
    </row>
    <row r="250" spans="1:24" ht="15">
      <c r="A250" s="47"/>
      <c r="B250" s="17">
        <f t="shared" si="81" ref="B250:B266">B249+1</f>
        <v>1</v>
      </c>
      <c r="C250" s="8" t="s">
        <v>564</v>
      </c>
      <c r="D250" s="8"/>
      <c r="E250" s="20" t="s">
        <v>24</v>
      </c>
      <c r="F250" s="21"/>
      <c r="G250" s="20"/>
      <c r="H250" s="20"/>
      <c r="I250" s="20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20"/>
      <c r="U250" s="8"/>
      <c r="V250" s="67"/>
      <c r="W250" s="129"/>
      <c r="X250" s="370">
        <f t="shared" si="70"/>
        <v>0</v>
      </c>
    </row>
    <row r="251" spans="1:24" ht="14.25">
      <c r="A251" s="47"/>
      <c r="B251" s="17">
        <f t="shared" si="81"/>
        <v>2</v>
      </c>
      <c r="C251" s="1" t="s">
        <v>25</v>
      </c>
      <c r="D251" s="1" t="s">
        <v>26</v>
      </c>
      <c r="E251" s="17"/>
      <c r="F251" s="118">
        <f>' WP II-I-1.4'!L251</f>
        <v>0</v>
      </c>
      <c r="G251" s="17" t="s">
        <v>805</v>
      </c>
      <c r="H251" s="47" t="s">
        <v>320</v>
      </c>
      <c r="I251" s="17"/>
      <c r="J251" s="434">
        <f>'II-I-DIST'!J251+'II-I-MET'!J251+'II-I-TBILLTDCS'!J251</f>
        <v>0</v>
      </c>
      <c r="K251" s="434">
        <f>'II-I-DIST'!K251+'II-I-MET'!K251+'II-I-TBILLTDCS'!K251</f>
        <v>0</v>
      </c>
      <c r="L251" s="434">
        <f>'II-I-DIST'!L251+'II-I-MET'!L251+'II-I-TBILLTDCS'!L251</f>
        <v>0</v>
      </c>
      <c r="M251" s="434">
        <f>'II-I-DIST'!M251+'II-I-MET'!M251+'II-I-TBILLTDCS'!M251</f>
        <v>0</v>
      </c>
      <c r="N251" s="434">
        <f>'II-I-DIST'!N251+'II-I-MET'!N251+'II-I-TBILLTDCS'!N251</f>
        <v>0</v>
      </c>
      <c r="O251" s="434">
        <f>'II-I-DIST'!O251+'II-I-MET'!O251+'II-I-TBILLTDCS'!O251</f>
        <v>0</v>
      </c>
      <c r="P251" s="434">
        <f>'II-I-DIST'!P251+'II-I-MET'!P251+'II-I-TBILLTDCS'!P251</f>
        <v>0</v>
      </c>
      <c r="Q251" s="434">
        <f>'II-I-DIST'!Q251+'II-I-MET'!Q251+'II-I-TBILLTDCS'!Q251</f>
        <v>0</v>
      </c>
      <c r="R251" s="434">
        <f>'II-I-DIST'!R251+'II-I-MET'!R251+'II-I-TBILLTDCS'!R251</f>
        <v>0</v>
      </c>
      <c r="S251" s="434">
        <f>'II-I-DIST'!S251+'II-I-MET'!S251+'II-I-TBILLTDCS'!S251</f>
        <v>0</v>
      </c>
      <c r="T251" s="17"/>
      <c r="U251" s="118">
        <f>SUM(I251:T251)</f>
        <v>0</v>
      </c>
      <c r="V251" s="67"/>
      <c r="X251" s="370">
        <f t="shared" si="70"/>
        <v>0</v>
      </c>
    </row>
    <row r="252" spans="1:24" ht="14.25">
      <c r="A252" s="47"/>
      <c r="B252" s="17">
        <f t="shared" si="81"/>
        <v>3</v>
      </c>
      <c r="C252" s="1" t="s">
        <v>27</v>
      </c>
      <c r="D252" s="1" t="s">
        <v>28</v>
      </c>
      <c r="E252" s="17"/>
      <c r="F252" s="118">
        <f>' WP II-I-1.4'!L252</f>
        <v>0</v>
      </c>
      <c r="G252" s="17" t="s">
        <v>805</v>
      </c>
      <c r="H252" s="47" t="s">
        <v>320</v>
      </c>
      <c r="I252" s="17"/>
      <c r="J252" s="434">
        <f>'II-I-DIST'!J252+'II-I-MET'!J252+'II-I-TBILLTDCS'!J252</f>
        <v>0</v>
      </c>
      <c r="K252" s="434">
        <f>'II-I-DIST'!K252+'II-I-MET'!K252+'II-I-TBILLTDCS'!K252</f>
        <v>0</v>
      </c>
      <c r="L252" s="434">
        <f>'II-I-DIST'!L252+'II-I-MET'!L252+'II-I-TBILLTDCS'!L252</f>
        <v>0</v>
      </c>
      <c r="M252" s="434">
        <f>'II-I-DIST'!M252+'II-I-MET'!M252+'II-I-TBILLTDCS'!M252</f>
        <v>0</v>
      </c>
      <c r="N252" s="434">
        <f>'II-I-DIST'!N252+'II-I-MET'!N252+'II-I-TBILLTDCS'!N252</f>
        <v>0</v>
      </c>
      <c r="O252" s="434">
        <f>'II-I-DIST'!O252+'II-I-MET'!O252+'II-I-TBILLTDCS'!O252</f>
        <v>0</v>
      </c>
      <c r="P252" s="434">
        <f>'II-I-DIST'!P252+'II-I-MET'!P252+'II-I-TBILLTDCS'!P252</f>
        <v>0</v>
      </c>
      <c r="Q252" s="434">
        <f>'II-I-DIST'!Q252+'II-I-MET'!Q252+'II-I-TBILLTDCS'!Q252</f>
        <v>0</v>
      </c>
      <c r="R252" s="434">
        <f>'II-I-DIST'!R252+'II-I-MET'!R252+'II-I-TBILLTDCS'!R252</f>
        <v>0</v>
      </c>
      <c r="S252" s="434">
        <f>'II-I-DIST'!S252+'II-I-MET'!S252+'II-I-TBILLTDCS'!S252</f>
        <v>0</v>
      </c>
      <c r="T252" s="17"/>
      <c r="U252" s="118">
        <f>SUM(I252:T252)</f>
        <v>0</v>
      </c>
      <c r="V252" s="67"/>
      <c r="X252" s="370">
        <f t="shared" si="70"/>
        <v>0</v>
      </c>
    </row>
    <row r="253" spans="1:24" ht="14.25">
      <c r="A253" s="47"/>
      <c r="B253" s="17">
        <f t="shared" si="81"/>
        <v>4</v>
      </c>
      <c r="C253" s="1" t="s">
        <v>29</v>
      </c>
      <c r="D253" s="1" t="s">
        <v>34</v>
      </c>
      <c r="E253" s="17"/>
      <c r="F253" s="118">
        <f>' WP II-I-1.4'!L253</f>
        <v>353430430.13</v>
      </c>
      <c r="G253" s="17" t="s">
        <v>805</v>
      </c>
      <c r="H253" s="47" t="s">
        <v>320</v>
      </c>
      <c r="I253" s="17"/>
      <c r="J253" s="435">
        <f>'II-I-DIST'!J253+'II-I-MET'!J253+'II-I-TBILLTDCS'!J253</f>
        <v>196906952.63547838</v>
      </c>
      <c r="K253" s="435">
        <f>'II-I-DIST'!K253+'II-I-MET'!K253+'II-I-TBILLTDCS'!K253</f>
        <v>22676333.974836353</v>
      </c>
      <c r="L253" s="435">
        <f>'II-I-DIST'!L253+'II-I-MET'!L253+'II-I-TBILLTDCS'!L253</f>
        <v>103604852.6703155</v>
      </c>
      <c r="M253" s="435">
        <f>'II-I-DIST'!M253+'II-I-MET'!M253+'II-I-TBILLTDCS'!M253</f>
        <v>905238.53881718381</v>
      </c>
      <c r="N253" s="435">
        <f>'II-I-DIST'!N253+'II-I-MET'!N253+'II-I-TBILLTDCS'!N253</f>
        <v>24743284.53785808</v>
      </c>
      <c r="O253" s="435">
        <f>'II-I-DIST'!O253+'II-I-MET'!O253+'II-I-TBILLTDCS'!O253</f>
        <v>1245500.2801051838</v>
      </c>
      <c r="P253" s="435">
        <f>'II-I-DIST'!P253+'II-I-MET'!P253+'II-I-TBILLTDCS'!P253</f>
        <v>1498246.8064171171</v>
      </c>
      <c r="Q253" s="435">
        <f>'II-I-DIST'!Q253+'II-I-MET'!Q253+'II-I-TBILLTDCS'!Q253</f>
        <v>1198225.2336160305</v>
      </c>
      <c r="R253" s="435">
        <f>'II-I-DIST'!R253+'II-I-MET'!R253+'II-I-TBILLTDCS'!R253</f>
        <v>146440.83518408466</v>
      </c>
      <c r="S253" s="435">
        <f>'II-I-DIST'!S253+'II-I-MET'!S253+'II-I-TBILLTDCS'!S253</f>
        <v>505354.61737213703</v>
      </c>
      <c r="T253" s="17"/>
      <c r="U253" s="118">
        <f>SUM(I253:T253)</f>
        <v>353430430.13000005</v>
      </c>
      <c r="V253" s="67"/>
      <c r="X253" s="370">
        <f t="shared" si="70"/>
        <v>0</v>
      </c>
    </row>
    <row r="254" spans="1:24" ht="15">
      <c r="A254" s="47"/>
      <c r="B254" s="17">
        <f t="shared" si="81"/>
        <v>5</v>
      </c>
      <c r="C254" s="8"/>
      <c r="D254" s="297" t="s">
        <v>491</v>
      </c>
      <c r="E254" s="20"/>
      <c r="F254" s="298">
        <f>SUM(F251:F253)</f>
        <v>353430430.13</v>
      </c>
      <c r="G254" s="17"/>
      <c r="H254" s="17"/>
      <c r="I254" s="1000"/>
      <c r="J254" s="907">
        <f t="shared" si="82" ref="J254:Q254">SUM(J251:J253)</f>
        <v>196906952.63547838</v>
      </c>
      <c r="K254" s="907">
        <f t="shared" si="82"/>
        <v>22676333.974836353</v>
      </c>
      <c r="L254" s="907">
        <f t="shared" si="82"/>
        <v>103604852.6703155</v>
      </c>
      <c r="M254" s="907">
        <f t="shared" si="82"/>
        <v>905238.53881718381</v>
      </c>
      <c r="N254" s="907">
        <f t="shared" si="82"/>
        <v>24743284.53785808</v>
      </c>
      <c r="O254" s="907">
        <f>SUM(O251:O253)</f>
        <v>1245500.2801051838</v>
      </c>
      <c r="P254" s="907">
        <f t="shared" si="82"/>
        <v>1498246.8064171171</v>
      </c>
      <c r="Q254" s="907">
        <f t="shared" si="82"/>
        <v>1198225.2336160305</v>
      </c>
      <c r="R254" s="907">
        <f>SUM(R251:R253)</f>
        <v>146440.83518408466</v>
      </c>
      <c r="S254" s="907">
        <f>SUM(S251:S253)</f>
        <v>505354.61737213703</v>
      </c>
      <c r="T254" s="1000"/>
      <c r="U254" s="299">
        <f>SUM(I254:T254)</f>
        <v>353430430.13000005</v>
      </c>
      <c r="V254" s="67"/>
      <c r="W254" s="1300" t="b">
        <f>' WP II-I-1.4'!$L$254=F254</f>
        <v>1</v>
      </c>
      <c r="X254" s="370">
        <f t="shared" si="70"/>
        <v>0</v>
      </c>
    </row>
    <row r="255" spans="1:24" ht="15">
      <c r="A255" s="47"/>
      <c r="B255" s="17">
        <f t="shared" si="81"/>
        <v>6</v>
      </c>
      <c r="C255" s="8" t="s">
        <v>565</v>
      </c>
      <c r="D255" s="8"/>
      <c r="E255" s="20" t="s">
        <v>24</v>
      </c>
      <c r="F255" s="22"/>
      <c r="G255" s="20"/>
      <c r="H255" s="20"/>
      <c r="I255" s="1000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00"/>
      <c r="U255" s="8"/>
      <c r="V255" s="67"/>
      <c r="X255" s="370">
        <f t="shared" si="70"/>
        <v>0</v>
      </c>
    </row>
    <row r="256" spans="1:24" ht="15">
      <c r="A256" s="47"/>
      <c r="B256" s="17">
        <f t="shared" si="81"/>
        <v>7</v>
      </c>
      <c r="C256" s="1" t="s">
        <v>39</v>
      </c>
      <c r="D256" s="1" t="s">
        <v>40</v>
      </c>
      <c r="E256" s="20"/>
      <c r="F256" s="118">
        <f>' WP II-I-1.4'!L256</f>
        <v>0</v>
      </c>
      <c r="G256" s="17" t="s">
        <v>805</v>
      </c>
      <c r="H256" s="28" t="s">
        <v>320</v>
      </c>
      <c r="I256" s="1000"/>
      <c r="J256" s="434">
        <f>'II-I-DIST'!J256+'II-I-MET'!J256+'II-I-TBILLTDCS'!J256</f>
        <v>0</v>
      </c>
      <c r="K256" s="434">
        <f>'II-I-DIST'!K256+'II-I-MET'!K256+'II-I-TBILLTDCS'!K256</f>
        <v>0</v>
      </c>
      <c r="L256" s="434">
        <f>'II-I-DIST'!L256+'II-I-MET'!L256+'II-I-TBILLTDCS'!L256</f>
        <v>0</v>
      </c>
      <c r="M256" s="434">
        <f>'II-I-DIST'!M256+'II-I-MET'!M256+'II-I-TBILLTDCS'!M256</f>
        <v>0</v>
      </c>
      <c r="N256" s="434">
        <f>'II-I-DIST'!N256+'II-I-MET'!N256+'II-I-TBILLTDCS'!N256</f>
        <v>0</v>
      </c>
      <c r="O256" s="434">
        <f>'II-I-DIST'!O256+'II-I-MET'!O256+'II-I-TBILLTDCS'!O256</f>
        <v>0</v>
      </c>
      <c r="P256" s="434">
        <f>'II-I-DIST'!P256+'II-I-MET'!P256+'II-I-TBILLTDCS'!P256</f>
        <v>0</v>
      </c>
      <c r="Q256" s="434">
        <f>'II-I-DIST'!Q256+'II-I-MET'!Q256+'II-I-TBILLTDCS'!Q256</f>
        <v>0</v>
      </c>
      <c r="R256" s="434">
        <f>'II-I-DIST'!R256+'II-I-MET'!R256+'II-I-TBILLTDCS'!R256</f>
        <v>0</v>
      </c>
      <c r="S256" s="434">
        <f>'II-I-DIST'!S256+'II-I-MET'!S256+'II-I-TBILLTDCS'!S256</f>
        <v>0</v>
      </c>
      <c r="T256" s="1000"/>
      <c r="U256" s="118">
        <f t="shared" si="83" ref="U256:U266">SUM(I256:T256)</f>
        <v>0</v>
      </c>
      <c r="V256" s="67"/>
      <c r="X256" s="370">
        <f t="shared" si="70"/>
        <v>0</v>
      </c>
    </row>
    <row r="257" spans="1:24" ht="14.25">
      <c r="A257" s="47"/>
      <c r="B257" s="17">
        <f t="shared" si="81"/>
        <v>8</v>
      </c>
      <c r="C257" s="1" t="s">
        <v>41</v>
      </c>
      <c r="D257" s="1" t="s">
        <v>42</v>
      </c>
      <c r="E257" s="17"/>
      <c r="F257" s="118">
        <f>' WP II-I-1.4'!L257</f>
        <v>0</v>
      </c>
      <c r="G257" s="17" t="s">
        <v>805</v>
      </c>
      <c r="H257" s="28" t="s">
        <v>320</v>
      </c>
      <c r="I257" s="17"/>
      <c r="J257" s="434">
        <f>'II-I-DIST'!J257+'II-I-MET'!J257+'II-I-TBILLTDCS'!J257</f>
        <v>0</v>
      </c>
      <c r="K257" s="434">
        <f>'II-I-DIST'!K257+'II-I-MET'!K257+'II-I-TBILLTDCS'!K257</f>
        <v>0</v>
      </c>
      <c r="L257" s="434">
        <f>'II-I-DIST'!L257+'II-I-MET'!L257+'II-I-TBILLTDCS'!L257</f>
        <v>0</v>
      </c>
      <c r="M257" s="434">
        <f>'II-I-DIST'!M257+'II-I-MET'!M257+'II-I-TBILLTDCS'!M257</f>
        <v>0</v>
      </c>
      <c r="N257" s="434">
        <f>'II-I-DIST'!N257+'II-I-MET'!N257+'II-I-TBILLTDCS'!N257</f>
        <v>0</v>
      </c>
      <c r="O257" s="434">
        <f>'II-I-DIST'!O257+'II-I-MET'!O257+'II-I-TBILLTDCS'!O257</f>
        <v>0</v>
      </c>
      <c r="P257" s="434">
        <f>'II-I-DIST'!P257+'II-I-MET'!P257+'II-I-TBILLTDCS'!P257</f>
        <v>0</v>
      </c>
      <c r="Q257" s="434">
        <f>'II-I-DIST'!Q257+'II-I-MET'!Q257+'II-I-TBILLTDCS'!Q257</f>
        <v>0</v>
      </c>
      <c r="R257" s="434">
        <f>'II-I-DIST'!R257+'II-I-MET'!R257+'II-I-TBILLTDCS'!R257</f>
        <v>0</v>
      </c>
      <c r="S257" s="434">
        <f>'II-I-DIST'!S257+'II-I-MET'!S257+'II-I-TBILLTDCS'!S257</f>
        <v>0</v>
      </c>
      <c r="T257" s="17"/>
      <c r="U257" s="118">
        <f t="shared" si="83"/>
        <v>0</v>
      </c>
      <c r="V257" s="67"/>
      <c r="X257" s="370">
        <f t="shared" si="70"/>
        <v>0</v>
      </c>
    </row>
    <row r="258" spans="1:24" ht="14.25">
      <c r="A258" s="47"/>
      <c r="B258" s="17">
        <f t="shared" si="81"/>
        <v>9</v>
      </c>
      <c r="C258" s="1" t="s">
        <v>43</v>
      </c>
      <c r="D258" s="1" t="s">
        <v>44</v>
      </c>
      <c r="E258" s="17"/>
      <c r="F258" s="118">
        <f>' WP II-I-1.4'!L258</f>
        <v>0</v>
      </c>
      <c r="G258" s="17" t="s">
        <v>805</v>
      </c>
      <c r="H258" s="28" t="s">
        <v>320</v>
      </c>
      <c r="I258" s="17"/>
      <c r="J258" s="434">
        <f>'II-I-DIST'!J258+'II-I-MET'!J258+'II-I-TBILLTDCS'!J258</f>
        <v>0</v>
      </c>
      <c r="K258" s="434">
        <f>'II-I-DIST'!K258+'II-I-MET'!K258+'II-I-TBILLTDCS'!K258</f>
        <v>0</v>
      </c>
      <c r="L258" s="434">
        <f>'II-I-DIST'!L258+'II-I-MET'!L258+'II-I-TBILLTDCS'!L258</f>
        <v>0</v>
      </c>
      <c r="M258" s="434">
        <f>'II-I-DIST'!M258+'II-I-MET'!M258+'II-I-TBILLTDCS'!M258</f>
        <v>0</v>
      </c>
      <c r="N258" s="434">
        <f>'II-I-DIST'!N258+'II-I-MET'!N258+'II-I-TBILLTDCS'!N258</f>
        <v>0</v>
      </c>
      <c r="O258" s="434">
        <f>'II-I-DIST'!O258+'II-I-MET'!O258+'II-I-TBILLTDCS'!O258</f>
        <v>0</v>
      </c>
      <c r="P258" s="434">
        <f>'II-I-DIST'!P258+'II-I-MET'!P258+'II-I-TBILLTDCS'!P258</f>
        <v>0</v>
      </c>
      <c r="Q258" s="434">
        <f>'II-I-DIST'!Q258+'II-I-MET'!Q258+'II-I-TBILLTDCS'!Q258</f>
        <v>0</v>
      </c>
      <c r="R258" s="434">
        <f>'II-I-DIST'!R258+'II-I-MET'!R258+'II-I-TBILLTDCS'!R258</f>
        <v>0</v>
      </c>
      <c r="S258" s="434">
        <f>'II-I-DIST'!S258+'II-I-MET'!S258+'II-I-TBILLTDCS'!S258</f>
        <v>0</v>
      </c>
      <c r="T258" s="17"/>
      <c r="U258" s="118">
        <f t="shared" si="83"/>
        <v>0</v>
      </c>
      <c r="V258" s="67"/>
      <c r="X258" s="370">
        <f t="shared" si="70"/>
        <v>0</v>
      </c>
    </row>
    <row r="259" spans="1:24" ht="14.25">
      <c r="A259" s="47"/>
      <c r="B259" s="17">
        <f t="shared" si="81"/>
        <v>10</v>
      </c>
      <c r="C259" s="1" t="s">
        <v>45</v>
      </c>
      <c r="D259" s="1" t="s">
        <v>46</v>
      </c>
      <c r="E259" s="17"/>
      <c r="F259" s="118">
        <f>' WP II-I-1.4'!L259</f>
        <v>97170477.010000005</v>
      </c>
      <c r="G259" s="17" t="s">
        <v>805</v>
      </c>
      <c r="H259" s="28" t="s">
        <v>320</v>
      </c>
      <c r="I259" s="17"/>
      <c r="J259" s="434">
        <f>'II-I-DIST'!J259+'II-I-MET'!J259+'II-I-TBILLTDCS'!J259</f>
        <v>51143055.410531223</v>
      </c>
      <c r="K259" s="434">
        <f>'II-I-DIST'!K259+'II-I-MET'!K259+'II-I-TBILLTDCS'!K259</f>
        <v>1248924.443956288</v>
      </c>
      <c r="L259" s="434">
        <f>'II-I-DIST'!L259+'II-I-MET'!L259+'II-I-TBILLTDCS'!L259</f>
        <v>32929598.547241546</v>
      </c>
      <c r="M259" s="434">
        <f>'II-I-DIST'!M259+'II-I-MET'!M259+'II-I-TBILLTDCS'!M259</f>
        <v>18616.459377498828</v>
      </c>
      <c r="N259" s="434">
        <f>'II-I-DIST'!N259+'II-I-MET'!N259+'II-I-TBILLTDCS'!N259</f>
        <v>7879422.8626208007</v>
      </c>
      <c r="O259" s="434">
        <f>'II-I-DIST'!O259+'II-I-MET'!O259+'II-I-TBILLTDCS'!O259</f>
        <v>2849472.9506299454</v>
      </c>
      <c r="P259" s="434">
        <f>'II-I-DIST'!P259+'II-I-MET'!P259+'II-I-TBILLTDCS'!P259</f>
        <v>0</v>
      </c>
      <c r="Q259" s="434">
        <f>'II-I-DIST'!Q259+'II-I-MET'!Q259+'II-I-TBILLTDCS'!Q259</f>
        <v>332142.2393394807</v>
      </c>
      <c r="R259" s="434">
        <f>'II-I-DIST'!R259+'II-I-MET'!R259+'II-I-TBILLTDCS'!R259</f>
        <v>341527.16764310369</v>
      </c>
      <c r="S259" s="434">
        <f>'II-I-DIST'!S259+'II-I-MET'!S259+'II-I-TBILLTDCS'!S259</f>
        <v>427716.92866011715</v>
      </c>
      <c r="T259" s="17"/>
      <c r="U259" s="118">
        <f t="shared" si="83"/>
        <v>97170477.010000005</v>
      </c>
      <c r="V259" s="67"/>
      <c r="X259" s="370">
        <f t="shared" si="70"/>
        <v>0</v>
      </c>
    </row>
    <row r="260" spans="1:24" ht="14.25">
      <c r="A260" s="47"/>
      <c r="B260" s="17">
        <f t="shared" si="81"/>
        <v>11</v>
      </c>
      <c r="C260" s="1" t="s">
        <v>47</v>
      </c>
      <c r="D260" s="1" t="s">
        <v>48</v>
      </c>
      <c r="E260" s="17"/>
      <c r="F260" s="118">
        <f>' WP II-I-1.4'!L260</f>
        <v>0</v>
      </c>
      <c r="G260" s="17" t="s">
        <v>805</v>
      </c>
      <c r="H260" s="28" t="s">
        <v>320</v>
      </c>
      <c r="I260" s="17"/>
      <c r="J260" s="434">
        <f>'II-I-DIST'!J260+'II-I-MET'!J260+'II-I-TBILLTDCS'!J260</f>
        <v>0</v>
      </c>
      <c r="K260" s="434">
        <f>'II-I-DIST'!K260+'II-I-MET'!K260+'II-I-TBILLTDCS'!K260</f>
        <v>0</v>
      </c>
      <c r="L260" s="434">
        <f>'II-I-DIST'!L260+'II-I-MET'!L260+'II-I-TBILLTDCS'!L260</f>
        <v>0</v>
      </c>
      <c r="M260" s="434">
        <f>'II-I-DIST'!M260+'II-I-MET'!M260+'II-I-TBILLTDCS'!M260</f>
        <v>0</v>
      </c>
      <c r="N260" s="434">
        <f>'II-I-DIST'!N260+'II-I-MET'!N260+'II-I-TBILLTDCS'!N260</f>
        <v>0</v>
      </c>
      <c r="O260" s="434">
        <f>'II-I-DIST'!O260+'II-I-MET'!O260+'II-I-TBILLTDCS'!O260</f>
        <v>0</v>
      </c>
      <c r="P260" s="434">
        <f>'II-I-DIST'!P260+'II-I-MET'!P260+'II-I-TBILLTDCS'!P260</f>
        <v>0</v>
      </c>
      <c r="Q260" s="434">
        <f>'II-I-DIST'!Q260+'II-I-MET'!Q260+'II-I-TBILLTDCS'!Q260</f>
        <v>0</v>
      </c>
      <c r="R260" s="434">
        <f>'II-I-DIST'!R260+'II-I-MET'!R260+'II-I-TBILLTDCS'!R260</f>
        <v>0</v>
      </c>
      <c r="S260" s="434">
        <f>'II-I-DIST'!S260+'II-I-MET'!S260+'II-I-TBILLTDCS'!S260</f>
        <v>0</v>
      </c>
      <c r="T260" s="17"/>
      <c r="U260" s="118">
        <f t="shared" si="83"/>
        <v>0</v>
      </c>
      <c r="V260" s="67"/>
      <c r="X260" s="370">
        <f t="shared" si="70"/>
        <v>0</v>
      </c>
    </row>
    <row r="261" spans="1:24" ht="14.25">
      <c r="A261" s="47"/>
      <c r="B261" s="17">
        <f t="shared" si="81"/>
        <v>12</v>
      </c>
      <c r="C261" s="1" t="s">
        <v>49</v>
      </c>
      <c r="D261" s="1" t="s">
        <v>50</v>
      </c>
      <c r="E261" s="17"/>
      <c r="F261" s="118">
        <f>' WP II-I-1.4'!L261</f>
        <v>0</v>
      </c>
      <c r="G261" s="17" t="s">
        <v>805</v>
      </c>
      <c r="H261" s="28" t="s">
        <v>320</v>
      </c>
      <c r="I261" s="17"/>
      <c r="J261" s="434">
        <f>'II-I-DIST'!J261+'II-I-MET'!J261+'II-I-TBILLTDCS'!J261</f>
        <v>0</v>
      </c>
      <c r="K261" s="434">
        <f>'II-I-DIST'!K261+'II-I-MET'!K261+'II-I-TBILLTDCS'!K261</f>
        <v>0</v>
      </c>
      <c r="L261" s="434">
        <f>'II-I-DIST'!L261+'II-I-MET'!L261+'II-I-TBILLTDCS'!L261</f>
        <v>0</v>
      </c>
      <c r="M261" s="434">
        <f>'II-I-DIST'!M261+'II-I-MET'!M261+'II-I-TBILLTDCS'!M261</f>
        <v>0</v>
      </c>
      <c r="N261" s="434">
        <f>'II-I-DIST'!N261+'II-I-MET'!N261+'II-I-TBILLTDCS'!N261</f>
        <v>0</v>
      </c>
      <c r="O261" s="434">
        <f>'II-I-DIST'!O261+'II-I-MET'!O261+'II-I-TBILLTDCS'!O261</f>
        <v>0</v>
      </c>
      <c r="P261" s="434">
        <f>'II-I-DIST'!P261+'II-I-MET'!P261+'II-I-TBILLTDCS'!P261</f>
        <v>0</v>
      </c>
      <c r="Q261" s="434">
        <f>'II-I-DIST'!Q261+'II-I-MET'!Q261+'II-I-TBILLTDCS'!Q261</f>
        <v>0</v>
      </c>
      <c r="R261" s="434">
        <f>'II-I-DIST'!R261+'II-I-MET'!R261+'II-I-TBILLTDCS'!R261</f>
        <v>0</v>
      </c>
      <c r="S261" s="434">
        <f>'II-I-DIST'!S261+'II-I-MET'!S261+'II-I-TBILLTDCS'!S261</f>
        <v>0</v>
      </c>
      <c r="T261" s="17"/>
      <c r="U261" s="118">
        <f t="shared" si="83"/>
        <v>0</v>
      </c>
      <c r="V261" s="67"/>
      <c r="X261" s="370">
        <f t="shared" si="70"/>
        <v>0</v>
      </c>
    </row>
    <row r="262" spans="1:24" ht="14.25">
      <c r="A262" s="47"/>
      <c r="B262" s="17">
        <f t="shared" si="81"/>
        <v>13</v>
      </c>
      <c r="C262" s="1" t="s">
        <v>51</v>
      </c>
      <c r="D262" s="1" t="s">
        <v>534</v>
      </c>
      <c r="E262" s="17"/>
      <c r="F262" s="118">
        <f>' WP II-I-1.4'!L262</f>
        <v>0</v>
      </c>
      <c r="G262" s="17" t="s">
        <v>805</v>
      </c>
      <c r="H262" s="28" t="s">
        <v>320</v>
      </c>
      <c r="I262" s="17"/>
      <c r="J262" s="434">
        <f>'II-I-DIST'!J262+'II-I-MET'!J262+'II-I-TBILLTDCS'!J262</f>
        <v>0</v>
      </c>
      <c r="K262" s="434">
        <f>'II-I-DIST'!K262+'II-I-MET'!K262+'II-I-TBILLTDCS'!K262</f>
        <v>0</v>
      </c>
      <c r="L262" s="434">
        <f>'II-I-DIST'!L262+'II-I-MET'!L262+'II-I-TBILLTDCS'!L262</f>
        <v>0</v>
      </c>
      <c r="M262" s="434">
        <f>'II-I-DIST'!M262+'II-I-MET'!M262+'II-I-TBILLTDCS'!M262</f>
        <v>0</v>
      </c>
      <c r="N262" s="434">
        <f>'II-I-DIST'!N262+'II-I-MET'!N262+'II-I-TBILLTDCS'!N262</f>
        <v>0</v>
      </c>
      <c r="O262" s="434">
        <f>'II-I-DIST'!O262+'II-I-MET'!O262+'II-I-TBILLTDCS'!O262</f>
        <v>0</v>
      </c>
      <c r="P262" s="434">
        <f>'II-I-DIST'!P262+'II-I-MET'!P262+'II-I-TBILLTDCS'!P262</f>
        <v>0</v>
      </c>
      <c r="Q262" s="434">
        <f>'II-I-DIST'!Q262+'II-I-MET'!Q262+'II-I-TBILLTDCS'!Q262</f>
        <v>0</v>
      </c>
      <c r="R262" s="434">
        <f>'II-I-DIST'!R262+'II-I-MET'!R262+'II-I-TBILLTDCS'!R262</f>
        <v>0</v>
      </c>
      <c r="S262" s="434">
        <f>'II-I-DIST'!S262+'II-I-MET'!S262+'II-I-TBILLTDCS'!S262</f>
        <v>0</v>
      </c>
      <c r="T262" s="17"/>
      <c r="U262" s="118">
        <f t="shared" si="83"/>
        <v>0</v>
      </c>
      <c r="V262" s="67"/>
      <c r="X262" s="370">
        <f t="shared" si="70"/>
        <v>0</v>
      </c>
    </row>
    <row r="263" spans="1:24" ht="14.25">
      <c r="A263" s="47"/>
      <c r="B263" s="17">
        <f t="shared" si="81"/>
        <v>14</v>
      </c>
      <c r="C263" s="1" t="s">
        <v>53</v>
      </c>
      <c r="D263" s="1" t="s">
        <v>54</v>
      </c>
      <c r="E263" s="17"/>
      <c r="F263" s="118">
        <f>' WP II-I-1.4'!L263</f>
        <v>0</v>
      </c>
      <c r="G263" s="17" t="s">
        <v>805</v>
      </c>
      <c r="H263" s="28" t="s">
        <v>320</v>
      </c>
      <c r="I263" s="17"/>
      <c r="J263" s="434">
        <f>'II-I-DIST'!J263+'II-I-MET'!J263+'II-I-TBILLTDCS'!J263</f>
        <v>0</v>
      </c>
      <c r="K263" s="434">
        <f>'II-I-DIST'!K263+'II-I-MET'!K263+'II-I-TBILLTDCS'!K263</f>
        <v>0</v>
      </c>
      <c r="L263" s="434">
        <f>'II-I-DIST'!L263+'II-I-MET'!L263+'II-I-TBILLTDCS'!L263</f>
        <v>0</v>
      </c>
      <c r="M263" s="434">
        <f>'II-I-DIST'!M263+'II-I-MET'!M263+'II-I-TBILLTDCS'!M263</f>
        <v>0</v>
      </c>
      <c r="N263" s="434">
        <f>'II-I-DIST'!N263+'II-I-MET'!N263+'II-I-TBILLTDCS'!N263</f>
        <v>0</v>
      </c>
      <c r="O263" s="434">
        <f>'II-I-DIST'!O263+'II-I-MET'!O263+'II-I-TBILLTDCS'!O263</f>
        <v>0</v>
      </c>
      <c r="P263" s="434">
        <f>'II-I-DIST'!P263+'II-I-MET'!P263+'II-I-TBILLTDCS'!P263</f>
        <v>0</v>
      </c>
      <c r="Q263" s="434">
        <f>'II-I-DIST'!Q263+'II-I-MET'!Q263+'II-I-TBILLTDCS'!Q263</f>
        <v>0</v>
      </c>
      <c r="R263" s="434">
        <f>'II-I-DIST'!R263+'II-I-MET'!R263+'II-I-TBILLTDCS'!R263</f>
        <v>0</v>
      </c>
      <c r="S263" s="434">
        <f>'II-I-DIST'!S263+'II-I-MET'!S263+'II-I-TBILLTDCS'!S263</f>
        <v>0</v>
      </c>
      <c r="T263" s="17"/>
      <c r="U263" s="118">
        <f t="shared" si="83"/>
        <v>0</v>
      </c>
      <c r="V263" s="67"/>
      <c r="X263" s="370">
        <f t="shared" si="70"/>
        <v>0</v>
      </c>
    </row>
    <row r="264" spans="1:24" ht="14.25">
      <c r="A264" s="47"/>
      <c r="B264" s="17">
        <f t="shared" si="81"/>
        <v>15</v>
      </c>
      <c r="C264" s="1" t="s">
        <v>55</v>
      </c>
      <c r="D264" s="31" t="s">
        <v>535</v>
      </c>
      <c r="E264" s="17"/>
      <c r="F264" s="118">
        <f>' WP II-I-1.4'!L264</f>
        <v>0</v>
      </c>
      <c r="G264" s="17" t="s">
        <v>805</v>
      </c>
      <c r="H264" s="28" t="s">
        <v>320</v>
      </c>
      <c r="I264" s="17"/>
      <c r="J264" s="434">
        <f>'II-I-DIST'!J264+'II-I-MET'!J264+'II-I-TBILLTDCS'!J264</f>
        <v>0</v>
      </c>
      <c r="K264" s="434">
        <f>'II-I-DIST'!K264+'II-I-MET'!K264+'II-I-TBILLTDCS'!K264</f>
        <v>0</v>
      </c>
      <c r="L264" s="434">
        <f>'II-I-DIST'!L264+'II-I-MET'!L264+'II-I-TBILLTDCS'!L264</f>
        <v>0</v>
      </c>
      <c r="M264" s="434">
        <f>'II-I-DIST'!M264+'II-I-MET'!M264+'II-I-TBILLTDCS'!M264</f>
        <v>0</v>
      </c>
      <c r="N264" s="434">
        <f>'II-I-DIST'!N264+'II-I-MET'!N264+'II-I-TBILLTDCS'!N264</f>
        <v>0</v>
      </c>
      <c r="O264" s="434">
        <f>'II-I-DIST'!O264+'II-I-MET'!O264+'II-I-TBILLTDCS'!O264</f>
        <v>0</v>
      </c>
      <c r="P264" s="434">
        <f>'II-I-DIST'!P264+'II-I-MET'!P264+'II-I-TBILLTDCS'!P264</f>
        <v>0</v>
      </c>
      <c r="Q264" s="434">
        <f>'II-I-DIST'!Q264+'II-I-MET'!Q264+'II-I-TBILLTDCS'!Q264</f>
        <v>0</v>
      </c>
      <c r="R264" s="434">
        <f>'II-I-DIST'!R264+'II-I-MET'!R264+'II-I-TBILLTDCS'!R264</f>
        <v>0</v>
      </c>
      <c r="S264" s="434">
        <f>'II-I-DIST'!S264+'II-I-MET'!S264+'II-I-TBILLTDCS'!S264</f>
        <v>0</v>
      </c>
      <c r="T264" s="17"/>
      <c r="U264" s="118">
        <f t="shared" si="83"/>
        <v>0</v>
      </c>
      <c r="V264" s="67"/>
      <c r="X264" s="370">
        <f t="shared" si="70"/>
        <v>0</v>
      </c>
    </row>
    <row r="265" spans="1:24" ht="14.25">
      <c r="A265" s="47"/>
      <c r="B265" s="17">
        <f t="shared" si="81"/>
        <v>16</v>
      </c>
      <c r="C265" s="1" t="s">
        <v>57</v>
      </c>
      <c r="D265" s="1" t="s">
        <v>58</v>
      </c>
      <c r="E265" s="17"/>
      <c r="F265" s="118">
        <f>' WP II-I-1.4'!L265</f>
        <v>0</v>
      </c>
      <c r="G265" s="17" t="s">
        <v>805</v>
      </c>
      <c r="H265" s="28" t="s">
        <v>320</v>
      </c>
      <c r="I265" s="17"/>
      <c r="J265" s="435">
        <f>'II-I-DIST'!J265+'II-I-MET'!J265+'II-I-TBILLTDCS'!J265</f>
        <v>0</v>
      </c>
      <c r="K265" s="435">
        <f>'II-I-DIST'!K265+'II-I-MET'!K265+'II-I-TBILLTDCS'!K265</f>
        <v>0</v>
      </c>
      <c r="L265" s="435">
        <f>'II-I-DIST'!L265+'II-I-MET'!L265+'II-I-TBILLTDCS'!L265</f>
        <v>0</v>
      </c>
      <c r="M265" s="435">
        <f>'II-I-DIST'!M265+'II-I-MET'!M265+'II-I-TBILLTDCS'!M265</f>
        <v>0</v>
      </c>
      <c r="N265" s="435">
        <f>'II-I-DIST'!N265+'II-I-MET'!N265+'II-I-TBILLTDCS'!N265</f>
        <v>0</v>
      </c>
      <c r="O265" s="435">
        <f>'II-I-DIST'!O265+'II-I-MET'!O265+'II-I-TBILLTDCS'!O265</f>
        <v>0</v>
      </c>
      <c r="P265" s="435">
        <f>'II-I-DIST'!P265+'II-I-MET'!P265+'II-I-TBILLTDCS'!P265</f>
        <v>0</v>
      </c>
      <c r="Q265" s="435">
        <f>'II-I-DIST'!Q265+'II-I-MET'!Q265+'II-I-TBILLTDCS'!Q265</f>
        <v>0</v>
      </c>
      <c r="R265" s="435">
        <f>'II-I-DIST'!R265+'II-I-MET'!R265+'II-I-TBILLTDCS'!R265</f>
        <v>0</v>
      </c>
      <c r="S265" s="435">
        <f>'II-I-DIST'!S265+'II-I-MET'!S265+'II-I-TBILLTDCS'!S265</f>
        <v>0</v>
      </c>
      <c r="T265" s="17"/>
      <c r="U265" s="118">
        <f t="shared" si="83"/>
        <v>0</v>
      </c>
      <c r="V265" s="67"/>
      <c r="X265" s="370">
        <f t="shared" si="70"/>
        <v>0</v>
      </c>
    </row>
    <row r="266" spans="1:24" ht="15">
      <c r="A266" s="47"/>
      <c r="B266" s="17">
        <f t="shared" si="81"/>
        <v>17</v>
      </c>
      <c r="C266" s="8"/>
      <c r="D266" s="297" t="s">
        <v>536</v>
      </c>
      <c r="E266" s="20"/>
      <c r="F266" s="22">
        <f>SUM(F256:F265)</f>
        <v>97170477.010000005</v>
      </c>
      <c r="G266" s="20"/>
      <c r="H266" s="20"/>
      <c r="I266" s="20"/>
      <c r="J266" s="896">
        <f t="shared" si="84" ref="J266:Q266">SUM(J256:J265)</f>
        <v>51143055.410531223</v>
      </c>
      <c r="K266" s="896">
        <f t="shared" si="84"/>
        <v>1248924.443956288</v>
      </c>
      <c r="L266" s="896">
        <f t="shared" si="84"/>
        <v>32929598.547241546</v>
      </c>
      <c r="M266" s="896">
        <f t="shared" si="84"/>
        <v>18616.459377498828</v>
      </c>
      <c r="N266" s="896">
        <f t="shared" si="84"/>
        <v>7879422.8626208007</v>
      </c>
      <c r="O266" s="896">
        <f>SUM(O256:O265)</f>
        <v>2849472.9506299454</v>
      </c>
      <c r="P266" s="896">
        <f t="shared" si="84"/>
        <v>0</v>
      </c>
      <c r="Q266" s="896">
        <f t="shared" si="84"/>
        <v>332142.2393394807</v>
      </c>
      <c r="R266" s="896">
        <f>SUM(R256:R265)</f>
        <v>341527.16764310369</v>
      </c>
      <c r="S266" s="896">
        <f>SUM(S256:S265)</f>
        <v>427716.92866011715</v>
      </c>
      <c r="T266" s="20"/>
      <c r="U266" s="299">
        <f t="shared" si="83"/>
        <v>97170477.010000005</v>
      </c>
      <c r="V266" s="67"/>
      <c r="W266" s="1300" t="b">
        <f>' WP II-I-1.4'!$L$266=F266</f>
        <v>1</v>
      </c>
      <c r="X266" s="370">
        <f t="shared" si="70"/>
        <v>0</v>
      </c>
    </row>
    <row r="267" spans="1:24" ht="15.75" thickBot="1">
      <c r="A267" s="47"/>
      <c r="B267" s="17"/>
      <c r="C267" s="8"/>
      <c r="D267" s="297"/>
      <c r="E267" s="20"/>
      <c r="F267" s="22"/>
      <c r="G267" s="20"/>
      <c r="H267" s="13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134"/>
      <c r="V267" s="134"/>
      <c r="X267" s="370"/>
    </row>
    <row r="268" spans="1:24" ht="15">
      <c r="A268" s="47"/>
      <c r="B268" s="920" t="str">
        <f>+$B$4</f>
        <v>2022 RATE CASE</v>
      </c>
      <c r="C268" s="935"/>
      <c r="D268" s="624"/>
      <c r="F268" s="67"/>
      <c r="H268" s="134"/>
      <c r="U268" s="134"/>
      <c r="V268" s="134"/>
      <c r="X268" s="370"/>
    </row>
    <row r="269" spans="1:24" ht="15">
      <c r="A269" s="290"/>
      <c r="B269" s="917" t="str">
        <f>+$B$5</f>
        <v>ONCOR ELECTRIC DELIVERY COMPANY LLC</v>
      </c>
      <c r="C269" s="8"/>
      <c r="D269" s="967"/>
      <c r="F269" s="67"/>
      <c r="U269" s="134"/>
      <c r="V269" s="67"/>
      <c r="X269" s="370">
        <f t="shared" si="70"/>
        <v>0</v>
      </c>
    </row>
    <row r="270" spans="1:24" ht="15">
      <c r="A270" s="47"/>
      <c r="B270" s="917" t="str">
        <f>+$B$6</f>
        <v>II-I-1-TOT:  CLASS REVENUE REQUIREMENT</v>
      </c>
      <c r="C270" s="85"/>
      <c r="D270" s="967"/>
      <c r="F270" s="12"/>
      <c r="U270" s="12"/>
      <c r="V270" s="67"/>
      <c r="X270" s="370">
        <f t="shared" si="70"/>
        <v>0</v>
      </c>
    </row>
    <row r="271" spans="1:24" ht="15">
      <c r="A271" s="47"/>
      <c r="B271" s="406" t="str">
        <f>+$B$7</f>
        <v>TEST YEAR ENDING 12/31/2021</v>
      </c>
      <c r="C271" s="85"/>
      <c r="D271" s="967"/>
      <c r="F271" s="12"/>
      <c r="U271" s="12"/>
      <c r="V271" s="67"/>
      <c r="X271" s="370">
        <f t="shared" si="70"/>
        <v>0</v>
      </c>
    </row>
    <row r="272" spans="1:24" ht="15">
      <c r="A272" s="47"/>
      <c r="B272" s="406" t="str">
        <f>+$B$8</f>
        <v>SPONSOR:  MATTHEW A. TROXLE</v>
      </c>
      <c r="C272" s="85"/>
      <c r="D272" s="967"/>
      <c r="F272" s="12"/>
      <c r="U272" s="12"/>
      <c r="V272" s="67"/>
      <c r="X272" s="370">
        <f t="shared" si="85" ref="X272:X335">U272-F272</f>
        <v>0</v>
      </c>
    </row>
    <row r="273" spans="1:24" ht="15.75" thickBot="1">
      <c r="A273" s="47"/>
      <c r="B273" s="410"/>
      <c r="C273" s="934"/>
      <c r="D273" s="968"/>
      <c r="F273" s="12"/>
      <c r="U273" s="12"/>
      <c r="V273" s="67"/>
      <c r="W273" s="129"/>
      <c r="X273" s="370">
        <f t="shared" si="85"/>
        <v>0</v>
      </c>
    </row>
    <row r="274" spans="1:24" ht="15" thickBot="1">
      <c r="A274" s="47"/>
      <c r="B274" s="13"/>
      <c r="C274" s="14"/>
      <c r="D274" s="14"/>
      <c r="E274" s="14"/>
      <c r="F274" s="13"/>
      <c r="G274" s="14"/>
      <c r="H274" s="14"/>
      <c r="I274" s="14"/>
      <c r="J274" s="238"/>
      <c r="K274" s="238"/>
      <c r="L274" s="14"/>
      <c r="M274" s="238"/>
      <c r="N274" s="238"/>
      <c r="O274" s="238"/>
      <c r="P274" s="238"/>
      <c r="Q274" s="14"/>
      <c r="R274" s="393" t="str">
        <f>R$10</f>
        <v xml:space="preserve"> </v>
      </c>
      <c r="S274" s="394"/>
      <c r="T274" s="238"/>
      <c r="U274" s="13"/>
      <c r="V274" s="67"/>
      <c r="W274" s="129"/>
      <c r="X274" s="370">
        <f t="shared" si="85"/>
        <v>0</v>
      </c>
    </row>
    <row r="275" spans="1:24" ht="15">
      <c r="A275" s="47"/>
      <c r="B275" s="15" t="s">
        <v>2</v>
      </c>
      <c r="C275" s="15" t="s">
        <v>370</v>
      </c>
      <c r="D275" s="287" t="s">
        <v>574</v>
      </c>
      <c r="E275" s="15" t="s">
        <v>371</v>
      </c>
      <c r="F275" s="287" t="str">
        <f>F$11</f>
        <v>TOTAL</v>
      </c>
      <c r="G275" s="242" t="s">
        <v>741</v>
      </c>
      <c r="H275" s="242" t="s">
        <v>376</v>
      </c>
      <c r="I275" s="15"/>
      <c r="J275" s="242" t="s">
        <v>730</v>
      </c>
      <c r="K275" s="242" t="s">
        <v>409</v>
      </c>
      <c r="L275" s="15" t="s">
        <v>409</v>
      </c>
      <c r="M275" s="242" t="s">
        <v>410</v>
      </c>
      <c r="N275" s="242" t="s">
        <v>410</v>
      </c>
      <c r="O275" s="242" t="s">
        <v>410</v>
      </c>
      <c r="P275" s="242" t="s">
        <v>411</v>
      </c>
      <c r="Q275" s="15" t="s">
        <v>412</v>
      </c>
      <c r="R275" s="396" t="str">
        <f>R$11</f>
        <v>Wholesale</v>
      </c>
      <c r="S275" s="13" t="str">
        <f>S$11</f>
        <v>Wholesale</v>
      </c>
      <c r="T275" s="242"/>
      <c r="U275" s="15" t="s">
        <v>10</v>
      </c>
      <c r="V275" s="67"/>
      <c r="W275" s="129"/>
      <c r="X275" s="370"/>
    </row>
    <row r="276" spans="1:24" ht="14.25">
      <c r="A276" s="47"/>
      <c r="B276" s="15"/>
      <c r="C276" s="15"/>
      <c r="D276" s="15"/>
      <c r="E276" s="15"/>
      <c r="F276" s="15" t="str">
        <f>F$12</f>
        <v>(Dist+Met+Cust)</v>
      </c>
      <c r="G276" s="242" t="s">
        <v>742</v>
      </c>
      <c r="H276" s="242" t="s">
        <v>743</v>
      </c>
      <c r="I276" s="15"/>
      <c r="J276" s="242"/>
      <c r="K276" s="242" t="s">
        <v>731</v>
      </c>
      <c r="L276" s="15" t="s">
        <v>732</v>
      </c>
      <c r="M276" s="242" t="s">
        <v>731</v>
      </c>
      <c r="N276" s="242" t="s">
        <v>732</v>
      </c>
      <c r="O276" s="242" t="s">
        <v>414</v>
      </c>
      <c r="P276" s="242"/>
      <c r="Q276" s="15"/>
      <c r="R276" s="235" t="str">
        <f>R$12</f>
        <v>XFMR</v>
      </c>
      <c r="S276" s="15" t="str">
        <f>S$12</f>
        <v>DLS</v>
      </c>
      <c r="T276" s="242"/>
      <c r="U276" s="15"/>
      <c r="V276" s="67"/>
      <c r="W276" s="129"/>
      <c r="X276" s="370"/>
    </row>
    <row r="277" spans="1:24" ht="15" thickBot="1">
      <c r="A277" s="47"/>
      <c r="B277" s="16"/>
      <c r="C277" s="16"/>
      <c r="D277" s="16"/>
      <c r="E277" s="16"/>
      <c r="F277" s="16" t="s">
        <v>13</v>
      </c>
      <c r="G277" s="16" t="s">
        <v>14</v>
      </c>
      <c r="H277" s="16" t="s">
        <v>15</v>
      </c>
      <c r="I277" s="16"/>
      <c r="J277" s="243" t="str">
        <f t="shared" si="86" ref="J277:Q277">J$13</f>
        <v>(d)</v>
      </c>
      <c r="K277" s="243" t="str">
        <f t="shared" si="86"/>
        <v>(e)</v>
      </c>
      <c r="L277" s="16" t="str">
        <f t="shared" si="86"/>
        <v>(f)</v>
      </c>
      <c r="M277" s="243" t="str">
        <f t="shared" si="86"/>
        <v>(g)</v>
      </c>
      <c r="N277" s="243" t="str">
        <f t="shared" si="86"/>
        <v>(h)</v>
      </c>
      <c r="O277" s="243" t="str">
        <f>O$13</f>
        <v>(i)</v>
      </c>
      <c r="P277" s="243" t="str">
        <f t="shared" si="86"/>
        <v>(j)</v>
      </c>
      <c r="Q277" s="243" t="str">
        <f t="shared" si="86"/>
        <v>(k)</v>
      </c>
      <c r="R277" s="243" t="str">
        <f>R$13</f>
        <v>(l)</v>
      </c>
      <c r="S277" s="16" t="str">
        <f>S$13</f>
        <v>(m)</v>
      </c>
      <c r="T277" s="16"/>
      <c r="U277" s="16" t="s">
        <v>734</v>
      </c>
      <c r="V277" s="67"/>
      <c r="W277" s="129"/>
      <c r="X277" s="370"/>
    </row>
    <row r="278" spans="1:24" ht="14.25">
      <c r="A278" s="47"/>
      <c r="B278" s="67"/>
      <c r="C278" s="67"/>
      <c r="D278" s="100"/>
      <c r="E278" s="100"/>
      <c r="F278" s="288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67"/>
      <c r="W278" s="129"/>
      <c r="X278" s="370">
        <f t="shared" si="85"/>
        <v>0</v>
      </c>
    </row>
    <row r="279" spans="1:24" ht="15">
      <c r="A279" s="47"/>
      <c r="B279" s="17">
        <v>1</v>
      </c>
      <c r="C279" s="8" t="s">
        <v>574</v>
      </c>
      <c r="D279" s="8"/>
      <c r="E279" s="20" t="s">
        <v>24</v>
      </c>
      <c r="F279" s="22"/>
      <c r="G279" s="20"/>
      <c r="H279" s="20"/>
      <c r="I279" s="20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20"/>
      <c r="U279" s="8"/>
      <c r="V279" s="67"/>
      <c r="X279" s="370">
        <f t="shared" si="85"/>
        <v>0</v>
      </c>
    </row>
    <row r="280" spans="1:24" ht="14.25">
      <c r="A280" s="47"/>
      <c r="B280" s="17">
        <f t="shared" si="87" ref="B280:B315">B279+1</f>
        <v>2</v>
      </c>
      <c r="C280" s="1" t="s">
        <v>61</v>
      </c>
      <c r="D280" s="1" t="s">
        <v>42</v>
      </c>
      <c r="E280" s="17"/>
      <c r="F280" s="118">
        <f>' WP II-I-1.4'!L280</f>
        <v>9695344.3800000008</v>
      </c>
      <c r="G280" s="17" t="s">
        <v>805</v>
      </c>
      <c r="H280" s="28" t="s">
        <v>320</v>
      </c>
      <c r="I280" s="17"/>
      <c r="J280" s="434">
        <f>'II-I-DIST'!J280+'II-I-MET'!J280+'II-I-TBILLTDCS'!J280</f>
        <v>5280746.8242197661</v>
      </c>
      <c r="K280" s="434">
        <f>'II-I-DIST'!K280+'II-I-MET'!K280+'II-I-TBILLTDCS'!K280</f>
        <v>217548.95953457788</v>
      </c>
      <c r="L280" s="434">
        <f>'II-I-DIST'!L280+'II-I-MET'!L280+'II-I-TBILLTDCS'!L280</f>
        <v>3285205.5401090905</v>
      </c>
      <c r="M280" s="434">
        <f>'II-I-DIST'!M280+'II-I-MET'!M280+'II-I-TBILLTDCS'!M280</f>
        <v>1115.3965040602768</v>
      </c>
      <c r="N280" s="434">
        <f>'II-I-DIST'!N280+'II-I-MET'!N280+'II-I-TBILLTDCS'!N280</f>
        <v>472091.95565954287</v>
      </c>
      <c r="O280" s="434">
        <f>'II-I-DIST'!O280+'II-I-MET'!O280+'II-I-TBILLTDCS'!O280</f>
        <v>37490.170445268785</v>
      </c>
      <c r="P280" s="434">
        <f>'II-I-DIST'!P280+'II-I-MET'!P280+'II-I-TBILLTDCS'!P280</f>
        <v>8912.0403529414252</v>
      </c>
      <c r="Q280" s="434">
        <f>'II-I-DIST'!Q280+'II-I-MET'!Q280+'II-I-TBILLTDCS'!Q280</f>
        <v>362113.60077447392</v>
      </c>
      <c r="R280" s="434">
        <f>'II-I-DIST'!R280+'II-I-MET'!R280+'II-I-TBILLTDCS'!R280</f>
        <v>4493.4315743545576</v>
      </c>
      <c r="S280" s="434">
        <f>'II-I-DIST'!S280+'II-I-MET'!S280+'II-I-TBILLTDCS'!S280</f>
        <v>25626.460825924765</v>
      </c>
      <c r="T280" s="17"/>
      <c r="U280" s="118">
        <f t="shared" si="88" ref="U280:U300">SUM(I280:T280)</f>
        <v>9695344.3800000008</v>
      </c>
      <c r="V280" s="67"/>
      <c r="X280" s="370">
        <f t="shared" si="85"/>
        <v>0</v>
      </c>
    </row>
    <row r="281" spans="1:24" ht="14.25">
      <c r="A281" s="47"/>
      <c r="B281" s="17">
        <f t="shared" si="87"/>
        <v>3</v>
      </c>
      <c r="C281" s="1" t="s">
        <v>62</v>
      </c>
      <c r="D281" s="31" t="s">
        <v>44</v>
      </c>
      <c r="E281" s="17"/>
      <c r="F281" s="118">
        <f>' WP II-I-1.4'!L281</f>
        <v>41745977.75</v>
      </c>
      <c r="G281" s="17" t="s">
        <v>805</v>
      </c>
      <c r="H281" s="28" t="s">
        <v>320</v>
      </c>
      <c r="I281" s="17"/>
      <c r="J281" s="434">
        <f>'II-I-DIST'!J281+'II-I-MET'!J281+'II-I-TBILLTDCS'!J281</f>
        <v>22737711.089666471</v>
      </c>
      <c r="K281" s="434">
        <f>'II-I-DIST'!K281+'II-I-MET'!K281+'II-I-TBILLTDCS'!K281</f>
        <v>936717.01265201857</v>
      </c>
      <c r="L281" s="434">
        <f>'II-I-DIST'!L281+'II-I-MET'!L281+'II-I-TBILLTDCS'!L281</f>
        <v>14145358.019925313</v>
      </c>
      <c r="M281" s="434">
        <f>'II-I-DIST'!M281+'II-I-MET'!M281+'II-I-TBILLTDCS'!M281</f>
        <v>4802.6471073045159</v>
      </c>
      <c r="N281" s="434">
        <f>'II-I-DIST'!N281+'II-I-MET'!N281+'II-I-TBILLTDCS'!N281</f>
        <v>2032722.0472510192</v>
      </c>
      <c r="O281" s="434">
        <f>'II-I-DIST'!O281+'II-I-MET'!O281+'II-I-TBILLTDCS'!O281</f>
        <v>161424.26301848373</v>
      </c>
      <c r="P281" s="434">
        <f>'II-I-DIST'!P281+'II-I-MET'!P281+'II-I-TBILLTDCS'!P281</f>
        <v>38373.246343725528</v>
      </c>
      <c r="Q281" s="434">
        <f>'II-I-DIST'!Q281+'II-I-MET'!Q281+'II-I-TBILLTDCS'!Q281</f>
        <v>1559179.9247572029</v>
      </c>
      <c r="R281" s="434">
        <f>'II-I-DIST'!R281+'II-I-MET'!R281+'II-I-TBILLTDCS'!R281</f>
        <v>19347.708257904378</v>
      </c>
      <c r="S281" s="434">
        <f>'II-I-DIST'!S281+'II-I-MET'!S281+'II-I-TBILLTDCS'!S281</f>
        <v>110341.79102055803</v>
      </c>
      <c r="T281" s="17"/>
      <c r="U281" s="118">
        <f t="shared" si="88"/>
        <v>41745977.749999993</v>
      </c>
      <c r="V281" s="67"/>
      <c r="X281" s="370">
        <f t="shared" si="85"/>
        <v>0</v>
      </c>
    </row>
    <row r="282" spans="1:24" ht="14.25">
      <c r="A282" s="47"/>
      <c r="B282" s="17">
        <f t="shared" si="87"/>
        <v>4</v>
      </c>
      <c r="C282" s="1" t="s">
        <v>63</v>
      </c>
      <c r="D282" s="1" t="s">
        <v>46</v>
      </c>
      <c r="E282" s="17"/>
      <c r="F282" s="118">
        <f>' WP II-I-1.4'!L282</f>
        <v>463683928.67000002</v>
      </c>
      <c r="G282" s="17" t="s">
        <v>805</v>
      </c>
      <c r="H282" s="28" t="s">
        <v>320</v>
      </c>
      <c r="I282" s="17"/>
      <c r="J282" s="434">
        <f>'II-I-DIST'!J282+'II-I-MET'!J282+'II-I-TBILLTDCS'!J282</f>
        <v>244047508.94144669</v>
      </c>
      <c r="K282" s="434">
        <f>'II-I-DIST'!K282+'II-I-MET'!K282+'II-I-TBILLTDCS'!K282</f>
        <v>5959692.80593374</v>
      </c>
      <c r="L282" s="434">
        <f>'II-I-DIST'!L282+'II-I-MET'!L282+'II-I-TBILLTDCS'!L282</f>
        <v>157135439.62884456</v>
      </c>
      <c r="M282" s="434">
        <f>'II-I-DIST'!M282+'II-I-MET'!M282+'II-I-TBILLTDCS'!M282</f>
        <v>88835.140957430587</v>
      </c>
      <c r="N282" s="434">
        <f>'II-I-DIST'!N282+'II-I-MET'!N282+'II-I-TBILLTDCS'!N282</f>
        <v>37599504.098515801</v>
      </c>
      <c r="O282" s="434">
        <f>'II-I-DIST'!O282+'II-I-MET'!O282+'II-I-TBILLTDCS'!O282</f>
        <v>13597286.470570862</v>
      </c>
      <c r="P282" s="434">
        <f>'II-I-DIST'!P282+'II-I-MET'!P282+'II-I-TBILLTDCS'!P282</f>
        <v>0</v>
      </c>
      <c r="Q282" s="434">
        <f>'II-I-DIST'!Q282+'II-I-MET'!Q282+'II-I-TBILLTDCS'!Q282</f>
        <v>1584936.3217423793</v>
      </c>
      <c r="R282" s="434">
        <f>'II-I-DIST'!R282+'II-I-MET'!R282+'II-I-TBILLTDCS'!R282</f>
        <v>1629719.8872862877</v>
      </c>
      <c r="S282" s="434">
        <f>'II-I-DIST'!S282+'II-I-MET'!S282+'II-I-TBILLTDCS'!S282</f>
        <v>2041005.3747022273</v>
      </c>
      <c r="T282" s="17"/>
      <c r="U282" s="118">
        <f t="shared" si="88"/>
        <v>463683928.66999996</v>
      </c>
      <c r="V282" s="67"/>
      <c r="X282" s="370">
        <f t="shared" si="85"/>
        <v>0</v>
      </c>
    </row>
    <row r="283" spans="1:24" ht="14.25">
      <c r="A283" s="47"/>
      <c r="B283" s="17">
        <f t="shared" si="87"/>
        <v>5</v>
      </c>
      <c r="C283" s="1" t="s">
        <v>64</v>
      </c>
      <c r="D283" s="1" t="s">
        <v>65</v>
      </c>
      <c r="E283" s="17"/>
      <c r="F283" s="118">
        <f>' WP II-I-1.4'!L283</f>
        <v>0</v>
      </c>
      <c r="G283" s="17" t="s">
        <v>805</v>
      </c>
      <c r="H283" s="28" t="s">
        <v>320</v>
      </c>
      <c r="I283" s="17"/>
      <c r="J283" s="434">
        <f>'II-I-DIST'!J283+'II-I-MET'!J283+'II-I-TBILLTDCS'!J283</f>
        <v>0</v>
      </c>
      <c r="K283" s="434">
        <f>'II-I-DIST'!K283+'II-I-MET'!K283+'II-I-TBILLTDCS'!K283</f>
        <v>0</v>
      </c>
      <c r="L283" s="434">
        <f>'II-I-DIST'!L283+'II-I-MET'!L283+'II-I-TBILLTDCS'!L283</f>
        <v>0</v>
      </c>
      <c r="M283" s="434">
        <f>'II-I-DIST'!M283+'II-I-MET'!M283+'II-I-TBILLTDCS'!M283</f>
        <v>0</v>
      </c>
      <c r="N283" s="434">
        <f>'II-I-DIST'!N283+'II-I-MET'!N283+'II-I-TBILLTDCS'!N283</f>
        <v>0</v>
      </c>
      <c r="O283" s="434">
        <f>'II-I-DIST'!O283+'II-I-MET'!O283+'II-I-TBILLTDCS'!O283</f>
        <v>0</v>
      </c>
      <c r="P283" s="434">
        <f>'II-I-DIST'!P283+'II-I-MET'!P283+'II-I-TBILLTDCS'!P283</f>
        <v>0</v>
      </c>
      <c r="Q283" s="434">
        <f>'II-I-DIST'!Q283+'II-I-MET'!Q283+'II-I-TBILLTDCS'!Q283</f>
        <v>0</v>
      </c>
      <c r="R283" s="434">
        <f>'II-I-DIST'!R283+'II-I-MET'!R283+'II-I-TBILLTDCS'!R283</f>
        <v>0</v>
      </c>
      <c r="S283" s="434">
        <f>'II-I-DIST'!S283+'II-I-MET'!S283+'II-I-TBILLTDCS'!S283</f>
        <v>0</v>
      </c>
      <c r="T283" s="17"/>
      <c r="U283" s="118">
        <f t="shared" si="88"/>
        <v>0</v>
      </c>
      <c r="V283" s="67"/>
      <c r="X283" s="370">
        <f t="shared" si="85"/>
        <v>0</v>
      </c>
    </row>
    <row r="284" spans="1:24" ht="14.25">
      <c r="A284" s="47"/>
      <c r="B284" s="17">
        <f t="shared" si="87"/>
        <v>6</v>
      </c>
      <c r="C284" s="1" t="s">
        <v>380</v>
      </c>
      <c r="D284" s="31" t="s">
        <v>537</v>
      </c>
      <c r="E284" s="17"/>
      <c r="F284" s="118">
        <f>' WP II-I-1.4'!L284</f>
        <v>919027218.5279665</v>
      </c>
      <c r="G284" s="17" t="s">
        <v>805</v>
      </c>
      <c r="H284" s="28" t="s">
        <v>320</v>
      </c>
      <c r="I284" s="17"/>
      <c r="J284" s="434">
        <f>'II-I-DIST'!J284+'II-I-MET'!J284+'II-I-TBILLTDCS'!J284</f>
        <v>500128980.44870651</v>
      </c>
      <c r="K284" s="434">
        <f>'II-I-DIST'!K284+'II-I-MET'!K284+'II-I-TBILLTDCS'!K284</f>
        <v>12213257.573279548</v>
      </c>
      <c r="L284" s="434">
        <f>'II-I-DIST'!L284+'II-I-MET'!L284+'II-I-TBILLTDCS'!L284</f>
        <v>322019214.84389579</v>
      </c>
      <c r="M284" s="434">
        <f>'II-I-DIST'!M284+'II-I-MET'!M284+'II-I-TBILLTDCS'!M284</f>
        <v>182050.73539888731</v>
      </c>
      <c r="N284" s="434">
        <f>'II-I-DIST'!N284+'II-I-MET'!N284+'II-I-TBILLTDCS'!N284</f>
        <v>77053036.647382379</v>
      </c>
      <c r="O284" s="434">
        <f>'II-I-DIST'!O284+'II-I-MET'!O284+'II-I-TBILLTDCS'!O284</f>
        <v>0</v>
      </c>
      <c r="P284" s="434">
        <f>'II-I-DIST'!P284+'II-I-MET'!P284+'II-I-TBILLTDCS'!P284</f>
        <v>0</v>
      </c>
      <c r="Q284" s="434">
        <f>'II-I-DIST'!Q284+'II-I-MET'!Q284+'II-I-TBILLTDCS'!Q284</f>
        <v>3248025.7229723325</v>
      </c>
      <c r="R284" s="434">
        <f>'II-I-DIST'!R284+'II-I-MET'!R284+'II-I-TBILLTDCS'!R284</f>
        <v>0</v>
      </c>
      <c r="S284" s="434">
        <f>'II-I-DIST'!S284+'II-I-MET'!S284+'II-I-TBILLTDCS'!S284</f>
        <v>4182652.5563310026</v>
      </c>
      <c r="T284" s="17"/>
      <c r="U284" s="118">
        <f t="shared" si="88"/>
        <v>919027218.5279665</v>
      </c>
      <c r="V284" s="67"/>
      <c r="X284" s="370">
        <f t="shared" si="85"/>
        <v>0</v>
      </c>
    </row>
    <row r="285" spans="1:24" ht="14.25">
      <c r="A285" s="47"/>
      <c r="B285" s="17">
        <f t="shared" si="87"/>
        <v>7</v>
      </c>
      <c r="C285" s="1" t="s">
        <v>382</v>
      </c>
      <c r="D285" s="31" t="s">
        <v>538</v>
      </c>
      <c r="E285" s="17"/>
      <c r="F285" s="118">
        <f>' WP II-I-1.4'!L285</f>
        <v>188692365.2020334</v>
      </c>
      <c r="G285" s="17" t="s">
        <v>805</v>
      </c>
      <c r="H285" s="28" t="s">
        <v>320</v>
      </c>
      <c r="I285" s="17"/>
      <c r="J285" s="434">
        <f>'II-I-DIST'!J285+'II-I-MET'!J285+'II-I-TBILLTDCS'!J285</f>
        <v>112666490.33859645</v>
      </c>
      <c r="K285" s="434">
        <f>'II-I-DIST'!K285+'II-I-MET'!K285+'II-I-TBILLTDCS'!K285</f>
        <v>2751339.9946312765</v>
      </c>
      <c r="L285" s="434">
        <f>'II-I-DIST'!L285+'II-I-MET'!L285+'II-I-TBILLTDCS'!L285</f>
        <v>72542836.300951317</v>
      </c>
      <c r="M285" s="434">
        <f>'II-I-DIST'!M285+'II-I-MET'!M285+'II-I-TBILLTDCS'!M285</f>
        <v>0</v>
      </c>
      <c r="N285" s="434">
        <f>'II-I-DIST'!N285+'II-I-MET'!N285+'II-I-TBILLTDCS'!N285</f>
        <v>0</v>
      </c>
      <c r="O285" s="434">
        <f>'II-I-DIST'!O285+'II-I-MET'!O285+'II-I-TBILLTDCS'!O285</f>
        <v>0</v>
      </c>
      <c r="P285" s="434">
        <f>'II-I-DIST'!P285+'II-I-MET'!P285+'II-I-TBILLTDCS'!P285</f>
        <v>0</v>
      </c>
      <c r="Q285" s="434">
        <f>'II-I-DIST'!Q285+'II-I-MET'!Q285+'II-I-TBILLTDCS'!Q285</f>
        <v>731698.56785435043</v>
      </c>
      <c r="R285" s="434">
        <f>'II-I-DIST'!R285+'II-I-MET'!R285+'II-I-TBILLTDCS'!R285</f>
        <v>0</v>
      </c>
      <c r="S285" s="434">
        <f>'II-I-DIST'!S285+'II-I-MET'!S285+'II-I-TBILLTDCS'!S285</f>
        <v>0</v>
      </c>
      <c r="T285" s="17"/>
      <c r="U285" s="118">
        <f t="shared" si="88"/>
        <v>188692365.2020334</v>
      </c>
      <c r="V285" s="67"/>
      <c r="X285" s="370">
        <f t="shared" si="85"/>
        <v>0</v>
      </c>
    </row>
    <row r="286" spans="1:24" ht="14.25">
      <c r="A286" s="47"/>
      <c r="B286" s="17">
        <f t="shared" si="87"/>
        <v>8</v>
      </c>
      <c r="C286" s="1" t="s">
        <v>385</v>
      </c>
      <c r="D286" s="1" t="s">
        <v>539</v>
      </c>
      <c r="E286" s="17"/>
      <c r="F286" s="118">
        <f>' WP II-I-1.4'!L286</f>
        <v>539681426.92537904</v>
      </c>
      <c r="G286" s="17" t="s">
        <v>805</v>
      </c>
      <c r="H286" s="28" t="s">
        <v>320</v>
      </c>
      <c r="I286" s="17"/>
      <c r="J286" s="434">
        <f>'II-I-DIST'!J286+'II-I-MET'!J286+'II-I-TBILLTDCS'!J286</f>
        <v>293691325.32071942</v>
      </c>
      <c r="K286" s="434">
        <f>'II-I-DIST'!K286+'II-I-MET'!K286+'II-I-TBILLTDCS'!K286</f>
        <v>7172005.5093821166</v>
      </c>
      <c r="L286" s="434">
        <f>'II-I-DIST'!L286+'II-I-MET'!L286+'II-I-TBILLTDCS'!L286</f>
        <v>189099719.63910386</v>
      </c>
      <c r="M286" s="434">
        <f>'II-I-DIST'!M286+'II-I-MET'!M286+'II-I-TBILLTDCS'!M286</f>
        <v>106905.86597669558</v>
      </c>
      <c r="N286" s="434">
        <f>'II-I-DIST'!N286+'II-I-MET'!N286+'II-I-TBILLTDCS'!N286</f>
        <v>45247944.705489062</v>
      </c>
      <c r="O286" s="434">
        <f>'II-I-DIST'!O286+'II-I-MET'!O286+'II-I-TBILLTDCS'!O286</f>
        <v>0</v>
      </c>
      <c r="P286" s="434">
        <f>'II-I-DIST'!P286+'II-I-MET'!P286+'II-I-TBILLTDCS'!P286</f>
        <v>0</v>
      </c>
      <c r="Q286" s="434">
        <f>'II-I-DIST'!Q286+'II-I-MET'!Q286+'II-I-TBILLTDCS'!Q286</f>
        <v>1907341.9388728393</v>
      </c>
      <c r="R286" s="434">
        <f>'II-I-DIST'!R286+'II-I-MET'!R286+'II-I-TBILLTDCS'!R286</f>
        <v>0</v>
      </c>
      <c r="S286" s="434">
        <f>'II-I-DIST'!S286+'II-I-MET'!S286+'II-I-TBILLTDCS'!S286</f>
        <v>2456183.9458350153</v>
      </c>
      <c r="T286" s="17"/>
      <c r="U286" s="118">
        <f t="shared" si="88"/>
        <v>539681426.92537892</v>
      </c>
      <c r="V286" s="67"/>
      <c r="X286" s="370">
        <f t="shared" si="85"/>
        <v>0</v>
      </c>
    </row>
    <row r="287" spans="1:24" ht="14.25">
      <c r="A287" s="47"/>
      <c r="B287" s="17">
        <f t="shared" si="87"/>
        <v>9</v>
      </c>
      <c r="C287" s="1" t="s">
        <v>387</v>
      </c>
      <c r="D287" s="1" t="s">
        <v>540</v>
      </c>
      <c r="E287" s="17"/>
      <c r="F287" s="118">
        <f>' WP II-I-1.4'!L287</f>
        <v>95646582.564620957</v>
      </c>
      <c r="G287" s="17" t="s">
        <v>805</v>
      </c>
      <c r="H287" s="28" t="s">
        <v>320</v>
      </c>
      <c r="I287" s="17"/>
      <c r="J287" s="434">
        <f>'II-I-DIST'!J287+'II-I-MET'!J287+'II-I-TBILLTDCS'!J287</f>
        <v>57109702.127579816</v>
      </c>
      <c r="K287" s="434">
        <f>'II-I-DIST'!K287+'II-I-MET'!K287+'II-I-TBILLTDCS'!K287</f>
        <v>1394631.2437076194</v>
      </c>
      <c r="L287" s="434">
        <f>'II-I-DIST'!L287+'II-I-MET'!L287+'II-I-TBILLTDCS'!L287</f>
        <v>36771357.305854321</v>
      </c>
      <c r="M287" s="434">
        <f>'II-I-DIST'!M287+'II-I-MET'!M287+'II-I-TBILLTDCS'!M287</f>
        <v>0</v>
      </c>
      <c r="N287" s="434">
        <f>'II-I-DIST'!N287+'II-I-MET'!N287+'II-I-TBILLTDCS'!N287</f>
        <v>0</v>
      </c>
      <c r="O287" s="434">
        <f>'II-I-DIST'!O287+'II-I-MET'!O287+'II-I-TBILLTDCS'!O287</f>
        <v>0</v>
      </c>
      <c r="P287" s="434">
        <f>'II-I-DIST'!P287+'II-I-MET'!P287+'II-I-TBILLTDCS'!P287</f>
        <v>0</v>
      </c>
      <c r="Q287" s="434">
        <f>'II-I-DIST'!Q287+'II-I-MET'!Q287+'II-I-TBILLTDCS'!Q287</f>
        <v>370891.88747919659</v>
      </c>
      <c r="R287" s="434">
        <f>'II-I-DIST'!R287+'II-I-MET'!R287+'II-I-TBILLTDCS'!R287</f>
        <v>0</v>
      </c>
      <c r="S287" s="434">
        <f>'II-I-DIST'!S287+'II-I-MET'!S287+'II-I-TBILLTDCS'!S287</f>
        <v>0</v>
      </c>
      <c r="T287" s="17"/>
      <c r="U287" s="118">
        <f t="shared" si="88"/>
        <v>95646582.564620957</v>
      </c>
      <c r="V287" s="67"/>
      <c r="X287" s="370">
        <f t="shared" si="85"/>
        <v>0</v>
      </c>
    </row>
    <row r="288" spans="1:24" ht="14.25">
      <c r="A288" s="47"/>
      <c r="B288" s="17">
        <f t="shared" si="87"/>
        <v>10</v>
      </c>
      <c r="C288" s="1" t="s">
        <v>390</v>
      </c>
      <c r="D288" s="1" t="s">
        <v>391</v>
      </c>
      <c r="E288" s="17"/>
      <c r="F288" s="118">
        <f>' WP II-I-1.4'!L288</f>
        <v>274541023.13815933</v>
      </c>
      <c r="G288" s="17" t="s">
        <v>805</v>
      </c>
      <c r="H288" s="28" t="s">
        <v>320</v>
      </c>
      <c r="I288" s="17"/>
      <c r="J288" s="434">
        <f>'II-I-DIST'!J288+'II-I-MET'!J288+'II-I-TBILLTDCS'!J288</f>
        <v>149403542.38186699</v>
      </c>
      <c r="K288" s="434">
        <f>'II-I-DIST'!K288+'II-I-MET'!K288+'II-I-TBILLTDCS'!K288</f>
        <v>3648466.7291886145</v>
      </c>
      <c r="L288" s="434">
        <f>'II-I-DIST'!L288+'II-I-MET'!L288+'II-I-TBILLTDCS'!L288</f>
        <v>96196807.810539961</v>
      </c>
      <c r="M288" s="434">
        <f>'II-I-DIST'!M288+'II-I-MET'!M288+'II-I-TBILLTDCS'!M288</f>
        <v>54384.020572883514</v>
      </c>
      <c r="N288" s="434">
        <f>'II-I-DIST'!N288+'II-I-MET'!N288+'II-I-TBILLTDCS'!N288</f>
        <v>23018055.494545408</v>
      </c>
      <c r="O288" s="434">
        <f>'II-I-DIST'!O288+'II-I-MET'!O288+'II-I-TBILLTDCS'!O288</f>
        <v>0</v>
      </c>
      <c r="P288" s="434">
        <f>'II-I-DIST'!P288+'II-I-MET'!P288+'II-I-TBILLTDCS'!P288</f>
        <v>0</v>
      </c>
      <c r="Q288" s="434">
        <f>'II-I-DIST'!Q288+'II-I-MET'!Q288+'II-I-TBILLTDCS'!Q288</f>
        <v>970282.80249650567</v>
      </c>
      <c r="R288" s="434">
        <f>'II-I-DIST'!R288+'II-I-MET'!R288+'II-I-TBILLTDCS'!R288</f>
        <v>0</v>
      </c>
      <c r="S288" s="434">
        <f>'II-I-DIST'!S288+'II-I-MET'!S288+'II-I-TBILLTDCS'!S288</f>
        <v>1249483.8989489705</v>
      </c>
      <c r="T288" s="17"/>
      <c r="U288" s="118">
        <f t="shared" si="88"/>
        <v>274541023.13815933</v>
      </c>
      <c r="V288" s="67"/>
      <c r="X288" s="370">
        <f t="shared" si="85"/>
        <v>0</v>
      </c>
    </row>
    <row r="289" spans="1:24" ht="14.25">
      <c r="A289" s="47"/>
      <c r="B289" s="17">
        <f t="shared" si="87"/>
        <v>11</v>
      </c>
      <c r="C289" s="1" t="s">
        <v>392</v>
      </c>
      <c r="D289" s="1" t="s">
        <v>393</v>
      </c>
      <c r="E289" s="17"/>
      <c r="F289" s="118">
        <f>' WP II-I-1.4'!L289</f>
        <v>177652501.13184056</v>
      </c>
      <c r="G289" s="17" t="s">
        <v>805</v>
      </c>
      <c r="H289" s="28" t="s">
        <v>320</v>
      </c>
      <c r="I289" s="17"/>
      <c r="J289" s="434">
        <f>'II-I-DIST'!J289+'II-I-MET'!J289+'II-I-TBILLTDCS'!J289</f>
        <v>106074688.18872125</v>
      </c>
      <c r="K289" s="434">
        <f>'II-I-DIST'!K289+'II-I-MET'!K289+'II-I-TBILLTDCS'!K289</f>
        <v>2590366.764373166</v>
      </c>
      <c r="L289" s="434">
        <f>'II-I-DIST'!L289+'II-I-MET'!L289+'II-I-TBILLTDCS'!L289</f>
        <v>68298557.253565013</v>
      </c>
      <c r="M289" s="434">
        <f>'II-I-DIST'!M289+'II-I-MET'!M289+'II-I-TBILLTDCS'!M289</f>
        <v>0</v>
      </c>
      <c r="N289" s="434">
        <f>'II-I-DIST'!N289+'II-I-MET'!N289+'II-I-TBILLTDCS'!N289</f>
        <v>0</v>
      </c>
      <c r="O289" s="434">
        <f>'II-I-DIST'!O289+'II-I-MET'!O289+'II-I-TBILLTDCS'!O289</f>
        <v>0</v>
      </c>
      <c r="P289" s="434">
        <f>'II-I-DIST'!P289+'II-I-MET'!P289+'II-I-TBILLTDCS'!P289</f>
        <v>0</v>
      </c>
      <c r="Q289" s="434">
        <f>'II-I-DIST'!Q289+'II-I-MET'!Q289+'II-I-TBILLTDCS'!Q289</f>
        <v>688888.92518111446</v>
      </c>
      <c r="R289" s="434">
        <f>'II-I-DIST'!R289+'II-I-MET'!R289+'II-I-TBILLTDCS'!R289</f>
        <v>0</v>
      </c>
      <c r="S289" s="434">
        <f>'II-I-DIST'!S289+'II-I-MET'!S289+'II-I-TBILLTDCS'!S289</f>
        <v>0</v>
      </c>
      <c r="T289" s="17"/>
      <c r="U289" s="118">
        <f t="shared" si="88"/>
        <v>177652501.13184056</v>
      </c>
      <c r="V289" s="67"/>
      <c r="X289" s="370">
        <f t="shared" si="85"/>
        <v>0</v>
      </c>
    </row>
    <row r="290" spans="1:24" ht="14.25">
      <c r="A290" s="47"/>
      <c r="B290" s="17">
        <f t="shared" si="87"/>
        <v>12</v>
      </c>
      <c r="C290" s="1" t="s">
        <v>395</v>
      </c>
      <c r="D290" s="31" t="s">
        <v>541</v>
      </c>
      <c r="E290" s="30"/>
      <c r="F290" s="118">
        <f>' WP II-I-1.4'!L290</f>
        <v>468956028.37199891</v>
      </c>
      <c r="G290" s="17" t="s">
        <v>805</v>
      </c>
      <c r="H290" s="28" t="s">
        <v>320</v>
      </c>
      <c r="I290" s="30"/>
      <c r="J290" s="434">
        <f>'II-I-DIST'!J290+'II-I-MET'!J290+'II-I-TBILLTDCS'!J290</f>
        <v>255202996.8390162</v>
      </c>
      <c r="K290" s="434">
        <f>'II-I-DIST'!K290+'II-I-MET'!K290+'II-I-TBILLTDCS'!K290</f>
        <v>6232112.2264727829</v>
      </c>
      <c r="L290" s="434">
        <f>'II-I-DIST'!L290+'II-I-MET'!L290+'II-I-TBILLTDCS'!L290</f>
        <v>164318149.67846614</v>
      </c>
      <c r="M290" s="434">
        <f>'II-I-DIST'!M290+'II-I-MET'!M290+'II-I-TBILLTDCS'!M290</f>
        <v>92895.823011215733</v>
      </c>
      <c r="N290" s="434">
        <f>'II-I-DIST'!N290+'II-I-MET'!N290+'II-I-TBILLTDCS'!N290</f>
        <v>39318189.18055138</v>
      </c>
      <c r="O290" s="434">
        <f>'II-I-DIST'!O290+'II-I-MET'!O290+'II-I-TBILLTDCS'!O290</f>
        <v>0</v>
      </c>
      <c r="P290" s="434">
        <f>'II-I-DIST'!P290+'II-I-MET'!P290+'II-I-TBILLTDCS'!P290</f>
        <v>0</v>
      </c>
      <c r="Q290" s="434">
        <f>'II-I-DIST'!Q290+'II-I-MET'!Q290+'II-I-TBILLTDCS'!Q290</f>
        <v>1657384.2562953909</v>
      </c>
      <c r="R290" s="434">
        <f>'II-I-DIST'!R290+'II-I-MET'!R290+'II-I-TBILLTDCS'!R290</f>
        <v>0</v>
      </c>
      <c r="S290" s="434">
        <f>'II-I-DIST'!S290+'II-I-MET'!S290+'II-I-TBILLTDCS'!S290</f>
        <v>2134300.3681857619</v>
      </c>
      <c r="T290" s="30"/>
      <c r="U290" s="118">
        <f t="shared" si="88"/>
        <v>468956028.37199885</v>
      </c>
      <c r="V290" s="67"/>
      <c r="X290" s="370">
        <f t="shared" si="85"/>
        <v>0</v>
      </c>
    </row>
    <row r="291" spans="1:24" ht="14.25">
      <c r="A291" s="47"/>
      <c r="B291" s="17">
        <f t="shared" si="87"/>
        <v>13</v>
      </c>
      <c r="C291" s="1" t="s">
        <v>397</v>
      </c>
      <c r="D291" s="31" t="s">
        <v>542</v>
      </c>
      <c r="E291" s="30"/>
      <c r="F291" s="118">
        <f>' WP II-I-1.4'!L291</f>
        <v>109085277.37800108</v>
      </c>
      <c r="G291" s="17" t="s">
        <v>805</v>
      </c>
      <c r="H291" s="28" t="s">
        <v>320</v>
      </c>
      <c r="I291" s="30"/>
      <c r="J291" s="434">
        <f>'II-I-DIST'!J291+'II-I-MET'!J291+'II-I-TBILLTDCS'!J291</f>
        <v>65133824.236250706</v>
      </c>
      <c r="K291" s="434">
        <f>'II-I-DIST'!K291+'II-I-MET'!K291+'II-I-TBILLTDCS'!K291</f>
        <v>1590582.0362906051</v>
      </c>
      <c r="L291" s="434">
        <f>'II-I-DIST'!L291+'II-I-MET'!L291+'II-I-TBILLTDCS'!L291</f>
        <v>41937867.550726548</v>
      </c>
      <c r="M291" s="434">
        <f>'II-I-DIST'!M291+'II-I-MET'!M291+'II-I-TBILLTDCS'!M291</f>
        <v>0</v>
      </c>
      <c r="N291" s="434">
        <f>'II-I-DIST'!N291+'II-I-MET'!N291+'II-I-TBILLTDCS'!N291</f>
        <v>0</v>
      </c>
      <c r="O291" s="434">
        <f>'II-I-DIST'!O291+'II-I-MET'!O291+'II-I-TBILLTDCS'!O291</f>
        <v>0</v>
      </c>
      <c r="P291" s="434">
        <f>'II-I-DIST'!P291+'II-I-MET'!P291+'II-I-TBILLTDCS'!P291</f>
        <v>0</v>
      </c>
      <c r="Q291" s="434">
        <f>'II-I-DIST'!Q291+'II-I-MET'!Q291+'II-I-TBILLTDCS'!Q291</f>
        <v>423003.55473321414</v>
      </c>
      <c r="R291" s="434">
        <f>'II-I-DIST'!R291+'II-I-MET'!R291+'II-I-TBILLTDCS'!R291</f>
        <v>0</v>
      </c>
      <c r="S291" s="434">
        <f>'II-I-DIST'!S291+'II-I-MET'!S291+'II-I-TBILLTDCS'!S291</f>
        <v>0</v>
      </c>
      <c r="T291" s="30"/>
      <c r="U291" s="118">
        <f t="shared" si="88"/>
        <v>109085277.37800108</v>
      </c>
      <c r="V291" s="67"/>
      <c r="X291" s="370">
        <f t="shared" si="85"/>
        <v>0</v>
      </c>
    </row>
    <row r="292" spans="1:24" ht="14.25">
      <c r="A292" s="47"/>
      <c r="B292" s="17">
        <f t="shared" si="87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18">
        <f>' WP II-I-1.4'!L292</f>
        <v>43728535.967337929</v>
      </c>
      <c r="G292" s="17" t="s">
        <v>805</v>
      </c>
      <c r="H292" s="28" t="s">
        <v>320</v>
      </c>
      <c r="I292" s="17"/>
      <c r="J292" s="434">
        <f>'II-I-DIST'!J292+'II-I-MET'!J292+'II-I-TBILLTDCS'!J292</f>
        <v>23796801.301368419</v>
      </c>
      <c r="K292" s="434">
        <f>'II-I-DIST'!K292+'II-I-MET'!K292+'II-I-TBILLTDCS'!K292</f>
        <v>581123.0204116801</v>
      </c>
      <c r="L292" s="434">
        <f>'II-I-DIST'!L292+'II-I-MET'!L292+'II-I-TBILLTDCS'!L292</f>
        <v>15322102.038533598</v>
      </c>
      <c r="M292" s="434">
        <f>'II-I-DIST'!M292+'II-I-MET'!M292+'II-I-TBILLTDCS'!M292</f>
        <v>8662.2158411386717</v>
      </c>
      <c r="N292" s="434">
        <f>'II-I-DIST'!N292+'II-I-MET'!N292+'II-I-TBILLTDCS'!N292</f>
        <v>3666285.8471423332</v>
      </c>
      <c r="O292" s="434">
        <f>'II-I-DIST'!O292+'II-I-MET'!O292+'II-I-TBILLTDCS'!O292</f>
        <v>0</v>
      </c>
      <c r="P292" s="434">
        <f>'II-I-DIST'!P292+'II-I-MET'!P292+'II-I-TBILLTDCS'!P292</f>
        <v>0</v>
      </c>
      <c r="Q292" s="434">
        <f>'II-I-DIST'!Q292+'II-I-MET'!Q292+'II-I-TBILLTDCS'!Q292</f>
        <v>154545.3788379961</v>
      </c>
      <c r="R292" s="434">
        <f>'II-I-DIST'!R292+'II-I-MET'!R292+'II-I-TBILLTDCS'!R292</f>
        <v>0</v>
      </c>
      <c r="S292" s="434">
        <f>'II-I-DIST'!S292+'II-I-MET'!S292+'II-I-TBILLTDCS'!S292</f>
        <v>199016.16520276369</v>
      </c>
      <c r="T292" s="17"/>
      <c r="U292" s="118">
        <f t="shared" si="88"/>
        <v>43728535.967337929</v>
      </c>
      <c r="V292" s="67"/>
      <c r="X292" s="370">
        <f t="shared" si="85"/>
        <v>0</v>
      </c>
    </row>
    <row r="293" spans="1:24" ht="14.25">
      <c r="A293" s="47"/>
      <c r="B293" s="17">
        <f t="shared" si="87"/>
        <v>15</v>
      </c>
      <c r="C293" s="1" t="s">
        <v>402</v>
      </c>
      <c r="D293" s="1" t="str">
        <f>'WP II-I-1.2'!D40</f>
        <v>Secondary Transformers</v>
      </c>
      <c r="E293" s="17"/>
      <c r="F293" s="118">
        <f>' WP II-I-1.4'!L293</f>
        <v>655156440.1624701</v>
      </c>
      <c r="G293" s="17" t="s">
        <v>805</v>
      </c>
      <c r="H293" s="28" t="s">
        <v>320</v>
      </c>
      <c r="I293" s="17"/>
      <c r="J293" s="434">
        <f>'II-I-DIST'!J293+'II-I-MET'!J293+'II-I-TBILLTDCS'!J293</f>
        <v>391187935.22356433</v>
      </c>
      <c r="K293" s="434">
        <f>'II-I-DIST'!K293+'II-I-MET'!K293+'II-I-TBILLTDCS'!K293</f>
        <v>9552893.7518444546</v>
      </c>
      <c r="L293" s="434">
        <f>'II-I-DIST'!L293+'II-I-MET'!L293+'II-I-TBILLTDCS'!L293</f>
        <v>251875089.59004724</v>
      </c>
      <c r="M293" s="434">
        <f>'II-I-DIST'!M293+'II-I-MET'!M293+'II-I-TBILLTDCS'!M293</f>
        <v>0</v>
      </c>
      <c r="N293" s="434">
        <f>'II-I-DIST'!N293+'II-I-MET'!N293+'II-I-TBILLTDCS'!N293</f>
        <v>0</v>
      </c>
      <c r="O293" s="434">
        <f>'II-I-DIST'!O293+'II-I-MET'!O293+'II-I-TBILLTDCS'!O293</f>
        <v>0</v>
      </c>
      <c r="P293" s="434">
        <f>'II-I-DIST'!P293+'II-I-MET'!P293+'II-I-TBILLTDCS'!P293</f>
        <v>0</v>
      </c>
      <c r="Q293" s="434">
        <f>'II-I-DIST'!Q293+'II-I-MET'!Q293+'II-I-TBILLTDCS'!Q293</f>
        <v>2540521.5970140793</v>
      </c>
      <c r="R293" s="434">
        <f>'II-I-DIST'!R293+'II-I-MET'!R293+'II-I-TBILLTDCS'!R293</f>
        <v>0</v>
      </c>
      <c r="S293" s="434">
        <f>'II-I-DIST'!S293+'II-I-MET'!S293+'II-I-TBILLTDCS'!S293</f>
        <v>0</v>
      </c>
      <c r="T293" s="17"/>
      <c r="U293" s="118">
        <f t="shared" si="88"/>
        <v>655156440.1624701</v>
      </c>
      <c r="V293" s="67"/>
      <c r="X293" s="370">
        <f t="shared" si="85"/>
        <v>0</v>
      </c>
    </row>
    <row r="294" spans="1:24" ht="14.25">
      <c r="A294" s="47"/>
      <c r="B294" s="17">
        <f t="shared" si="87"/>
        <v>16</v>
      </c>
      <c r="C294" s="1" t="s">
        <v>404</v>
      </c>
      <c r="D294" s="1" t="str">
        <f>'WP II-I-1.2'!D41</f>
        <v>Capacitors</v>
      </c>
      <c r="E294" s="17"/>
      <c r="F294" s="118">
        <f>' WP II-I-1.4'!L294</f>
        <v>44802017.970192015</v>
      </c>
      <c r="G294" s="17" t="s">
        <v>805</v>
      </c>
      <c r="H294" s="28" t="s">
        <v>320</v>
      </c>
      <c r="I294" s="17"/>
      <c r="J294" s="434">
        <f>'II-I-DIST'!J294+'II-I-MET'!J294+'II-I-TBILLTDCS'!J294</f>
        <v>21503975.301082805</v>
      </c>
      <c r="K294" s="434">
        <f>'II-I-DIST'!K294+'II-I-MET'!K294+'II-I-TBILLTDCS'!K294</f>
        <v>525131.71495468204</v>
      </c>
      <c r="L294" s="434">
        <f>'II-I-DIST'!L294+'II-I-MET'!L294+'II-I-TBILLTDCS'!L294</f>
        <v>13845814.806141617</v>
      </c>
      <c r="M294" s="434">
        <f>'II-I-DIST'!M294+'II-I-MET'!M294+'II-I-TBILLTDCS'!M294</f>
        <v>7827.6098178700495</v>
      </c>
      <c r="N294" s="434">
        <f>'II-I-DIST'!N294+'II-I-MET'!N294+'II-I-TBILLTDCS'!N294</f>
        <v>3313038.5594775104</v>
      </c>
      <c r="O294" s="434">
        <f>'II-I-DIST'!O294+'II-I-MET'!O294+'II-I-TBILLTDCS'!O294</f>
        <v>1198109.801215207</v>
      </c>
      <c r="P294" s="434">
        <f>'II-I-DIST'!P294+'II-I-MET'!P294+'II-I-TBILLTDCS'!P294</f>
        <v>3945023.392054229</v>
      </c>
      <c r="Q294" s="434">
        <f>'II-I-DIST'!Q294+'II-I-MET'!Q294+'II-I-TBILLTDCS'!Q294</f>
        <v>139654.90434370466</v>
      </c>
      <c r="R294" s="434">
        <f>'II-I-DIST'!R294+'II-I-MET'!R294+'II-I-TBILLTDCS'!R294</f>
        <v>143600.95850146987</v>
      </c>
      <c r="S294" s="434">
        <f>'II-I-DIST'!S294+'II-I-MET'!S294+'II-I-TBILLTDCS'!S294</f>
        <v>179840.92260291919</v>
      </c>
      <c r="T294" s="17"/>
      <c r="U294" s="118">
        <f t="shared" si="88"/>
        <v>44802017.970192015</v>
      </c>
      <c r="V294" s="67"/>
      <c r="X294" s="370">
        <f t="shared" si="85"/>
        <v>0</v>
      </c>
    </row>
    <row r="295" spans="1:24" ht="14.25">
      <c r="A295" s="47"/>
      <c r="B295" s="17">
        <f t="shared" si="87"/>
        <v>17</v>
      </c>
      <c r="C295" s="1" t="s">
        <v>76</v>
      </c>
      <c r="D295" s="31" t="s">
        <v>77</v>
      </c>
      <c r="E295" s="30"/>
      <c r="F295" s="118">
        <f>' WP II-I-1.4'!L295</f>
        <v>1097314112.99</v>
      </c>
      <c r="G295" s="17" t="s">
        <v>805</v>
      </c>
      <c r="H295" s="28" t="s">
        <v>320</v>
      </c>
      <c r="I295" s="30"/>
      <c r="J295" s="434">
        <f>'II-I-DIST'!J295+'II-I-MET'!J295+'II-I-TBILLTDCS'!J295</f>
        <v>672898775.66889203</v>
      </c>
      <c r="K295" s="434">
        <f>'II-I-DIST'!K295+'II-I-MET'!K295+'II-I-TBILLTDCS'!K295</f>
        <v>103743662.16745906</v>
      </c>
      <c r="L295" s="434">
        <f>'II-I-DIST'!L295+'II-I-MET'!L295+'II-I-TBILLTDCS'!L295</f>
        <v>320000914.78593266</v>
      </c>
      <c r="M295" s="434">
        <f>'II-I-DIST'!M295+'II-I-MET'!M295+'II-I-TBILLTDCS'!M295</f>
        <v>0</v>
      </c>
      <c r="N295" s="434">
        <f>'II-I-DIST'!N295+'II-I-MET'!N295+'II-I-TBILLTDCS'!N295</f>
        <v>0</v>
      </c>
      <c r="O295" s="434">
        <f>'II-I-DIST'!O295+'II-I-MET'!O295+'II-I-TBILLTDCS'!O295</f>
        <v>0</v>
      </c>
      <c r="P295" s="434">
        <f>'II-I-DIST'!P295+'II-I-MET'!P295+'II-I-TBILLTDCS'!P295</f>
        <v>0</v>
      </c>
      <c r="Q295" s="434">
        <f>'II-I-DIST'!Q295+'II-I-MET'!Q295+'II-I-TBILLTDCS'!Q295</f>
        <v>670760.36771632172</v>
      </c>
      <c r="R295" s="434">
        <f>'II-I-DIST'!R295+'II-I-MET'!R295+'II-I-TBILLTDCS'!R295</f>
        <v>0</v>
      </c>
      <c r="S295" s="434">
        <f>'II-I-DIST'!S295+'II-I-MET'!S295+'II-I-TBILLTDCS'!S295</f>
        <v>0</v>
      </c>
      <c r="T295" s="30"/>
      <c r="U295" s="118">
        <f t="shared" si="88"/>
        <v>1097314112.99</v>
      </c>
      <c r="V295" s="67"/>
      <c r="X295" s="370">
        <f t="shared" si="85"/>
        <v>0</v>
      </c>
    </row>
    <row r="296" spans="1:24" ht="14.25">
      <c r="A296" s="47"/>
      <c r="B296" s="17">
        <f t="shared" si="87"/>
        <v>18</v>
      </c>
      <c r="C296" s="1" t="s">
        <v>78</v>
      </c>
      <c r="D296" s="1" t="s">
        <v>79</v>
      </c>
      <c r="E296" s="17"/>
      <c r="F296" s="118">
        <f>' WP II-I-1.4'!L296</f>
        <v>336239857.38</v>
      </c>
      <c r="G296" s="17" t="s">
        <v>805</v>
      </c>
      <c r="H296" s="28" t="s">
        <v>320</v>
      </c>
      <c r="I296" s="17"/>
      <c r="J296" s="434">
        <f>'II-I-DIST'!J296+'II-I-MET'!J296+'II-I-TBILLTDCS'!J296</f>
        <v>187455339.39503998</v>
      </c>
      <c r="K296" s="434">
        <f>'II-I-DIST'!K296+'II-I-MET'!K296+'II-I-TBILLTDCS'!K296</f>
        <v>28900785.831203066</v>
      </c>
      <c r="L296" s="434">
        <f>'II-I-DIST'!L296+'II-I-MET'!L296+'II-I-TBILLTDCS'!L296</f>
        <v>89145473.668445259</v>
      </c>
      <c r="M296" s="434">
        <f>'II-I-DIST'!M296+'II-I-MET'!M296+'II-I-TBILLTDCS'!M296</f>
        <v>1251737.8042691944</v>
      </c>
      <c r="N296" s="434">
        <f>'II-I-DIST'!N296+'II-I-MET'!N296+'II-I-TBILLTDCS'!N296</f>
        <v>26120396.045881722</v>
      </c>
      <c r="O296" s="434">
        <f>'II-I-DIST'!O296+'II-I-MET'!O296+'II-I-TBILLTDCS'!O296</f>
        <v>892612.44920138072</v>
      </c>
      <c r="P296" s="434">
        <f>'II-I-DIST'!P296+'II-I-MET'!P296+'II-I-TBILLTDCS'!P296</f>
        <v>1943148.6394153133</v>
      </c>
      <c r="Q296" s="434">
        <f>'II-I-DIST'!Q296+'II-I-MET'!Q296+'II-I-TBILLTDCS'!Q296</f>
        <v>186859.62425480117</v>
      </c>
      <c r="R296" s="434">
        <f>'II-I-DIST'!R296+'II-I-MET'!R296+'II-I-TBILLTDCS'!R296</f>
        <v>102993.74413862085</v>
      </c>
      <c r="S296" s="434">
        <f>'II-I-DIST'!S296+'II-I-MET'!S296+'II-I-TBILLTDCS'!S296</f>
        <v>240510.17815068117</v>
      </c>
      <c r="T296" s="17"/>
      <c r="U296" s="118">
        <f t="shared" si="88"/>
        <v>336239857.38000005</v>
      </c>
      <c r="V296" s="67"/>
      <c r="X296" s="370">
        <f t="shared" si="85"/>
        <v>0</v>
      </c>
    </row>
    <row r="297" spans="1:24" ht="14.25">
      <c r="A297" s="47"/>
      <c r="B297" s="17">
        <f t="shared" si="87"/>
        <v>19</v>
      </c>
      <c r="C297" s="1" t="s">
        <v>80</v>
      </c>
      <c r="D297" s="1" t="s">
        <v>543</v>
      </c>
      <c r="E297" s="17"/>
      <c r="F297" s="118">
        <f>' WP II-I-1.4'!L297</f>
        <v>75069053.349999994</v>
      </c>
      <c r="G297" s="17" t="s">
        <v>805</v>
      </c>
      <c r="H297" s="28" t="s">
        <v>320</v>
      </c>
      <c r="I297" s="17"/>
      <c r="J297" s="434">
        <f>'II-I-DIST'!J297+'II-I-MET'!J297+'II-I-TBILLTDCS'!J297</f>
        <v>0</v>
      </c>
      <c r="K297" s="434">
        <f>'II-I-DIST'!K297+'II-I-MET'!K297+'II-I-TBILLTDCS'!K297</f>
        <v>0</v>
      </c>
      <c r="L297" s="434">
        <f>'II-I-DIST'!L297+'II-I-MET'!L297+'II-I-TBILLTDCS'!L297</f>
        <v>0</v>
      </c>
      <c r="M297" s="434">
        <f>'II-I-DIST'!M297+'II-I-MET'!M297+'II-I-TBILLTDCS'!M297</f>
        <v>0</v>
      </c>
      <c r="N297" s="434">
        <f>'II-I-DIST'!N297+'II-I-MET'!N297+'II-I-TBILLTDCS'!N297</f>
        <v>0</v>
      </c>
      <c r="O297" s="434">
        <f>'II-I-DIST'!O297+'II-I-MET'!O297+'II-I-TBILLTDCS'!O297</f>
        <v>0</v>
      </c>
      <c r="P297" s="434">
        <f>'II-I-DIST'!P297+'II-I-MET'!P297+'II-I-TBILLTDCS'!P297</f>
        <v>0</v>
      </c>
      <c r="Q297" s="434">
        <f>'II-I-DIST'!Q297+'II-I-MET'!Q297+'II-I-TBILLTDCS'!Q297</f>
        <v>75069053.349999994</v>
      </c>
      <c r="R297" s="434">
        <f>'II-I-DIST'!R297+'II-I-MET'!R297+'II-I-TBILLTDCS'!R297</f>
        <v>0</v>
      </c>
      <c r="S297" s="434">
        <f>'II-I-DIST'!S297+'II-I-MET'!S297+'II-I-TBILLTDCS'!S297</f>
        <v>0</v>
      </c>
      <c r="T297" s="17"/>
      <c r="U297" s="118">
        <f t="shared" si="88"/>
        <v>75069053.349999994</v>
      </c>
      <c r="V297" s="67"/>
      <c r="X297" s="370">
        <f t="shared" si="85"/>
        <v>0</v>
      </c>
    </row>
    <row r="298" spans="1:24" ht="14.25">
      <c r="A298" s="47"/>
      <c r="B298" s="17">
        <f t="shared" si="87"/>
        <v>20</v>
      </c>
      <c r="C298" s="1" t="s">
        <v>82</v>
      </c>
      <c r="D298" s="1" t="s">
        <v>544</v>
      </c>
      <c r="E298" s="17"/>
      <c r="F298" s="118">
        <f>' WP II-I-1.4'!L298</f>
        <v>0</v>
      </c>
      <c r="G298" s="17" t="s">
        <v>805</v>
      </c>
      <c r="H298" s="28" t="s">
        <v>320</v>
      </c>
      <c r="I298" s="17"/>
      <c r="J298" s="434">
        <f>'II-I-DIST'!J298+'II-I-MET'!J298+'II-I-TBILLTDCS'!J298</f>
        <v>0</v>
      </c>
      <c r="K298" s="434">
        <f>'II-I-DIST'!K298+'II-I-MET'!K298+'II-I-TBILLTDCS'!K298</f>
        <v>0</v>
      </c>
      <c r="L298" s="434">
        <f>'II-I-DIST'!L298+'II-I-MET'!L298+'II-I-TBILLTDCS'!L298</f>
        <v>0</v>
      </c>
      <c r="M298" s="434">
        <f>'II-I-DIST'!M298+'II-I-MET'!M298+'II-I-TBILLTDCS'!M298</f>
        <v>0</v>
      </c>
      <c r="N298" s="434">
        <f>'II-I-DIST'!N298+'II-I-MET'!N298+'II-I-TBILLTDCS'!N298</f>
        <v>0</v>
      </c>
      <c r="O298" s="434">
        <f>'II-I-DIST'!O298+'II-I-MET'!O298+'II-I-TBILLTDCS'!O298</f>
        <v>0</v>
      </c>
      <c r="P298" s="434">
        <f>'II-I-DIST'!P298+'II-I-MET'!P298+'II-I-TBILLTDCS'!P298</f>
        <v>0</v>
      </c>
      <c r="Q298" s="434">
        <f>'II-I-DIST'!Q298+'II-I-MET'!Q298+'II-I-TBILLTDCS'!Q298</f>
        <v>0</v>
      </c>
      <c r="R298" s="434">
        <f>'II-I-DIST'!R298+'II-I-MET'!R298+'II-I-TBILLTDCS'!R298</f>
        <v>0</v>
      </c>
      <c r="S298" s="434">
        <f>'II-I-DIST'!S298+'II-I-MET'!S298+'II-I-TBILLTDCS'!S298</f>
        <v>0</v>
      </c>
      <c r="T298" s="17"/>
      <c r="U298" s="118">
        <f t="shared" si="88"/>
        <v>0</v>
      </c>
      <c r="V298" s="67"/>
      <c r="X298" s="370">
        <f t="shared" si="85"/>
        <v>0</v>
      </c>
    </row>
    <row r="299" spans="1:24" ht="14.25">
      <c r="A299" s="47"/>
      <c r="B299" s="17">
        <f t="shared" si="87"/>
        <v>21</v>
      </c>
      <c r="C299" s="1" t="s">
        <v>84</v>
      </c>
      <c r="D299" s="1" t="s">
        <v>88</v>
      </c>
      <c r="E299" s="17"/>
      <c r="F299" s="118">
        <f>' WP II-I-1.4'!L299</f>
        <v>372032656.80000001</v>
      </c>
      <c r="G299" s="17" t="s">
        <v>805</v>
      </c>
      <c r="H299" s="28" t="s">
        <v>320</v>
      </c>
      <c r="I299" s="17"/>
      <c r="J299" s="435">
        <f>'II-I-DIST'!J299+'II-I-MET'!J299+'II-I-TBILLTDCS'!J299</f>
        <v>0</v>
      </c>
      <c r="K299" s="435">
        <f>'II-I-DIST'!K299+'II-I-MET'!K299+'II-I-TBILLTDCS'!K299</f>
        <v>0</v>
      </c>
      <c r="L299" s="435">
        <f>'II-I-DIST'!L299+'II-I-MET'!L299+'II-I-TBILLTDCS'!L299</f>
        <v>0</v>
      </c>
      <c r="M299" s="435">
        <f>'II-I-DIST'!M299+'II-I-MET'!M299+'II-I-TBILLTDCS'!M299</f>
        <v>0</v>
      </c>
      <c r="N299" s="435">
        <f>'II-I-DIST'!N299+'II-I-MET'!N299+'II-I-TBILLTDCS'!N299</f>
        <v>0</v>
      </c>
      <c r="O299" s="435">
        <f>'II-I-DIST'!O299+'II-I-MET'!O299+'II-I-TBILLTDCS'!O299</f>
        <v>0</v>
      </c>
      <c r="P299" s="435">
        <f>'II-I-DIST'!P299+'II-I-MET'!P299+'II-I-TBILLTDCS'!P299</f>
        <v>0</v>
      </c>
      <c r="Q299" s="435">
        <f>'II-I-DIST'!Q299+'II-I-MET'!Q299+'II-I-TBILLTDCS'!Q299</f>
        <v>372032656.80000001</v>
      </c>
      <c r="R299" s="435">
        <f>'II-I-DIST'!R299+'II-I-MET'!R299+'II-I-TBILLTDCS'!R299</f>
        <v>0</v>
      </c>
      <c r="S299" s="435">
        <f>'II-I-DIST'!S299+'II-I-MET'!S299+'II-I-TBILLTDCS'!S299</f>
        <v>0</v>
      </c>
      <c r="T299" s="17"/>
      <c r="U299" s="118">
        <f t="shared" si="88"/>
        <v>372032656.80000001</v>
      </c>
      <c r="V299" s="67"/>
      <c r="X299" s="370">
        <f t="shared" si="85"/>
        <v>0</v>
      </c>
    </row>
    <row r="300" spans="1:24" ht="15">
      <c r="A300" s="47"/>
      <c r="B300" s="17">
        <f t="shared" si="87"/>
        <v>22</v>
      </c>
      <c r="C300" s="67"/>
      <c r="D300" s="297" t="s">
        <v>491</v>
      </c>
      <c r="E300" s="150"/>
      <c r="F300" s="22">
        <f>SUM(F280:F299)</f>
        <v>5912750348.6599998</v>
      </c>
      <c r="G300" s="150"/>
      <c r="H300" s="150"/>
      <c r="I300" s="150"/>
      <c r="J300" s="896">
        <f t="shared" si="89" ref="J300:Q300">SUM(J280:J299)</f>
        <v>3108320343.6267376</v>
      </c>
      <c r="K300" s="896">
        <f t="shared" si="89"/>
        <v>188010317.34131903</v>
      </c>
      <c r="L300" s="896">
        <f t="shared" si="89"/>
        <v>1855939908.4610827</v>
      </c>
      <c r="M300" s="896">
        <f t="shared" si="89"/>
        <v>1799217.2594566806</v>
      </c>
      <c r="N300" s="896">
        <f t="shared" si="89"/>
        <v>257841264.58189616</v>
      </c>
      <c r="O300" s="896">
        <f>SUM(O280:O299)</f>
        <v>15886923.154451203</v>
      </c>
      <c r="P300" s="896">
        <f t="shared" si="89"/>
        <v>5935457.3181662094</v>
      </c>
      <c r="Q300" s="896">
        <f t="shared" si="89"/>
        <v>464297799.52532589</v>
      </c>
      <c r="R300" s="896">
        <f>SUM(R280:R299)</f>
        <v>1900155.7297586373</v>
      </c>
      <c r="S300" s="896">
        <f>SUM(S280:S299)</f>
        <v>12818961.661805825</v>
      </c>
      <c r="T300" s="150"/>
      <c r="U300" s="299">
        <f t="shared" si="88"/>
        <v>5912750348.6599989</v>
      </c>
      <c r="V300" s="67"/>
      <c r="W300" s="1300" t="b">
        <f>' WP II-I-1.4'!$L$300=F300</f>
        <v>1</v>
      </c>
      <c r="X300" s="370">
        <f t="shared" si="85"/>
        <v>0</v>
      </c>
    </row>
    <row r="301" spans="1:24" ht="14.25">
      <c r="A301" s="47"/>
      <c r="B301" s="17">
        <f t="shared" si="87"/>
        <v>23</v>
      </c>
      <c r="C301" s="67"/>
      <c r="D301" s="1"/>
      <c r="E301" s="17"/>
      <c r="F301" s="19"/>
      <c r="G301" s="17"/>
      <c r="H301" s="17"/>
      <c r="I301" s="17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7"/>
      <c r="U301" s="1"/>
      <c r="V301" s="67"/>
      <c r="X301" s="370">
        <f t="shared" si="85"/>
        <v>0</v>
      </c>
    </row>
    <row r="302" spans="1:24" ht="15">
      <c r="A302" s="47"/>
      <c r="B302" s="17">
        <f t="shared" si="87"/>
        <v>24</v>
      </c>
      <c r="C302" s="67"/>
      <c r="D302" s="297" t="s">
        <v>568</v>
      </c>
      <c r="E302" s="17"/>
      <c r="F302" s="22">
        <f>SUM(F284:F285)</f>
        <v>1107719583.73</v>
      </c>
      <c r="G302" s="17"/>
      <c r="H302" s="17"/>
      <c r="I302" s="17"/>
      <c r="J302" s="896">
        <f t="shared" si="90" ref="J302:Q302">SUM(J284:J285)</f>
        <v>612795470.78730297</v>
      </c>
      <c r="K302" s="896">
        <f t="shared" si="90"/>
        <v>14964597.567910824</v>
      </c>
      <c r="L302" s="896">
        <f t="shared" si="90"/>
        <v>394562051.1448471</v>
      </c>
      <c r="M302" s="896">
        <f t="shared" si="90"/>
        <v>182050.73539888731</v>
      </c>
      <c r="N302" s="896">
        <f t="shared" si="90"/>
        <v>77053036.647382379</v>
      </c>
      <c r="O302" s="896">
        <f>SUM(O284:O285)</f>
        <v>0</v>
      </c>
      <c r="P302" s="896">
        <f t="shared" si="90"/>
        <v>0</v>
      </c>
      <c r="Q302" s="896">
        <f t="shared" si="90"/>
        <v>3979724.2908266829</v>
      </c>
      <c r="R302" s="896">
        <f>SUM(R284:R285)</f>
        <v>0</v>
      </c>
      <c r="S302" s="896">
        <f>SUM(S284:S285)</f>
        <v>4182652.5563310026</v>
      </c>
      <c r="T302" s="17"/>
      <c r="U302" s="299">
        <f>SUM(I302:T302)</f>
        <v>1107719583.7299998</v>
      </c>
      <c r="V302" s="67"/>
      <c r="W302" s="1300" t="b">
        <f>' WP II-I-1.4'!$L$302=F302</f>
        <v>1</v>
      </c>
      <c r="X302" s="370">
        <f t="shared" si="85"/>
        <v>0</v>
      </c>
    </row>
    <row r="303" spans="1:24" ht="15">
      <c r="A303" s="47"/>
      <c r="B303" s="17">
        <f t="shared" si="87"/>
        <v>25</v>
      </c>
      <c r="C303" s="67"/>
      <c r="D303" s="297" t="s">
        <v>569</v>
      </c>
      <c r="E303" s="17"/>
      <c r="F303" s="22">
        <f>SUM(F286:F287)</f>
        <v>635328009.49000001</v>
      </c>
      <c r="G303" s="17"/>
      <c r="H303" s="17"/>
      <c r="I303" s="17"/>
      <c r="J303" s="896">
        <f t="shared" si="91" ref="J303:Q303">SUM(J286:J287)</f>
        <v>350801027.44829923</v>
      </c>
      <c r="K303" s="896">
        <f t="shared" si="91"/>
        <v>8566636.7530897353</v>
      </c>
      <c r="L303" s="896">
        <f t="shared" si="91"/>
        <v>225871076.94495818</v>
      </c>
      <c r="M303" s="896">
        <f t="shared" si="91"/>
        <v>106905.86597669558</v>
      </c>
      <c r="N303" s="896">
        <f t="shared" si="91"/>
        <v>45247944.705489062</v>
      </c>
      <c r="O303" s="896">
        <f>SUM(O286:O287)</f>
        <v>0</v>
      </c>
      <c r="P303" s="896">
        <f t="shared" si="91"/>
        <v>0</v>
      </c>
      <c r="Q303" s="896">
        <f t="shared" si="91"/>
        <v>2278233.8263520361</v>
      </c>
      <c r="R303" s="896">
        <f>SUM(R286:R287)</f>
        <v>0</v>
      </c>
      <c r="S303" s="896">
        <f>SUM(S286:S287)</f>
        <v>2456183.9458350153</v>
      </c>
      <c r="T303" s="17"/>
      <c r="U303" s="299">
        <f>SUM(I303:T303)</f>
        <v>635328009.48999989</v>
      </c>
      <c r="V303" s="67"/>
      <c r="W303" s="1300" t="b">
        <f>' WP II-I-1.4'!$L$303=F303</f>
        <v>1</v>
      </c>
      <c r="X303" s="370">
        <f t="shared" si="85"/>
        <v>0</v>
      </c>
    </row>
    <row r="304" spans="1:24" ht="15">
      <c r="A304" s="47"/>
      <c r="B304" s="17">
        <f t="shared" si="87"/>
        <v>26</v>
      </c>
      <c r="C304" s="67"/>
      <c r="D304" s="297" t="s">
        <v>570</v>
      </c>
      <c r="E304" s="17"/>
      <c r="F304" s="22">
        <f>SUM(F288:F289)</f>
        <v>452193524.26999986</v>
      </c>
      <c r="G304" s="17"/>
      <c r="H304" s="17"/>
      <c r="I304" s="17"/>
      <c r="J304" s="896">
        <f t="shared" si="92" ref="J304:Q304">SUM(J288:J289)</f>
        <v>255478230.57058823</v>
      </c>
      <c r="K304" s="896">
        <f t="shared" si="92"/>
        <v>6238833.4935617801</v>
      </c>
      <c r="L304" s="896">
        <f t="shared" si="92"/>
        <v>164495365.06410497</v>
      </c>
      <c r="M304" s="896">
        <f t="shared" si="92"/>
        <v>54384.020572883514</v>
      </c>
      <c r="N304" s="896">
        <f t="shared" si="92"/>
        <v>23018055.494545408</v>
      </c>
      <c r="O304" s="896">
        <f>SUM(O288:O289)</f>
        <v>0</v>
      </c>
      <c r="P304" s="896">
        <f t="shared" si="92"/>
        <v>0</v>
      </c>
      <c r="Q304" s="896">
        <f t="shared" si="92"/>
        <v>1659171.72767762</v>
      </c>
      <c r="R304" s="896">
        <f>SUM(R288:R289)</f>
        <v>0</v>
      </c>
      <c r="S304" s="896">
        <f>SUM(S288:S289)</f>
        <v>1249483.8989489705</v>
      </c>
      <c r="T304" s="17"/>
      <c r="U304" s="299">
        <f>SUM(I304:T304)</f>
        <v>452193524.26999992</v>
      </c>
      <c r="V304" s="67"/>
      <c r="W304" s="1300" t="b">
        <f>' WP II-I-1.4'!$L$304=F304</f>
        <v>1</v>
      </c>
      <c r="X304" s="370">
        <f t="shared" si="85"/>
        <v>0</v>
      </c>
    </row>
    <row r="305" spans="1:24" ht="15">
      <c r="A305" s="47"/>
      <c r="B305" s="17">
        <f t="shared" si="87"/>
        <v>27</v>
      </c>
      <c r="C305" s="67"/>
      <c r="D305" s="297" t="s">
        <v>571</v>
      </c>
      <c r="E305" s="17"/>
      <c r="F305" s="22">
        <f>SUM(F290:F291)</f>
        <v>578041305.75</v>
      </c>
      <c r="G305" s="17"/>
      <c r="H305" s="17"/>
      <c r="I305" s="17"/>
      <c r="J305" s="896">
        <f t="shared" si="93" ref="J305:Q305">SUM(J290:J291)</f>
        <v>320336821.0752669</v>
      </c>
      <c r="K305" s="896">
        <f t="shared" si="93"/>
        <v>7822694.2627633885</v>
      </c>
      <c r="L305" s="896">
        <f t="shared" si="93"/>
        <v>206256017.22919267</v>
      </c>
      <c r="M305" s="896">
        <f t="shared" si="93"/>
        <v>92895.823011215733</v>
      </c>
      <c r="N305" s="896">
        <f t="shared" si="93"/>
        <v>39318189.18055138</v>
      </c>
      <c r="O305" s="896">
        <f>SUM(O290:O291)</f>
        <v>0</v>
      </c>
      <c r="P305" s="896">
        <f t="shared" si="93"/>
        <v>0</v>
      </c>
      <c r="Q305" s="896">
        <f t="shared" si="93"/>
        <v>2080387.8110286051</v>
      </c>
      <c r="R305" s="896">
        <f>SUM(R290:R291)</f>
        <v>0</v>
      </c>
      <c r="S305" s="896">
        <f>SUM(S290:S291)</f>
        <v>2134300.3681857619</v>
      </c>
      <c r="T305" s="17"/>
      <c r="U305" s="299">
        <f>SUM(I305:T305)</f>
        <v>578041305.74999988</v>
      </c>
      <c r="V305" s="67"/>
      <c r="W305" s="1300" t="b">
        <f>' WP II-I-1.4'!$L$305=F305</f>
        <v>1</v>
      </c>
      <c r="X305" s="370">
        <f t="shared" si="85"/>
        <v>0</v>
      </c>
    </row>
    <row r="306" spans="1:24" ht="15">
      <c r="A306" s="47"/>
      <c r="B306" s="17">
        <f t="shared" si="87"/>
        <v>28</v>
      </c>
      <c r="C306" s="67"/>
      <c r="D306" s="297" t="s">
        <v>572</v>
      </c>
      <c r="E306" s="17"/>
      <c r="F306" s="22">
        <f>SUM(F292:F294)</f>
        <v>743686994.10000014</v>
      </c>
      <c r="G306" s="17"/>
      <c r="H306" s="17"/>
      <c r="I306" s="17"/>
      <c r="J306" s="896">
        <f t="shared" si="94" ref="J306:Q306">SUM(J292:J294)</f>
        <v>436488711.82601553</v>
      </c>
      <c r="K306" s="896">
        <f t="shared" si="94"/>
        <v>10659148.487210816</v>
      </c>
      <c r="L306" s="896">
        <f t="shared" si="94"/>
        <v>281043006.43472248</v>
      </c>
      <c r="M306" s="896">
        <f t="shared" si="94"/>
        <v>16489.825659008722</v>
      </c>
      <c r="N306" s="896">
        <f t="shared" si="94"/>
        <v>6979324.4066198431</v>
      </c>
      <c r="O306" s="896">
        <f>SUM(O292:O294)</f>
        <v>1198109.801215207</v>
      </c>
      <c r="P306" s="896">
        <f t="shared" si="94"/>
        <v>3945023.392054229</v>
      </c>
      <c r="Q306" s="896">
        <f t="shared" si="94"/>
        <v>2834721.8801957802</v>
      </c>
      <c r="R306" s="896">
        <f>SUM(R292:R294)</f>
        <v>143600.95850146987</v>
      </c>
      <c r="S306" s="896">
        <f>SUM(S292:S294)</f>
        <v>378857.08780568291</v>
      </c>
      <c r="T306" s="17"/>
      <c r="U306" s="299">
        <f>SUM(I306:T306)</f>
        <v>743686994.0999999</v>
      </c>
      <c r="V306" s="67"/>
      <c r="W306" s="1300" t="b">
        <f>' WP II-I-1.4'!$L$306=F306</f>
        <v>1</v>
      </c>
      <c r="X306" s="370">
        <f t="shared" si="85"/>
        <v>0</v>
      </c>
    </row>
    <row r="307" spans="1:24" ht="15" thickBot="1">
      <c r="A307" s="47"/>
      <c r="B307" s="17">
        <f t="shared" si="87"/>
        <v>29</v>
      </c>
      <c r="C307" s="67"/>
      <c r="D307" s="1"/>
      <c r="E307" s="17"/>
      <c r="F307" s="19"/>
      <c r="G307" s="17"/>
      <c r="H307" s="17"/>
      <c r="I307" s="17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7"/>
      <c r="U307" s="1"/>
      <c r="V307" s="67"/>
      <c r="W307" s="1300" t="b">
        <f>' WP II-I-1.4'!$L$307=F307</f>
        <v>1</v>
      </c>
      <c r="X307" s="370">
        <f t="shared" si="85"/>
        <v>0</v>
      </c>
    </row>
    <row r="308" spans="1:24" ht="15">
      <c r="A308" s="47"/>
      <c r="B308" s="17">
        <f t="shared" si="87"/>
        <v>30</v>
      </c>
      <c r="C308" s="303" t="s">
        <v>575</v>
      </c>
      <c r="D308" s="304"/>
      <c r="E308" s="305" t="s">
        <v>24</v>
      </c>
      <c r="F308" s="306">
        <f>F254+F266+F300</f>
        <v>6363351255.8000002</v>
      </c>
      <c r="G308" s="305"/>
      <c r="H308" s="437"/>
      <c r="I308" s="857"/>
      <c r="J308" s="439">
        <f t="shared" si="95" ref="J308:Q308">J254+J266+J300</f>
        <v>3356370351.6727471</v>
      </c>
      <c r="K308" s="908">
        <f t="shared" si="95"/>
        <v>211935575.76011166</v>
      </c>
      <c r="L308" s="908">
        <f t="shared" si="95"/>
        <v>1992474359.6786397</v>
      </c>
      <c r="M308" s="908">
        <f t="shared" si="95"/>
        <v>2723072.2576513635</v>
      </c>
      <c r="N308" s="908">
        <f t="shared" si="95"/>
        <v>290463971.98237503</v>
      </c>
      <c r="O308" s="908">
        <f>O254+O266+O300</f>
        <v>19981896.385186333</v>
      </c>
      <c r="P308" s="908">
        <f t="shared" si="95"/>
        <v>7433704.1245833263</v>
      </c>
      <c r="Q308" s="908">
        <f t="shared" si="95"/>
        <v>465828166.99828142</v>
      </c>
      <c r="R308" s="908">
        <f>R254+R266+R300</f>
        <v>2388123.7325858255</v>
      </c>
      <c r="S308" s="641">
        <f>S254+S266+S300</f>
        <v>13752033.207838079</v>
      </c>
      <c r="T308" s="437"/>
      <c r="U308" s="307">
        <f>SUM(I308:T308)</f>
        <v>6363351255.8000002</v>
      </c>
      <c r="V308" s="67"/>
      <c r="W308" s="1300" t="b">
        <f>' WP II-I-1.4'!$L$308=F308</f>
        <v>1</v>
      </c>
      <c r="X308" s="370">
        <f t="shared" si="85"/>
        <v>0</v>
      </c>
    </row>
    <row r="309" spans="1:24" ht="15.75" thickBot="1">
      <c r="A309" s="47"/>
      <c r="B309" s="17">
        <f t="shared" si="87"/>
        <v>31</v>
      </c>
      <c r="C309" s="309" t="s">
        <v>576</v>
      </c>
      <c r="D309" s="310"/>
      <c r="E309" s="311" t="s">
        <v>24</v>
      </c>
      <c r="F309" s="312">
        <f>F266+F300</f>
        <v>6009920825.6700001</v>
      </c>
      <c r="G309" s="311"/>
      <c r="H309" s="440"/>
      <c r="I309" s="1062"/>
      <c r="J309" s="442">
        <f t="shared" si="96" ref="J309:Q309">J266+J300</f>
        <v>3159463399.0372686</v>
      </c>
      <c r="K309" s="312">
        <f t="shared" si="96"/>
        <v>189259241.78527531</v>
      </c>
      <c r="L309" s="312">
        <f t="shared" si="96"/>
        <v>1888869507.0083242</v>
      </c>
      <c r="M309" s="312">
        <f t="shared" si="96"/>
        <v>1817833.7188341795</v>
      </c>
      <c r="N309" s="312">
        <f t="shared" si="96"/>
        <v>265720687.44451696</v>
      </c>
      <c r="O309" s="312">
        <f>O266+O300</f>
        <v>18736396.105081148</v>
      </c>
      <c r="P309" s="312">
        <f t="shared" si="96"/>
        <v>5935457.3181662094</v>
      </c>
      <c r="Q309" s="312">
        <f t="shared" si="96"/>
        <v>464629941.76466537</v>
      </c>
      <c r="R309" s="312">
        <f>R266+R300</f>
        <v>2241682.8974017408</v>
      </c>
      <c r="S309" s="443">
        <f>S266+S300</f>
        <v>13246678.590465942</v>
      </c>
      <c r="T309" s="440"/>
      <c r="U309" s="313">
        <f>SUM(I309:T309)</f>
        <v>6009920825.6699991</v>
      </c>
      <c r="V309" s="67"/>
      <c r="W309" s="1300" t="b">
        <f>' WP II-I-1.4'!$L$309=F309</f>
        <v>1</v>
      </c>
      <c r="X309" s="370">
        <f t="shared" si="85"/>
        <v>0</v>
      </c>
    </row>
    <row r="310" spans="1:24" ht="15.75" thickBot="1">
      <c r="A310" s="47"/>
      <c r="B310" s="17">
        <f t="shared" si="87"/>
        <v>32</v>
      </c>
      <c r="C310" s="8"/>
      <c r="D310" s="8"/>
      <c r="E310" s="20"/>
      <c r="F310" s="22"/>
      <c r="G310" s="20"/>
      <c r="H310" s="20"/>
      <c r="I310" s="20"/>
      <c r="J310" s="896"/>
      <c r="K310" s="896"/>
      <c r="L310" s="896"/>
      <c r="M310" s="896"/>
      <c r="N310" s="896"/>
      <c r="O310" s="896"/>
      <c r="P310" s="896"/>
      <c r="Q310" s="896"/>
      <c r="R310" s="896"/>
      <c r="S310" s="896"/>
      <c r="T310" s="20"/>
      <c r="U310" s="22"/>
      <c r="V310" s="67"/>
      <c r="W310" s="1300" t="b">
        <f>' WP II-I-1.4'!$L$310=F310</f>
        <v>1</v>
      </c>
      <c r="X310" s="370">
        <f t="shared" si="85"/>
        <v>0</v>
      </c>
    </row>
    <row r="311" spans="1:24" ht="15">
      <c r="A311" s="47"/>
      <c r="B311" s="17">
        <f t="shared" si="87"/>
        <v>33</v>
      </c>
      <c r="C311" s="319" t="s">
        <v>577</v>
      </c>
      <c r="D311" s="304"/>
      <c r="E311" s="320"/>
      <c r="F311" s="306">
        <f>F106-F254</f>
        <v>465613830.38999999</v>
      </c>
      <c r="G311" s="320"/>
      <c r="H311" s="448"/>
      <c r="I311" s="1063"/>
      <c r="J311" s="439">
        <f t="shared" si="97" ref="J311:Q311">J106-J254</f>
        <v>259315073.85013992</v>
      </c>
      <c r="K311" s="908">
        <f t="shared" si="97"/>
        <v>25897675.598924693</v>
      </c>
      <c r="L311" s="908">
        <f t="shared" si="97"/>
        <v>141585954.69100151</v>
      </c>
      <c r="M311" s="908">
        <f t="shared" si="97"/>
        <v>980679.22742140875</v>
      </c>
      <c r="N311" s="908">
        <f t="shared" si="97"/>
        <v>31194603.692209523</v>
      </c>
      <c r="O311" s="908">
        <f>O106-O254</f>
        <v>1799199.6372821191</v>
      </c>
      <c r="P311" s="908">
        <f t="shared" si="97"/>
        <v>1692837.6853166472</v>
      </c>
      <c r="Q311" s="908">
        <f t="shared" si="97"/>
        <v>2139211.2585730432</v>
      </c>
      <c r="R311" s="908">
        <f>R106-R254</f>
        <v>212603.25809519686</v>
      </c>
      <c r="S311" s="641">
        <f>S106-S254</f>
        <v>795991.49103592685</v>
      </c>
      <c r="T311" s="448"/>
      <c r="U311" s="307">
        <f>SUM(I311:T311)</f>
        <v>465613830.39000005</v>
      </c>
      <c r="V311" s="67"/>
      <c r="W311" s="1300" t="b">
        <f>' WP II-I-1.4'!$L$311=F311</f>
        <v>1</v>
      </c>
      <c r="X311" s="370">
        <f t="shared" si="85"/>
        <v>0</v>
      </c>
    </row>
    <row r="312" spans="1:24" ht="15">
      <c r="A312" s="47"/>
      <c r="B312" s="17">
        <f t="shared" si="87"/>
        <v>34</v>
      </c>
      <c r="C312" s="234" t="s">
        <v>578</v>
      </c>
      <c r="D312" s="286"/>
      <c r="E312" s="321"/>
      <c r="F312" s="322">
        <f>F118-F266</f>
        <v>284690173.85000002</v>
      </c>
      <c r="G312" s="321"/>
      <c r="H312" s="450"/>
      <c r="I312" s="1064"/>
      <c r="J312" s="642">
        <f t="shared" si="98" ref="J312:Q312">J118-J266</f>
        <v>149838981.79841113</v>
      </c>
      <c r="K312" s="322">
        <f t="shared" si="98"/>
        <v>3659100.2536587236</v>
      </c>
      <c r="L312" s="322">
        <f t="shared" si="98"/>
        <v>96477175.204770595</v>
      </c>
      <c r="M312" s="322">
        <f t="shared" si="98"/>
        <v>54542.523817251393</v>
      </c>
      <c r="N312" s="322">
        <f t="shared" si="98"/>
        <v>23085142.047479391</v>
      </c>
      <c r="O312" s="322">
        <f>O118-O266</f>
        <v>8348389.0854238346</v>
      </c>
      <c r="P312" s="322">
        <f t="shared" si="98"/>
        <v>0</v>
      </c>
      <c r="Q312" s="322">
        <f t="shared" si="98"/>
        <v>973110.70985844778</v>
      </c>
      <c r="R312" s="322">
        <f>R118-R266</f>
        <v>1000606.6834559967</v>
      </c>
      <c r="S312" s="323">
        <f>S118-S266</f>
        <v>1253125.543124642</v>
      </c>
      <c r="T312" s="450"/>
      <c r="U312" s="323">
        <f>SUM(I312:T312)</f>
        <v>284690173.84999996</v>
      </c>
      <c r="V312" s="67"/>
      <c r="W312" s="1300" t="b">
        <f>' WP II-I-1.4'!$L$312=F312</f>
        <v>1</v>
      </c>
      <c r="X312" s="370">
        <f t="shared" si="85"/>
        <v>0</v>
      </c>
    </row>
    <row r="313" spans="1:24" ht="15">
      <c r="A313" s="47"/>
      <c r="B313" s="17">
        <f t="shared" si="87"/>
        <v>35</v>
      </c>
      <c r="C313" s="234" t="s">
        <v>579</v>
      </c>
      <c r="D313" s="286"/>
      <c r="E313" s="321"/>
      <c r="F313" s="322">
        <f>F154-F300</f>
        <v>9280216867.2599983</v>
      </c>
      <c r="G313" s="321"/>
      <c r="H313" s="450"/>
      <c r="I313" s="1064"/>
      <c r="J313" s="642">
        <f t="shared" si="99" ref="J313:Q313">J154-J300</f>
        <v>5174177459.3741131</v>
      </c>
      <c r="K313" s="322">
        <f t="shared" si="99"/>
        <v>189363663.68129093</v>
      </c>
      <c r="L313" s="322">
        <f t="shared" si="99"/>
        <v>3249774468.5152197</v>
      </c>
      <c r="M313" s="322">
        <f t="shared" si="99"/>
        <v>2020007.2742422987</v>
      </c>
      <c r="N313" s="322">
        <f t="shared" si="99"/>
        <v>498589694.21059144</v>
      </c>
      <c r="O313" s="322">
        <f>O154-O300</f>
        <v>42165633.193866611</v>
      </c>
      <c r="P313" s="322">
        <f t="shared" si="99"/>
        <v>10820312.003018718</v>
      </c>
      <c r="Q313" s="322">
        <f t="shared" si="99"/>
        <v>82022863.808408618</v>
      </c>
      <c r="R313" s="322">
        <f>R154-R300</f>
        <v>5050990.8880404746</v>
      </c>
      <c r="S313" s="323">
        <f>S154-S300</f>
        <v>26231774.31120602</v>
      </c>
      <c r="T313" s="450"/>
      <c r="U313" s="325">
        <f>SUM(I313:T313)</f>
        <v>9280216867.2600002</v>
      </c>
      <c r="V313" s="67"/>
      <c r="W313" s="1300" t="b">
        <f>' WP II-I-1.4'!$L$313=F313</f>
        <v>1</v>
      </c>
      <c r="X313" s="370">
        <f t="shared" si="85"/>
        <v>0</v>
      </c>
    </row>
    <row r="314" spans="1:24" ht="15">
      <c r="A314" s="47"/>
      <c r="B314" s="17">
        <f t="shared" si="87"/>
        <v>36</v>
      </c>
      <c r="C314" s="234" t="s">
        <v>580</v>
      </c>
      <c r="D314" s="286"/>
      <c r="E314" s="321"/>
      <c r="F314" s="322">
        <f>SUM(F312:F313)</f>
        <v>9564907041.1099987</v>
      </c>
      <c r="G314" s="321"/>
      <c r="H314" s="450"/>
      <c r="I314" s="1064"/>
      <c r="J314" s="642">
        <f t="shared" si="100" ref="J314:Q314">SUM(J312:J313)</f>
        <v>5324016441.1725245</v>
      </c>
      <c r="K314" s="322">
        <f t="shared" si="100"/>
        <v>193022763.93494964</v>
      </c>
      <c r="L314" s="322">
        <f t="shared" si="100"/>
        <v>3346251643.7199903</v>
      </c>
      <c r="M314" s="322">
        <f t="shared" si="100"/>
        <v>2074549.7980595501</v>
      </c>
      <c r="N314" s="322">
        <f t="shared" si="100"/>
        <v>521674836.25807083</v>
      </c>
      <c r="O314" s="322">
        <f>SUM(O312:O313)</f>
        <v>50514022.279290445</v>
      </c>
      <c r="P314" s="322">
        <f t="shared" si="100"/>
        <v>10820312.003018718</v>
      </c>
      <c r="Q314" s="322">
        <f t="shared" si="100"/>
        <v>82995974.518267065</v>
      </c>
      <c r="R314" s="322">
        <f>SUM(R312:R313)</f>
        <v>6051597.5714964718</v>
      </c>
      <c r="S314" s="323">
        <f>SUM(S312:S313)</f>
        <v>27484899.854330663</v>
      </c>
      <c r="T314" s="450"/>
      <c r="U314" s="325">
        <f>SUM(I314:T314)</f>
        <v>9564907041.1099987</v>
      </c>
      <c r="V314" s="67"/>
      <c r="W314" s="1300" t="b">
        <f>' WP II-I-1.4'!$L$314=F314</f>
        <v>1</v>
      </c>
      <c r="X314" s="370">
        <f t="shared" si="85"/>
        <v>0</v>
      </c>
    </row>
    <row r="315" spans="1:24" ht="15.75" thickBot="1">
      <c r="A315" s="47"/>
      <c r="B315" s="17">
        <f t="shared" si="87"/>
        <v>37</v>
      </c>
      <c r="C315" s="326" t="s">
        <v>581</v>
      </c>
      <c r="D315" s="310"/>
      <c r="E315" s="327"/>
      <c r="F315" s="312">
        <f>SUM(F311:F313)</f>
        <v>10030520871.499998</v>
      </c>
      <c r="G315" s="327"/>
      <c r="H315" s="452"/>
      <c r="I315" s="1065"/>
      <c r="J315" s="442">
        <f t="shared" si="101" ref="J315:Q315">SUM(J311:J313)</f>
        <v>5583331515.0226641</v>
      </c>
      <c r="K315" s="312">
        <f t="shared" si="101"/>
        <v>218920439.53387433</v>
      </c>
      <c r="L315" s="312">
        <f t="shared" si="101"/>
        <v>3487837598.4109917</v>
      </c>
      <c r="M315" s="312">
        <f t="shared" si="101"/>
        <v>3055229.0254809586</v>
      </c>
      <c r="N315" s="312">
        <f t="shared" si="101"/>
        <v>552869439.95028031</v>
      </c>
      <c r="O315" s="312">
        <f>SUM(O311:O313)</f>
        <v>52313221.916572563</v>
      </c>
      <c r="P315" s="312">
        <f t="shared" si="101"/>
        <v>12513149.688335365</v>
      </c>
      <c r="Q315" s="312">
        <f t="shared" si="101"/>
        <v>85135185.776840106</v>
      </c>
      <c r="R315" s="312">
        <f>SUM(R311:R313)</f>
        <v>6264200.8295916682</v>
      </c>
      <c r="S315" s="443">
        <f>SUM(S311:S313)</f>
        <v>28280891.34536659</v>
      </c>
      <c r="T315" s="452"/>
      <c r="U315" s="313">
        <f>SUM(I315:T315)</f>
        <v>10030520871.499998</v>
      </c>
      <c r="V315" s="67"/>
      <c r="W315" s="1300" t="b">
        <f>' WP II-I-1.4'!$L$315=F315</f>
        <v>1</v>
      </c>
      <c r="X315" s="370">
        <f t="shared" si="85"/>
        <v>0</v>
      </c>
    </row>
    <row r="316" spans="1:24" ht="14.25">
      <c r="A316" s="4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X316" s="370">
        <f t="shared" si="85"/>
        <v>0</v>
      </c>
    </row>
    <row r="317" spans="1:24" ht="14.25">
      <c r="A317" s="47"/>
      <c r="B317" s="17"/>
      <c r="C317" s="1"/>
      <c r="D317" s="1"/>
      <c r="E317" s="17"/>
      <c r="F317" s="18"/>
      <c r="G317" s="17"/>
      <c r="H317" s="134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34"/>
      <c r="V317" s="134"/>
      <c r="X317" s="370"/>
    </row>
    <row r="318" spans="1:24" ht="15" thickBot="1">
      <c r="A318" s="47"/>
      <c r="B318" s="17"/>
      <c r="C318" s="1"/>
      <c r="D318" s="1"/>
      <c r="E318" s="17"/>
      <c r="F318" s="1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"/>
      <c r="V318" s="67"/>
      <c r="X318" s="370">
        <f t="shared" si="85"/>
        <v>0</v>
      </c>
    </row>
    <row r="319" spans="1:24" ht="15">
      <c r="A319" s="47"/>
      <c r="B319" s="920" t="str">
        <f>+$B$4</f>
        <v>2022 RATE CASE</v>
      </c>
      <c r="C319" s="935"/>
      <c r="D319" s="620"/>
      <c r="F319" s="12"/>
      <c r="U319" s="134"/>
      <c r="X319" s="370">
        <f t="shared" si="85"/>
        <v>0</v>
      </c>
    </row>
    <row r="320" spans="1:24" ht="15">
      <c r="A320" s="47"/>
      <c r="B320" s="917" t="str">
        <f>+$B$5</f>
        <v>ONCOR ELECTRIC DELIVERY COMPANY LLC</v>
      </c>
      <c r="C320" s="8"/>
      <c r="D320" s="621"/>
      <c r="F320" s="12"/>
      <c r="U320" s="134"/>
      <c r="V320" s="67"/>
      <c r="X320" s="370">
        <f t="shared" si="85"/>
        <v>0</v>
      </c>
    </row>
    <row r="321" spans="1:24" ht="15">
      <c r="A321" s="47"/>
      <c r="B321" s="917" t="str">
        <f>+$B$6</f>
        <v>II-I-1-TOT:  CLASS REVENUE REQUIREMENT</v>
      </c>
      <c r="C321" s="85"/>
      <c r="D321" s="621"/>
      <c r="F321" s="12"/>
      <c r="U321" s="12"/>
      <c r="V321" s="67"/>
      <c r="X321" s="370">
        <f t="shared" si="85"/>
        <v>0</v>
      </c>
    </row>
    <row r="322" spans="1:24" ht="15">
      <c r="A322" s="47"/>
      <c r="B322" s="406" t="str">
        <f>+$B$7</f>
        <v>TEST YEAR ENDING 12/31/2021</v>
      </c>
      <c r="C322" s="85"/>
      <c r="D322" s="621"/>
      <c r="F322" s="12"/>
      <c r="U322" s="12"/>
      <c r="V322" s="67"/>
      <c r="X322" s="370">
        <f t="shared" si="85"/>
        <v>0</v>
      </c>
    </row>
    <row r="323" spans="1:24" ht="15">
      <c r="A323" s="47"/>
      <c r="B323" s="406" t="str">
        <f>+$B$8</f>
        <v>SPONSOR:  MATTHEW A. TROXLE</v>
      </c>
      <c r="C323" s="85"/>
      <c r="D323" s="621"/>
      <c r="F323" s="12"/>
      <c r="U323" s="12"/>
      <c r="V323" s="67"/>
      <c r="X323" s="370">
        <f t="shared" si="85"/>
        <v>0</v>
      </c>
    </row>
    <row r="324" spans="1:24" ht="15.75" thickBot="1">
      <c r="A324" s="47"/>
      <c r="B324" s="410"/>
      <c r="C324" s="934"/>
      <c r="D324" s="622"/>
      <c r="F324" s="12"/>
      <c r="U324" s="12"/>
      <c r="V324" s="67"/>
      <c r="X324" s="370">
        <f t="shared" si="85"/>
        <v>0</v>
      </c>
    </row>
    <row r="325" spans="1:24" ht="15" thickBot="1">
      <c r="A325" s="47"/>
      <c r="B325" s="13"/>
      <c r="C325" s="14"/>
      <c r="D325" s="14"/>
      <c r="E325" s="14"/>
      <c r="F325" s="13"/>
      <c r="G325" s="14"/>
      <c r="H325" s="14"/>
      <c r="I325" s="14"/>
      <c r="J325" s="238"/>
      <c r="K325" s="238"/>
      <c r="L325" s="14"/>
      <c r="M325" s="238"/>
      <c r="N325" s="238"/>
      <c r="O325" s="238"/>
      <c r="P325" s="238"/>
      <c r="Q325" s="14"/>
      <c r="R325" s="393" t="str">
        <f>R$10</f>
        <v xml:space="preserve"> </v>
      </c>
      <c r="S325" s="394"/>
      <c r="T325" s="238"/>
      <c r="U325" s="13"/>
      <c r="V325" s="67"/>
      <c r="X325" s="370">
        <f t="shared" si="85"/>
        <v>0</v>
      </c>
    </row>
    <row r="326" spans="1:24" ht="15">
      <c r="A326" s="47"/>
      <c r="B326" s="15" t="s">
        <v>2</v>
      </c>
      <c r="C326" s="15" t="s">
        <v>370</v>
      </c>
      <c r="D326" s="287" t="s">
        <v>582</v>
      </c>
      <c r="E326" s="15" t="s">
        <v>371</v>
      </c>
      <c r="F326" s="287" t="str">
        <f>F$11</f>
        <v>TOTAL</v>
      </c>
      <c r="G326" s="242" t="s">
        <v>741</v>
      </c>
      <c r="H326" s="242" t="s">
        <v>376</v>
      </c>
      <c r="I326" s="15"/>
      <c r="J326" s="242" t="s">
        <v>730</v>
      </c>
      <c r="K326" s="242" t="s">
        <v>409</v>
      </c>
      <c r="L326" s="15" t="s">
        <v>409</v>
      </c>
      <c r="M326" s="242" t="s">
        <v>410</v>
      </c>
      <c r="N326" s="242" t="s">
        <v>410</v>
      </c>
      <c r="O326" s="242" t="s">
        <v>410</v>
      </c>
      <c r="P326" s="242" t="s">
        <v>411</v>
      </c>
      <c r="Q326" s="15" t="s">
        <v>412</v>
      </c>
      <c r="R326" s="396" t="str">
        <f>R$11</f>
        <v>Wholesale</v>
      </c>
      <c r="S326" s="13" t="str">
        <f>S$11</f>
        <v>Wholesale</v>
      </c>
      <c r="T326" s="242"/>
      <c r="U326" s="15" t="s">
        <v>10</v>
      </c>
      <c r="V326" s="67"/>
      <c r="X326" s="370"/>
    </row>
    <row r="327" spans="1:24" ht="14.25">
      <c r="A327" s="47"/>
      <c r="B327" s="15"/>
      <c r="C327" s="15"/>
      <c r="D327" s="15"/>
      <c r="E327" s="15"/>
      <c r="F327" s="15" t="str">
        <f>F$12</f>
        <v>(Dist+Met+Cust)</v>
      </c>
      <c r="G327" s="242" t="s">
        <v>742</v>
      </c>
      <c r="H327" s="242" t="s">
        <v>743</v>
      </c>
      <c r="I327" s="15"/>
      <c r="J327" s="242"/>
      <c r="K327" s="242" t="s">
        <v>731</v>
      </c>
      <c r="L327" s="15" t="s">
        <v>732</v>
      </c>
      <c r="M327" s="242" t="s">
        <v>731</v>
      </c>
      <c r="N327" s="242" t="s">
        <v>732</v>
      </c>
      <c r="O327" s="242" t="s">
        <v>414</v>
      </c>
      <c r="P327" s="242"/>
      <c r="Q327" s="15"/>
      <c r="R327" s="235" t="str">
        <f>R$12</f>
        <v>XFMR</v>
      </c>
      <c r="S327" s="15" t="str">
        <f>S$12</f>
        <v>DLS</v>
      </c>
      <c r="T327" s="242"/>
      <c r="U327" s="15"/>
      <c r="V327" s="67"/>
      <c r="X327" s="370"/>
    </row>
    <row r="328" spans="1:24" ht="15" thickBot="1">
      <c r="A328" s="47"/>
      <c r="B328" s="16"/>
      <c r="C328" s="16"/>
      <c r="D328" s="16"/>
      <c r="E328" s="16"/>
      <c r="F328" s="16" t="s">
        <v>13</v>
      </c>
      <c r="G328" s="16" t="s">
        <v>14</v>
      </c>
      <c r="H328" s="16" t="s">
        <v>15</v>
      </c>
      <c r="I328" s="16"/>
      <c r="J328" s="243" t="str">
        <f t="shared" si="102" ref="J328:Q328">J$13</f>
        <v>(d)</v>
      </c>
      <c r="K328" s="243" t="str">
        <f t="shared" si="102"/>
        <v>(e)</v>
      </c>
      <c r="L328" s="16" t="str">
        <f t="shared" si="102"/>
        <v>(f)</v>
      </c>
      <c r="M328" s="243" t="str">
        <f t="shared" si="102"/>
        <v>(g)</v>
      </c>
      <c r="N328" s="243" t="str">
        <f t="shared" si="102"/>
        <v>(h)</v>
      </c>
      <c r="O328" s="243" t="str">
        <f>O$13</f>
        <v>(i)</v>
      </c>
      <c r="P328" s="243" t="str">
        <f t="shared" si="102"/>
        <v>(j)</v>
      </c>
      <c r="Q328" s="243" t="str">
        <f t="shared" si="102"/>
        <v>(k)</v>
      </c>
      <c r="R328" s="243" t="str">
        <f>R$13</f>
        <v>(l)</v>
      </c>
      <c r="S328" s="16" t="str">
        <f>S$13</f>
        <v>(m)</v>
      </c>
      <c r="T328" s="16"/>
      <c r="U328" s="16" t="s">
        <v>734</v>
      </c>
      <c r="V328" s="67"/>
      <c r="X328" s="370"/>
    </row>
    <row r="329" spans="1:24" ht="14.25">
      <c r="A329" s="47"/>
      <c r="B329" s="6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"/>
      <c r="V329" s="67"/>
      <c r="X329" s="370">
        <f t="shared" si="85"/>
        <v>0</v>
      </c>
    </row>
    <row r="330" spans="1:24" ht="14.25">
      <c r="A330" s="47"/>
      <c r="B330" s="17"/>
      <c r="C330" s="1"/>
      <c r="D330" s="1"/>
      <c r="E330" s="17"/>
      <c r="F330" s="1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"/>
      <c r="V330" s="67"/>
      <c r="X330" s="370">
        <f t="shared" si="85"/>
        <v>0</v>
      </c>
    </row>
    <row r="331" spans="1:24" ht="15">
      <c r="A331" s="47"/>
      <c r="B331" s="17">
        <f t="shared" si="103" ref="B331:B354">B330+1</f>
        <v>1</v>
      </c>
      <c r="C331" s="8" t="s">
        <v>301</v>
      </c>
      <c r="D331" s="1"/>
      <c r="E331" s="20" t="s">
        <v>36</v>
      </c>
      <c r="F331" s="18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1"/>
      <c r="V331" s="67"/>
      <c r="X331" s="370">
        <f t="shared" si="85"/>
        <v>0</v>
      </c>
    </row>
    <row r="332" spans="1:24" ht="15">
      <c r="A332" s="47"/>
      <c r="B332" s="17">
        <f t="shared" si="103"/>
        <v>2</v>
      </c>
      <c r="C332" s="8" t="s">
        <v>583</v>
      </c>
      <c r="D332" s="8"/>
      <c r="E332" s="20"/>
      <c r="F332" s="8"/>
      <c r="G332" s="20"/>
      <c r="H332" s="20"/>
      <c r="I332" s="20"/>
      <c r="J332" s="1059"/>
      <c r="K332" s="1059"/>
      <c r="L332" s="1059"/>
      <c r="M332" s="1059"/>
      <c r="N332" s="1059"/>
      <c r="O332" s="1059"/>
      <c r="P332" s="1059"/>
      <c r="Q332" s="1059"/>
      <c r="R332" s="1059"/>
      <c r="S332" s="1059"/>
      <c r="T332" s="20"/>
      <c r="U332" s="8"/>
      <c r="V332" s="67"/>
      <c r="X332" s="370">
        <f t="shared" si="85"/>
        <v>0</v>
      </c>
    </row>
    <row r="333" spans="1:24" ht="14.25">
      <c r="A333" s="47"/>
      <c r="B333" s="17">
        <f t="shared" si="103"/>
        <v>3</v>
      </c>
      <c r="C333" s="1" t="s">
        <v>91</v>
      </c>
      <c r="D333" s="1" t="s">
        <v>40</v>
      </c>
      <c r="E333" s="17"/>
      <c r="F333" s="118">
        <f>' WP II-I-1.4'!L333</f>
        <v>0</v>
      </c>
      <c r="G333" s="17" t="s">
        <v>805</v>
      </c>
      <c r="H333" s="47" t="s">
        <v>320</v>
      </c>
      <c r="I333" s="17"/>
      <c r="J333" s="434">
        <f>'II-I-DIST'!J333+'II-I-MET'!J333+'II-I-TBILLTDCS'!J333</f>
        <v>0</v>
      </c>
      <c r="K333" s="434">
        <f>'II-I-DIST'!K333+'II-I-MET'!K333+'II-I-TBILLTDCS'!K333</f>
        <v>0</v>
      </c>
      <c r="L333" s="434">
        <f>'II-I-DIST'!L333+'II-I-MET'!L333+'II-I-TBILLTDCS'!L333</f>
        <v>0</v>
      </c>
      <c r="M333" s="434">
        <f>'II-I-DIST'!M333+'II-I-MET'!M333+'II-I-TBILLTDCS'!M333</f>
        <v>0</v>
      </c>
      <c r="N333" s="434">
        <f>'II-I-DIST'!N333+'II-I-MET'!N333+'II-I-TBILLTDCS'!N333</f>
        <v>0</v>
      </c>
      <c r="O333" s="434">
        <f>'II-I-DIST'!O333+'II-I-MET'!O333+'II-I-TBILLTDCS'!O333</f>
        <v>0</v>
      </c>
      <c r="P333" s="434">
        <f>'II-I-DIST'!P333+'II-I-MET'!P333+'II-I-TBILLTDCS'!P333</f>
        <v>0</v>
      </c>
      <c r="Q333" s="434">
        <f>'II-I-DIST'!Q333+'II-I-MET'!Q333+'II-I-TBILLTDCS'!Q333</f>
        <v>0</v>
      </c>
      <c r="R333" s="434">
        <f>'II-I-DIST'!R333+'II-I-MET'!R333+'II-I-TBILLTDCS'!R333</f>
        <v>0</v>
      </c>
      <c r="S333" s="434">
        <f>'II-I-DIST'!S333+'II-I-MET'!S333+'II-I-TBILLTDCS'!S333</f>
        <v>0</v>
      </c>
      <c r="T333" s="17"/>
      <c r="U333" s="118">
        <f t="shared" si="104" ref="U333:U342">SUM(I333:T333)</f>
        <v>0</v>
      </c>
      <c r="V333" s="67"/>
      <c r="X333" s="370">
        <f t="shared" si="85"/>
        <v>0</v>
      </c>
    </row>
    <row r="334" spans="1:24" ht="15">
      <c r="A334" s="47"/>
      <c r="B334" s="17">
        <f t="shared" si="103"/>
        <v>4</v>
      </c>
      <c r="C334" s="1" t="s">
        <v>92</v>
      </c>
      <c r="D334" s="1" t="s">
        <v>42</v>
      </c>
      <c r="E334" s="20"/>
      <c r="F334" s="118">
        <f>' WP II-I-1.4'!L334</f>
        <v>13718.76</v>
      </c>
      <c r="G334" s="17" t="s">
        <v>805</v>
      </c>
      <c r="H334" s="47" t="s">
        <v>320</v>
      </c>
      <c r="I334" s="1000"/>
      <c r="J334" s="434">
        <f>'II-I-DIST'!J334+'II-I-MET'!J334+'II-I-TBILLTDCS'!J334</f>
        <v>7636.3316144940854</v>
      </c>
      <c r="K334" s="434">
        <f>'II-I-DIST'!K334+'II-I-MET'!K334+'II-I-TBILLTDCS'!K334</f>
        <v>291.65022121495093</v>
      </c>
      <c r="L334" s="434">
        <f>'II-I-DIST'!L334+'II-I-MET'!L334+'II-I-TBILLTDCS'!L334</f>
        <v>4780.3973030687739</v>
      </c>
      <c r="M334" s="434">
        <f>'II-I-DIST'!M334+'II-I-MET'!M334+'II-I-TBILLTDCS'!M334</f>
        <v>3.7644446485498455</v>
      </c>
      <c r="N334" s="434">
        <f>'II-I-DIST'!N334+'II-I-MET'!N334+'II-I-TBILLTDCS'!N334</f>
        <v>753.43616357388419</v>
      </c>
      <c r="O334" s="434">
        <f>'II-I-DIST'!O334+'II-I-MET'!O334+'II-I-TBILLTDCS'!O334</f>
        <v>71.860206490993733</v>
      </c>
      <c r="P334" s="434">
        <f>'II-I-DIST'!P334+'II-I-MET'!P334+'II-I-TBILLTDCS'!P334</f>
        <v>16.565302730283939</v>
      </c>
      <c r="Q334" s="434">
        <f>'II-I-DIST'!Q334+'II-I-MET'!Q334+'II-I-TBILLTDCS'!Q334</f>
        <v>117.21313646773918</v>
      </c>
      <c r="R334" s="434">
        <f>'II-I-DIST'!R334+'II-I-MET'!R334+'II-I-TBILLTDCS'!R334</f>
        <v>8.6062399118209854</v>
      </c>
      <c r="S334" s="434">
        <f>'II-I-DIST'!S334+'II-I-MET'!S334+'II-I-TBILLTDCS'!S334</f>
        <v>38.935367398918061</v>
      </c>
      <c r="T334" s="1000"/>
      <c r="U334" s="118">
        <f t="shared" si="104"/>
        <v>13718.760000000002</v>
      </c>
      <c r="V334" s="67"/>
      <c r="X334" s="370">
        <f t="shared" si="85"/>
        <v>0</v>
      </c>
    </row>
    <row r="335" spans="1:24" ht="15">
      <c r="A335" s="47"/>
      <c r="B335" s="17">
        <f t="shared" si="103"/>
        <v>5</v>
      </c>
      <c r="C335" s="1" t="s">
        <v>93</v>
      </c>
      <c r="D335" s="1" t="s">
        <v>44</v>
      </c>
      <c r="E335" s="20"/>
      <c r="F335" s="118">
        <f>' WP II-I-1.4'!L335</f>
        <v>15143310.770000001</v>
      </c>
      <c r="G335" s="17" t="s">
        <v>805</v>
      </c>
      <c r="H335" s="47" t="s">
        <v>320</v>
      </c>
      <c r="I335" s="1000"/>
      <c r="J335" s="434">
        <f>'II-I-DIST'!J335+'II-I-MET'!J335+'II-I-TBILLTDCS'!J335</f>
        <v>8431275.8044070806</v>
      </c>
      <c r="K335" s="434">
        <f>'II-I-DIST'!K335+'II-I-MET'!K335+'II-I-TBILLTDCS'!K335</f>
        <v>498599.16490319883</v>
      </c>
      <c r="L335" s="434">
        <f>'II-I-DIST'!L335+'II-I-MET'!L335+'II-I-TBILLTDCS'!L335</f>
        <v>5048968.4388059396</v>
      </c>
      <c r="M335" s="434">
        <f>'II-I-DIST'!M335+'II-I-MET'!M335+'II-I-TBILLTDCS'!M335</f>
        <v>13572.626443312682</v>
      </c>
      <c r="N335" s="434">
        <f>'II-I-DIST'!N335+'II-I-MET'!N335+'II-I-TBILLTDCS'!N335</f>
        <v>893802.28611654451</v>
      </c>
      <c r="O335" s="434">
        <f>'II-I-DIST'!O335+'II-I-MET'!O335+'II-I-TBILLTDCS'!O335</f>
        <v>72263.192465067579</v>
      </c>
      <c r="P335" s="434">
        <f>'II-I-DIST'!P335+'II-I-MET'!P335+'II-I-TBILLTDCS'!P335</f>
        <v>30769.569577882328</v>
      </c>
      <c r="Q335" s="434">
        <f>'II-I-DIST'!Q335+'II-I-MET'!Q335+'II-I-TBILLTDCS'!Q335</f>
        <v>108257.93648935715</v>
      </c>
      <c r="R335" s="434">
        <f>'II-I-DIST'!R335+'II-I-MET'!R335+'II-I-TBILLTDCS'!R335</f>
        <v>8622.7551470670442</v>
      </c>
      <c r="S335" s="434">
        <f>'II-I-DIST'!S335+'II-I-MET'!S335+'II-I-TBILLTDCS'!S335</f>
        <v>37178.995644549483</v>
      </c>
      <c r="T335" s="1000"/>
      <c r="U335" s="118">
        <f t="shared" si="104"/>
        <v>15143310.77</v>
      </c>
      <c r="V335" s="67"/>
      <c r="X335" s="370">
        <f t="shared" si="85"/>
        <v>0</v>
      </c>
    </row>
    <row r="336" spans="1:24" ht="15">
      <c r="A336" s="47"/>
      <c r="B336" s="17">
        <f t="shared" si="103"/>
        <v>6</v>
      </c>
      <c r="C336" s="1" t="s">
        <v>94</v>
      </c>
      <c r="D336" s="1" t="s">
        <v>95</v>
      </c>
      <c r="E336" s="20"/>
      <c r="F336" s="118">
        <f>' WP II-I-1.4'!L336</f>
        <v>121517038.48000002</v>
      </c>
      <c r="G336" s="17" t="s">
        <v>805</v>
      </c>
      <c r="H336" s="47" t="s">
        <v>320</v>
      </c>
      <c r="I336" s="1000"/>
      <c r="J336" s="434">
        <f>'II-I-DIST'!J336+'II-I-MET'!J336+'II-I-TBILLTDCS'!J336</f>
        <v>67693142.995981395</v>
      </c>
      <c r="K336" s="434">
        <f>'II-I-DIST'!K336+'II-I-MET'!K336+'II-I-TBILLTDCS'!K336</f>
        <v>7525747.2870978154</v>
      </c>
      <c r="L336" s="434">
        <f>'II-I-DIST'!L336+'II-I-MET'!L336+'II-I-TBILLTDCS'!L336</f>
        <v>35967737.360912725</v>
      </c>
      <c r="M336" s="434">
        <f>'II-I-DIST'!M336+'II-I-MET'!M336+'II-I-TBILLTDCS'!M336</f>
        <v>296808.93744032562</v>
      </c>
      <c r="N336" s="434">
        <f>'II-I-DIST'!N336+'II-I-MET'!N336+'II-I-TBILLTDCS'!N336</f>
        <v>8411618.8059757147</v>
      </c>
      <c r="O336" s="434">
        <f>'II-I-DIST'!O336+'II-I-MET'!O336+'II-I-TBILLTDCS'!O336</f>
        <v>439001.7908492533</v>
      </c>
      <c r="P336" s="434">
        <f>'II-I-DIST'!P336+'II-I-MET'!P336+'II-I-TBILLTDCS'!P336</f>
        <v>495991.08087325888</v>
      </c>
      <c r="Q336" s="434">
        <f>'II-I-DIST'!Q336+'II-I-MET'!Q336+'II-I-TBILLTDCS'!Q336</f>
        <v>452688.00626284239</v>
      </c>
      <c r="R336" s="434">
        <f>'II-I-DIST'!R336+'II-I-MET'!R336+'II-I-TBILLTDCS'!R336</f>
        <v>51688.247796988173</v>
      </c>
      <c r="S336" s="434">
        <f>'II-I-DIST'!S336+'II-I-MET'!S336+'II-I-TBILLTDCS'!S336</f>
        <v>182613.9668096831</v>
      </c>
      <c r="T336" s="1000"/>
      <c r="U336" s="118">
        <f t="shared" si="104"/>
        <v>121517038.48</v>
      </c>
      <c r="V336" s="67"/>
      <c r="X336" s="370">
        <f t="shared" si="105" ref="X336:X399">U336-F336</f>
        <v>0</v>
      </c>
    </row>
    <row r="337" spans="1:24" ht="15">
      <c r="A337" s="47"/>
      <c r="B337" s="17">
        <f t="shared" si="103"/>
        <v>7</v>
      </c>
      <c r="C337" s="1" t="s">
        <v>96</v>
      </c>
      <c r="D337" s="1" t="s">
        <v>98</v>
      </c>
      <c r="E337" s="20"/>
      <c r="F337" s="118">
        <f>' WP II-I-1.4'!L337</f>
        <v>2889835.1699999999</v>
      </c>
      <c r="G337" s="17" t="s">
        <v>805</v>
      </c>
      <c r="H337" s="47" t="s">
        <v>320</v>
      </c>
      <c r="I337" s="1000"/>
      <c r="J337" s="434">
        <f>'II-I-DIST'!J337+'II-I-MET'!J337+'II-I-TBILLTDCS'!J337</f>
        <v>1608474.1750405002</v>
      </c>
      <c r="K337" s="434">
        <f>'II-I-DIST'!K337+'II-I-MET'!K337+'II-I-TBILLTDCS'!K337</f>
        <v>53469.519284483555</v>
      </c>
      <c r="L337" s="434">
        <f>'II-I-DIST'!L337+'II-I-MET'!L337+'II-I-TBILLTDCS'!L337</f>
        <v>1017244.4968501976</v>
      </c>
      <c r="M337" s="434">
        <f>'II-I-DIST'!M337+'II-I-MET'!M337+'II-I-TBILLTDCS'!M337</f>
        <v>368.35673915498944</v>
      </c>
      <c r="N337" s="434">
        <f>'II-I-DIST'!N337+'II-I-MET'!N337+'II-I-TBILLTDCS'!N337</f>
        <v>155907.11709694719</v>
      </c>
      <c r="O337" s="434">
        <f>'II-I-DIST'!O337+'II-I-MET'!O337+'II-I-TBILLTDCS'!O337</f>
        <v>15455.352353836395</v>
      </c>
      <c r="P337" s="434">
        <f>'II-I-DIST'!P337+'II-I-MET'!P337+'II-I-TBILLTDCS'!P337</f>
        <v>2926.5293947057071</v>
      </c>
      <c r="Q337" s="434">
        <f>'II-I-DIST'!Q337+'II-I-MET'!Q337+'II-I-TBILLTDCS'!Q337</f>
        <v>25674.131761447927</v>
      </c>
      <c r="R337" s="434">
        <f>'II-I-DIST'!R337+'II-I-MET'!R337+'II-I-TBILLTDCS'!R337</f>
        <v>1852.4207128076075</v>
      </c>
      <c r="S337" s="434">
        <f>'II-I-DIST'!S337+'II-I-MET'!S337+'II-I-TBILLTDCS'!S337</f>
        <v>8463.0707659189466</v>
      </c>
      <c r="T337" s="1000"/>
      <c r="U337" s="118">
        <f t="shared" si="104"/>
        <v>2889835.1700000004</v>
      </c>
      <c r="V337" s="67"/>
      <c r="X337" s="370">
        <f t="shared" si="105"/>
        <v>0</v>
      </c>
    </row>
    <row r="338" spans="1:24" ht="15">
      <c r="A338" s="47"/>
      <c r="B338" s="17">
        <f t="shared" si="103"/>
        <v>8</v>
      </c>
      <c r="C338" s="1" t="s">
        <v>99</v>
      </c>
      <c r="D338" s="1" t="s">
        <v>548</v>
      </c>
      <c r="E338" s="20"/>
      <c r="F338" s="118">
        <f>' WP II-I-1.4'!L338</f>
        <v>756988.47999999998</v>
      </c>
      <c r="G338" s="17" t="s">
        <v>805</v>
      </c>
      <c r="H338" s="47" t="s">
        <v>320</v>
      </c>
      <c r="I338" s="1000"/>
      <c r="J338" s="434">
        <f>'II-I-DIST'!J338+'II-I-MET'!J338+'II-I-TBILLTDCS'!J338</f>
        <v>421441.56807269156</v>
      </c>
      <c r="K338" s="434">
        <f>'II-I-DIST'!K338+'II-I-MET'!K338+'II-I-TBILLTDCS'!K338</f>
        <v>21727.492989173294</v>
      </c>
      <c r="L338" s="434">
        <f>'II-I-DIST'!L338+'II-I-MET'!L338+'II-I-TBILLTDCS'!L338</f>
        <v>256520.08298676851</v>
      </c>
      <c r="M338" s="434">
        <f>'II-I-DIST'!M338+'II-I-MET'!M338+'II-I-TBILLTDCS'!M338</f>
        <v>508.05318606369161</v>
      </c>
      <c r="N338" s="434">
        <f>'II-I-DIST'!N338+'II-I-MET'!N338+'II-I-TBILLTDCS'!N338</f>
        <v>43556.519420677221</v>
      </c>
      <c r="O338" s="434">
        <f>'II-I-DIST'!O338+'II-I-MET'!O338+'II-I-TBILLTDCS'!O338</f>
        <v>3740.17775026866</v>
      </c>
      <c r="P338" s="434">
        <f>'II-I-DIST'!P338+'II-I-MET'!P338+'II-I-TBILLTDCS'!P338</f>
        <v>1312.218944901445</v>
      </c>
      <c r="Q338" s="434">
        <f>'II-I-DIST'!Q338+'II-I-MET'!Q338+'II-I-TBILLTDCS'!Q338</f>
        <v>5771.9111920049154</v>
      </c>
      <c r="R338" s="434">
        <f>'II-I-DIST'!R338+'II-I-MET'!R338+'II-I-TBILLTDCS'!R338</f>
        <v>446.92482559336253</v>
      </c>
      <c r="S338" s="434">
        <f>'II-I-DIST'!S338+'II-I-MET'!S338+'II-I-TBILLTDCS'!S338</f>
        <v>1963.530631857401</v>
      </c>
      <c r="T338" s="1000"/>
      <c r="U338" s="118">
        <f t="shared" si="104"/>
        <v>756988.47999999998</v>
      </c>
      <c r="V338" s="67"/>
      <c r="X338" s="370">
        <f t="shared" si="105"/>
        <v>0</v>
      </c>
    </row>
    <row r="339" spans="1:24" ht="15">
      <c r="A339" s="47"/>
      <c r="B339" s="17">
        <f t="shared" si="103"/>
        <v>9</v>
      </c>
      <c r="C339" s="1" t="s">
        <v>101</v>
      </c>
      <c r="D339" s="1" t="s">
        <v>549</v>
      </c>
      <c r="E339" s="20"/>
      <c r="F339" s="118">
        <f>' WP II-I-1.4'!L339</f>
        <v>11021308.620000001</v>
      </c>
      <c r="G339" s="17" t="s">
        <v>805</v>
      </c>
      <c r="H339" s="47" t="s">
        <v>320</v>
      </c>
      <c r="I339" s="1000"/>
      <c r="J339" s="434">
        <f>'II-I-DIST'!J339+'II-I-MET'!J339+'II-I-TBILLTDCS'!J339</f>
        <v>6135300.1124326009</v>
      </c>
      <c r="K339" s="434">
        <f>'II-I-DIST'!K339+'II-I-MET'!K339+'II-I-TBILLTDCS'!K339</f>
        <v>268619.28925165895</v>
      </c>
      <c r="L339" s="434">
        <f>'II-I-DIST'!L339+'II-I-MET'!L339+'II-I-TBILLTDCS'!L339</f>
        <v>3796250.8783935145</v>
      </c>
      <c r="M339" s="434">
        <f>'II-I-DIST'!M339+'II-I-MET'!M339+'II-I-TBILLTDCS'!M339</f>
        <v>4853.333634046101</v>
      </c>
      <c r="N339" s="434">
        <f>'II-I-DIST'!N339+'II-I-MET'!N339+'II-I-TBILLTDCS'!N339</f>
        <v>617366.12118798634</v>
      </c>
      <c r="O339" s="434">
        <f>'II-I-DIST'!O339+'II-I-MET'!O339+'II-I-TBILLTDCS'!O339</f>
        <v>56360.407472716797</v>
      </c>
      <c r="P339" s="434">
        <f>'II-I-DIST'!P339+'II-I-MET'!P339+'II-I-TBILLTDCS'!P339</f>
        <v>15732.99667721355</v>
      </c>
      <c r="Q339" s="434">
        <f>'II-I-DIST'!Q339+'II-I-MET'!Q339+'II-I-TBILLTDCS'!Q339</f>
        <v>89928.000375616655</v>
      </c>
      <c r="R339" s="434">
        <f>'II-I-DIST'!R339+'II-I-MET'!R339+'II-I-TBILLTDCS'!R339</f>
        <v>6743.7614591026695</v>
      </c>
      <c r="S339" s="434">
        <f>'II-I-DIST'!S339+'II-I-MET'!S339+'II-I-TBILLTDCS'!S339</f>
        <v>30153.719115544416</v>
      </c>
      <c r="T339" s="1000"/>
      <c r="U339" s="118">
        <f t="shared" si="104"/>
        <v>11021308.620000003</v>
      </c>
      <c r="V339" s="67"/>
      <c r="X339" s="370">
        <f t="shared" si="105"/>
        <v>0</v>
      </c>
    </row>
    <row r="340" spans="1:24" ht="15">
      <c r="A340" s="47"/>
      <c r="B340" s="17">
        <f t="shared" si="103"/>
        <v>10</v>
      </c>
      <c r="C340" s="1" t="s">
        <v>103</v>
      </c>
      <c r="D340" s="1" t="s">
        <v>104</v>
      </c>
      <c r="E340" s="20"/>
      <c r="F340" s="118">
        <f>' WP II-I-1.4'!L340</f>
        <v>3404153.6200000001</v>
      </c>
      <c r="G340" s="17" t="s">
        <v>805</v>
      </c>
      <c r="H340" s="47" t="s">
        <v>320</v>
      </c>
      <c r="I340" s="1000"/>
      <c r="J340" s="434">
        <f>'II-I-DIST'!J340+'II-I-MET'!J340+'II-I-TBILLTDCS'!J340</f>
        <v>1895280.154701568</v>
      </c>
      <c r="K340" s="434">
        <f>'II-I-DIST'!K340+'II-I-MET'!K340+'II-I-TBILLTDCS'!K340</f>
        <v>102950.71275520636</v>
      </c>
      <c r="L340" s="434">
        <f>'II-I-DIST'!L340+'II-I-MET'!L340+'II-I-TBILLTDCS'!L340</f>
        <v>1146809.4695032267</v>
      </c>
      <c r="M340" s="434">
        <f>'II-I-DIST'!M340+'II-I-MET'!M340+'II-I-TBILLTDCS'!M340</f>
        <v>2564.1579846332447</v>
      </c>
      <c r="N340" s="434">
        <f>'II-I-DIST'!N340+'II-I-MET'!N340+'II-I-TBILLTDCS'!N340</f>
        <v>197717.10775850876</v>
      </c>
      <c r="O340" s="434">
        <f>'II-I-DIST'!O340+'II-I-MET'!O340+'II-I-TBILLTDCS'!O340</f>
        <v>16610.10025047401</v>
      </c>
      <c r="P340" s="434">
        <f>'II-I-DIST'!P340+'II-I-MET'!P340+'II-I-TBILLTDCS'!P340</f>
        <v>6271.4927462456026</v>
      </c>
      <c r="Q340" s="434">
        <f>'II-I-DIST'!Q340+'II-I-MET'!Q340+'II-I-TBILLTDCS'!Q340</f>
        <v>25308.733087674624</v>
      </c>
      <c r="R340" s="434">
        <f>'II-I-DIST'!R340+'II-I-MET'!R340+'II-I-TBILLTDCS'!R340</f>
        <v>1983.7908932236703</v>
      </c>
      <c r="S340" s="434">
        <f>'II-I-DIST'!S340+'II-I-MET'!S340+'II-I-TBILLTDCS'!S340</f>
        <v>8657.9003192392083</v>
      </c>
      <c r="T340" s="1000"/>
      <c r="U340" s="118">
        <f t="shared" si="104"/>
        <v>3404153.6200000001</v>
      </c>
      <c r="V340" s="67"/>
      <c r="X340" s="370">
        <f t="shared" si="105"/>
        <v>0</v>
      </c>
    </row>
    <row r="341" spans="1:24" ht="15">
      <c r="A341" s="47"/>
      <c r="B341" s="17">
        <f t="shared" si="103"/>
        <v>11</v>
      </c>
      <c r="C341" s="1" t="s">
        <v>105</v>
      </c>
      <c r="D341" s="1" t="s">
        <v>106</v>
      </c>
      <c r="E341" s="20"/>
      <c r="F341" s="118">
        <f>' WP II-I-1.4'!L341</f>
        <v>2662610.6600000001</v>
      </c>
      <c r="G341" s="17" t="s">
        <v>805</v>
      </c>
      <c r="H341" s="47" t="s">
        <v>320</v>
      </c>
      <c r="I341" s="1000"/>
      <c r="J341" s="435">
        <f>'II-I-DIST'!J341+'II-I-MET'!J341+'II-I-TBILLTDCS'!J341</f>
        <v>1482264.4530437663</v>
      </c>
      <c r="K341" s="435">
        <f>'II-I-DIST'!K341+'II-I-MET'!K341+'II-I-TBILLTDCS'!K341</f>
        <v>68795.952584983635</v>
      </c>
      <c r="L341" s="435">
        <f>'II-I-DIST'!L341+'II-I-MET'!L341+'II-I-TBILLTDCS'!L341</f>
        <v>912102.09534822602</v>
      </c>
      <c r="M341" s="435">
        <f>'II-I-DIST'!M341+'II-I-MET'!M341+'II-I-TBILLTDCS'!M341</f>
        <v>1380.4327711801095</v>
      </c>
      <c r="N341" s="435">
        <f>'II-I-DIST'!N341+'II-I-MET'!N341+'II-I-TBILLTDCS'!N341</f>
        <v>150520.55169427092</v>
      </c>
      <c r="O341" s="435">
        <f>'II-I-DIST'!O341+'II-I-MET'!O341+'II-I-TBILLTDCS'!O341</f>
        <v>13460.197491548615</v>
      </c>
      <c r="P341" s="435">
        <f>'II-I-DIST'!P341+'II-I-MET'!P341+'II-I-TBILLTDCS'!P341</f>
        <v>4076.5507434578349</v>
      </c>
      <c r="Q341" s="435">
        <f>'II-I-DIST'!Q341+'II-I-MET'!Q341+'II-I-TBILLTDCS'!Q341</f>
        <v>21243.813553739219</v>
      </c>
      <c r="R341" s="435">
        <f>'II-I-DIST'!R341+'II-I-MET'!R341+'II-I-TBILLTDCS'!R341</f>
        <v>1609.851637136866</v>
      </c>
      <c r="S341" s="435">
        <f>'II-I-DIST'!S341+'II-I-MET'!S341+'II-I-TBILLTDCS'!S341</f>
        <v>7156.7611316904813</v>
      </c>
      <c r="T341" s="1000"/>
      <c r="U341" s="118">
        <f t="shared" si="104"/>
        <v>2662610.6599999997</v>
      </c>
      <c r="V341" s="67"/>
      <c r="X341" s="370">
        <f t="shared" si="105"/>
        <v>0</v>
      </c>
    </row>
    <row r="342" spans="1:24" ht="15">
      <c r="A342" s="47"/>
      <c r="B342" s="17">
        <f t="shared" si="103"/>
        <v>12</v>
      </c>
      <c r="C342" s="8"/>
      <c r="D342" s="297" t="s">
        <v>491</v>
      </c>
      <c r="E342" s="20"/>
      <c r="F342" s="298">
        <f>SUM(F333:F341)</f>
        <v>157408964.56</v>
      </c>
      <c r="G342" s="20"/>
      <c r="H342" s="20"/>
      <c r="I342" s="1000"/>
      <c r="J342" s="907">
        <f t="shared" si="106" ref="J342:Q342">SUM(J333:J341)</f>
        <v>87674815.595294088</v>
      </c>
      <c r="K342" s="907">
        <f t="shared" si="106"/>
        <v>8540201.0690877363</v>
      </c>
      <c r="L342" s="907">
        <f t="shared" si="106"/>
        <v>48150413.220103674</v>
      </c>
      <c r="M342" s="907">
        <f t="shared" si="106"/>
        <v>320059.66264336504</v>
      </c>
      <c r="N342" s="907">
        <f t="shared" si="106"/>
        <v>10471241.945414225</v>
      </c>
      <c r="O342" s="907">
        <f>SUM(O333:O341)</f>
        <v>616963.07883965631</v>
      </c>
      <c r="P342" s="907">
        <f t="shared" si="106"/>
        <v>557097.00426039565</v>
      </c>
      <c r="Q342" s="907">
        <f t="shared" si="106"/>
        <v>728989.74585915054</v>
      </c>
      <c r="R342" s="907">
        <f>SUM(R333:R341)</f>
        <v>72956.358711831213</v>
      </c>
      <c r="S342" s="907">
        <f>SUM(S333:S341)</f>
        <v>276226.8797858819</v>
      </c>
      <c r="T342" s="1000"/>
      <c r="U342" s="299">
        <f t="shared" si="104"/>
        <v>157408964.56000003</v>
      </c>
      <c r="V342" s="67"/>
      <c r="W342" s="1300" t="b">
        <f>' WP II-I-1.4'!$L$342=F342</f>
        <v>1</v>
      </c>
      <c r="X342" s="370">
        <f t="shared" si="105"/>
        <v>0</v>
      </c>
    </row>
    <row r="343" spans="1:24" ht="15">
      <c r="A343" s="47"/>
      <c r="B343" s="17">
        <f t="shared" si="103"/>
        <v>13</v>
      </c>
      <c r="C343" s="1"/>
      <c r="D343" s="297"/>
      <c r="E343" s="20"/>
      <c r="F343" s="22"/>
      <c r="G343" s="20"/>
      <c r="H343" s="20"/>
      <c r="I343" s="1000"/>
      <c r="J343" s="1059"/>
      <c r="K343" s="1059"/>
      <c r="L343" s="1059"/>
      <c r="M343" s="1059"/>
      <c r="N343" s="1059"/>
      <c r="O343" s="1059"/>
      <c r="P343" s="1059"/>
      <c r="Q343" s="1059"/>
      <c r="R343" s="1059"/>
      <c r="S343" s="1059"/>
      <c r="T343" s="1000"/>
      <c r="U343" s="19"/>
      <c r="V343" s="67"/>
      <c r="X343" s="370">
        <f t="shared" si="105"/>
        <v>0</v>
      </c>
    </row>
    <row r="344" spans="1:24" ht="15">
      <c r="A344" s="47"/>
      <c r="B344" s="17">
        <f t="shared" si="103"/>
        <v>14</v>
      </c>
      <c r="C344" s="1" t="s">
        <v>107</v>
      </c>
      <c r="D344" s="1" t="s">
        <v>108</v>
      </c>
      <c r="E344" s="20"/>
      <c r="F344" s="118">
        <f>' WP II-I-1.4'!L344</f>
        <v>49936750.870000005</v>
      </c>
      <c r="G344" s="17" t="s">
        <v>805</v>
      </c>
      <c r="H344" s="47" t="s">
        <v>320</v>
      </c>
      <c r="I344" s="1000"/>
      <c r="J344" s="434">
        <f>'II-I-DIST'!J344+'II-I-MET'!J344+'II-I-TBILLTDCS'!J344</f>
        <v>27833068.85303057</v>
      </c>
      <c r="K344" s="434">
        <f>'II-I-DIST'!K344+'II-I-MET'!K344+'II-I-TBILLTDCS'!K344</f>
        <v>3785583.3655168312</v>
      </c>
      <c r="L344" s="434">
        <f>'II-I-DIST'!L344+'II-I-MET'!L344+'II-I-TBILLTDCS'!L344</f>
        <v>13891986.989677336</v>
      </c>
      <c r="M344" s="434">
        <f>'II-I-DIST'!M344+'II-I-MET'!M344+'II-I-TBILLTDCS'!M344</f>
        <v>158897.82488365762</v>
      </c>
      <c r="N344" s="434">
        <f>'II-I-DIST'!N344+'II-I-MET'!N344+'II-I-TBILLTDCS'!N344</f>
        <v>3701004.2357435701</v>
      </c>
      <c r="O344" s="434">
        <f>'II-I-DIST'!O344+'II-I-MET'!O344+'II-I-TBILLTDCS'!O344</f>
        <v>152796.56421387728</v>
      </c>
      <c r="P344" s="434">
        <f>'II-I-DIST'!P344+'II-I-MET'!P344+'II-I-TBILLTDCS'!P344</f>
        <v>252786.78223640472</v>
      </c>
      <c r="Q344" s="434">
        <f>'II-I-DIST'!Q344+'II-I-MET'!Q344+'II-I-TBILLTDCS'!Q344</f>
        <v>90473.352995419482</v>
      </c>
      <c r="R344" s="434">
        <f>'II-I-DIST'!R344+'II-I-MET'!R344+'II-I-TBILLTDCS'!R344</f>
        <v>17809.996296461006</v>
      </c>
      <c r="S344" s="434">
        <f>'II-I-DIST'!S344+'II-I-MET'!S344+'II-I-TBILLTDCS'!S344</f>
        <v>52342.905405875565</v>
      </c>
      <c r="T344" s="1000"/>
      <c r="U344" s="118">
        <f>SUM(I344:T344)</f>
        <v>49936750.869999997</v>
      </c>
      <c r="V344" s="67"/>
      <c r="X344" s="370">
        <f t="shared" si="105"/>
        <v>0</v>
      </c>
    </row>
    <row r="345" spans="1:24" ht="15">
      <c r="A345" s="47"/>
      <c r="B345" s="17">
        <f t="shared" si="103"/>
        <v>15</v>
      </c>
      <c r="C345" s="1" t="s">
        <v>110</v>
      </c>
      <c r="D345" s="1" t="s">
        <v>550</v>
      </c>
      <c r="E345" s="20"/>
      <c r="F345" s="118">
        <f>' WP II-I-1.4'!L345</f>
        <v>681339.92000000004</v>
      </c>
      <c r="G345" s="17" t="s">
        <v>805</v>
      </c>
      <c r="H345" s="47" t="s">
        <v>320</v>
      </c>
      <c r="I345" s="1000"/>
      <c r="J345" s="434">
        <f>'II-I-DIST'!J345+'II-I-MET'!J345+'II-I-TBILLTDCS'!J345</f>
        <v>379337.26237947686</v>
      </c>
      <c r="K345" s="434">
        <f>'II-I-DIST'!K345+'II-I-MET'!K345+'II-I-TBILLTDCS'!K345</f>
        <v>20437.136080662101</v>
      </c>
      <c r="L345" s="434">
        <f>'II-I-DIST'!L345+'II-I-MET'!L345+'II-I-TBILLTDCS'!L345</f>
        <v>229750.35937630734</v>
      </c>
      <c r="M345" s="434">
        <f>'II-I-DIST'!M345+'II-I-MET'!M345+'II-I-TBILLTDCS'!M345</f>
        <v>504.23864312043639</v>
      </c>
      <c r="N345" s="434">
        <f>'II-I-DIST'!N345+'II-I-MET'!N345+'II-I-TBILLTDCS'!N345</f>
        <v>39513.739449871806</v>
      </c>
      <c r="O345" s="434">
        <f>'II-I-DIST'!O345+'II-I-MET'!O345+'II-I-TBILLTDCS'!O345</f>
        <v>3331.2295475571518</v>
      </c>
      <c r="P345" s="434">
        <f>'II-I-DIST'!P345+'II-I-MET'!P345+'II-I-TBILLTDCS'!P345</f>
        <v>1243.3362790137128</v>
      </c>
      <c r="Q345" s="434">
        <f>'II-I-DIST'!Q345+'II-I-MET'!Q345+'II-I-TBILLTDCS'!Q345</f>
        <v>5086.3265749342136</v>
      </c>
      <c r="R345" s="434">
        <f>'II-I-DIST'!R345+'II-I-MET'!R345+'II-I-TBILLTDCS'!R345</f>
        <v>397.89058085767033</v>
      </c>
      <c r="S345" s="434">
        <f>'II-I-DIST'!S345+'II-I-MET'!S345+'II-I-TBILLTDCS'!S345</f>
        <v>1738.4010881987579</v>
      </c>
      <c r="T345" s="1000"/>
      <c r="U345" s="118">
        <f>SUM(I345:T345)</f>
        <v>681339.91999999993</v>
      </c>
      <c r="V345" s="67"/>
      <c r="X345" s="370">
        <f t="shared" si="105"/>
        <v>0</v>
      </c>
    </row>
    <row r="346" spans="1:24" ht="15">
      <c r="A346" s="47"/>
      <c r="B346" s="17">
        <f t="shared" si="103"/>
        <v>16</v>
      </c>
      <c r="C346" s="1" t="s">
        <v>112</v>
      </c>
      <c r="D346" s="1" t="s">
        <v>584</v>
      </c>
      <c r="E346" s="20"/>
      <c r="F346" s="118">
        <f>' WP II-I-1.4'!L346</f>
        <v>0</v>
      </c>
      <c r="G346" s="17" t="s">
        <v>805</v>
      </c>
      <c r="H346" s="47" t="s">
        <v>320</v>
      </c>
      <c r="I346" s="1000"/>
      <c r="J346" s="435">
        <f>'II-I-DIST'!J346+'II-I-MET'!J346+'II-I-TBILLTDCS'!J346</f>
        <v>0</v>
      </c>
      <c r="K346" s="435">
        <f>'II-I-DIST'!K346+'II-I-MET'!K346+'II-I-TBILLTDCS'!K346</f>
        <v>0</v>
      </c>
      <c r="L346" s="435">
        <f>'II-I-DIST'!L346+'II-I-MET'!L346+'II-I-TBILLTDCS'!L346</f>
        <v>0</v>
      </c>
      <c r="M346" s="435">
        <f>'II-I-DIST'!M346+'II-I-MET'!M346+'II-I-TBILLTDCS'!M346</f>
        <v>0</v>
      </c>
      <c r="N346" s="435">
        <f>'II-I-DIST'!N346+'II-I-MET'!N346+'II-I-TBILLTDCS'!N346</f>
        <v>0</v>
      </c>
      <c r="O346" s="435">
        <f>'II-I-DIST'!O346+'II-I-MET'!O346+'II-I-TBILLTDCS'!O346</f>
        <v>0</v>
      </c>
      <c r="P346" s="435">
        <f>'II-I-DIST'!P346+'II-I-MET'!P346+'II-I-TBILLTDCS'!P346</f>
        <v>0</v>
      </c>
      <c r="Q346" s="435">
        <f>'II-I-DIST'!Q346+'II-I-MET'!Q346+'II-I-TBILLTDCS'!Q346</f>
        <v>0</v>
      </c>
      <c r="R346" s="435">
        <f>'II-I-DIST'!R346+'II-I-MET'!R346+'II-I-TBILLTDCS'!R346</f>
        <v>0</v>
      </c>
      <c r="S346" s="435">
        <f>'II-I-DIST'!S346+'II-I-MET'!S346+'II-I-TBILLTDCS'!S346</f>
        <v>0</v>
      </c>
      <c r="T346" s="1000"/>
      <c r="U346" s="118">
        <f>SUM(I346:T346)</f>
        <v>0</v>
      </c>
      <c r="V346" s="67"/>
      <c r="X346" s="370">
        <f t="shared" si="105"/>
        <v>0</v>
      </c>
    </row>
    <row r="347" spans="1:24" ht="15">
      <c r="A347" s="47"/>
      <c r="B347" s="17">
        <f t="shared" si="103"/>
        <v>17</v>
      </c>
      <c r="C347" s="8"/>
      <c r="D347" s="297" t="s">
        <v>491</v>
      </c>
      <c r="E347" s="20"/>
      <c r="F347" s="22">
        <f>SUM(F344:F346)</f>
        <v>50618090.790000007</v>
      </c>
      <c r="G347" s="20"/>
      <c r="H347" s="20"/>
      <c r="I347" s="1000"/>
      <c r="J347" s="896">
        <f t="shared" si="107" ref="J347:Q347">SUM(J344:J346)</f>
        <v>28212406.115410049</v>
      </c>
      <c r="K347" s="896">
        <f t="shared" si="107"/>
        <v>3806020.5015974934</v>
      </c>
      <c r="L347" s="896">
        <f t="shared" si="107"/>
        <v>14121737.349053644</v>
      </c>
      <c r="M347" s="896">
        <f t="shared" si="107"/>
        <v>159402.06352677807</v>
      </c>
      <c r="N347" s="896">
        <f t="shared" si="107"/>
        <v>3740517.9751934418</v>
      </c>
      <c r="O347" s="896">
        <f>SUM(O344:O346)</f>
        <v>156127.79376143444</v>
      </c>
      <c r="P347" s="896">
        <f t="shared" si="107"/>
        <v>254030.11851541844</v>
      </c>
      <c r="Q347" s="896">
        <f t="shared" si="107"/>
        <v>95559.679570353692</v>
      </c>
      <c r="R347" s="896">
        <f>SUM(R344:R346)</f>
        <v>18207.886877318677</v>
      </c>
      <c r="S347" s="896">
        <f>SUM(S344:S346)</f>
        <v>54081.306494074321</v>
      </c>
      <c r="T347" s="20"/>
      <c r="U347" s="299">
        <f>SUM(I347:T347)</f>
        <v>50618090.790000007</v>
      </c>
      <c r="V347" s="67"/>
      <c r="W347" s="1300" t="b">
        <f>' WP II-I-1.4'!$L$347=F347</f>
        <v>1</v>
      </c>
      <c r="X347" s="370">
        <f t="shared" si="105"/>
        <v>0</v>
      </c>
    </row>
    <row r="348" spans="1:24" ht="15" thickBot="1">
      <c r="A348" s="47"/>
      <c r="B348" s="17">
        <f t="shared" si="103"/>
        <v>18</v>
      </c>
      <c r="C348" s="1"/>
      <c r="D348" s="1"/>
      <c r="E348" s="17"/>
      <c r="F348" s="18"/>
      <c r="G348" s="17"/>
      <c r="H348" s="17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7"/>
      <c r="U348" s="1"/>
      <c r="V348" s="67"/>
      <c r="X348" s="370">
        <f t="shared" si="105"/>
        <v>0</v>
      </c>
    </row>
    <row r="349" spans="1:24" ht="15">
      <c r="A349" s="47"/>
      <c r="B349" s="17">
        <f t="shared" si="103"/>
        <v>19</v>
      </c>
      <c r="C349" s="319" t="s">
        <v>585</v>
      </c>
      <c r="D349" s="304"/>
      <c r="E349" s="305"/>
      <c r="F349" s="328">
        <f>+F347+F342</f>
        <v>208027055.35000002</v>
      </c>
      <c r="G349" s="305"/>
      <c r="H349" s="305"/>
      <c r="I349" s="857"/>
      <c r="J349" s="454">
        <f t="shared" si="108" ref="J349:Q349">+J347+J342</f>
        <v>115887221.71070413</v>
      </c>
      <c r="K349" s="328">
        <f t="shared" si="108"/>
        <v>12346221.57068523</v>
      </c>
      <c r="L349" s="328">
        <f t="shared" si="108"/>
        <v>62272150.569157317</v>
      </c>
      <c r="M349" s="328">
        <f t="shared" si="108"/>
        <v>479461.72617014311</v>
      </c>
      <c r="N349" s="328">
        <f t="shared" si="108"/>
        <v>14211759.920607667</v>
      </c>
      <c r="O349" s="328">
        <f>+O347+O342</f>
        <v>773090.8726010907</v>
      </c>
      <c r="P349" s="328">
        <f t="shared" si="108"/>
        <v>811127.12277581403</v>
      </c>
      <c r="Q349" s="328">
        <f t="shared" si="108"/>
        <v>824549.42542950425</v>
      </c>
      <c r="R349" s="328">
        <f>+R347+R342</f>
        <v>91164.245589149883</v>
      </c>
      <c r="S349" s="307">
        <f>+S347+S342</f>
        <v>330308.18627995625</v>
      </c>
      <c r="T349" s="438"/>
      <c r="U349" s="307">
        <f>SUM(I349:T349)</f>
        <v>208027055.34999996</v>
      </c>
      <c r="V349" s="67"/>
      <c r="W349" s="1300" t="b">
        <f>' WP II-I-1.4'!$L$349=F349</f>
        <v>1</v>
      </c>
      <c r="X349" s="370">
        <f t="shared" si="105"/>
        <v>0</v>
      </c>
    </row>
    <row r="350" spans="1:24" ht="15.75" thickBot="1">
      <c r="A350" s="47"/>
      <c r="B350" s="17">
        <f t="shared" si="103"/>
        <v>20</v>
      </c>
      <c r="C350" s="326" t="s">
        <v>586</v>
      </c>
      <c r="D350" s="310"/>
      <c r="E350" s="327"/>
      <c r="F350" s="312">
        <f>+F214-F349</f>
        <v>435514025.75</v>
      </c>
      <c r="G350" s="327"/>
      <c r="H350" s="327"/>
      <c r="I350" s="1065"/>
      <c r="J350" s="442">
        <f t="shared" si="109" ref="J350:Q350">+J214-J349</f>
        <v>242500133.95500463</v>
      </c>
      <c r="K350" s="312">
        <f t="shared" si="109"/>
        <v>16557905.519450024</v>
      </c>
      <c r="L350" s="312">
        <f t="shared" si="109"/>
        <v>142342140.74133849</v>
      </c>
      <c r="M350" s="312">
        <f t="shared" si="109"/>
        <v>508604.98914641712</v>
      </c>
      <c r="N350" s="312">
        <f t="shared" si="109"/>
        <v>26485140.689388532</v>
      </c>
      <c r="O350" s="312">
        <f>+O214-O349</f>
        <v>1989565.9096987227</v>
      </c>
      <c r="P350" s="312">
        <f t="shared" si="109"/>
        <v>1041687.9481848669</v>
      </c>
      <c r="Q350" s="312">
        <f t="shared" si="109"/>
        <v>2855482.5506080212</v>
      </c>
      <c r="R350" s="312">
        <f>+R214-R349</f>
        <v>236965.90507267823</v>
      </c>
      <c r="S350" s="443">
        <f>+S214-S349</f>
        <v>996397.54210774298</v>
      </c>
      <c r="T350" s="453"/>
      <c r="U350" s="313">
        <f>SUM(I350:T350)</f>
        <v>435514025.75000012</v>
      </c>
      <c r="V350" s="67"/>
      <c r="W350" s="1300" t="b">
        <f>' WP II-I-1.4'!$L$350=F350</f>
        <v>1</v>
      </c>
      <c r="X350" s="370">
        <f t="shared" si="105"/>
        <v>0</v>
      </c>
    </row>
    <row r="351" spans="1:24" ht="15" thickBot="1">
      <c r="A351" s="47"/>
      <c r="B351" s="17">
        <f t="shared" si="103"/>
        <v>21</v>
      </c>
      <c r="C351" s="1"/>
      <c r="D351" s="31"/>
      <c r="E351" s="330"/>
      <c r="F351" s="18"/>
      <c r="G351" s="330"/>
      <c r="H351" s="330"/>
      <c r="I351" s="330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330"/>
      <c r="U351" s="18"/>
      <c r="V351" s="67"/>
      <c r="W351" s="1300"/>
      <c r="X351" s="370">
        <f t="shared" si="105"/>
        <v>0</v>
      </c>
    </row>
    <row r="352" spans="1:24" ht="15.75" thickBot="1">
      <c r="A352" s="47"/>
      <c r="B352" s="17">
        <f t="shared" si="103"/>
        <v>22</v>
      </c>
      <c r="C352" s="284" t="s">
        <v>587</v>
      </c>
      <c r="D352" s="285"/>
      <c r="E352" s="331"/>
      <c r="F352" s="903">
        <f>F350+F315</f>
        <v>10466034897.249998</v>
      </c>
      <c r="G352" s="331"/>
      <c r="H352" s="331"/>
      <c r="I352" s="1067"/>
      <c r="J352" s="446">
        <f t="shared" si="110" ref="J352:Q352">J350+J315</f>
        <v>5825831648.9776688</v>
      </c>
      <c r="K352" s="903">
        <f t="shared" si="110"/>
        <v>235478345.05332434</v>
      </c>
      <c r="L352" s="903">
        <f t="shared" si="110"/>
        <v>3630179739.1523304</v>
      </c>
      <c r="M352" s="903">
        <f t="shared" si="110"/>
        <v>3563834.0146273756</v>
      </c>
      <c r="N352" s="903">
        <f t="shared" si="110"/>
        <v>579354580.63966882</v>
      </c>
      <c r="O352" s="903">
        <f>O350+O315</f>
        <v>54302787.826271288</v>
      </c>
      <c r="P352" s="903">
        <f t="shared" si="110"/>
        <v>13554837.636520231</v>
      </c>
      <c r="Q352" s="903">
        <f t="shared" si="110"/>
        <v>87990668.32744813</v>
      </c>
      <c r="R352" s="903">
        <f>R350+R315</f>
        <v>6501166.7346643461</v>
      </c>
      <c r="S352" s="380">
        <f>S350+S315</f>
        <v>29277288.887474332</v>
      </c>
      <c r="T352" s="456"/>
      <c r="U352" s="256">
        <f>SUM(I352:T352)</f>
        <v>10466034897.249998</v>
      </c>
      <c r="V352" s="67"/>
      <c r="W352" s="1300" t="b">
        <f>' WP II-I-1.4'!$L$352=F352</f>
        <v>1</v>
      </c>
      <c r="X352" s="370">
        <f t="shared" si="105"/>
        <v>0</v>
      </c>
    </row>
    <row r="353" spans="1:24" ht="15.75" thickBot="1">
      <c r="A353" s="47"/>
      <c r="B353" s="17">
        <f t="shared" si="103"/>
        <v>23</v>
      </c>
      <c r="C353" s="8"/>
      <c r="D353" s="8"/>
      <c r="E353" s="297"/>
      <c r="F353" s="22"/>
      <c r="G353" s="297"/>
      <c r="H353" s="297"/>
      <c r="I353" s="297"/>
      <c r="J353" s="896"/>
      <c r="K353" s="896"/>
      <c r="L353" s="896"/>
      <c r="M353" s="896"/>
      <c r="N353" s="22"/>
      <c r="O353" s="22"/>
      <c r="P353" s="22"/>
      <c r="Q353" s="22"/>
      <c r="R353" s="22"/>
      <c r="S353" s="22"/>
      <c r="T353" s="297"/>
      <c r="U353" s="22"/>
      <c r="V353" s="67"/>
      <c r="W353" s="1300"/>
      <c r="X353" s="370">
        <f t="shared" si="105"/>
        <v>0</v>
      </c>
    </row>
    <row r="354" spans="1:24" ht="15.75" thickBot="1">
      <c r="A354" s="47"/>
      <c r="B354" s="17">
        <f t="shared" si="103"/>
        <v>24</v>
      </c>
      <c r="C354" s="284" t="s">
        <v>588</v>
      </c>
      <c r="D354" s="285"/>
      <c r="E354" s="331"/>
      <c r="F354" s="903">
        <f>F350+F314</f>
        <v>10000421066.859999</v>
      </c>
      <c r="G354" s="331"/>
      <c r="H354" s="331"/>
      <c r="I354" s="1067"/>
      <c r="J354" s="446">
        <f t="shared" si="111" ref="J354:Q354">J350+J314</f>
        <v>5566516575.1275291</v>
      </c>
      <c r="K354" s="903">
        <f t="shared" si="111"/>
        <v>209580669.45439965</v>
      </c>
      <c r="L354" s="903">
        <f t="shared" si="111"/>
        <v>3488593784.4613285</v>
      </c>
      <c r="M354" s="903">
        <f t="shared" si="111"/>
        <v>2583154.7872059671</v>
      </c>
      <c r="N354" s="903">
        <f t="shared" si="111"/>
        <v>548159976.94745934</v>
      </c>
      <c r="O354" s="903">
        <f>O350+O314</f>
        <v>52503588.18898917</v>
      </c>
      <c r="P354" s="903">
        <f t="shared" si="111"/>
        <v>11861999.951203585</v>
      </c>
      <c r="Q354" s="903">
        <f t="shared" si="111"/>
        <v>85851457.068875089</v>
      </c>
      <c r="R354" s="903">
        <f>R350+R314</f>
        <v>6288563.4765691496</v>
      </c>
      <c r="S354" s="380">
        <f>S350+S314</f>
        <v>28481297.396438405</v>
      </c>
      <c r="T354" s="456"/>
      <c r="U354" s="256">
        <f>SUM(I354:T354)</f>
        <v>10000421066.860001</v>
      </c>
      <c r="V354" s="67"/>
      <c r="W354" s="1300" t="b">
        <f>' WP II-I-1.4'!$L$354=F354</f>
        <v>1</v>
      </c>
      <c r="X354" s="370">
        <f t="shared" si="105"/>
        <v>0</v>
      </c>
    </row>
    <row r="355" spans="1:24" ht="14.25">
      <c r="A355" s="4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X355" s="370">
        <f t="shared" si="105"/>
        <v>0</v>
      </c>
    </row>
    <row r="356" spans="1:24" ht="14.25">
      <c r="A356" s="47"/>
      <c r="B356" s="67"/>
      <c r="C356" s="67"/>
      <c r="D356" s="67"/>
      <c r="E356" s="67"/>
      <c r="F356" s="67"/>
      <c r="G356" s="67"/>
      <c r="H356" s="134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134"/>
      <c r="V356" s="134"/>
      <c r="X356" s="370"/>
    </row>
    <row r="357" spans="1:24" ht="15" thickBot="1">
      <c r="A357" s="4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X357" s="370">
        <f t="shared" si="105"/>
        <v>0</v>
      </c>
    </row>
    <row r="358" spans="1:24" ht="15">
      <c r="A358" s="47"/>
      <c r="B358" s="920" t="str">
        <f>+$B$4</f>
        <v>2022 RATE CASE</v>
      </c>
      <c r="C358" s="935"/>
      <c r="D358" s="969"/>
      <c r="F358" s="332"/>
      <c r="U358" s="134"/>
      <c r="X358" s="370">
        <f t="shared" si="105"/>
        <v>0</v>
      </c>
    </row>
    <row r="359" spans="1:24" ht="15">
      <c r="A359" s="47"/>
      <c r="B359" s="917" t="str">
        <f>+$B$5</f>
        <v>ONCOR ELECTRIC DELIVERY COMPANY LLC</v>
      </c>
      <c r="C359" s="8"/>
      <c r="D359" s="970"/>
      <c r="F359" s="332"/>
      <c r="U359" s="134"/>
      <c r="V359" s="67"/>
      <c r="X359" s="370">
        <f t="shared" si="105"/>
        <v>0</v>
      </c>
    </row>
    <row r="360" spans="1:24" ht="15">
      <c r="A360" s="47"/>
      <c r="B360" s="917" t="str">
        <f>+$B$6</f>
        <v>II-I-1-TOT:  CLASS REVENUE REQUIREMENT</v>
      </c>
      <c r="C360" s="85"/>
      <c r="D360" s="970"/>
      <c r="F360" s="332"/>
      <c r="U360" s="332"/>
      <c r="V360" s="67"/>
      <c r="X360" s="370">
        <f t="shared" si="105"/>
        <v>0</v>
      </c>
    </row>
    <row r="361" spans="1:24" ht="15">
      <c r="A361" s="47"/>
      <c r="B361" s="406" t="str">
        <f>+$B$7</f>
        <v>TEST YEAR ENDING 12/31/2021</v>
      </c>
      <c r="C361" s="85"/>
      <c r="D361" s="970"/>
      <c r="F361" s="332"/>
      <c r="U361" s="332"/>
      <c r="V361" s="67"/>
      <c r="X361" s="370">
        <f t="shared" si="105"/>
        <v>0</v>
      </c>
    </row>
    <row r="362" spans="1:24" ht="15">
      <c r="A362" s="47"/>
      <c r="B362" s="406" t="str">
        <f>+$B$8</f>
        <v>SPONSOR:  MATTHEW A. TROXLE</v>
      </c>
      <c r="C362" s="85"/>
      <c r="D362" s="970"/>
      <c r="F362" s="332"/>
      <c r="U362" s="332"/>
      <c r="V362" s="67"/>
      <c r="X362" s="370">
        <f t="shared" si="105"/>
        <v>0</v>
      </c>
    </row>
    <row r="363" spans="1:24" ht="15.75" thickBot="1">
      <c r="A363" s="47"/>
      <c r="B363" s="410"/>
      <c r="C363" s="934"/>
      <c r="D363" s="936"/>
      <c r="F363" s="332"/>
      <c r="U363" s="332"/>
      <c r="V363" s="67"/>
      <c r="X363" s="370">
        <f t="shared" si="105"/>
        <v>0</v>
      </c>
    </row>
    <row r="364" spans="1:24" ht="15" thickBot="1">
      <c r="A364" s="47"/>
      <c r="B364" s="13"/>
      <c r="C364" s="14"/>
      <c r="D364" s="14"/>
      <c r="E364" s="14"/>
      <c r="F364" s="13"/>
      <c r="G364" s="14"/>
      <c r="H364" s="14"/>
      <c r="I364" s="14"/>
      <c r="J364" s="238"/>
      <c r="K364" s="238"/>
      <c r="L364" s="14"/>
      <c r="M364" s="238"/>
      <c r="N364" s="238"/>
      <c r="O364" s="238"/>
      <c r="P364" s="238"/>
      <c r="Q364" s="14"/>
      <c r="R364" s="393" t="str">
        <f>R$10</f>
        <v xml:space="preserve"> </v>
      </c>
      <c r="S364" s="394"/>
      <c r="T364" s="238"/>
      <c r="U364" s="13"/>
      <c r="V364" s="67"/>
      <c r="X364" s="370">
        <f t="shared" si="105"/>
        <v>0</v>
      </c>
    </row>
    <row r="365" spans="1:24" ht="15">
      <c r="A365" s="47"/>
      <c r="B365" s="15" t="s">
        <v>2</v>
      </c>
      <c r="C365" s="15" t="s">
        <v>370</v>
      </c>
      <c r="D365" s="287" t="s">
        <v>118</v>
      </c>
      <c r="E365" s="15" t="s">
        <v>371</v>
      </c>
      <c r="F365" s="287" t="str">
        <f>F$11</f>
        <v>TOTAL</v>
      </c>
      <c r="G365" s="242" t="s">
        <v>741</v>
      </c>
      <c r="H365" s="242" t="s">
        <v>376</v>
      </c>
      <c r="I365" s="15"/>
      <c r="J365" s="242" t="s">
        <v>730</v>
      </c>
      <c r="K365" s="242" t="s">
        <v>409</v>
      </c>
      <c r="L365" s="15" t="s">
        <v>409</v>
      </c>
      <c r="M365" s="242" t="s">
        <v>410</v>
      </c>
      <c r="N365" s="242" t="s">
        <v>410</v>
      </c>
      <c r="O365" s="242" t="s">
        <v>410</v>
      </c>
      <c r="P365" s="242" t="s">
        <v>411</v>
      </c>
      <c r="Q365" s="15" t="s">
        <v>412</v>
      </c>
      <c r="R365" s="396" t="str">
        <f>R$11</f>
        <v>Wholesale</v>
      </c>
      <c r="S365" s="13" t="str">
        <f>S$11</f>
        <v>Wholesale</v>
      </c>
      <c r="T365" s="242"/>
      <c r="U365" s="15" t="s">
        <v>10</v>
      </c>
      <c r="V365" s="67"/>
      <c r="X365" s="370"/>
    </row>
    <row r="366" spans="1:24" ht="14.25">
      <c r="A366" s="47"/>
      <c r="B366" s="15"/>
      <c r="C366" s="15"/>
      <c r="D366" s="15"/>
      <c r="E366" s="15"/>
      <c r="F366" s="15" t="str">
        <f>F$12</f>
        <v>(Dist+Met+Cust)</v>
      </c>
      <c r="G366" s="242" t="s">
        <v>742</v>
      </c>
      <c r="H366" s="242" t="s">
        <v>743</v>
      </c>
      <c r="I366" s="15"/>
      <c r="J366" s="242"/>
      <c r="K366" s="242" t="s">
        <v>731</v>
      </c>
      <c r="L366" s="15" t="s">
        <v>732</v>
      </c>
      <c r="M366" s="242" t="s">
        <v>731</v>
      </c>
      <c r="N366" s="242" t="s">
        <v>732</v>
      </c>
      <c r="O366" s="242" t="s">
        <v>414</v>
      </c>
      <c r="P366" s="242"/>
      <c r="Q366" s="15"/>
      <c r="R366" s="235" t="str">
        <f>R$12</f>
        <v>XFMR</v>
      </c>
      <c r="S366" s="15" t="str">
        <f>S$12</f>
        <v>DLS</v>
      </c>
      <c r="T366" s="242"/>
      <c r="U366" s="15"/>
      <c r="V366" s="67"/>
      <c r="X366" s="370"/>
    </row>
    <row r="367" spans="1:24" ht="15" thickBot="1">
      <c r="A367" s="47"/>
      <c r="B367" s="16"/>
      <c r="C367" s="16"/>
      <c r="D367" s="16"/>
      <c r="E367" s="16"/>
      <c r="F367" s="16" t="s">
        <v>13</v>
      </c>
      <c r="G367" s="16" t="s">
        <v>14</v>
      </c>
      <c r="H367" s="16" t="s">
        <v>15</v>
      </c>
      <c r="I367" s="16"/>
      <c r="J367" s="243" t="str">
        <f t="shared" si="112" ref="J367:Q367">J$13</f>
        <v>(d)</v>
      </c>
      <c r="K367" s="243" t="str">
        <f t="shared" si="112"/>
        <v>(e)</v>
      </c>
      <c r="L367" s="16" t="str">
        <f t="shared" si="112"/>
        <v>(f)</v>
      </c>
      <c r="M367" s="243" t="str">
        <f t="shared" si="112"/>
        <v>(g)</v>
      </c>
      <c r="N367" s="243" t="str">
        <f t="shared" si="112"/>
        <v>(h)</v>
      </c>
      <c r="O367" s="243" t="str">
        <f>O$13</f>
        <v>(i)</v>
      </c>
      <c r="P367" s="243" t="str">
        <f t="shared" si="112"/>
        <v>(j)</v>
      </c>
      <c r="Q367" s="243" t="str">
        <f t="shared" si="112"/>
        <v>(k)</v>
      </c>
      <c r="R367" s="243" t="str">
        <f>R$13</f>
        <v>(l)</v>
      </c>
      <c r="S367" s="16" t="str">
        <f>S$13</f>
        <v>(m)</v>
      </c>
      <c r="T367" s="16"/>
      <c r="U367" s="16" t="s">
        <v>734</v>
      </c>
      <c r="V367" s="67"/>
      <c r="X367" s="370"/>
    </row>
    <row r="368" spans="1:24" ht="14.25">
      <c r="A368" s="47"/>
      <c r="B368" s="67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43"/>
      <c r="V368" s="67"/>
      <c r="X368" s="370">
        <f t="shared" si="105"/>
        <v>0</v>
      </c>
    </row>
    <row r="369" spans="1:24" ht="15">
      <c r="A369" s="47"/>
      <c r="B369" s="17">
        <f t="shared" si="113" ref="B369:B374">B368+1</f>
        <v>1</v>
      </c>
      <c r="C369" s="334" t="s">
        <v>115</v>
      </c>
      <c r="D369" s="36"/>
      <c r="E369" s="37"/>
      <c r="F369" s="39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6"/>
      <c r="V369" s="67"/>
      <c r="X369" s="370">
        <f t="shared" si="105"/>
        <v>0</v>
      </c>
    </row>
    <row r="370" spans="1:24" ht="15">
      <c r="A370" s="47"/>
      <c r="B370" s="17">
        <f t="shared" si="113"/>
        <v>2</v>
      </c>
      <c r="C370" s="334"/>
      <c r="D370" s="4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43"/>
      <c r="V370" s="67"/>
      <c r="X370" s="370">
        <f t="shared" si="105"/>
        <v>0</v>
      </c>
    </row>
    <row r="371" spans="1:24" ht="15">
      <c r="A371" s="47"/>
      <c r="B371" s="17">
        <f t="shared" si="113"/>
        <v>3</v>
      </c>
      <c r="C371" s="43" t="s">
        <v>589</v>
      </c>
      <c r="D371" s="43" t="s">
        <v>118</v>
      </c>
      <c r="E371" s="38" t="s">
        <v>119</v>
      </c>
      <c r="F371" s="118">
        <f>' WP II-I-1.4'!L371</f>
        <v>1745979.3400000001</v>
      </c>
      <c r="G371" s="40" t="s">
        <v>805</v>
      </c>
      <c r="H371" s="47" t="s">
        <v>320</v>
      </c>
      <c r="I371" s="38"/>
      <c r="J371" s="434">
        <f>'II-I-DIST'!J371+'II-I-MET'!J371+'II-I-TBILLTDCS'!J371</f>
        <v>918949.05612198694</v>
      </c>
      <c r="K371" s="434">
        <f>'II-I-DIST'!K371+'II-I-MET'!K371+'II-I-TBILLTDCS'!K371</f>
        <v>22440.93415476655</v>
      </c>
      <c r="L371" s="434">
        <f>'II-I-DIST'!L371+'II-I-MET'!L371+'II-I-TBILLTDCS'!L371</f>
        <v>591685.87524851703</v>
      </c>
      <c r="M371" s="434">
        <f>'II-I-DIST'!M371+'II-I-MET'!M371+'II-I-TBILLTDCS'!M371</f>
        <v>334.50441386345329</v>
      </c>
      <c r="N371" s="434">
        <f>'II-I-DIST'!N371+'II-I-MET'!N371+'II-I-TBILLTDCS'!N371</f>
        <v>141579.1087229487</v>
      </c>
      <c r="O371" s="434">
        <f>'II-I-DIST'!O371+'II-I-MET'!O371+'II-I-TBILLTDCS'!O371</f>
        <v>51199.922597649958</v>
      </c>
      <c r="P371" s="434">
        <f>'II-I-DIST'!P371+'II-I-MET'!P371+'II-I-TBILLTDCS'!P371</f>
        <v>0</v>
      </c>
      <c r="Q371" s="434">
        <f>'II-I-DIST'!Q371+'II-I-MET'!Q371+'II-I-TBILLTDCS'!Q371</f>
        <v>5968.0008339198394</v>
      </c>
      <c r="R371" s="434">
        <f>'II-I-DIST'!R371+'II-I-MET'!R371+'II-I-TBILLTDCS'!R371</f>
        <v>6136.6311775150507</v>
      </c>
      <c r="S371" s="434">
        <f>'II-I-DIST'!S371+'II-I-MET'!S371+'II-I-TBILLTDCS'!S371</f>
        <v>7685.3067288325165</v>
      </c>
      <c r="T371" s="38"/>
      <c r="U371" s="118">
        <f>SUM(I371:T371)</f>
        <v>1745979.3399999996</v>
      </c>
      <c r="V371" s="67"/>
      <c r="X371" s="370">
        <f t="shared" si="105"/>
        <v>0</v>
      </c>
    </row>
    <row r="372" spans="1:24" ht="15">
      <c r="A372" s="47"/>
      <c r="B372" s="17">
        <f t="shared" si="113"/>
        <v>4</v>
      </c>
      <c r="C372" s="36"/>
      <c r="D372" s="44" t="s">
        <v>491</v>
      </c>
      <c r="E372" s="39"/>
      <c r="F372" s="39">
        <f>+F371</f>
        <v>1745979.3400000001</v>
      </c>
      <c r="G372" s="39"/>
      <c r="H372" s="39"/>
      <c r="I372" s="39"/>
      <c r="J372" s="39">
        <f t="shared" si="114" ref="J372:Q372">+J371</f>
        <v>918949.05612198694</v>
      </c>
      <c r="K372" s="39">
        <f t="shared" si="114"/>
        <v>22440.93415476655</v>
      </c>
      <c r="L372" s="39">
        <f t="shared" si="114"/>
        <v>591685.87524851703</v>
      </c>
      <c r="M372" s="39">
        <f t="shared" si="114"/>
        <v>334.50441386345329</v>
      </c>
      <c r="N372" s="39">
        <f t="shared" si="114"/>
        <v>141579.1087229487</v>
      </c>
      <c r="O372" s="39">
        <f>+O371</f>
        <v>51199.922597649958</v>
      </c>
      <c r="P372" s="39">
        <f t="shared" si="114"/>
        <v>0</v>
      </c>
      <c r="Q372" s="39">
        <f t="shared" si="114"/>
        <v>5968.0008339198394</v>
      </c>
      <c r="R372" s="39">
        <f>+R371</f>
        <v>6136.6311775150507</v>
      </c>
      <c r="S372" s="39">
        <f>+S371</f>
        <v>7685.3067288325165</v>
      </c>
      <c r="T372" s="39"/>
      <c r="U372" s="299">
        <f>SUM(I372:T372)</f>
        <v>1745979.3399999996</v>
      </c>
      <c r="V372" s="67"/>
      <c r="W372" s="1300" t="b">
        <f>' WP II-I-1.4'!$L$372=F372</f>
        <v>1</v>
      </c>
      <c r="X372" s="370">
        <f t="shared" si="105"/>
        <v>0</v>
      </c>
    </row>
    <row r="373" spans="1:24" ht="15" thickBot="1">
      <c r="A373" s="47"/>
      <c r="B373" s="17">
        <f t="shared" si="113"/>
        <v>5</v>
      </c>
      <c r="C373" s="43"/>
      <c r="D373" s="4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43"/>
      <c r="V373" s="67"/>
      <c r="X373" s="370">
        <f t="shared" si="105"/>
        <v>0</v>
      </c>
    </row>
    <row r="374" spans="1:24" ht="15.75" thickBot="1">
      <c r="A374" s="47"/>
      <c r="B374" s="17">
        <f t="shared" si="113"/>
        <v>6</v>
      </c>
      <c r="C374" s="335" t="s">
        <v>590</v>
      </c>
      <c r="D374" s="336"/>
      <c r="E374" s="337" t="s">
        <v>119</v>
      </c>
      <c r="F374" s="278">
        <f>+F372</f>
        <v>1745979.3400000001</v>
      </c>
      <c r="G374" s="337"/>
      <c r="H374" s="457"/>
      <c r="I374" s="458"/>
      <c r="J374" s="356">
        <f t="shared" si="115" ref="J374:Q374">+J372</f>
        <v>918949.05612198694</v>
      </c>
      <c r="K374" s="905">
        <f t="shared" si="115"/>
        <v>22440.93415476655</v>
      </c>
      <c r="L374" s="905">
        <f t="shared" si="115"/>
        <v>591685.87524851703</v>
      </c>
      <c r="M374" s="905">
        <f t="shared" si="115"/>
        <v>334.50441386345329</v>
      </c>
      <c r="N374" s="905">
        <f t="shared" si="115"/>
        <v>141579.1087229487</v>
      </c>
      <c r="O374" s="905">
        <f>+O372</f>
        <v>51199.922597649958</v>
      </c>
      <c r="P374" s="905">
        <f t="shared" si="115"/>
        <v>0</v>
      </c>
      <c r="Q374" s="905">
        <f t="shared" si="115"/>
        <v>5968.0008339198394</v>
      </c>
      <c r="R374" s="905">
        <f>+R372</f>
        <v>6136.6311775150507</v>
      </c>
      <c r="S374" s="279">
        <f>+S372</f>
        <v>7685.3067288325165</v>
      </c>
      <c r="T374" s="458"/>
      <c r="U374" s="256">
        <f>SUM(I374:T374)</f>
        <v>1745979.3399999996</v>
      </c>
      <c r="V374" s="67"/>
      <c r="W374" s="1300" t="b">
        <f>' WP II-I-1.4'!$L$372=F374</f>
        <v>1</v>
      </c>
      <c r="X374" s="370">
        <f t="shared" si="105"/>
        <v>0</v>
      </c>
    </row>
    <row r="375" spans="1:24" ht="14.25">
      <c r="A375" s="4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X375" s="370">
        <f t="shared" si="105"/>
        <v>0</v>
      </c>
    </row>
    <row r="376" spans="1:24" ht="14.25">
      <c r="A376" s="47"/>
      <c r="B376" s="67"/>
      <c r="C376" s="67"/>
      <c r="D376" s="67"/>
      <c r="E376" s="67"/>
      <c r="F376" s="67"/>
      <c r="G376" s="67"/>
      <c r="H376" s="134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134"/>
      <c r="V376" s="134"/>
      <c r="X376" s="370"/>
    </row>
    <row r="377" spans="1:24" ht="15" thickBot="1">
      <c r="A377" s="4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X377" s="370">
        <f t="shared" si="105"/>
        <v>0</v>
      </c>
    </row>
    <row r="378" spans="1:24" ht="15">
      <c r="A378" s="47"/>
      <c r="B378" s="920" t="str">
        <f>+$B$4</f>
        <v>2022 RATE CASE</v>
      </c>
      <c r="C378" s="935"/>
      <c r="D378" s="969"/>
      <c r="F378" s="332"/>
      <c r="U378" s="134"/>
      <c r="X378" s="370">
        <f t="shared" si="105"/>
        <v>0</v>
      </c>
    </row>
    <row r="379" spans="1:24" ht="15">
      <c r="A379" s="47"/>
      <c r="B379" s="917" t="str">
        <f>+$B$5</f>
        <v>ONCOR ELECTRIC DELIVERY COMPANY LLC</v>
      </c>
      <c r="C379" s="8"/>
      <c r="D379" s="970"/>
      <c r="F379" s="332"/>
      <c r="U379" s="134"/>
      <c r="V379" s="67"/>
      <c r="X379" s="370">
        <f t="shared" si="105"/>
        <v>0</v>
      </c>
    </row>
    <row r="380" spans="1:24" ht="15">
      <c r="A380" s="47"/>
      <c r="B380" s="917" t="str">
        <f>+$B$6</f>
        <v>II-I-1-TOT:  CLASS REVENUE REQUIREMENT</v>
      </c>
      <c r="C380" s="85"/>
      <c r="D380" s="970"/>
      <c r="F380" s="332"/>
      <c r="U380" s="332"/>
      <c r="V380" s="67"/>
      <c r="X380" s="370">
        <f t="shared" si="105"/>
        <v>0</v>
      </c>
    </row>
    <row r="381" spans="1:24" ht="15">
      <c r="A381" s="47"/>
      <c r="B381" s="406" t="str">
        <f>+$B$7</f>
        <v>TEST YEAR ENDING 12/31/2021</v>
      </c>
      <c r="C381" s="85"/>
      <c r="D381" s="970"/>
      <c r="F381" s="332"/>
      <c r="U381" s="332"/>
      <c r="V381" s="67"/>
      <c r="X381" s="370">
        <f t="shared" si="105"/>
        <v>0</v>
      </c>
    </row>
    <row r="382" spans="1:24" ht="15">
      <c r="A382" s="47"/>
      <c r="B382" s="406" t="str">
        <f>+$B$8</f>
        <v>SPONSOR:  MATTHEW A. TROXLE</v>
      </c>
      <c r="C382" s="85"/>
      <c r="D382" s="970"/>
      <c r="F382" s="332"/>
      <c r="U382" s="332"/>
      <c r="V382" s="67"/>
      <c r="X382" s="370">
        <f t="shared" si="105"/>
        <v>0</v>
      </c>
    </row>
    <row r="383" spans="1:24" ht="15.75" thickBot="1">
      <c r="A383" s="47"/>
      <c r="B383" s="410"/>
      <c r="C383" s="934"/>
      <c r="D383" s="936"/>
      <c r="F383" s="332"/>
      <c r="U383" s="332"/>
      <c r="V383" s="67"/>
      <c r="X383" s="370">
        <f t="shared" si="105"/>
        <v>0</v>
      </c>
    </row>
    <row r="384" spans="1:24" ht="15" thickBot="1">
      <c r="A384" s="47"/>
      <c r="B384" s="13"/>
      <c r="C384" s="14"/>
      <c r="D384" s="14"/>
      <c r="E384" s="14"/>
      <c r="F384" s="13"/>
      <c r="G384" s="14"/>
      <c r="H384" s="14"/>
      <c r="I384" s="14"/>
      <c r="J384" s="238"/>
      <c r="K384" s="238"/>
      <c r="L384" s="14"/>
      <c r="M384" s="238"/>
      <c r="N384" s="238"/>
      <c r="O384" s="238"/>
      <c r="P384" s="238"/>
      <c r="Q384" s="14"/>
      <c r="R384" s="393" t="str">
        <f>R$10</f>
        <v xml:space="preserve"> </v>
      </c>
      <c r="S384" s="394"/>
      <c r="T384" s="238"/>
      <c r="U384" s="13"/>
      <c r="V384" s="67"/>
      <c r="X384" s="370">
        <f t="shared" si="105"/>
        <v>0</v>
      </c>
    </row>
    <row r="385" spans="1:24" ht="15">
      <c r="A385" s="47"/>
      <c r="B385" s="15" t="s">
        <v>2</v>
      </c>
      <c r="C385" s="15" t="s">
        <v>370</v>
      </c>
      <c r="D385" s="287" t="s">
        <v>591</v>
      </c>
      <c r="E385" s="15" t="s">
        <v>371</v>
      </c>
      <c r="F385" s="287" t="str">
        <f>F$11</f>
        <v>TOTAL</v>
      </c>
      <c r="G385" s="242" t="s">
        <v>741</v>
      </c>
      <c r="H385" s="242" t="s">
        <v>376</v>
      </c>
      <c r="I385" s="15"/>
      <c r="J385" s="242" t="s">
        <v>730</v>
      </c>
      <c r="K385" s="242" t="s">
        <v>409</v>
      </c>
      <c r="L385" s="15" t="s">
        <v>409</v>
      </c>
      <c r="M385" s="242" t="s">
        <v>410</v>
      </c>
      <c r="N385" s="242" t="s">
        <v>410</v>
      </c>
      <c r="O385" s="242" t="s">
        <v>410</v>
      </c>
      <c r="P385" s="242" t="s">
        <v>411</v>
      </c>
      <c r="Q385" s="15" t="s">
        <v>412</v>
      </c>
      <c r="R385" s="396" t="str">
        <f>R$11</f>
        <v>Wholesale</v>
      </c>
      <c r="S385" s="13" t="str">
        <f>S$11</f>
        <v>Wholesale</v>
      </c>
      <c r="T385" s="242"/>
      <c r="U385" s="15" t="s">
        <v>10</v>
      </c>
      <c r="V385" s="67"/>
      <c r="X385" s="370"/>
    </row>
    <row r="386" spans="1:24" ht="14.25">
      <c r="A386" s="47"/>
      <c r="B386" s="15"/>
      <c r="C386" s="15"/>
      <c r="D386" s="15"/>
      <c r="E386" s="15"/>
      <c r="F386" s="15" t="str">
        <f>F$12</f>
        <v>(Dist+Met+Cust)</v>
      </c>
      <c r="G386" s="242" t="s">
        <v>742</v>
      </c>
      <c r="H386" s="242" t="s">
        <v>743</v>
      </c>
      <c r="I386" s="15"/>
      <c r="J386" s="242"/>
      <c r="K386" s="242" t="s">
        <v>731</v>
      </c>
      <c r="L386" s="15" t="s">
        <v>732</v>
      </c>
      <c r="M386" s="242" t="s">
        <v>731</v>
      </c>
      <c r="N386" s="242" t="s">
        <v>732</v>
      </c>
      <c r="O386" s="242" t="s">
        <v>414</v>
      </c>
      <c r="P386" s="242"/>
      <c r="Q386" s="15"/>
      <c r="R386" s="235" t="str">
        <f>R$12</f>
        <v>XFMR</v>
      </c>
      <c r="S386" s="15" t="str">
        <f>S$12</f>
        <v>DLS</v>
      </c>
      <c r="T386" s="242"/>
      <c r="U386" s="15"/>
      <c r="V386" s="67"/>
      <c r="X386" s="370"/>
    </row>
    <row r="387" spans="1:24" ht="15" thickBot="1">
      <c r="A387" s="47"/>
      <c r="B387" s="16"/>
      <c r="C387" s="16"/>
      <c r="D387" s="16"/>
      <c r="E387" s="16"/>
      <c r="F387" s="16" t="s">
        <v>13</v>
      </c>
      <c r="G387" s="16" t="s">
        <v>14</v>
      </c>
      <c r="H387" s="16" t="s">
        <v>15</v>
      </c>
      <c r="I387" s="16"/>
      <c r="J387" s="243" t="str">
        <f t="shared" si="116" ref="J387:Q387">J$13</f>
        <v>(d)</v>
      </c>
      <c r="K387" s="243" t="str">
        <f t="shared" si="116"/>
        <v>(e)</v>
      </c>
      <c r="L387" s="16" t="str">
        <f t="shared" si="116"/>
        <v>(f)</v>
      </c>
      <c r="M387" s="243" t="str">
        <f t="shared" si="116"/>
        <v>(g)</v>
      </c>
      <c r="N387" s="243" t="str">
        <f t="shared" si="116"/>
        <v>(h)</v>
      </c>
      <c r="O387" s="243" t="str">
        <f>O$13</f>
        <v>(i)</v>
      </c>
      <c r="P387" s="243" t="str">
        <f t="shared" si="116"/>
        <v>(j)</v>
      </c>
      <c r="Q387" s="243" t="str">
        <f t="shared" si="116"/>
        <v>(k)</v>
      </c>
      <c r="R387" s="243" t="str">
        <f>R$13</f>
        <v>(l)</v>
      </c>
      <c r="S387" s="16" t="str">
        <f>S$13</f>
        <v>(m)</v>
      </c>
      <c r="T387" s="16"/>
      <c r="U387" s="16" t="s">
        <v>734</v>
      </c>
      <c r="V387" s="67"/>
      <c r="X387" s="370"/>
    </row>
    <row r="388" spans="1:24" ht="14.25">
      <c r="A388" s="47"/>
      <c r="B388" s="67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43"/>
      <c r="V388" s="67"/>
      <c r="X388" s="370">
        <f t="shared" si="105"/>
        <v>0</v>
      </c>
    </row>
    <row r="389" spans="1:24" ht="15">
      <c r="A389" s="47"/>
      <c r="B389" s="17">
        <f t="shared" si="117" ref="B389:B399">B388+1</f>
        <v>1</v>
      </c>
      <c r="C389" s="334" t="s">
        <v>115</v>
      </c>
      <c r="D389" s="36"/>
      <c r="E389" s="37"/>
      <c r="F389" s="338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44"/>
      <c r="V389" s="67"/>
      <c r="X389" s="370">
        <f t="shared" si="105"/>
        <v>0</v>
      </c>
    </row>
    <row r="390" spans="1:24" ht="15">
      <c r="A390" s="47"/>
      <c r="B390" s="17">
        <f t="shared" si="117"/>
        <v>2</v>
      </c>
      <c r="C390" s="334"/>
      <c r="D390" s="43"/>
      <c r="E390" s="263"/>
      <c r="F390" s="339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340"/>
      <c r="V390" s="67"/>
      <c r="X390" s="370">
        <f t="shared" si="105"/>
        <v>0</v>
      </c>
    </row>
    <row r="391" spans="1:24" ht="15">
      <c r="A391" s="47"/>
      <c r="B391" s="17">
        <f t="shared" si="117"/>
        <v>3</v>
      </c>
      <c r="C391" s="43"/>
      <c r="D391" s="43" t="s">
        <v>143</v>
      </c>
      <c r="E391" s="37" t="s">
        <v>523</v>
      </c>
      <c r="F391" s="118">
        <f>' WP II-I-1.4'!L391</f>
        <v>0</v>
      </c>
      <c r="G391" s="358" t="s">
        <v>805</v>
      </c>
      <c r="H391" s="47" t="s">
        <v>320</v>
      </c>
      <c r="I391" s="897"/>
      <c r="J391" s="897"/>
      <c r="K391" s="897"/>
      <c r="L391" s="897"/>
      <c r="M391" s="897"/>
      <c r="N391" s="897"/>
      <c r="O391" s="897"/>
      <c r="P391" s="897"/>
      <c r="Q391" s="897"/>
      <c r="R391" s="897"/>
      <c r="S391" s="897"/>
      <c r="T391" s="897"/>
      <c r="U391" s="118">
        <f>SUM(I391:T391)</f>
        <v>0</v>
      </c>
      <c r="V391" s="67"/>
      <c r="X391" s="370">
        <f t="shared" si="105"/>
        <v>0</v>
      </c>
    </row>
    <row r="392" spans="1:24" ht="15">
      <c r="A392" s="47"/>
      <c r="B392" s="17">
        <f t="shared" si="117"/>
        <v>4</v>
      </c>
      <c r="C392" s="43"/>
      <c r="D392" s="43" t="s">
        <v>592</v>
      </c>
      <c r="E392" s="37"/>
      <c r="F392" s="118">
        <f>' WP II-I-1.4'!L392</f>
        <v>0</v>
      </c>
      <c r="G392" s="358" t="s">
        <v>805</v>
      </c>
      <c r="H392" s="47" t="s">
        <v>320</v>
      </c>
      <c r="I392" s="897"/>
      <c r="J392" s="897"/>
      <c r="K392" s="897"/>
      <c r="L392" s="897"/>
      <c r="M392" s="897"/>
      <c r="N392" s="897"/>
      <c r="O392" s="897"/>
      <c r="P392" s="897"/>
      <c r="Q392" s="897"/>
      <c r="R392" s="897"/>
      <c r="S392" s="897"/>
      <c r="T392" s="897"/>
      <c r="U392" s="118">
        <f>SUM(I392:T392)</f>
        <v>0</v>
      </c>
      <c r="V392" s="67"/>
      <c r="X392" s="370">
        <f t="shared" si="105"/>
        <v>0</v>
      </c>
    </row>
    <row r="393" spans="1:24" ht="15">
      <c r="A393" s="47"/>
      <c r="B393" s="17">
        <f t="shared" si="117"/>
        <v>5</v>
      </c>
      <c r="C393" s="43"/>
      <c r="D393" s="43" t="s">
        <v>593</v>
      </c>
      <c r="E393" s="37"/>
      <c r="F393" s="118">
        <f>' WP II-I-1.4'!L393</f>
        <v>0</v>
      </c>
      <c r="G393" s="358" t="s">
        <v>805</v>
      </c>
      <c r="H393" s="47" t="s">
        <v>320</v>
      </c>
      <c r="I393" s="897"/>
      <c r="J393" s="897"/>
      <c r="K393" s="897"/>
      <c r="L393" s="897"/>
      <c r="M393" s="897"/>
      <c r="N393" s="897"/>
      <c r="O393" s="897"/>
      <c r="P393" s="897"/>
      <c r="Q393" s="897"/>
      <c r="R393" s="897"/>
      <c r="S393" s="897"/>
      <c r="T393" s="897"/>
      <c r="U393" s="118">
        <f>SUM(I393:T393)</f>
        <v>0</v>
      </c>
      <c r="V393" s="67"/>
      <c r="X393" s="370">
        <f t="shared" si="105"/>
        <v>0</v>
      </c>
    </row>
    <row r="394" spans="1:24" ht="15.75" thickBot="1">
      <c r="A394" s="47"/>
      <c r="B394" s="17">
        <f t="shared" si="117"/>
        <v>6</v>
      </c>
      <c r="C394" s="43"/>
      <c r="D394" s="43"/>
      <c r="E394" s="37"/>
      <c r="F394" s="2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118"/>
      <c r="V394" s="67"/>
      <c r="X394" s="370">
        <f t="shared" si="105"/>
        <v>0</v>
      </c>
    </row>
    <row r="395" spans="1:24" ht="15.75" thickBot="1">
      <c r="A395" s="47"/>
      <c r="B395" s="17">
        <f t="shared" si="117"/>
        <v>7</v>
      </c>
      <c r="C395" s="341" t="s">
        <v>594</v>
      </c>
      <c r="D395" s="336"/>
      <c r="E395" s="337" t="s">
        <v>523</v>
      </c>
      <c r="F395" s="342">
        <f>SUM(F391:F393)</f>
        <v>0</v>
      </c>
      <c r="G395" s="337"/>
      <c r="H395" s="457"/>
      <c r="I395" s="458"/>
      <c r="J395" s="460">
        <f t="shared" si="118" ref="J395:Q395">SUM(J391:J393)</f>
        <v>0</v>
      </c>
      <c r="K395" s="342">
        <f t="shared" si="118"/>
        <v>0</v>
      </c>
      <c r="L395" s="342">
        <f t="shared" si="118"/>
        <v>0</v>
      </c>
      <c r="M395" s="342">
        <f t="shared" si="118"/>
        <v>0</v>
      </c>
      <c r="N395" s="342">
        <f t="shared" si="118"/>
        <v>0</v>
      </c>
      <c r="O395" s="342">
        <f>SUM(O391:O393)</f>
        <v>0</v>
      </c>
      <c r="P395" s="342">
        <f t="shared" si="118"/>
        <v>0</v>
      </c>
      <c r="Q395" s="342">
        <f t="shared" si="118"/>
        <v>0</v>
      </c>
      <c r="R395" s="342">
        <f>SUM(R391:R393)</f>
        <v>0</v>
      </c>
      <c r="S395" s="461">
        <f>SUM(S391:S393)</f>
        <v>0</v>
      </c>
      <c r="T395" s="458"/>
      <c r="U395" s="256">
        <f>SUM(I395:T395)</f>
        <v>0</v>
      </c>
      <c r="V395" s="67"/>
      <c r="X395" s="370">
        <f t="shared" si="105"/>
        <v>0</v>
      </c>
    </row>
    <row r="396" spans="1:24" ht="14.25">
      <c r="A396" s="47"/>
      <c r="B396" s="17">
        <f t="shared" si="117"/>
        <v>8</v>
      </c>
      <c r="C396" s="43"/>
      <c r="D396" s="43"/>
      <c r="E396" s="263"/>
      <c r="F396" s="339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344"/>
      <c r="V396" s="67"/>
      <c r="X396" s="370">
        <f t="shared" si="105"/>
        <v>0</v>
      </c>
    </row>
    <row r="397" spans="1:24" ht="15">
      <c r="A397" s="147"/>
      <c r="B397" s="17">
        <f t="shared" si="117"/>
        <v>9</v>
      </c>
      <c r="C397" s="36" t="s">
        <v>595</v>
      </c>
      <c r="D397" s="44"/>
      <c r="E397" s="37" t="s">
        <v>130</v>
      </c>
      <c r="F397" s="118">
        <f>' WP II-I-1.4'!L397</f>
        <v>-1254525958.9599993</v>
      </c>
      <c r="G397" s="358" t="s">
        <v>805</v>
      </c>
      <c r="H397" s="47" t="s">
        <v>320</v>
      </c>
      <c r="I397" s="897"/>
      <c r="J397" s="434">
        <f>'II-I-DIST'!J397+'II-I-MET'!J397+'II-I-TBILLTDCS'!J397</f>
        <v>-684952974.02777207</v>
      </c>
      <c r="K397" s="434">
        <f>'II-I-DIST'!K397+'II-I-MET'!K397+'II-I-TBILLTDCS'!K397</f>
        <v>-35457243.848259106</v>
      </c>
      <c r="L397" s="434">
        <f>'II-I-DIST'!L397+'II-I-MET'!L397+'II-I-TBILLTDCS'!L397</f>
        <v>-416725065.67576814</v>
      </c>
      <c r="M397" s="434">
        <f>'II-I-DIST'!M397+'II-I-MET'!M397+'II-I-TBILLTDCS'!M397</f>
        <v>-588700.74330831098</v>
      </c>
      <c r="N397" s="434">
        <f>'II-I-DIST'!N397+'II-I-MET'!N397+'II-I-TBILLTDCS'!N397</f>
        <v>-65794409.382541195</v>
      </c>
      <c r="O397" s="434">
        <f>'II-I-DIST'!O397+'II-I-MET'!O397+'II-I-TBILLTDCS'!O397</f>
        <v>-5478987.9678034149</v>
      </c>
      <c r="P397" s="434">
        <f>'II-I-DIST'!P397+'II-I-MET'!P397+'II-I-TBILLTDCS'!P397</f>
        <v>-1727566.5882999734</v>
      </c>
      <c r="Q397" s="434">
        <f>'II-I-DIST'!Q397+'II-I-MET'!Q397+'II-I-TBILLTDCS'!Q397</f>
        <v>-40002916.016376942</v>
      </c>
      <c r="R397" s="434">
        <f>'II-I-DIST'!R397+'II-I-MET'!R397+'II-I-TBILLTDCS'!R397</f>
        <v>-655237.84047208657</v>
      </c>
      <c r="S397" s="434">
        <f>'II-I-DIST'!S397+'II-I-MET'!S397+'II-I-TBILLTDCS'!S397</f>
        <v>-3142856.869397718</v>
      </c>
      <c r="T397" s="897"/>
      <c r="U397" s="299">
        <f>SUM(I397:T397)</f>
        <v>-1254525958.9599989</v>
      </c>
      <c r="V397" s="133"/>
      <c r="W397" s="345"/>
      <c r="X397" s="370">
        <f t="shared" si="105"/>
        <v>0</v>
      </c>
    </row>
    <row r="398" spans="1:24" ht="15" thickBot="1">
      <c r="A398" s="47"/>
      <c r="B398" s="17">
        <f t="shared" si="117"/>
        <v>10</v>
      </c>
      <c r="C398" s="43"/>
      <c r="D398" s="43"/>
      <c r="E398" s="263"/>
      <c r="F398" s="339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340"/>
      <c r="V398" s="67"/>
      <c r="X398" s="370">
        <f t="shared" si="105"/>
        <v>0</v>
      </c>
    </row>
    <row r="399" spans="1:24" ht="15.75" thickBot="1">
      <c r="A399" s="47"/>
      <c r="B399" s="17">
        <f t="shared" si="117"/>
        <v>11</v>
      </c>
      <c r="C399" s="341" t="s">
        <v>596</v>
      </c>
      <c r="D399" s="336"/>
      <c r="E399" s="337"/>
      <c r="F399" s="342">
        <f>+F397+F395</f>
        <v>-1254525958.9599993</v>
      </c>
      <c r="G399" s="337"/>
      <c r="H399" s="457"/>
      <c r="I399" s="458"/>
      <c r="J399" s="460">
        <f t="shared" si="119" ref="J399:Q399">+J397+J395</f>
        <v>-684952974.02777207</v>
      </c>
      <c r="K399" s="342">
        <f t="shared" si="119"/>
        <v>-35457243.848259106</v>
      </c>
      <c r="L399" s="342">
        <f t="shared" si="119"/>
        <v>-416725065.67576814</v>
      </c>
      <c r="M399" s="342">
        <f t="shared" si="119"/>
        <v>-588700.74330831098</v>
      </c>
      <c r="N399" s="342">
        <f t="shared" si="119"/>
        <v>-65794409.382541195</v>
      </c>
      <c r="O399" s="342">
        <f>+O397+O395</f>
        <v>-5478987.9678034149</v>
      </c>
      <c r="P399" s="342">
        <f t="shared" si="119"/>
        <v>-1727566.5882999734</v>
      </c>
      <c r="Q399" s="342">
        <f t="shared" si="119"/>
        <v>-40002916.016376942</v>
      </c>
      <c r="R399" s="342">
        <f>+R397+R395</f>
        <v>-655237.84047208657</v>
      </c>
      <c r="S399" s="461">
        <f>+S397+S395</f>
        <v>-3142856.869397718</v>
      </c>
      <c r="T399" s="337"/>
      <c r="U399" s="1008">
        <f>SUM(I399:T399)</f>
        <v>-1254525958.9599989</v>
      </c>
      <c r="V399" s="67"/>
      <c r="W399" s="1300" t="b">
        <f>' WP II-I-1.4'!$L$399=F399</f>
        <v>1</v>
      </c>
      <c r="X399" s="370">
        <f t="shared" si="105"/>
        <v>0</v>
      </c>
    </row>
    <row r="400" spans="1:24" ht="14.25">
      <c r="A400" s="47"/>
      <c r="B400" s="67"/>
      <c r="C400" s="67"/>
      <c r="D400" s="67"/>
      <c r="E400" s="67"/>
      <c r="F400" s="283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X400" s="370">
        <f t="shared" si="120" ref="X400:X463">U400-F400</f>
        <v>0</v>
      </c>
    </row>
    <row r="401" spans="1:24" ht="14.25">
      <c r="A401" s="47"/>
      <c r="B401" s="67"/>
      <c r="C401" s="67"/>
      <c r="D401" s="67"/>
      <c r="E401" s="67"/>
      <c r="F401" s="283"/>
      <c r="G401" s="67"/>
      <c r="H401" s="134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134"/>
      <c r="V401" s="134"/>
      <c r="X401" s="370"/>
    </row>
    <row r="402" spans="1:24" ht="15" thickBot="1">
      <c r="A402" s="47"/>
      <c r="B402" s="67"/>
      <c r="C402" s="67"/>
      <c r="D402" s="67"/>
      <c r="E402" s="67"/>
      <c r="F402" s="283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X402" s="370">
        <f t="shared" si="120"/>
        <v>0</v>
      </c>
    </row>
    <row r="403" spans="1:24" ht="15">
      <c r="A403" s="47"/>
      <c r="B403" s="920" t="str">
        <f>+$B$4</f>
        <v>2022 RATE CASE</v>
      </c>
      <c r="C403" s="935"/>
      <c r="D403" s="969"/>
      <c r="F403" s="332"/>
      <c r="U403" s="134"/>
      <c r="X403" s="370">
        <f t="shared" si="120"/>
        <v>0</v>
      </c>
    </row>
    <row r="404" spans="1:24" ht="15">
      <c r="A404" s="47"/>
      <c r="B404" s="917" t="str">
        <f>+$B$5</f>
        <v>ONCOR ELECTRIC DELIVERY COMPANY LLC</v>
      </c>
      <c r="C404" s="8"/>
      <c r="D404" s="970"/>
      <c r="F404" s="332"/>
      <c r="U404" s="134"/>
      <c r="V404" s="67"/>
      <c r="X404" s="370">
        <f t="shared" si="120"/>
        <v>0</v>
      </c>
    </row>
    <row r="405" spans="1:24" ht="15">
      <c r="A405" s="47"/>
      <c r="B405" s="917" t="str">
        <f>+$B$6</f>
        <v>II-I-1-TOT:  CLASS REVENUE REQUIREMENT</v>
      </c>
      <c r="C405" s="85"/>
      <c r="D405" s="970"/>
      <c r="F405" s="332"/>
      <c r="U405" s="332"/>
      <c r="V405" s="67"/>
      <c r="X405" s="370">
        <f t="shared" si="120"/>
        <v>0</v>
      </c>
    </row>
    <row r="406" spans="1:24" ht="15">
      <c r="A406" s="47"/>
      <c r="B406" s="406" t="str">
        <f>+$B$7</f>
        <v>TEST YEAR ENDING 12/31/2021</v>
      </c>
      <c r="C406" s="85"/>
      <c r="D406" s="970"/>
      <c r="F406" s="332"/>
      <c r="U406" s="332"/>
      <c r="V406" s="67"/>
      <c r="X406" s="370">
        <f t="shared" si="120"/>
        <v>0</v>
      </c>
    </row>
    <row r="407" spans="1:24" ht="15">
      <c r="A407" s="47"/>
      <c r="B407" s="406" t="str">
        <f>+$B$8</f>
        <v>SPONSOR:  MATTHEW A. TROXLE</v>
      </c>
      <c r="C407" s="85"/>
      <c r="D407" s="970"/>
      <c r="F407" s="332"/>
      <c r="U407" s="332"/>
      <c r="V407" s="67"/>
      <c r="X407" s="370">
        <f t="shared" si="120"/>
        <v>0</v>
      </c>
    </row>
    <row r="408" spans="1:24" ht="15.75" thickBot="1">
      <c r="A408" s="47"/>
      <c r="B408" s="410"/>
      <c r="C408" s="934"/>
      <c r="D408" s="936"/>
      <c r="F408" s="332"/>
      <c r="U408" s="332"/>
      <c r="V408" s="67"/>
      <c r="X408" s="370">
        <f t="shared" si="120"/>
        <v>0</v>
      </c>
    </row>
    <row r="409" spans="1:24" ht="15" thickBot="1">
      <c r="A409" s="47"/>
      <c r="B409" s="13"/>
      <c r="C409" s="14"/>
      <c r="D409" s="14"/>
      <c r="E409" s="14"/>
      <c r="F409" s="13"/>
      <c r="G409" s="14"/>
      <c r="H409" s="14"/>
      <c r="I409" s="14"/>
      <c r="J409" s="238"/>
      <c r="K409" s="238"/>
      <c r="L409" s="14"/>
      <c r="M409" s="238"/>
      <c r="N409" s="238"/>
      <c r="O409" s="238"/>
      <c r="P409" s="238"/>
      <c r="Q409" s="14"/>
      <c r="R409" s="393" t="str">
        <f>R$10</f>
        <v xml:space="preserve"> </v>
      </c>
      <c r="S409" s="394"/>
      <c r="T409" s="238"/>
      <c r="U409" s="13"/>
      <c r="V409" s="67"/>
      <c r="X409" s="370">
        <f t="shared" si="120"/>
        <v>0</v>
      </c>
    </row>
    <row r="410" spans="1:24" ht="15">
      <c r="A410" s="47"/>
      <c r="B410" s="15" t="s">
        <v>2</v>
      </c>
      <c r="C410" s="15" t="s">
        <v>370</v>
      </c>
      <c r="D410" s="287" t="s">
        <v>597</v>
      </c>
      <c r="E410" s="15" t="s">
        <v>371</v>
      </c>
      <c r="F410" s="287" t="str">
        <f>F$11</f>
        <v>TOTAL</v>
      </c>
      <c r="G410" s="242" t="s">
        <v>741</v>
      </c>
      <c r="H410" s="242" t="s">
        <v>376</v>
      </c>
      <c r="I410" s="15"/>
      <c r="J410" s="242" t="s">
        <v>730</v>
      </c>
      <c r="K410" s="242" t="s">
        <v>409</v>
      </c>
      <c r="L410" s="15" t="s">
        <v>409</v>
      </c>
      <c r="M410" s="242" t="s">
        <v>410</v>
      </c>
      <c r="N410" s="242" t="s">
        <v>410</v>
      </c>
      <c r="O410" s="242" t="s">
        <v>410</v>
      </c>
      <c r="P410" s="242" t="s">
        <v>411</v>
      </c>
      <c r="Q410" s="15" t="s">
        <v>412</v>
      </c>
      <c r="R410" s="396" t="str">
        <f>R$11</f>
        <v>Wholesale</v>
      </c>
      <c r="S410" s="13" t="str">
        <f>S$11</f>
        <v>Wholesale</v>
      </c>
      <c r="T410" s="242"/>
      <c r="U410" s="15" t="s">
        <v>10</v>
      </c>
      <c r="V410" s="67"/>
      <c r="X410" s="370"/>
    </row>
    <row r="411" spans="1:24" ht="14.25">
      <c r="A411" s="47"/>
      <c r="B411" s="15"/>
      <c r="C411" s="15"/>
      <c r="D411" s="15"/>
      <c r="E411" s="15"/>
      <c r="F411" s="15" t="str">
        <f>F$12</f>
        <v>(Dist+Met+Cust)</v>
      </c>
      <c r="G411" s="242" t="s">
        <v>742</v>
      </c>
      <c r="H411" s="242" t="s">
        <v>743</v>
      </c>
      <c r="I411" s="15"/>
      <c r="J411" s="242"/>
      <c r="K411" s="242" t="s">
        <v>731</v>
      </c>
      <c r="L411" s="15" t="s">
        <v>732</v>
      </c>
      <c r="M411" s="242" t="s">
        <v>731</v>
      </c>
      <c r="N411" s="242" t="s">
        <v>732</v>
      </c>
      <c r="O411" s="242" t="s">
        <v>414</v>
      </c>
      <c r="P411" s="242"/>
      <c r="Q411" s="15"/>
      <c r="R411" s="235" t="str">
        <f>R$12</f>
        <v>XFMR</v>
      </c>
      <c r="S411" s="15" t="str">
        <f>S$12</f>
        <v>DLS</v>
      </c>
      <c r="T411" s="242"/>
      <c r="U411" s="15"/>
      <c r="V411" s="67"/>
      <c r="X411" s="370"/>
    </row>
    <row r="412" spans="1:24" ht="15" thickBot="1">
      <c r="A412" s="47"/>
      <c r="B412" s="16"/>
      <c r="C412" s="16"/>
      <c r="D412" s="16"/>
      <c r="E412" s="16"/>
      <c r="F412" s="16" t="s">
        <v>13</v>
      </c>
      <c r="G412" s="16" t="s">
        <v>14</v>
      </c>
      <c r="H412" s="16" t="s">
        <v>15</v>
      </c>
      <c r="I412" s="16"/>
      <c r="J412" s="243" t="str">
        <f t="shared" si="121" ref="J412:Q412">J$13</f>
        <v>(d)</v>
      </c>
      <c r="K412" s="243" t="str">
        <f t="shared" si="121"/>
        <v>(e)</v>
      </c>
      <c r="L412" s="16" t="str">
        <f t="shared" si="121"/>
        <v>(f)</v>
      </c>
      <c r="M412" s="243" t="str">
        <f t="shared" si="121"/>
        <v>(g)</v>
      </c>
      <c r="N412" s="243" t="str">
        <f t="shared" si="121"/>
        <v>(h)</v>
      </c>
      <c r="O412" s="243" t="str">
        <f>O$13</f>
        <v>(i)</v>
      </c>
      <c r="P412" s="243" t="str">
        <f t="shared" si="121"/>
        <v>(j)</v>
      </c>
      <c r="Q412" s="243" t="str">
        <f t="shared" si="121"/>
        <v>(k)</v>
      </c>
      <c r="R412" s="243" t="str">
        <f>R$13</f>
        <v>(l)</v>
      </c>
      <c r="S412" s="16" t="str">
        <f>S$13</f>
        <v>(m)</v>
      </c>
      <c r="T412" s="16"/>
      <c r="U412" s="16" t="s">
        <v>734</v>
      </c>
      <c r="V412" s="67"/>
      <c r="X412" s="370"/>
    </row>
    <row r="413" spans="1:24" ht="15">
      <c r="A413" s="47"/>
      <c r="B413" s="67"/>
      <c r="C413" s="35"/>
      <c r="D413" s="43"/>
      <c r="E413" s="263"/>
      <c r="F413" s="346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43"/>
      <c r="V413" s="67"/>
      <c r="X413" s="370">
        <f t="shared" si="120"/>
        <v>0</v>
      </c>
    </row>
    <row r="414" spans="1:24" ht="15">
      <c r="A414" s="47"/>
      <c r="B414" s="17">
        <f t="shared" si="122" ref="B414:B421">B413+1</f>
        <v>1</v>
      </c>
      <c r="C414" s="334" t="s">
        <v>115</v>
      </c>
      <c r="D414" s="43"/>
      <c r="E414" s="263"/>
      <c r="F414" s="346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43"/>
      <c r="V414" s="67"/>
      <c r="X414" s="370">
        <f t="shared" si="120"/>
        <v>0</v>
      </c>
    </row>
    <row r="415" spans="1:24" ht="15">
      <c r="A415" s="47"/>
      <c r="B415" s="17">
        <f t="shared" si="122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67"/>
      <c r="X415" s="370">
        <f t="shared" si="120"/>
        <v>0</v>
      </c>
    </row>
    <row r="416" spans="1:24" ht="15">
      <c r="A416" s="47"/>
      <c r="B416" s="17">
        <f t="shared" si="122"/>
        <v>3</v>
      </c>
      <c r="C416" s="43"/>
      <c r="D416" s="36" t="s">
        <v>597</v>
      </c>
      <c r="E416" s="37" t="s">
        <v>121</v>
      </c>
      <c r="F416" s="43"/>
      <c r="G416" s="37"/>
      <c r="H416" s="37"/>
      <c r="I416" s="37"/>
      <c r="J416" s="897"/>
      <c r="K416" s="897"/>
      <c r="L416" s="897"/>
      <c r="M416" s="897"/>
      <c r="N416" s="897"/>
      <c r="O416" s="897"/>
      <c r="P416" s="897"/>
      <c r="Q416" s="897"/>
      <c r="R416" s="897"/>
      <c r="S416" s="897"/>
      <c r="T416" s="37"/>
      <c r="U416" s="43"/>
      <c r="V416" s="67"/>
      <c r="X416" s="370">
        <f t="shared" si="120"/>
        <v>0</v>
      </c>
    </row>
    <row r="417" spans="1:24" ht="14.25">
      <c r="A417" s="47"/>
      <c r="B417" s="17">
        <f t="shared" si="122"/>
        <v>4</v>
      </c>
      <c r="C417" s="43">
        <v>154</v>
      </c>
      <c r="D417" s="43" t="s">
        <v>599</v>
      </c>
      <c r="E417" s="43"/>
      <c r="F417" s="118">
        <f>' WP II-I-1.4'!L417</f>
        <v>64416071.869999997</v>
      </c>
      <c r="G417" s="40" t="s">
        <v>805</v>
      </c>
      <c r="H417" s="47" t="s">
        <v>320</v>
      </c>
      <c r="I417" s="43"/>
      <c r="J417" s="434">
        <f>'II-I-DIST'!J417+'II-I-MET'!J417+'II-I-TBILLTDCS'!J417</f>
        <v>35092789.389299944</v>
      </c>
      <c r="K417" s="434">
        <f>'II-I-DIST'!K417+'II-I-MET'!K417+'II-I-TBILLTDCS'!K417</f>
        <v>1424686.4528412696</v>
      </c>
      <c r="L417" s="434">
        <f>'II-I-DIST'!L417+'II-I-MET'!L417+'II-I-TBILLTDCS'!L417</f>
        <v>21858840.731238864</v>
      </c>
      <c r="M417" s="434">
        <f>'II-I-DIST'!M417+'II-I-MET'!M417+'II-I-TBILLTDCS'!M417</f>
        <v>7895.2456160228403</v>
      </c>
      <c r="N417" s="434">
        <f>'II-I-DIST'!N417+'II-I-MET'!N417+'II-I-TBILLTDCS'!N417</f>
        <v>3205246.0818630881</v>
      </c>
      <c r="O417" s="434">
        <f>'II-I-DIST'!O417+'II-I-MET'!O417+'II-I-TBILLTDCS'!O417</f>
        <v>293099.30658166384</v>
      </c>
      <c r="P417" s="434">
        <f>'II-I-DIST'!P417+'II-I-MET'!P417+'II-I-TBILLTDCS'!P417</f>
        <v>58491.178291162403</v>
      </c>
      <c r="Q417" s="434">
        <f>'II-I-DIST'!Q417+'II-I-MET'!Q417+'II-I-TBILLTDCS'!Q417</f>
        <v>2266224.0193771054</v>
      </c>
      <c r="R417" s="434">
        <f>'II-I-DIST'!R417+'II-I-MET'!R417+'II-I-TBILLTDCS'!R417</f>
        <v>35128.705299167857</v>
      </c>
      <c r="S417" s="434">
        <f>'II-I-DIST'!S417+'II-I-MET'!S417+'II-I-TBILLTDCS'!S417</f>
        <v>173670.75959168957</v>
      </c>
      <c r="T417" s="43"/>
      <c r="U417" s="118">
        <f>SUM(I417:T417)</f>
        <v>64416071.869999982</v>
      </c>
      <c r="V417" s="67"/>
      <c r="X417" s="370">
        <f t="shared" si="120"/>
        <v>0</v>
      </c>
    </row>
    <row r="418" spans="1:24" ht="14.25">
      <c r="A418" s="47"/>
      <c r="B418" s="17">
        <f t="shared" si="122"/>
        <v>5</v>
      </c>
      <c r="C418" s="43">
        <v>163</v>
      </c>
      <c r="D418" s="43" t="s">
        <v>600</v>
      </c>
      <c r="E418" s="263"/>
      <c r="F418" s="118">
        <f>' WP II-I-1.4'!L418</f>
        <v>10380115.869999999</v>
      </c>
      <c r="G418" s="40" t="s">
        <v>805</v>
      </c>
      <c r="H418" s="47" t="s">
        <v>320</v>
      </c>
      <c r="I418" s="263"/>
      <c r="J418" s="435">
        <f>'II-I-DIST'!J418+'II-I-MET'!J418+'II-I-TBILLTDCS'!J418</f>
        <v>5654912.5309480373</v>
      </c>
      <c r="K418" s="435">
        <f>'II-I-DIST'!K418+'II-I-MET'!K418+'II-I-TBILLTDCS'!K418</f>
        <v>229578.89777178693</v>
      </c>
      <c r="L418" s="435">
        <f>'II-I-DIST'!L418+'II-I-MET'!L418+'II-I-TBILLTDCS'!L418</f>
        <v>3522368.0458085272</v>
      </c>
      <c r="M418" s="435">
        <f>'II-I-DIST'!M418+'II-I-MET'!M418+'II-I-TBILLTDCS'!M418</f>
        <v>1272.3937298381475</v>
      </c>
      <c r="N418" s="435">
        <f>'II-I-DIST'!N418+'II-I-MET'!N418+'II-I-TBILLTDCS'!N418</f>
        <v>516499.91824082483</v>
      </c>
      <c r="O418" s="435">
        <f>'II-I-DIST'!O418+'II-I-MET'!O418+'II-I-TBILLTDCS'!O418</f>
        <v>47230.449097943289</v>
      </c>
      <c r="P418" s="435">
        <f>'II-I-DIST'!P418+'II-I-MET'!P418+'II-I-TBILLTDCS'!P418</f>
        <v>9425.5583069696513</v>
      </c>
      <c r="Q418" s="435">
        <f>'II-I-DIST'!Q418+'II-I-MET'!Q418+'II-I-TBILLTDCS'!Q418</f>
        <v>365181.86015456775</v>
      </c>
      <c r="R418" s="435">
        <f>'II-I-DIST'!R418+'II-I-MET'!R418+'II-I-TBILLTDCS'!R418</f>
        <v>5660.6902667902223</v>
      </c>
      <c r="S418" s="435">
        <f>'II-I-DIST'!S418+'II-I-MET'!S418+'II-I-TBILLTDCS'!S418</f>
        <v>27985.525674710982</v>
      </c>
      <c r="T418" s="263"/>
      <c r="U418" s="118">
        <f>SUM(I418:T418)</f>
        <v>10380115.869999994</v>
      </c>
      <c r="V418" s="67"/>
      <c r="X418" s="370">
        <f t="shared" si="120"/>
        <v>0</v>
      </c>
    </row>
    <row r="419" spans="1:24" ht="15">
      <c r="A419" s="47"/>
      <c r="B419" s="17">
        <f t="shared" si="122"/>
        <v>6</v>
      </c>
      <c r="C419" s="36"/>
      <c r="D419" s="44" t="s">
        <v>491</v>
      </c>
      <c r="E419" s="39"/>
      <c r="F419" s="39">
        <f>SUM(F417:F418)</f>
        <v>74796187.739999995</v>
      </c>
      <c r="G419" s="39"/>
      <c r="H419" s="39"/>
      <c r="I419" s="39"/>
      <c r="J419" s="898">
        <f t="shared" si="123" ref="J419:Q419">SUM(J417:J418)</f>
        <v>40747701.920247979</v>
      </c>
      <c r="K419" s="898">
        <f t="shared" si="123"/>
        <v>1654265.3506130565</v>
      </c>
      <c r="L419" s="898">
        <f t="shared" si="123"/>
        <v>25381208.777047392</v>
      </c>
      <c r="M419" s="898">
        <f t="shared" si="123"/>
        <v>9167.6393458609873</v>
      </c>
      <c r="N419" s="898">
        <f t="shared" si="123"/>
        <v>3721746.0001039128</v>
      </c>
      <c r="O419" s="898">
        <f>SUM(O417:O418)</f>
        <v>340329.75567960716</v>
      </c>
      <c r="P419" s="898">
        <f t="shared" si="123"/>
        <v>67916.736598132062</v>
      </c>
      <c r="Q419" s="898">
        <f t="shared" si="123"/>
        <v>2631405.8795316732</v>
      </c>
      <c r="R419" s="898">
        <f>SUM(R417:R418)</f>
        <v>40789.395565958082</v>
      </c>
      <c r="S419" s="898">
        <f>SUM(S417:S418)</f>
        <v>201656.28526640055</v>
      </c>
      <c r="T419" s="39"/>
      <c r="U419" s="299">
        <f>SUM(I419:T419)</f>
        <v>74796187.73999995</v>
      </c>
      <c r="V419" s="67"/>
      <c r="W419" s="1300" t="b">
        <f>' WP II-I-1.4'!$L$419=F419</f>
        <v>1</v>
      </c>
      <c r="X419" s="370">
        <f t="shared" si="120"/>
        <v>0</v>
      </c>
    </row>
    <row r="420" spans="1:24" ht="15" thickBot="1">
      <c r="A420" s="47"/>
      <c r="B420" s="17">
        <f t="shared" si="122"/>
        <v>7</v>
      </c>
      <c r="C420" s="43"/>
      <c r="D420" s="340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43"/>
      <c r="V420" s="67"/>
      <c r="X420" s="370">
        <f t="shared" si="120"/>
        <v>0</v>
      </c>
    </row>
    <row r="421" spans="1:24" ht="15.75" thickBot="1">
      <c r="A421" s="47"/>
      <c r="B421" s="17">
        <f t="shared" si="122"/>
        <v>8</v>
      </c>
      <c r="C421" s="335" t="s">
        <v>601</v>
      </c>
      <c r="D421" s="336"/>
      <c r="E421" s="337" t="s">
        <v>121</v>
      </c>
      <c r="F421" s="278">
        <f>F419</f>
        <v>74796187.739999995</v>
      </c>
      <c r="G421" s="337"/>
      <c r="H421" s="457"/>
      <c r="I421" s="643"/>
      <c r="J421" s="356">
        <f t="shared" si="124" ref="J421:Q421">J419</f>
        <v>40747701.920247979</v>
      </c>
      <c r="K421" s="905">
        <f t="shared" si="124"/>
        <v>1654265.3506130565</v>
      </c>
      <c r="L421" s="905">
        <f t="shared" si="124"/>
        <v>25381208.777047392</v>
      </c>
      <c r="M421" s="905">
        <f t="shared" si="124"/>
        <v>9167.6393458609873</v>
      </c>
      <c r="N421" s="905">
        <f t="shared" si="124"/>
        <v>3721746.0001039128</v>
      </c>
      <c r="O421" s="905">
        <f>O419</f>
        <v>340329.75567960716</v>
      </c>
      <c r="P421" s="905">
        <f t="shared" si="124"/>
        <v>67916.736598132062</v>
      </c>
      <c r="Q421" s="905">
        <f t="shared" si="124"/>
        <v>2631405.8795316732</v>
      </c>
      <c r="R421" s="905">
        <f>R419</f>
        <v>40789.395565958082</v>
      </c>
      <c r="S421" s="279">
        <f>S419</f>
        <v>201656.28526640055</v>
      </c>
      <c r="T421" s="457"/>
      <c r="U421" s="256">
        <f>SUM(I421:T421)</f>
        <v>74796187.73999995</v>
      </c>
      <c r="V421" s="67"/>
      <c r="W421" s="1300" t="b">
        <f>' WP II-I-1.4'!$L$421=F421</f>
        <v>1</v>
      </c>
      <c r="X421" s="370">
        <f t="shared" si="120"/>
        <v>0</v>
      </c>
    </row>
    <row r="422" spans="1:24" ht="14.25">
      <c r="A422" s="4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X422" s="370">
        <f t="shared" si="120"/>
        <v>0</v>
      </c>
    </row>
    <row r="423" spans="1:24" ht="14.25">
      <c r="A423" s="47"/>
      <c r="B423" s="67"/>
      <c r="C423" s="67"/>
      <c r="D423" s="67"/>
      <c r="E423" s="67"/>
      <c r="F423" s="67"/>
      <c r="G423" s="67"/>
      <c r="H423" s="134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134"/>
      <c r="V423" s="134"/>
      <c r="X423" s="370"/>
    </row>
    <row r="424" spans="1:24" ht="15" thickBot="1">
      <c r="A424" s="4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X424" s="370">
        <f t="shared" si="120"/>
        <v>0</v>
      </c>
    </row>
    <row r="425" spans="1:24" ht="15">
      <c r="A425" s="47"/>
      <c r="B425" s="920" t="str">
        <f>+$B$4</f>
        <v>2022 RATE CASE</v>
      </c>
      <c r="C425" s="935"/>
      <c r="D425" s="969"/>
      <c r="F425" s="332"/>
      <c r="U425" s="134"/>
      <c r="X425" s="370">
        <f t="shared" si="120"/>
        <v>0</v>
      </c>
    </row>
    <row r="426" spans="1:24" ht="15">
      <c r="A426" s="47"/>
      <c r="B426" s="917" t="str">
        <f>+$B$5</f>
        <v>ONCOR ELECTRIC DELIVERY COMPANY LLC</v>
      </c>
      <c r="C426" s="8"/>
      <c r="D426" s="970"/>
      <c r="F426" s="332"/>
      <c r="U426" s="134"/>
      <c r="V426" s="67"/>
      <c r="X426" s="370">
        <f t="shared" si="120"/>
        <v>0</v>
      </c>
    </row>
    <row r="427" spans="1:24" ht="15">
      <c r="A427" s="47"/>
      <c r="B427" s="917" t="str">
        <f>+$B$6</f>
        <v>II-I-1-TOT:  CLASS REVENUE REQUIREMENT</v>
      </c>
      <c r="C427" s="85"/>
      <c r="D427" s="970"/>
      <c r="F427" s="332"/>
      <c r="U427" s="332"/>
      <c r="V427" s="67"/>
      <c r="X427" s="370">
        <f t="shared" si="120"/>
        <v>0</v>
      </c>
    </row>
    <row r="428" spans="1:24" ht="15">
      <c r="A428" s="47"/>
      <c r="B428" s="406" t="str">
        <f>+$B$7</f>
        <v>TEST YEAR ENDING 12/31/2021</v>
      </c>
      <c r="C428" s="85"/>
      <c r="D428" s="970"/>
      <c r="F428" s="332"/>
      <c r="U428" s="332"/>
      <c r="V428" s="67"/>
      <c r="X428" s="370">
        <f t="shared" si="120"/>
        <v>0</v>
      </c>
    </row>
    <row r="429" spans="1:24" ht="15">
      <c r="A429" s="47"/>
      <c r="B429" s="406" t="str">
        <f>+$B$8</f>
        <v>SPONSOR:  MATTHEW A. TROXLE</v>
      </c>
      <c r="C429" s="85"/>
      <c r="D429" s="970"/>
      <c r="F429" s="332"/>
      <c r="U429" s="332"/>
      <c r="V429" s="67"/>
      <c r="X429" s="370">
        <f t="shared" si="120"/>
        <v>0</v>
      </c>
    </row>
    <row r="430" spans="1:24" ht="15.75" thickBot="1">
      <c r="A430" s="47"/>
      <c r="B430" s="410"/>
      <c r="C430" s="934"/>
      <c r="D430" s="936"/>
      <c r="F430" s="332"/>
      <c r="U430" s="332"/>
      <c r="V430" s="67"/>
      <c r="X430" s="370">
        <f t="shared" si="120"/>
        <v>0</v>
      </c>
    </row>
    <row r="431" spans="1:24" ht="15" thickBot="1">
      <c r="A431" s="47"/>
      <c r="B431" s="13"/>
      <c r="C431" s="14"/>
      <c r="D431" s="14"/>
      <c r="E431" s="14"/>
      <c r="F431" s="13"/>
      <c r="G431" s="14"/>
      <c r="H431" s="14"/>
      <c r="I431" s="14"/>
      <c r="J431" s="238"/>
      <c r="K431" s="238"/>
      <c r="L431" s="14"/>
      <c r="M431" s="238"/>
      <c r="N431" s="238"/>
      <c r="O431" s="238"/>
      <c r="P431" s="238"/>
      <c r="Q431" s="14"/>
      <c r="R431" s="393" t="str">
        <f>R$10</f>
        <v xml:space="preserve"> </v>
      </c>
      <c r="S431" s="394"/>
      <c r="T431" s="238"/>
      <c r="U431" s="13"/>
      <c r="V431" s="67"/>
      <c r="X431" s="370">
        <f t="shared" si="120"/>
        <v>0</v>
      </c>
    </row>
    <row r="432" spans="1:24" ht="15">
      <c r="A432" s="47"/>
      <c r="B432" s="15" t="s">
        <v>2</v>
      </c>
      <c r="C432" s="15" t="s">
        <v>370</v>
      </c>
      <c r="D432" s="287" t="s">
        <v>123</v>
      </c>
      <c r="E432" s="15" t="s">
        <v>371</v>
      </c>
      <c r="F432" s="287" t="str">
        <f>F$11</f>
        <v>TOTAL</v>
      </c>
      <c r="G432" s="242" t="s">
        <v>741</v>
      </c>
      <c r="H432" s="242" t="s">
        <v>376</v>
      </c>
      <c r="I432" s="15"/>
      <c r="J432" s="242" t="s">
        <v>730</v>
      </c>
      <c r="K432" s="242" t="s">
        <v>409</v>
      </c>
      <c r="L432" s="15" t="s">
        <v>409</v>
      </c>
      <c r="M432" s="242" t="s">
        <v>410</v>
      </c>
      <c r="N432" s="242" t="s">
        <v>410</v>
      </c>
      <c r="O432" s="242" t="s">
        <v>410</v>
      </c>
      <c r="P432" s="242" t="s">
        <v>411</v>
      </c>
      <c r="Q432" s="15" t="s">
        <v>412</v>
      </c>
      <c r="R432" s="396" t="str">
        <f>R$11</f>
        <v>Wholesale</v>
      </c>
      <c r="S432" s="13" t="str">
        <f>S$11</f>
        <v>Wholesale</v>
      </c>
      <c r="T432" s="242"/>
      <c r="U432" s="15" t="s">
        <v>10</v>
      </c>
      <c r="V432" s="67"/>
      <c r="X432" s="370"/>
    </row>
    <row r="433" spans="1:24" ht="14.25">
      <c r="A433" s="47"/>
      <c r="B433" s="15"/>
      <c r="C433" s="15"/>
      <c r="D433" s="15"/>
      <c r="E433" s="15"/>
      <c r="F433" s="15" t="str">
        <f>F$12</f>
        <v>(Dist+Met+Cust)</v>
      </c>
      <c r="G433" s="242" t="s">
        <v>742</v>
      </c>
      <c r="H433" s="242" t="s">
        <v>743</v>
      </c>
      <c r="I433" s="15"/>
      <c r="J433" s="242"/>
      <c r="K433" s="242" t="s">
        <v>731</v>
      </c>
      <c r="L433" s="15" t="s">
        <v>732</v>
      </c>
      <c r="M433" s="242" t="s">
        <v>731</v>
      </c>
      <c r="N433" s="242" t="s">
        <v>732</v>
      </c>
      <c r="O433" s="242" t="s">
        <v>414</v>
      </c>
      <c r="P433" s="242"/>
      <c r="Q433" s="15"/>
      <c r="R433" s="235" t="str">
        <f>R$12</f>
        <v>XFMR</v>
      </c>
      <c r="S433" s="15" t="str">
        <f>S$12</f>
        <v>DLS</v>
      </c>
      <c r="T433" s="242"/>
      <c r="U433" s="15"/>
      <c r="V433" s="67"/>
      <c r="X433" s="370"/>
    </row>
    <row r="434" spans="1:24" ht="15" thickBot="1">
      <c r="A434" s="47"/>
      <c r="B434" s="16"/>
      <c r="C434" s="16"/>
      <c r="D434" s="16"/>
      <c r="E434" s="16"/>
      <c r="F434" s="16" t="s">
        <v>13</v>
      </c>
      <c r="G434" s="16" t="s">
        <v>14</v>
      </c>
      <c r="H434" s="16" t="s">
        <v>15</v>
      </c>
      <c r="I434" s="16"/>
      <c r="J434" s="243" t="str">
        <f t="shared" si="125" ref="J434:Q434">J$13</f>
        <v>(d)</v>
      </c>
      <c r="K434" s="243" t="str">
        <f t="shared" si="125"/>
        <v>(e)</v>
      </c>
      <c r="L434" s="16" t="str">
        <f t="shared" si="125"/>
        <v>(f)</v>
      </c>
      <c r="M434" s="243" t="str">
        <f t="shared" si="125"/>
        <v>(g)</v>
      </c>
      <c r="N434" s="243" t="str">
        <f t="shared" si="125"/>
        <v>(h)</v>
      </c>
      <c r="O434" s="243" t="str">
        <f>O$13</f>
        <v>(i)</v>
      </c>
      <c r="P434" s="243" t="str">
        <f t="shared" si="125"/>
        <v>(j)</v>
      </c>
      <c r="Q434" s="243" t="str">
        <f t="shared" si="125"/>
        <v>(k)</v>
      </c>
      <c r="R434" s="243" t="str">
        <f>R$13</f>
        <v>(l)</v>
      </c>
      <c r="S434" s="16" t="str">
        <f>S$13</f>
        <v>(m)</v>
      </c>
      <c r="T434" s="16"/>
      <c r="U434" s="16" t="s">
        <v>734</v>
      </c>
      <c r="V434" s="67"/>
      <c r="X434" s="370"/>
    </row>
    <row r="435" spans="1:24" ht="14.25">
      <c r="A435" s="47"/>
      <c r="B435" s="67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43"/>
      <c r="V435" s="67"/>
      <c r="X435" s="370">
        <f t="shared" si="120"/>
        <v>0</v>
      </c>
    </row>
    <row r="436" spans="1:24" ht="15">
      <c r="A436" s="47"/>
      <c r="B436" s="17">
        <f t="shared" si="126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67"/>
      <c r="X436" s="370">
        <f t="shared" si="120"/>
        <v>0</v>
      </c>
    </row>
    <row r="437" spans="1:24" ht="15">
      <c r="A437" s="47"/>
      <c r="B437" s="17">
        <f t="shared" si="126"/>
        <v>2</v>
      </c>
      <c r="C437" s="348" t="s">
        <v>598</v>
      </c>
      <c r="D437" s="36"/>
      <c r="E437" s="37" t="s">
        <v>124</v>
      </c>
      <c r="F437" s="349"/>
      <c r="G437" s="37"/>
      <c r="H437" s="897"/>
      <c r="I437" s="897"/>
      <c r="J437" s="897"/>
      <c r="K437" s="897"/>
      <c r="L437" s="897"/>
      <c r="M437" s="897"/>
      <c r="N437" s="897"/>
      <c r="O437" s="897"/>
      <c r="P437" s="897"/>
      <c r="Q437" s="897"/>
      <c r="R437" s="897"/>
      <c r="S437" s="897"/>
      <c r="T437" s="37"/>
      <c r="U437" s="36"/>
      <c r="V437" s="67"/>
      <c r="X437" s="370">
        <f t="shared" si="120"/>
        <v>0</v>
      </c>
    </row>
    <row r="438" spans="1:24" ht="14.25">
      <c r="A438" s="47"/>
      <c r="B438" s="17">
        <f t="shared" si="126"/>
        <v>3</v>
      </c>
      <c r="C438" s="43"/>
      <c r="D438" s="43" t="s">
        <v>123</v>
      </c>
      <c r="E438" s="43"/>
      <c r="F438" s="118">
        <f>' WP II-I-1.4'!L438</f>
        <v>-16280093.570000006</v>
      </c>
      <c r="G438" s="40" t="s">
        <v>805</v>
      </c>
      <c r="H438" s="1" t="s">
        <v>320</v>
      </c>
      <c r="I438" s="43"/>
      <c r="J438" s="435">
        <f>'II-I-DIST'!J438+'II-I-MET'!J438+'II-I-TBILLTDCS'!J438</f>
        <v>-7625839.0663234713</v>
      </c>
      <c r="K438" s="435">
        <f>'II-I-DIST'!K438+'II-I-MET'!K438+'II-I-TBILLTDCS'!K438</f>
        <v>-184146.95343877364</v>
      </c>
      <c r="L438" s="435">
        <f>'II-I-DIST'!L438+'II-I-MET'!L438+'II-I-TBILLTDCS'!L438</f>
        <v>-5475610.0792162586</v>
      </c>
      <c r="M438" s="435">
        <f>'II-I-DIST'!M438+'II-I-MET'!M438+'II-I-TBILLTDCS'!M438</f>
        <v>-1015.3781894974011</v>
      </c>
      <c r="N438" s="435">
        <f>'II-I-DIST'!N438+'II-I-MET'!N438+'II-I-TBILLTDCS'!N438</f>
        <v>-1327565.4475834633</v>
      </c>
      <c r="O438" s="435">
        <f>'II-I-DIST'!O438+'II-I-MET'!O438+'II-I-TBILLTDCS'!O438</f>
        <v>-399194.90434583469</v>
      </c>
      <c r="P438" s="435">
        <f>'II-I-DIST'!P438+'II-I-MET'!P438+'II-I-TBILLTDCS'!P438</f>
        <v>-1166777.3119368467</v>
      </c>
      <c r="Q438" s="435">
        <f>'II-I-DIST'!Q438+'II-I-MET'!Q438+'II-I-TBILLTDCS'!Q438</f>
        <v>-88778.188313451727</v>
      </c>
      <c r="R438" s="435">
        <f>'II-I-DIST'!R438+'II-I-MET'!R438+'II-I-TBILLTDCS'!R438</f>
        <v>-1701.8399989633667</v>
      </c>
      <c r="S438" s="435">
        <f>'II-I-DIST'!S438+'II-I-MET'!S438+'II-I-TBILLTDCS'!S438</f>
        <v>-9464.400653447301</v>
      </c>
      <c r="T438" s="43"/>
      <c r="U438" s="118">
        <f>SUM(I438:T438)</f>
        <v>-16280093.57000001</v>
      </c>
      <c r="V438" s="67"/>
      <c r="X438" s="370">
        <f t="shared" si="120"/>
        <v>0</v>
      </c>
    </row>
    <row r="439" spans="1:24" ht="15">
      <c r="A439" s="47"/>
      <c r="B439" s="17">
        <f t="shared" si="126"/>
        <v>4</v>
      </c>
      <c r="C439" s="36"/>
      <c r="D439" s="44" t="s">
        <v>491</v>
      </c>
      <c r="E439" s="39"/>
      <c r="F439" s="39">
        <f>+F438</f>
        <v>-16280093.570000006</v>
      </c>
      <c r="G439" s="39"/>
      <c r="H439" s="898"/>
      <c r="I439" s="898"/>
      <c r="J439" s="898">
        <f t="shared" si="127" ref="J439:Q439">+J438</f>
        <v>-7625839.0663234713</v>
      </c>
      <c r="K439" s="898">
        <f t="shared" si="127"/>
        <v>-184146.95343877364</v>
      </c>
      <c r="L439" s="898">
        <f t="shared" si="127"/>
        <v>-5475610.0792162586</v>
      </c>
      <c r="M439" s="898">
        <f t="shared" si="127"/>
        <v>-1015.3781894974011</v>
      </c>
      <c r="N439" s="898">
        <f t="shared" si="127"/>
        <v>-1327565.4475834633</v>
      </c>
      <c r="O439" s="898">
        <f>+O438</f>
        <v>-399194.90434583469</v>
      </c>
      <c r="P439" s="898">
        <f t="shared" si="127"/>
        <v>-1166777.3119368467</v>
      </c>
      <c r="Q439" s="898">
        <f t="shared" si="127"/>
        <v>-88778.188313451727</v>
      </c>
      <c r="R439" s="898">
        <f>+R438</f>
        <v>-1701.8399989633667</v>
      </c>
      <c r="S439" s="898">
        <f>+S438</f>
        <v>-9464.400653447301</v>
      </c>
      <c r="T439" s="39"/>
      <c r="U439" s="299">
        <f>SUM(I439:T439)</f>
        <v>-16280093.57000001</v>
      </c>
      <c r="V439" s="67"/>
      <c r="W439" s="1300" t="b">
        <f>' WP II-I-1.4'!$L$439=F439</f>
        <v>1</v>
      </c>
      <c r="X439" s="370">
        <f t="shared" si="120"/>
        <v>0</v>
      </c>
    </row>
    <row r="440" spans="1:24" ht="15" thickBot="1">
      <c r="A440" s="47"/>
      <c r="B440" s="17">
        <f t="shared" si="126"/>
        <v>5</v>
      </c>
      <c r="C440" s="43"/>
      <c r="D440" s="340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43"/>
      <c r="V440" s="67"/>
      <c r="X440" s="370">
        <f t="shared" si="120"/>
        <v>0</v>
      </c>
    </row>
    <row r="441" spans="1:24" ht="15.75" thickBot="1">
      <c r="A441" s="47"/>
      <c r="B441" s="17">
        <f t="shared" si="126"/>
        <v>6</v>
      </c>
      <c r="C441" s="335" t="s">
        <v>602</v>
      </c>
      <c r="D441" s="336"/>
      <c r="E441" s="337" t="s">
        <v>124</v>
      </c>
      <c r="F441" s="278">
        <f>+F439</f>
        <v>-16280093.570000006</v>
      </c>
      <c r="G441" s="337"/>
      <c r="H441" s="457"/>
      <c r="I441" s="643"/>
      <c r="J441" s="356">
        <f t="shared" si="128" ref="J441:Q441">+J439</f>
        <v>-7625839.0663234713</v>
      </c>
      <c r="K441" s="905">
        <f t="shared" si="128"/>
        <v>-184146.95343877364</v>
      </c>
      <c r="L441" s="905">
        <f t="shared" si="128"/>
        <v>-5475610.0792162586</v>
      </c>
      <c r="M441" s="905">
        <f t="shared" si="128"/>
        <v>-1015.3781894974011</v>
      </c>
      <c r="N441" s="905">
        <f t="shared" si="128"/>
        <v>-1327565.4475834633</v>
      </c>
      <c r="O441" s="905">
        <f>+O439</f>
        <v>-399194.90434583469</v>
      </c>
      <c r="P441" s="905">
        <f t="shared" si="128"/>
        <v>-1166777.3119368467</v>
      </c>
      <c r="Q441" s="905">
        <f t="shared" si="128"/>
        <v>-88778.188313451727</v>
      </c>
      <c r="R441" s="905">
        <f>+R439</f>
        <v>-1701.8399989633667</v>
      </c>
      <c r="S441" s="279">
        <f>+S439</f>
        <v>-9464.400653447301</v>
      </c>
      <c r="T441" s="457"/>
      <c r="U441" s="256">
        <f>SUM(I441:T441)</f>
        <v>-16280093.57000001</v>
      </c>
      <c r="V441" s="67"/>
      <c r="W441" s="1300" t="b">
        <f>' WP II-I-1.4'!$L$441=F441</f>
        <v>1</v>
      </c>
      <c r="X441" s="370">
        <f t="shared" si="120"/>
        <v>0</v>
      </c>
    </row>
    <row r="442" spans="1:24" ht="14.25">
      <c r="A442" s="4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X442" s="370">
        <f t="shared" si="120"/>
        <v>0</v>
      </c>
    </row>
    <row r="443" spans="1:24" ht="14.25">
      <c r="A443" s="47"/>
      <c r="B443" s="67"/>
      <c r="C443" s="67"/>
      <c r="D443" s="67"/>
      <c r="E443" s="67"/>
      <c r="F443" s="67"/>
      <c r="G443" s="67"/>
      <c r="H443" s="134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134"/>
      <c r="V443" s="134"/>
      <c r="X443" s="370"/>
    </row>
    <row r="444" spans="1:24" ht="15" thickBot="1">
      <c r="A444" s="4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X444" s="370">
        <f t="shared" si="120"/>
        <v>0</v>
      </c>
    </row>
    <row r="445" spans="1:24" ht="15">
      <c r="A445" s="47"/>
      <c r="B445" s="920" t="str">
        <f>+$B$4</f>
        <v>2022 RATE CASE</v>
      </c>
      <c r="C445" s="935"/>
      <c r="D445" s="969"/>
      <c r="F445" s="332"/>
      <c r="U445" s="134"/>
      <c r="X445" s="370">
        <f t="shared" si="120"/>
        <v>0</v>
      </c>
    </row>
    <row r="446" spans="1:24" ht="15">
      <c r="A446" s="47"/>
      <c r="B446" s="917" t="str">
        <f>+$B$5</f>
        <v>ONCOR ELECTRIC DELIVERY COMPANY LLC</v>
      </c>
      <c r="C446" s="8"/>
      <c r="D446" s="970"/>
      <c r="F446" s="332"/>
      <c r="U446" s="134"/>
      <c r="V446" s="67"/>
      <c r="X446" s="370">
        <f t="shared" si="120"/>
        <v>0</v>
      </c>
    </row>
    <row r="447" spans="1:24" ht="15">
      <c r="A447" s="47"/>
      <c r="B447" s="917" t="str">
        <f>+$B$6</f>
        <v>II-I-1-TOT:  CLASS REVENUE REQUIREMENT</v>
      </c>
      <c r="C447" s="85"/>
      <c r="D447" s="970"/>
      <c r="F447" s="332"/>
      <c r="U447" s="332"/>
      <c r="V447" s="67"/>
      <c r="X447" s="370">
        <f t="shared" si="120"/>
        <v>0</v>
      </c>
    </row>
    <row r="448" spans="1:24" ht="15">
      <c r="A448" s="47"/>
      <c r="B448" s="406" t="str">
        <f>+$B$7</f>
        <v>TEST YEAR ENDING 12/31/2021</v>
      </c>
      <c r="C448" s="85"/>
      <c r="D448" s="970"/>
      <c r="F448" s="332"/>
      <c r="U448" s="332"/>
      <c r="V448" s="67"/>
      <c r="X448" s="370">
        <f t="shared" si="120"/>
        <v>0</v>
      </c>
    </row>
    <row r="449" spans="1:24" ht="15">
      <c r="A449" s="47"/>
      <c r="B449" s="406" t="str">
        <f>+$B$8</f>
        <v>SPONSOR:  MATTHEW A. TROXLE</v>
      </c>
      <c r="C449" s="85"/>
      <c r="D449" s="970"/>
      <c r="F449" s="332"/>
      <c r="U449" s="332"/>
      <c r="V449" s="67"/>
      <c r="X449" s="370">
        <f t="shared" si="120"/>
        <v>0</v>
      </c>
    </row>
    <row r="450" spans="1:24" ht="15.75" thickBot="1">
      <c r="A450" s="47"/>
      <c r="B450" s="410"/>
      <c r="C450" s="934"/>
      <c r="D450" s="936"/>
      <c r="F450" s="332"/>
      <c r="U450" s="332"/>
      <c r="V450" s="67"/>
      <c r="X450" s="370">
        <f t="shared" si="120"/>
        <v>0</v>
      </c>
    </row>
    <row r="451" spans="1:24" ht="15" thickBot="1">
      <c r="A451" s="47"/>
      <c r="B451" s="13"/>
      <c r="C451" s="14"/>
      <c r="D451" s="14"/>
      <c r="E451" s="14"/>
      <c r="F451" s="13"/>
      <c r="G451" s="14"/>
      <c r="H451" s="14"/>
      <c r="I451" s="14"/>
      <c r="J451" s="238"/>
      <c r="K451" s="238"/>
      <c r="L451" s="14"/>
      <c r="M451" s="238"/>
      <c r="N451" s="238"/>
      <c r="O451" s="238"/>
      <c r="P451" s="238"/>
      <c r="Q451" s="14"/>
      <c r="R451" s="393" t="str">
        <f>R$10</f>
        <v xml:space="preserve"> </v>
      </c>
      <c r="S451" s="394"/>
      <c r="T451" s="238"/>
      <c r="U451" s="13"/>
      <c r="V451" s="67"/>
      <c r="X451" s="370">
        <f t="shared" si="120"/>
        <v>0</v>
      </c>
    </row>
    <row r="452" spans="1:24" ht="15">
      <c r="A452" s="47"/>
      <c r="B452" s="15" t="s">
        <v>2</v>
      </c>
      <c r="C452" s="15" t="s">
        <v>370</v>
      </c>
      <c r="D452" s="287" t="s">
        <v>125</v>
      </c>
      <c r="E452" s="15" t="s">
        <v>371</v>
      </c>
      <c r="F452" s="287" t="str">
        <f>F$11</f>
        <v>TOTAL</v>
      </c>
      <c r="G452" s="242" t="s">
        <v>741</v>
      </c>
      <c r="H452" s="242" t="s">
        <v>376</v>
      </c>
      <c r="I452" s="15"/>
      <c r="J452" s="242" t="s">
        <v>730</v>
      </c>
      <c r="K452" s="242" t="s">
        <v>409</v>
      </c>
      <c r="L452" s="15" t="s">
        <v>409</v>
      </c>
      <c r="M452" s="242" t="s">
        <v>410</v>
      </c>
      <c r="N452" s="242" t="s">
        <v>410</v>
      </c>
      <c r="O452" s="242" t="s">
        <v>410</v>
      </c>
      <c r="P452" s="242" t="s">
        <v>411</v>
      </c>
      <c r="Q452" s="15" t="s">
        <v>412</v>
      </c>
      <c r="R452" s="396" t="str">
        <f>R$11</f>
        <v>Wholesale</v>
      </c>
      <c r="S452" s="13" t="str">
        <f>S$11</f>
        <v>Wholesale</v>
      </c>
      <c r="T452" s="242"/>
      <c r="U452" s="15" t="s">
        <v>10</v>
      </c>
      <c r="V452" s="67"/>
      <c r="X452" s="370"/>
    </row>
    <row r="453" spans="1:24" ht="14.25">
      <c r="A453" s="47"/>
      <c r="B453" s="15"/>
      <c r="C453" s="15"/>
      <c r="D453" s="15"/>
      <c r="E453" s="15"/>
      <c r="F453" s="15" t="str">
        <f>F$12</f>
        <v>(Dist+Met+Cust)</v>
      </c>
      <c r="G453" s="242" t="s">
        <v>742</v>
      </c>
      <c r="H453" s="242" t="s">
        <v>743</v>
      </c>
      <c r="I453" s="15"/>
      <c r="J453" s="242"/>
      <c r="K453" s="242" t="s">
        <v>731</v>
      </c>
      <c r="L453" s="15" t="s">
        <v>732</v>
      </c>
      <c r="M453" s="242" t="s">
        <v>731</v>
      </c>
      <c r="N453" s="242" t="s">
        <v>732</v>
      </c>
      <c r="O453" s="242" t="s">
        <v>414</v>
      </c>
      <c r="P453" s="242"/>
      <c r="Q453" s="15"/>
      <c r="R453" s="235" t="str">
        <f>R$12</f>
        <v>XFMR</v>
      </c>
      <c r="S453" s="15" t="str">
        <f>S$12</f>
        <v>DLS</v>
      </c>
      <c r="T453" s="242"/>
      <c r="U453" s="15"/>
      <c r="V453" s="67"/>
      <c r="X453" s="370"/>
    </row>
    <row r="454" spans="1:24" ht="15" thickBot="1">
      <c r="A454" s="47"/>
      <c r="B454" s="16"/>
      <c r="C454" s="16"/>
      <c r="D454" s="16"/>
      <c r="E454" s="16"/>
      <c r="F454" s="16" t="s">
        <v>13</v>
      </c>
      <c r="G454" s="16" t="s">
        <v>14</v>
      </c>
      <c r="H454" s="16" t="s">
        <v>15</v>
      </c>
      <c r="I454" s="16"/>
      <c r="J454" s="243" t="str">
        <f t="shared" si="129" ref="J454:Q454">J$13</f>
        <v>(d)</v>
      </c>
      <c r="K454" s="243" t="str">
        <f t="shared" si="129"/>
        <v>(e)</v>
      </c>
      <c r="L454" s="16" t="str">
        <f t="shared" si="129"/>
        <v>(f)</v>
      </c>
      <c r="M454" s="243" t="str">
        <f t="shared" si="129"/>
        <v>(g)</v>
      </c>
      <c r="N454" s="243" t="str">
        <f t="shared" si="129"/>
        <v>(h)</v>
      </c>
      <c r="O454" s="243" t="str">
        <f>O$13</f>
        <v>(i)</v>
      </c>
      <c r="P454" s="243" t="str">
        <f t="shared" si="129"/>
        <v>(j)</v>
      </c>
      <c r="Q454" s="243" t="str">
        <f t="shared" si="129"/>
        <v>(k)</v>
      </c>
      <c r="R454" s="243" t="str">
        <f>R$13</f>
        <v>(l)</v>
      </c>
      <c r="S454" s="16" t="str">
        <f>S$13</f>
        <v>(m)</v>
      </c>
      <c r="T454" s="16"/>
      <c r="U454" s="16" t="s">
        <v>734</v>
      </c>
      <c r="V454" s="67"/>
      <c r="X454" s="370"/>
    </row>
    <row r="455" spans="1:24" ht="14.25">
      <c r="A455" s="47"/>
      <c r="B455" s="67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43"/>
      <c r="V455" s="67"/>
      <c r="X455" s="370">
        <f t="shared" si="120"/>
        <v>0</v>
      </c>
    </row>
    <row r="456" spans="1:24" ht="15">
      <c r="A456" s="47"/>
      <c r="B456" s="17">
        <f t="shared" si="130" ref="B456:B464">B455+1</f>
        <v>1</v>
      </c>
      <c r="C456" s="334" t="s">
        <v>115</v>
      </c>
      <c r="D456" s="36"/>
      <c r="E456" s="37"/>
      <c r="F456" s="39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6"/>
      <c r="V456" s="67"/>
      <c r="X456" s="370">
        <f t="shared" si="120"/>
        <v>0</v>
      </c>
    </row>
    <row r="457" spans="1:24" ht="15">
      <c r="A457" s="47"/>
      <c r="B457" s="17">
        <f t="shared" si="130"/>
        <v>2</v>
      </c>
      <c r="C457" s="348" t="s">
        <v>598</v>
      </c>
      <c r="D457" s="44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43"/>
      <c r="V457" s="67"/>
      <c r="X457" s="370">
        <f t="shared" si="120"/>
        <v>0</v>
      </c>
    </row>
    <row r="458" spans="1:24" ht="15">
      <c r="A458" s="47"/>
      <c r="B458" s="17">
        <f t="shared" si="130"/>
        <v>3</v>
      </c>
      <c r="C458" s="36">
        <v>165</v>
      </c>
      <c r="D458" s="348" t="s">
        <v>125</v>
      </c>
      <c r="E458" s="37" t="s">
        <v>126</v>
      </c>
      <c r="F458" s="39"/>
      <c r="G458" s="37"/>
      <c r="H458" s="897"/>
      <c r="I458" s="897"/>
      <c r="J458" s="897"/>
      <c r="K458" s="897"/>
      <c r="L458" s="897"/>
      <c r="M458" s="897"/>
      <c r="N458" s="897"/>
      <c r="O458" s="897"/>
      <c r="P458" s="897"/>
      <c r="Q458" s="897"/>
      <c r="R458" s="897"/>
      <c r="S458" s="897"/>
      <c r="T458" s="37"/>
      <c r="U458" s="36"/>
      <c r="V458" s="67"/>
      <c r="X458" s="370">
        <f t="shared" si="120"/>
        <v>0</v>
      </c>
    </row>
    <row r="459" spans="1:24" ht="14.25">
      <c r="A459" s="47"/>
      <c r="B459" s="17">
        <f t="shared" si="130"/>
        <v>4</v>
      </c>
      <c r="C459" s="43"/>
      <c r="D459" s="43" t="s">
        <v>125</v>
      </c>
      <c r="E459" s="351"/>
      <c r="F459" s="118">
        <f>' WP II-I-1.4'!L459</f>
        <v>104576672.73615386</v>
      </c>
      <c r="G459" s="358" t="s">
        <v>805</v>
      </c>
      <c r="H459" s="1" t="s">
        <v>320</v>
      </c>
      <c r="I459" s="912"/>
      <c r="J459" s="435">
        <f>'II-I-DIST'!J459+'II-I-MET'!J459+'II-I-TBILLTDCS'!J459</f>
        <v>41996472.030183576</v>
      </c>
      <c r="K459" s="435">
        <f>'II-I-DIST'!K459+'II-I-MET'!K459+'II-I-TBILLTDCS'!K459</f>
        <v>1500195.2321651203</v>
      </c>
      <c r="L459" s="435">
        <f>'II-I-DIST'!L459+'II-I-MET'!L459+'II-I-TBILLTDCS'!L459</f>
        <v>43969878.771360263</v>
      </c>
      <c r="M459" s="435">
        <f>'II-I-DIST'!M459+'II-I-MET'!M459+'II-I-TBILLTDCS'!M459</f>
        <v>758.93271398874992</v>
      </c>
      <c r="N459" s="435">
        <f>'II-I-DIST'!N459+'II-I-MET'!N459+'II-I-TBILLTDCS'!N459</f>
        <v>7070030.0261587268</v>
      </c>
      <c r="O459" s="435">
        <f>'II-I-DIST'!O459+'II-I-MET'!O459+'II-I-TBILLTDCS'!O459</f>
        <v>1112421.7067687342</v>
      </c>
      <c r="P459" s="435">
        <f>'II-I-DIST'!P459+'II-I-MET'!P459+'II-I-TBILLTDCS'!P459</f>
        <v>8332812.0589810628</v>
      </c>
      <c r="Q459" s="435">
        <f>'II-I-DIST'!Q459+'II-I-MET'!Q459+'II-I-TBILLTDCS'!Q459</f>
        <v>382811.32329457736</v>
      </c>
      <c r="R459" s="435">
        <f>'II-I-DIST'!R459+'II-I-MET'!R459+'II-I-TBILLTDCS'!R459</f>
        <v>84880.332742595871</v>
      </c>
      <c r="S459" s="435">
        <f>'II-I-DIST'!S459+'II-I-MET'!S459+'II-I-TBILLTDCS'!S459</f>
        <v>126412.32178517949</v>
      </c>
      <c r="T459" s="912"/>
      <c r="U459" s="118">
        <f>SUM(I459:T459)</f>
        <v>104576672.73615383</v>
      </c>
      <c r="V459" s="67"/>
      <c r="X459" s="370">
        <f t="shared" si="120"/>
        <v>0</v>
      </c>
    </row>
    <row r="460" spans="1:24" ht="15">
      <c r="A460" s="47"/>
      <c r="B460" s="17">
        <f t="shared" si="130"/>
        <v>5</v>
      </c>
      <c r="C460" s="36"/>
      <c r="D460" s="44" t="s">
        <v>491</v>
      </c>
      <c r="E460" s="352"/>
      <c r="F460" s="39">
        <f>SUM(F459:F459)</f>
        <v>104576672.73615386</v>
      </c>
      <c r="G460" s="352"/>
      <c r="H460" s="913"/>
      <c r="I460" s="913"/>
      <c r="J460" s="898">
        <f t="shared" si="131" ref="J460:Q460">SUM(J459:J459)</f>
        <v>41996472.030183576</v>
      </c>
      <c r="K460" s="898">
        <f t="shared" si="131"/>
        <v>1500195.2321651203</v>
      </c>
      <c r="L460" s="898">
        <f t="shared" si="131"/>
        <v>43969878.771360263</v>
      </c>
      <c r="M460" s="898">
        <f t="shared" si="131"/>
        <v>758.93271398874992</v>
      </c>
      <c r="N460" s="898">
        <f t="shared" si="131"/>
        <v>7070030.0261587268</v>
      </c>
      <c r="O460" s="898">
        <f>SUM(O459:O459)</f>
        <v>1112421.7067687342</v>
      </c>
      <c r="P460" s="898">
        <f t="shared" si="131"/>
        <v>8332812.0589810628</v>
      </c>
      <c r="Q460" s="898">
        <f t="shared" si="131"/>
        <v>382811.32329457736</v>
      </c>
      <c r="R460" s="898">
        <f>SUM(R459:R459)</f>
        <v>84880.332742595871</v>
      </c>
      <c r="S460" s="898">
        <f>SUM(S459:S459)</f>
        <v>126412.32178517949</v>
      </c>
      <c r="T460" s="352"/>
      <c r="U460" s="299">
        <f>SUM(I460:T460)</f>
        <v>104576672.73615383</v>
      </c>
      <c r="V460" s="67"/>
      <c r="W460" s="1300" t="b">
        <f>' WP II-I-1.4'!$L$460=F460</f>
        <v>1</v>
      </c>
      <c r="X460" s="370">
        <f t="shared" si="120"/>
        <v>0</v>
      </c>
    </row>
    <row r="461" spans="1:24" ht="15.75" thickBot="1">
      <c r="A461" s="47"/>
      <c r="B461" s="17">
        <f t="shared" si="130"/>
        <v>6</v>
      </c>
      <c r="C461" s="36"/>
      <c r="D461" s="44"/>
      <c r="E461" s="352"/>
      <c r="F461" s="353"/>
      <c r="G461" s="352"/>
      <c r="H461" s="352"/>
      <c r="I461" s="352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2"/>
      <c r="U461" s="353"/>
      <c r="V461" s="67"/>
      <c r="X461" s="370">
        <f t="shared" si="120"/>
        <v>0</v>
      </c>
    </row>
    <row r="462" spans="1:24" ht="15.75" thickBot="1">
      <c r="A462" s="47"/>
      <c r="B462" s="17">
        <f t="shared" si="130"/>
        <v>7</v>
      </c>
      <c r="C462" s="341" t="s">
        <v>603</v>
      </c>
      <c r="D462" s="336"/>
      <c r="E462" s="337" t="s">
        <v>126</v>
      </c>
      <c r="F462" s="278">
        <f>+F460</f>
        <v>104576672.73615386</v>
      </c>
      <c r="G462" s="337"/>
      <c r="H462" s="457"/>
      <c r="I462" s="643"/>
      <c r="J462" s="356">
        <f t="shared" si="132" ref="J462:Q462">+J460</f>
        <v>41996472.030183576</v>
      </c>
      <c r="K462" s="905">
        <f t="shared" si="132"/>
        <v>1500195.2321651203</v>
      </c>
      <c r="L462" s="905">
        <f t="shared" si="132"/>
        <v>43969878.771360263</v>
      </c>
      <c r="M462" s="905">
        <f t="shared" si="132"/>
        <v>758.93271398874992</v>
      </c>
      <c r="N462" s="905">
        <f t="shared" si="132"/>
        <v>7070030.0261587268</v>
      </c>
      <c r="O462" s="905">
        <f>+O460</f>
        <v>1112421.7067687342</v>
      </c>
      <c r="P462" s="905">
        <f t="shared" si="132"/>
        <v>8332812.0589810628</v>
      </c>
      <c r="Q462" s="905">
        <f t="shared" si="132"/>
        <v>382811.32329457736</v>
      </c>
      <c r="R462" s="905">
        <f>+R460</f>
        <v>84880.332742595871</v>
      </c>
      <c r="S462" s="279">
        <f>+S460</f>
        <v>126412.32178517949</v>
      </c>
      <c r="T462" s="457"/>
      <c r="U462" s="256">
        <f>SUM(I462:T462)</f>
        <v>104576672.73615383</v>
      </c>
      <c r="V462" s="67"/>
      <c r="W462" s="1300" t="b">
        <f>' WP II-I-1.4'!$L$462=F462</f>
        <v>1</v>
      </c>
      <c r="X462" s="370">
        <f t="shared" si="120"/>
        <v>0</v>
      </c>
    </row>
    <row r="463" spans="1:24" ht="15" thickBot="1">
      <c r="A463" s="47"/>
      <c r="B463" s="17">
        <f t="shared" si="130"/>
        <v>8</v>
      </c>
      <c r="C463" s="43"/>
      <c r="D463" s="340"/>
      <c r="E463" s="351"/>
      <c r="F463" s="263"/>
      <c r="G463" s="351"/>
      <c r="H463" s="351"/>
      <c r="I463" s="351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351"/>
      <c r="U463" s="263"/>
      <c r="V463" s="67"/>
      <c r="X463" s="370">
        <f t="shared" si="120"/>
        <v>0</v>
      </c>
    </row>
    <row r="464" spans="1:24" ht="15.75" thickBot="1">
      <c r="A464" s="47"/>
      <c r="B464" s="17">
        <f t="shared" si="130"/>
        <v>9</v>
      </c>
      <c r="C464" s="341" t="s">
        <v>604</v>
      </c>
      <c r="D464" s="336"/>
      <c r="E464" s="337" t="s">
        <v>605</v>
      </c>
      <c r="F464" s="278">
        <f>+F462+F441+F421</f>
        <v>163092766.90615386</v>
      </c>
      <c r="G464" s="337"/>
      <c r="H464" s="457"/>
      <c r="I464" s="643"/>
      <c r="J464" s="1078">
        <f t="shared" si="133" ref="J464:Q464">+J462+J441+J421</f>
        <v>75118334.884108081</v>
      </c>
      <c r="K464" s="1019">
        <f t="shared" si="133"/>
        <v>2970313.6293394035</v>
      </c>
      <c r="L464" s="1019">
        <f t="shared" si="133"/>
        <v>63875477.469191402</v>
      </c>
      <c r="M464" s="1019">
        <f t="shared" si="133"/>
        <v>8911.1938703523356</v>
      </c>
      <c r="N464" s="1019">
        <f t="shared" si="133"/>
        <v>9464210.578679176</v>
      </c>
      <c r="O464" s="1019">
        <f>+O462+O441+O421</f>
        <v>1053556.5581025067</v>
      </c>
      <c r="P464" s="1019">
        <f t="shared" si="133"/>
        <v>7233951.4836423481</v>
      </c>
      <c r="Q464" s="1019">
        <f t="shared" si="133"/>
        <v>2925439.0145127987</v>
      </c>
      <c r="R464" s="1019">
        <f>+R462+R441+R421</f>
        <v>123967.88830959059</v>
      </c>
      <c r="S464" s="1079">
        <f>+S462+S441+S421</f>
        <v>318604.20639813272</v>
      </c>
      <c r="T464" s="457"/>
      <c r="U464" s="256">
        <f>SUM(I464:T464)</f>
        <v>163092766.90615383</v>
      </c>
      <c r="V464" s="67"/>
      <c r="W464" s="1300" t="b">
        <f>' WP II-I-1.4'!$L$464=F464</f>
        <v>1</v>
      </c>
      <c r="X464" s="370">
        <f t="shared" si="134" ref="X464:X538">U464-F464</f>
        <v>0</v>
      </c>
    </row>
    <row r="465" spans="1:24" ht="14.25">
      <c r="A465" s="4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X465" s="370">
        <f t="shared" si="134"/>
        <v>0</v>
      </c>
    </row>
    <row r="466" spans="1:24" ht="14.25">
      <c r="A466" s="47"/>
      <c r="B466" s="67"/>
      <c r="C466" s="67"/>
      <c r="D466" s="67"/>
      <c r="E466" s="67"/>
      <c r="F466" s="67"/>
      <c r="G466" s="67"/>
      <c r="H466" s="134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134"/>
      <c r="V466" s="134"/>
      <c r="X466" s="370"/>
    </row>
    <row r="467" spans="1:24" ht="15" thickBot="1">
      <c r="A467" s="4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X467" s="370">
        <f t="shared" si="134"/>
        <v>0</v>
      </c>
    </row>
    <row r="468" spans="1:24" ht="15">
      <c r="A468" s="47"/>
      <c r="B468" s="920" t="str">
        <f>+$B$4</f>
        <v>2022 RATE CASE</v>
      </c>
      <c r="C468" s="935"/>
      <c r="D468" s="969"/>
      <c r="F468" s="332"/>
      <c r="U468" s="134"/>
      <c r="X468" s="370">
        <f t="shared" si="134"/>
        <v>0</v>
      </c>
    </row>
    <row r="469" spans="1:24" ht="15">
      <c r="A469" s="47"/>
      <c r="B469" s="917" t="str">
        <f>+$B$5</f>
        <v>ONCOR ELECTRIC DELIVERY COMPANY LLC</v>
      </c>
      <c r="C469" s="8"/>
      <c r="D469" s="970"/>
      <c r="F469" s="332"/>
      <c r="U469" s="134"/>
      <c r="V469" s="67"/>
      <c r="X469" s="370">
        <f t="shared" si="134"/>
        <v>0</v>
      </c>
    </row>
    <row r="470" spans="1:24" ht="15">
      <c r="A470" s="47"/>
      <c r="B470" s="917" t="str">
        <f>+$B$6</f>
        <v>II-I-1-TOT:  CLASS REVENUE REQUIREMENT</v>
      </c>
      <c r="C470" s="85"/>
      <c r="D470" s="970"/>
      <c r="F470" s="332"/>
      <c r="U470" s="332"/>
      <c r="V470" s="67"/>
      <c r="X470" s="370">
        <f t="shared" si="134"/>
        <v>0</v>
      </c>
    </row>
    <row r="471" spans="1:24" ht="15">
      <c r="A471" s="47"/>
      <c r="B471" s="406" t="str">
        <f>+$B$7</f>
        <v>TEST YEAR ENDING 12/31/2021</v>
      </c>
      <c r="C471" s="85"/>
      <c r="D471" s="970"/>
      <c r="F471" s="332"/>
      <c r="U471" s="332"/>
      <c r="V471" s="67"/>
      <c r="X471" s="370">
        <f t="shared" si="134"/>
        <v>0</v>
      </c>
    </row>
    <row r="472" spans="1:24" ht="15">
      <c r="A472" s="47"/>
      <c r="B472" s="406" t="str">
        <f>+$B$8</f>
        <v>SPONSOR:  MATTHEW A. TROXLE</v>
      </c>
      <c r="C472" s="85"/>
      <c r="D472" s="970"/>
      <c r="F472" s="332"/>
      <c r="U472" s="332"/>
      <c r="V472" s="67"/>
      <c r="X472" s="370">
        <f t="shared" si="134"/>
        <v>0</v>
      </c>
    </row>
    <row r="473" spans="1:24" ht="15.75" thickBot="1">
      <c r="A473" s="47"/>
      <c r="B473" s="410"/>
      <c r="C473" s="934"/>
      <c r="D473" s="936"/>
      <c r="F473" s="332"/>
      <c r="U473" s="332"/>
      <c r="V473" s="67"/>
      <c r="X473" s="370">
        <f t="shared" si="134"/>
        <v>0</v>
      </c>
    </row>
    <row r="474" spans="1:24" ht="15" thickBot="1">
      <c r="A474" s="47"/>
      <c r="B474" s="13"/>
      <c r="C474" s="14"/>
      <c r="D474" s="14"/>
      <c r="E474" s="14"/>
      <c r="F474" s="13"/>
      <c r="G474" s="14"/>
      <c r="H474" s="14"/>
      <c r="I474" s="14"/>
      <c r="J474" s="238"/>
      <c r="K474" s="238"/>
      <c r="L474" s="14"/>
      <c r="M474" s="238"/>
      <c r="N474" s="238"/>
      <c r="O474" s="238"/>
      <c r="P474" s="238"/>
      <c r="Q474" s="14"/>
      <c r="R474" s="393" t="str">
        <f>R$10</f>
        <v xml:space="preserve"> </v>
      </c>
      <c r="S474" s="394"/>
      <c r="T474" s="238"/>
      <c r="U474" s="13"/>
      <c r="V474" s="67"/>
      <c r="X474" s="370">
        <f t="shared" si="134"/>
        <v>0</v>
      </c>
    </row>
    <row r="475" spans="1:24" ht="15">
      <c r="A475" s="47"/>
      <c r="B475" s="15" t="s">
        <v>2</v>
      </c>
      <c r="C475" s="15" t="s">
        <v>370</v>
      </c>
      <c r="D475" s="287" t="s">
        <v>127</v>
      </c>
      <c r="E475" s="15" t="s">
        <v>371</v>
      </c>
      <c r="F475" s="287" t="str">
        <f>F$11</f>
        <v>TOTAL</v>
      </c>
      <c r="G475" s="242" t="s">
        <v>741</v>
      </c>
      <c r="H475" s="242" t="s">
        <v>376</v>
      </c>
      <c r="I475" s="15"/>
      <c r="J475" s="242" t="s">
        <v>730</v>
      </c>
      <c r="K475" s="242" t="s">
        <v>409</v>
      </c>
      <c r="L475" s="15" t="s">
        <v>409</v>
      </c>
      <c r="M475" s="242" t="s">
        <v>410</v>
      </c>
      <c r="N475" s="242" t="s">
        <v>410</v>
      </c>
      <c r="O475" s="242" t="s">
        <v>410</v>
      </c>
      <c r="P475" s="242" t="s">
        <v>411</v>
      </c>
      <c r="Q475" s="15" t="s">
        <v>412</v>
      </c>
      <c r="R475" s="396" t="str">
        <f>R$11</f>
        <v>Wholesale</v>
      </c>
      <c r="S475" s="13" t="str">
        <f>S$11</f>
        <v>Wholesale</v>
      </c>
      <c r="T475" s="242"/>
      <c r="U475" s="15" t="s">
        <v>10</v>
      </c>
      <c r="V475" s="67"/>
      <c r="X475" s="370"/>
    </row>
    <row r="476" spans="1:24" ht="14.25">
      <c r="A476" s="47"/>
      <c r="B476" s="15"/>
      <c r="C476" s="15"/>
      <c r="D476" s="15"/>
      <c r="E476" s="15"/>
      <c r="F476" s="15" t="str">
        <f>F$12</f>
        <v>(Dist+Met+Cust)</v>
      </c>
      <c r="G476" s="242" t="s">
        <v>742</v>
      </c>
      <c r="H476" s="242" t="s">
        <v>743</v>
      </c>
      <c r="I476" s="15"/>
      <c r="J476" s="242"/>
      <c r="K476" s="242" t="s">
        <v>731</v>
      </c>
      <c r="L476" s="15" t="s">
        <v>732</v>
      </c>
      <c r="M476" s="242" t="s">
        <v>731</v>
      </c>
      <c r="N476" s="242" t="s">
        <v>732</v>
      </c>
      <c r="O476" s="242" t="s">
        <v>414</v>
      </c>
      <c r="P476" s="242"/>
      <c r="Q476" s="15"/>
      <c r="R476" s="235" t="str">
        <f>R$12</f>
        <v>XFMR</v>
      </c>
      <c r="S476" s="15" t="str">
        <f>S$12</f>
        <v>DLS</v>
      </c>
      <c r="T476" s="242"/>
      <c r="U476" s="15"/>
      <c r="V476" s="67"/>
      <c r="X476" s="370"/>
    </row>
    <row r="477" spans="1:24" ht="15" thickBot="1">
      <c r="A477" s="47"/>
      <c r="B477" s="16"/>
      <c r="C477" s="16"/>
      <c r="D477" s="16"/>
      <c r="E477" s="16"/>
      <c r="F477" s="16" t="s">
        <v>13</v>
      </c>
      <c r="G477" s="16" t="s">
        <v>14</v>
      </c>
      <c r="H477" s="16" t="s">
        <v>15</v>
      </c>
      <c r="I477" s="16"/>
      <c r="J477" s="243" t="str">
        <f t="shared" si="135" ref="J477:Q477">J$13</f>
        <v>(d)</v>
      </c>
      <c r="K477" s="243" t="str">
        <f t="shared" si="135"/>
        <v>(e)</v>
      </c>
      <c r="L477" s="16" t="str">
        <f t="shared" si="135"/>
        <v>(f)</v>
      </c>
      <c r="M477" s="243" t="str">
        <f t="shared" si="135"/>
        <v>(g)</v>
      </c>
      <c r="N477" s="243" t="str">
        <f t="shared" si="135"/>
        <v>(h)</v>
      </c>
      <c r="O477" s="243" t="str">
        <f>O$13</f>
        <v>(i)</v>
      </c>
      <c r="P477" s="243" t="str">
        <f t="shared" si="135"/>
        <v>(j)</v>
      </c>
      <c r="Q477" s="243" t="str">
        <f t="shared" si="135"/>
        <v>(k)</v>
      </c>
      <c r="R477" s="243" t="str">
        <f>R$13</f>
        <v>(l)</v>
      </c>
      <c r="S477" s="16" t="str">
        <f>S$13</f>
        <v>(m)</v>
      </c>
      <c r="T477" s="16"/>
      <c r="U477" s="16" t="s">
        <v>734</v>
      </c>
      <c r="V477" s="67"/>
      <c r="X477" s="370"/>
    </row>
    <row r="478" spans="1:24" ht="14.25">
      <c r="A478" s="47"/>
      <c r="B478" s="67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43"/>
      <c r="V478" s="67"/>
      <c r="X478" s="370">
        <f t="shared" si="134"/>
        <v>0</v>
      </c>
    </row>
    <row r="479" spans="1:24" ht="15">
      <c r="A479" s="47"/>
      <c r="B479" s="17">
        <f t="shared" si="136" ref="B479:B485">B478+1</f>
        <v>1</v>
      </c>
      <c r="C479" s="334" t="s">
        <v>606</v>
      </c>
      <c r="D479" s="36"/>
      <c r="E479" s="37" t="s">
        <v>128</v>
      </c>
      <c r="F479" s="39"/>
      <c r="G479" s="37"/>
      <c r="H479" s="897"/>
      <c r="I479" s="897"/>
      <c r="J479" s="897"/>
      <c r="K479" s="897"/>
      <c r="L479" s="897"/>
      <c r="M479" s="897"/>
      <c r="N479" s="897"/>
      <c r="O479" s="897"/>
      <c r="P479" s="897"/>
      <c r="Q479" s="897"/>
      <c r="R479" s="897"/>
      <c r="S479" s="897"/>
      <c r="T479" s="37"/>
      <c r="U479" s="36"/>
      <c r="V479" s="67"/>
      <c r="X479" s="370">
        <f t="shared" si="134"/>
        <v>0</v>
      </c>
    </row>
    <row r="480" spans="1:24" ht="15">
      <c r="A480" s="47"/>
      <c r="B480" s="17">
        <f t="shared" si="136"/>
        <v>2</v>
      </c>
      <c r="C480" s="334"/>
      <c r="D480" s="691" t="s">
        <v>999</v>
      </c>
      <c r="E480" s="263"/>
      <c r="F480" s="263">
        <f>' WP II-I-1.4'!L480</f>
        <v>-2266260.54</v>
      </c>
      <c r="G480" s="263"/>
      <c r="H480" s="263"/>
      <c r="I480" s="263"/>
      <c r="J480" s="434">
        <f>'II-I-DIST'!J480+'II-I-MET'!J480+'II-I-TBILLTDCS'!J480</f>
        <v>-1087754.8129729861</v>
      </c>
      <c r="K480" s="434">
        <f>'II-I-DIST'!K480+'II-I-MET'!K480+'II-I-TBILLTDCS'!K480</f>
        <v>-26563.20714607363</v>
      </c>
      <c r="L480" s="434">
        <f>'II-I-DIST'!L480+'II-I-MET'!L480+'II-I-TBILLTDCS'!L480</f>
        <v>-700375.23220903287</v>
      </c>
      <c r="M480" s="434">
        <f>'II-I-DIST'!M480+'II-I-MET'!M480+'II-I-TBILLTDCS'!M480</f>
        <v>-395.95098739878148</v>
      </c>
      <c r="N480" s="434">
        <f>'II-I-DIST'!N480+'II-I-MET'!N480+'II-I-TBILLTDCS'!N480</f>
        <v>-167586.39219862234</v>
      </c>
      <c r="O480" s="434">
        <f>'II-I-DIST'!O480+'II-I-MET'!O480+'II-I-TBILLTDCS'!O480</f>
        <v>-60605.059506198639</v>
      </c>
      <c r="P480" s="434">
        <f>'II-I-DIST'!P480+'II-I-MET'!P480+'II-I-TBILLTDCS'!P480</f>
        <v>-199554.64614870184</v>
      </c>
      <c r="Q480" s="434">
        <f>'II-I-DIST'!Q480+'II-I-MET'!Q480+'II-I-TBILLTDCS'!Q480</f>
        <v>-7064.2889153382494</v>
      </c>
      <c r="R480" s="434">
        <f>'II-I-DIST'!R480+'II-I-MET'!R480+'II-I-TBILLTDCS'!R480</f>
        <v>-7263.8957016306895</v>
      </c>
      <c r="S480" s="434">
        <f>'II-I-DIST'!S480+'II-I-MET'!S480+'II-I-TBILLTDCS'!S480</f>
        <v>-9097.0542140167599</v>
      </c>
      <c r="T480" s="263"/>
      <c r="U480" s="118">
        <f>SUM(I480:T480)</f>
        <v>-2266260.54</v>
      </c>
      <c r="V480" s="67"/>
      <c r="X480" s="370">
        <f t="shared" si="134"/>
        <v>0</v>
      </c>
    </row>
    <row r="481" spans="1:24" ht="15">
      <c r="A481" s="47"/>
      <c r="B481" s="17">
        <f t="shared" si="136"/>
        <v>3</v>
      </c>
      <c r="C481" s="43"/>
      <c r="D481" s="43" t="s">
        <v>607</v>
      </c>
      <c r="E481" s="37"/>
      <c r="F481" s="118">
        <f>' WP II-I-1.4'!L481</f>
        <v>-162100</v>
      </c>
      <c r="G481" s="358" t="s">
        <v>805</v>
      </c>
      <c r="H481" s="1" t="s">
        <v>320</v>
      </c>
      <c r="I481" s="897"/>
      <c r="J481" s="434">
        <f>'II-I-DIST'!J481+'II-I-MET'!J481+'II-I-TBILLTDCS'!J481</f>
        <v>-77804.40601190587</v>
      </c>
      <c r="K481" s="434">
        <f>'II-I-DIST'!K481+'II-I-MET'!K481+'II-I-TBILLTDCS'!K481</f>
        <v>-1900.0003761167441</v>
      </c>
      <c r="L481" s="434">
        <f>'II-I-DIST'!L481+'II-I-MET'!L481+'II-I-TBILLTDCS'!L481</f>
        <v>-50096.104634590789</v>
      </c>
      <c r="M481" s="434">
        <f>'II-I-DIST'!M481+'II-I-MET'!M481+'II-I-TBILLTDCS'!M481</f>
        <v>-28.321392851566166</v>
      </c>
      <c r="N481" s="434">
        <f>'II-I-DIST'!N481+'II-I-MET'!N481+'II-I-TBILLTDCS'!N481</f>
        <v>-11987.039308109155</v>
      </c>
      <c r="O481" s="434">
        <f>'II-I-DIST'!O481+'II-I-MET'!O481+'II-I-TBILLTDCS'!O481</f>
        <v>-4334.9297102242263</v>
      </c>
      <c r="P481" s="434">
        <f>'II-I-DIST'!P481+'II-I-MET'!P481+'II-I-TBILLTDCS'!P481</f>
        <v>-14273.649286901748</v>
      </c>
      <c r="Q481" s="434">
        <f>'II-I-DIST'!Q481+'II-I-MET'!Q481+'II-I-TBILLTDCS'!Q481</f>
        <v>-505.29107883435597</v>
      </c>
      <c r="R481" s="434">
        <f>'II-I-DIST'!R481+'II-I-MET'!R481+'II-I-TBILLTDCS'!R481</f>
        <v>-519.5684575765215</v>
      </c>
      <c r="S481" s="434">
        <f>'II-I-DIST'!S481+'II-I-MET'!S481+'II-I-TBILLTDCS'!S481</f>
        <v>-650.68974288901347</v>
      </c>
      <c r="T481" s="897"/>
      <c r="U481" s="118">
        <f>SUM(I481:T481)</f>
        <v>-162100</v>
      </c>
      <c r="V481" s="67"/>
      <c r="X481" s="370">
        <f t="shared" si="134"/>
        <v>0</v>
      </c>
    </row>
    <row r="482" spans="1:24" ht="15">
      <c r="A482" s="47"/>
      <c r="B482" s="17">
        <f t="shared" si="136"/>
        <v>4</v>
      </c>
      <c r="C482" s="43"/>
      <c r="D482" s="691" t="s">
        <v>1042</v>
      </c>
      <c r="E482" s="37"/>
      <c r="F482" s="118">
        <f>' WP II-I-1.4'!L482</f>
        <v>-668323.90000000002</v>
      </c>
      <c r="G482" s="358" t="s">
        <v>805</v>
      </c>
      <c r="H482" s="1" t="s">
        <v>320</v>
      </c>
      <c r="I482" s="897"/>
      <c r="J482" s="435">
        <f>'II-I-DIST'!J482+'II-I-MET'!J482+'II-I-TBILLTDCS'!J482</f>
        <v>-320780.65430635645</v>
      </c>
      <c r="K482" s="435">
        <f>'II-I-DIST'!K482+'II-I-MET'!K482+'II-I-TBILLTDCS'!K482</f>
        <v>-7833.5327659951217</v>
      </c>
      <c r="L482" s="435">
        <f>'II-I-DIST'!L482+'II-I-MET'!L482+'II-I-TBILLTDCS'!L482</f>
        <v>-206541.78916840095</v>
      </c>
      <c r="M482" s="435">
        <f>'II-I-DIST'!M482+'II-I-MET'!M482+'II-I-TBILLTDCS'!M482</f>
        <v>-116.76658682289218</v>
      </c>
      <c r="N482" s="435">
        <f>'II-I-DIST'!N482+'II-I-MET'!N482+'II-I-TBILLTDCS'!N482</f>
        <v>-49421.498210048201</v>
      </c>
      <c r="O482" s="435">
        <f>'II-I-DIST'!O482+'II-I-MET'!O482+'II-I-TBILLTDCS'!O482</f>
        <v>-17872.530105878624</v>
      </c>
      <c r="P482" s="435">
        <f>'II-I-DIST'!P482+'II-I-MET'!P482+'II-I-TBILLTDCS'!P482</f>
        <v>-58848.988023777885</v>
      </c>
      <c r="Q482" s="435">
        <f>'II-I-DIST'!Q482+'II-I-MET'!Q482+'II-I-TBILLTDCS'!Q482</f>
        <v>-2083.270230979545</v>
      </c>
      <c r="R482" s="435">
        <f>'II-I-DIST'!R482+'II-I-MET'!R482+'II-I-TBILLTDCS'!R482</f>
        <v>-2142.1345952160727</v>
      </c>
      <c r="S482" s="435">
        <f>'II-I-DIST'!S482+'II-I-MET'!S482+'II-I-TBILLTDCS'!S482</f>
        <v>-2682.736006524261</v>
      </c>
      <c r="T482" s="897"/>
      <c r="U482" s="118">
        <f>SUM(I482:T482)</f>
        <v>-668323.89999999991</v>
      </c>
      <c r="V482" s="67"/>
      <c r="X482" s="370"/>
    </row>
    <row r="483" spans="1:24" ht="15">
      <c r="A483" s="47"/>
      <c r="B483" s="17">
        <f t="shared" si="136"/>
        <v>5</v>
      </c>
      <c r="C483" s="36"/>
      <c r="D483" s="44" t="s">
        <v>491</v>
      </c>
      <c r="E483" s="352"/>
      <c r="F483" s="39">
        <f>SUM(F480:F482)</f>
        <v>-3096684.4399999999</v>
      </c>
      <c r="G483" s="352"/>
      <c r="H483" s="352"/>
      <c r="I483" s="352"/>
      <c r="J483" s="39">
        <f>SUM(J480:J482)</f>
        <v>-1486339.8732912485</v>
      </c>
      <c r="K483" s="39">
        <f t="shared" si="137" ref="K483:S483">SUM(K480:K482)</f>
        <v>-36296.740288185494</v>
      </c>
      <c r="L483" s="39">
        <f t="shared" si="137"/>
        <v>-957013.12601202459</v>
      </c>
      <c r="M483" s="39">
        <f t="shared" si="137"/>
        <v>-541.03896707323975</v>
      </c>
      <c r="N483" s="39">
        <f t="shared" si="137"/>
        <v>-228994.92971677968</v>
      </c>
      <c r="O483" s="39">
        <f t="shared" si="137"/>
        <v>-82812.519322301494</v>
      </c>
      <c r="P483" s="39">
        <f t="shared" si="137"/>
        <v>-272677.28345938149</v>
      </c>
      <c r="Q483" s="39">
        <f t="shared" si="137"/>
        <v>-9652.8502251521495</v>
      </c>
      <c r="R483" s="39">
        <f t="shared" si="137"/>
        <v>-9925.5987544232848</v>
      </c>
      <c r="S483" s="39">
        <f t="shared" si="137"/>
        <v>-12430.479963430034</v>
      </c>
      <c r="T483" s="352"/>
      <c r="U483" s="299">
        <f>SUM(I483:T483)</f>
        <v>-3096684.4399999999</v>
      </c>
      <c r="V483" s="67"/>
      <c r="W483" s="1300" t="b">
        <f>' WP II-I-1.4'!$L$483=F483</f>
        <v>1</v>
      </c>
      <c r="X483" s="370">
        <f t="shared" si="134"/>
        <v>0</v>
      </c>
    </row>
    <row r="484" spans="1:24" ht="15.75" thickBot="1">
      <c r="A484" s="47"/>
      <c r="B484" s="17">
        <f t="shared" si="136"/>
        <v>6</v>
      </c>
      <c r="C484" s="36"/>
      <c r="D484" s="44"/>
      <c r="E484" s="37"/>
      <c r="F484" s="39"/>
      <c r="G484" s="37"/>
      <c r="H484" s="37"/>
      <c r="I484" s="37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7"/>
      <c r="U484" s="36"/>
      <c r="V484" s="67"/>
      <c r="X484" s="370">
        <f t="shared" si="134"/>
        <v>0</v>
      </c>
    </row>
    <row r="485" spans="1:24" ht="15.75" thickBot="1">
      <c r="A485" s="47"/>
      <c r="B485" s="17">
        <f t="shared" si="136"/>
        <v>7</v>
      </c>
      <c r="C485" s="341" t="s">
        <v>608</v>
      </c>
      <c r="D485" s="336"/>
      <c r="E485" s="337"/>
      <c r="F485" s="278">
        <f>+F483+F464+F421+F399+F374</f>
        <v>-1017987709.4138454</v>
      </c>
      <c r="G485" s="337"/>
      <c r="H485" s="457"/>
      <c r="I485" s="458"/>
      <c r="J485" s="356">
        <f t="shared" si="138" ref="J485:Q485">+J483+J464+J421+J399+J374</f>
        <v>-569654328.04058528</v>
      </c>
      <c r="K485" s="278">
        <f t="shared" si="138"/>
        <v>-30846520.674440064</v>
      </c>
      <c r="L485" s="279">
        <f t="shared" si="138"/>
        <v>-327833706.6802929</v>
      </c>
      <c r="M485" s="356">
        <f t="shared" si="138"/>
        <v>-570828.44464530749</v>
      </c>
      <c r="N485" s="278">
        <f t="shared" si="138"/>
        <v>-52695868.624751933</v>
      </c>
      <c r="O485" s="278">
        <f>+O483+O464+O421+O399+O374</f>
        <v>-4116714.2507459526</v>
      </c>
      <c r="P485" s="278">
        <f t="shared" si="138"/>
        <v>5301624.3484811261</v>
      </c>
      <c r="Q485" s="278">
        <f t="shared" si="138"/>
        <v>-34449755.971723698</v>
      </c>
      <c r="R485" s="278">
        <f>+R483+R464+R421+R399+R374</f>
        <v>-494269.52417344612</v>
      </c>
      <c r="S485" s="279">
        <f>+S483+S464+S421+S399+S374</f>
        <v>-2627341.5509677823</v>
      </c>
      <c r="T485" s="458"/>
      <c r="U485" s="256">
        <f>SUM(I485:T485)</f>
        <v>-1017987709.4138453</v>
      </c>
      <c r="V485" s="67"/>
      <c r="W485" s="1300" t="b">
        <f>' WP II-I-1.4'!$L$485=F485</f>
        <v>1</v>
      </c>
      <c r="X485" s="370">
        <f t="shared" si="134"/>
        <v>0</v>
      </c>
    </row>
    <row r="486" spans="1:24" ht="14.25">
      <c r="A486" s="4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X486" s="370">
        <f t="shared" si="134"/>
        <v>0</v>
      </c>
    </row>
    <row r="487" spans="1:24" ht="14.25">
      <c r="A487" s="47"/>
      <c r="B487" s="67"/>
      <c r="C487" s="67"/>
      <c r="D487" s="67"/>
      <c r="E487" s="67"/>
      <c r="F487" s="67"/>
      <c r="G487" s="67"/>
      <c r="H487" s="134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134"/>
      <c r="V487" s="134"/>
      <c r="X487" s="370"/>
    </row>
    <row r="488" spans="1:24" ht="15" thickBot="1">
      <c r="A488" s="4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X488" s="370">
        <f t="shared" si="134"/>
        <v>0</v>
      </c>
    </row>
    <row r="489" spans="1:24" ht="15">
      <c r="A489" s="47"/>
      <c r="B489" s="920" t="str">
        <f>+$B$4</f>
        <v>2022 RATE CASE</v>
      </c>
      <c r="C489" s="935"/>
      <c r="D489" s="969"/>
      <c r="F489" s="332"/>
      <c r="U489" s="134"/>
      <c r="X489" s="370">
        <f t="shared" si="134"/>
        <v>0</v>
      </c>
    </row>
    <row r="490" spans="1:24" ht="15">
      <c r="A490" s="47"/>
      <c r="B490" s="917" t="str">
        <f>+$B$5</f>
        <v>ONCOR ELECTRIC DELIVERY COMPANY LLC</v>
      </c>
      <c r="C490" s="8"/>
      <c r="D490" s="970"/>
      <c r="F490" s="332"/>
      <c r="U490" s="134"/>
      <c r="V490" s="67"/>
      <c r="X490" s="370">
        <f t="shared" si="134"/>
        <v>0</v>
      </c>
    </row>
    <row r="491" spans="1:24" ht="15">
      <c r="A491" s="47"/>
      <c r="B491" s="917" t="str">
        <f>+$B$6</f>
        <v>II-I-1-TOT:  CLASS REVENUE REQUIREMENT</v>
      </c>
      <c r="C491" s="85"/>
      <c r="D491" s="970"/>
      <c r="F491" s="332"/>
      <c r="U491" s="332"/>
      <c r="V491" s="67"/>
      <c r="X491" s="370">
        <f t="shared" si="134"/>
        <v>0</v>
      </c>
    </row>
    <row r="492" spans="1:24" ht="15">
      <c r="A492" s="47"/>
      <c r="B492" s="406" t="str">
        <f>+$B$7</f>
        <v>TEST YEAR ENDING 12/31/2021</v>
      </c>
      <c r="C492" s="85"/>
      <c r="D492" s="970"/>
      <c r="F492" s="332"/>
      <c r="U492" s="332"/>
      <c r="V492" s="67"/>
      <c r="X492" s="370">
        <f t="shared" si="134"/>
        <v>0</v>
      </c>
    </row>
    <row r="493" spans="1:24" ht="15">
      <c r="A493" s="47"/>
      <c r="B493" s="406" t="str">
        <f>+$B$8</f>
        <v>SPONSOR:  MATTHEW A. TROXLE</v>
      </c>
      <c r="C493" s="85"/>
      <c r="D493" s="970"/>
      <c r="F493" s="332"/>
      <c r="U493" s="332"/>
      <c r="V493" s="67"/>
      <c r="X493" s="370">
        <f t="shared" si="134"/>
        <v>0</v>
      </c>
    </row>
    <row r="494" spans="1:24" ht="10.5" customHeight="1" thickBot="1">
      <c r="A494" s="47"/>
      <c r="B494" s="410"/>
      <c r="C494" s="934"/>
      <c r="D494" s="936"/>
      <c r="F494" s="332"/>
      <c r="U494" s="332"/>
      <c r="V494" s="67"/>
      <c r="X494" s="370">
        <f t="shared" si="134"/>
        <v>0</v>
      </c>
    </row>
    <row r="495" spans="1:24" ht="15" thickBot="1">
      <c r="A495" s="47"/>
      <c r="B495" s="13"/>
      <c r="C495" s="14"/>
      <c r="D495" s="14"/>
      <c r="E495" s="14"/>
      <c r="F495" s="13"/>
      <c r="G495" s="14"/>
      <c r="H495" s="14"/>
      <c r="I495" s="14"/>
      <c r="J495" s="238"/>
      <c r="K495" s="238"/>
      <c r="L495" s="14"/>
      <c r="M495" s="238"/>
      <c r="N495" s="238"/>
      <c r="O495" s="238"/>
      <c r="P495" s="238"/>
      <c r="Q495" s="14"/>
      <c r="R495" s="393" t="str">
        <f>R$10</f>
        <v xml:space="preserve"> </v>
      </c>
      <c r="S495" s="394"/>
      <c r="T495" s="238"/>
      <c r="U495" s="13"/>
      <c r="V495" s="67"/>
      <c r="X495" s="370">
        <f t="shared" si="134"/>
        <v>0</v>
      </c>
    </row>
    <row r="496" spans="1:24" ht="15">
      <c r="A496" s="47"/>
      <c r="B496" s="15" t="s">
        <v>2</v>
      </c>
      <c r="C496" s="15" t="s">
        <v>370</v>
      </c>
      <c r="D496" s="287" t="s">
        <v>609</v>
      </c>
      <c r="E496" s="15" t="s">
        <v>371</v>
      </c>
      <c r="F496" s="287" t="str">
        <f>F$11</f>
        <v>TOTAL</v>
      </c>
      <c r="G496" s="242" t="s">
        <v>741</v>
      </c>
      <c r="H496" s="242" t="s">
        <v>376</v>
      </c>
      <c r="I496" s="15"/>
      <c r="J496" s="242" t="s">
        <v>730</v>
      </c>
      <c r="K496" s="242" t="s">
        <v>409</v>
      </c>
      <c r="L496" s="15" t="s">
        <v>409</v>
      </c>
      <c r="M496" s="242" t="s">
        <v>410</v>
      </c>
      <c r="N496" s="242" t="s">
        <v>410</v>
      </c>
      <c r="O496" s="242" t="s">
        <v>410</v>
      </c>
      <c r="P496" s="242" t="s">
        <v>411</v>
      </c>
      <c r="Q496" s="15" t="s">
        <v>412</v>
      </c>
      <c r="R496" s="396" t="str">
        <f>R$11</f>
        <v>Wholesale</v>
      </c>
      <c r="S496" s="13" t="str">
        <f>S$11</f>
        <v>Wholesale</v>
      </c>
      <c r="T496" s="242"/>
      <c r="U496" s="15" t="s">
        <v>10</v>
      </c>
      <c r="V496" s="67"/>
      <c r="X496" s="370"/>
    </row>
    <row r="497" spans="1:24" ht="14.25">
      <c r="A497" s="47"/>
      <c r="B497" s="15"/>
      <c r="C497" s="15"/>
      <c r="D497" s="15"/>
      <c r="E497" s="15"/>
      <c r="F497" s="15" t="str">
        <f>F$12</f>
        <v>(Dist+Met+Cust)</v>
      </c>
      <c r="G497" s="242" t="s">
        <v>742</v>
      </c>
      <c r="H497" s="242" t="s">
        <v>743</v>
      </c>
      <c r="I497" s="15"/>
      <c r="J497" s="242"/>
      <c r="K497" s="242" t="s">
        <v>731</v>
      </c>
      <c r="L497" s="15" t="s">
        <v>732</v>
      </c>
      <c r="M497" s="242" t="s">
        <v>731</v>
      </c>
      <c r="N497" s="242" t="s">
        <v>732</v>
      </c>
      <c r="O497" s="242" t="s">
        <v>414</v>
      </c>
      <c r="P497" s="242"/>
      <c r="Q497" s="15"/>
      <c r="R497" s="235" t="str">
        <f>R$12</f>
        <v>XFMR</v>
      </c>
      <c r="S497" s="15" t="str">
        <f>S$12</f>
        <v>DLS</v>
      </c>
      <c r="T497" s="242"/>
      <c r="U497" s="15"/>
      <c r="V497" s="67"/>
      <c r="X497" s="370"/>
    </row>
    <row r="498" spans="1:24" ht="15" thickBot="1">
      <c r="A498" s="47"/>
      <c r="B498" s="16"/>
      <c r="C498" s="16"/>
      <c r="D498" s="16"/>
      <c r="E498" s="16"/>
      <c r="F498" s="16" t="s">
        <v>13</v>
      </c>
      <c r="G498" s="16" t="s">
        <v>14</v>
      </c>
      <c r="H498" s="16" t="s">
        <v>15</v>
      </c>
      <c r="I498" s="16"/>
      <c r="J498" s="243" t="str">
        <f t="shared" si="139" ref="J498:Q498">J$13</f>
        <v>(d)</v>
      </c>
      <c r="K498" s="243" t="str">
        <f t="shared" si="139"/>
        <v>(e)</v>
      </c>
      <c r="L498" s="16" t="str">
        <f t="shared" si="139"/>
        <v>(f)</v>
      </c>
      <c r="M498" s="243" t="str">
        <f t="shared" si="139"/>
        <v>(g)</v>
      </c>
      <c r="N498" s="243" t="str">
        <f t="shared" si="139"/>
        <v>(h)</v>
      </c>
      <c r="O498" s="243" t="str">
        <f>O$13</f>
        <v>(i)</v>
      </c>
      <c r="P498" s="243" t="str">
        <f t="shared" si="139"/>
        <v>(j)</v>
      </c>
      <c r="Q498" s="243" t="str">
        <f t="shared" si="139"/>
        <v>(k)</v>
      </c>
      <c r="R498" s="243" t="str">
        <f>R$13</f>
        <v>(l)</v>
      </c>
      <c r="S498" s="16" t="str">
        <f>S$13</f>
        <v>(m)</v>
      </c>
      <c r="T498" s="16"/>
      <c r="U498" s="16" t="s">
        <v>734</v>
      </c>
      <c r="V498" s="67"/>
      <c r="X498" s="370"/>
    </row>
    <row r="499" spans="1:24" ht="9.75" customHeight="1">
      <c r="A499" s="47"/>
      <c r="B499" s="67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43"/>
      <c r="V499" s="67"/>
      <c r="X499" s="370">
        <f t="shared" si="134"/>
        <v>0</v>
      </c>
    </row>
    <row r="500" spans="1:24" ht="15">
      <c r="A500" s="47"/>
      <c r="B500" s="17">
        <f t="shared" si="140" ref="B500:B552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67"/>
      <c r="X500" s="370">
        <f t="shared" si="134"/>
        <v>0</v>
      </c>
    </row>
    <row r="501" spans="1:24" ht="15">
      <c r="A501" s="47"/>
      <c r="B501" s="17">
        <f t="shared" si="140"/>
        <v>2</v>
      </c>
      <c r="C501" s="36" t="s">
        <v>610</v>
      </c>
      <c r="D501" s="44"/>
      <c r="E501" s="37" t="s">
        <v>132</v>
      </c>
      <c r="F501" s="35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6"/>
      <c r="V501" s="67"/>
      <c r="X501" s="370">
        <f t="shared" si="134"/>
        <v>0</v>
      </c>
    </row>
    <row r="502" spans="1:24" ht="15">
      <c r="A502" s="47"/>
      <c r="B502" s="17">
        <f t="shared" si="140"/>
        <v>3</v>
      </c>
      <c r="C502" s="36" t="s">
        <v>611</v>
      </c>
      <c r="D502" s="44"/>
      <c r="E502" s="37"/>
      <c r="F502" s="355"/>
      <c r="G502" s="37"/>
      <c r="H502" s="897"/>
      <c r="I502" s="897"/>
      <c r="J502" s="897"/>
      <c r="K502" s="37"/>
      <c r="L502" s="37"/>
      <c r="M502" s="37"/>
      <c r="N502" s="37"/>
      <c r="O502" s="37"/>
      <c r="P502" s="37"/>
      <c r="Q502" s="37"/>
      <c r="R502" s="37"/>
      <c r="S502" s="37"/>
      <c r="T502" s="897"/>
      <c r="U502" s="36"/>
      <c r="V502" s="67"/>
      <c r="X502" s="370">
        <f t="shared" si="134"/>
        <v>0</v>
      </c>
    </row>
    <row r="503" spans="1:24" ht="14.25">
      <c r="A503" s="47"/>
      <c r="B503" s="17">
        <f t="shared" si="140"/>
        <v>4</v>
      </c>
      <c r="C503" s="43">
        <v>189</v>
      </c>
      <c r="D503" s="43" t="s">
        <v>1210</v>
      </c>
      <c r="E503" s="263"/>
      <c r="F503" s="290">
        <f>' WP II-I-1.4'!L503</f>
        <v>0</v>
      </c>
      <c r="G503" s="358" t="s">
        <v>805</v>
      </c>
      <c r="H503" s="1" t="s">
        <v>320</v>
      </c>
      <c r="I503" s="263"/>
      <c r="J503" s="434">
        <f>'II-I-DIST'!J503+'II-I-MET'!J503+'II-I-TBILLTDCS'!J503</f>
        <v>0</v>
      </c>
      <c r="K503" s="434">
        <f>'II-I-DIST'!K503+'II-I-MET'!K503+'II-I-TBILLTDCS'!K503</f>
        <v>0</v>
      </c>
      <c r="L503" s="434">
        <f>'II-I-DIST'!L503+'II-I-MET'!L503+'II-I-TBILLTDCS'!L503</f>
        <v>0</v>
      </c>
      <c r="M503" s="434">
        <f>'II-I-DIST'!M503+'II-I-MET'!M503+'II-I-TBILLTDCS'!M503</f>
        <v>0</v>
      </c>
      <c r="N503" s="434">
        <f>'II-I-DIST'!N503+'II-I-MET'!N503+'II-I-TBILLTDCS'!N503</f>
        <v>0</v>
      </c>
      <c r="O503" s="434">
        <f>'II-I-DIST'!O503+'II-I-MET'!O503+'II-I-TBILLTDCS'!O503</f>
        <v>0</v>
      </c>
      <c r="P503" s="434">
        <f>'II-I-DIST'!P503+'II-I-MET'!P503+'II-I-TBILLTDCS'!P503</f>
        <v>0</v>
      </c>
      <c r="Q503" s="434">
        <f>'II-I-DIST'!Q503+'II-I-MET'!Q503+'II-I-TBILLTDCS'!Q503</f>
        <v>0</v>
      </c>
      <c r="R503" s="434">
        <f>'II-I-DIST'!R503+'II-I-MET'!R503+'II-I-TBILLTDCS'!R503</f>
        <v>0</v>
      </c>
      <c r="S503" s="434">
        <f>'II-I-DIST'!S503+'II-I-MET'!S503+'II-I-TBILLTDCS'!S503</f>
        <v>0</v>
      </c>
      <c r="T503" s="263"/>
      <c r="U503" s="121">
        <f t="shared" si="141" ref="U503:U504">SUM(I503:T503)</f>
        <v>0</v>
      </c>
      <c r="V503" s="67"/>
      <c r="X503" s="370">
        <f t="shared" si="134"/>
        <v>0</v>
      </c>
    </row>
    <row r="504" spans="1:24" ht="15">
      <c r="A504" s="47"/>
      <c r="B504" s="17">
        <f t="shared" si="140"/>
        <v>5</v>
      </c>
      <c r="C504" s="43">
        <v>182</v>
      </c>
      <c r="D504" s="43" t="s">
        <v>1211</v>
      </c>
      <c r="E504" s="897"/>
      <c r="F504" s="290">
        <f>' WP II-I-1.4'!L504</f>
        <v>0</v>
      </c>
      <c r="G504" s="358" t="s">
        <v>805</v>
      </c>
      <c r="H504" s="1" t="s">
        <v>320</v>
      </c>
      <c r="I504" s="897"/>
      <c r="J504" s="434">
        <f>'II-I-DIST'!J504+'II-I-MET'!J504+'II-I-TBILLTDCS'!J504</f>
        <v>0</v>
      </c>
      <c r="K504" s="434">
        <f>'II-I-DIST'!K504+'II-I-MET'!K504+'II-I-TBILLTDCS'!K504</f>
        <v>0</v>
      </c>
      <c r="L504" s="434">
        <f>'II-I-DIST'!L504+'II-I-MET'!L504+'II-I-TBILLTDCS'!L504</f>
        <v>0</v>
      </c>
      <c r="M504" s="434">
        <f>'II-I-DIST'!M504+'II-I-MET'!M504+'II-I-TBILLTDCS'!M504</f>
        <v>0</v>
      </c>
      <c r="N504" s="434">
        <f>'II-I-DIST'!N504+'II-I-MET'!N504+'II-I-TBILLTDCS'!N504</f>
        <v>0</v>
      </c>
      <c r="O504" s="434">
        <f>'II-I-DIST'!O504+'II-I-MET'!O504+'II-I-TBILLTDCS'!O504</f>
        <v>0</v>
      </c>
      <c r="P504" s="434">
        <f>'II-I-DIST'!P504+'II-I-MET'!P504+'II-I-TBILLTDCS'!P504</f>
        <v>0</v>
      </c>
      <c r="Q504" s="434">
        <f>'II-I-DIST'!Q504+'II-I-MET'!Q504+'II-I-TBILLTDCS'!Q504</f>
        <v>0</v>
      </c>
      <c r="R504" s="434">
        <f>'II-I-DIST'!R504+'II-I-MET'!R504+'II-I-TBILLTDCS'!R504</f>
        <v>0</v>
      </c>
      <c r="S504" s="434">
        <f>'II-I-DIST'!S504+'II-I-MET'!S504+'II-I-TBILLTDCS'!S504</f>
        <v>0</v>
      </c>
      <c r="T504" s="897"/>
      <c r="U504" s="121">
        <f t="shared" si="141"/>
        <v>0</v>
      </c>
      <c r="V504" s="67"/>
      <c r="X504" s="370">
        <f t="shared" si="134"/>
        <v>0</v>
      </c>
    </row>
    <row r="505" spans="1:24" ht="15">
      <c r="A505" s="47"/>
      <c r="B505" s="17">
        <f t="shared" si="140"/>
        <v>6</v>
      </c>
      <c r="C505" s="43">
        <v>182</v>
      </c>
      <c r="D505" s="43" t="s">
        <v>1359</v>
      </c>
      <c r="E505" s="897"/>
      <c r="F505" s="290">
        <f>' WP II-I-1.4'!L505</f>
        <v>26088</v>
      </c>
      <c r="G505" s="358"/>
      <c r="H505" s="1"/>
      <c r="I505" s="897"/>
      <c r="J505" s="434">
        <f>'II-I-DIST'!J505+'II-I-MET'!J505+'II-I-TBILLTDCS'!J505</f>
        <v>14258.093741943414</v>
      </c>
      <c r="K505" s="434">
        <f>'II-I-DIST'!K505+'II-I-MET'!K505+'II-I-TBILLTDCS'!K505</f>
        <v>576.4994880395293</v>
      </c>
      <c r="L505" s="434">
        <f>'II-I-DIST'!L505+'II-I-MET'!L505+'II-I-TBILLTDCS'!L505</f>
        <v>8884.2241985162673</v>
      </c>
      <c r="M505" s="434">
        <f>'II-I-DIST'!M505+'II-I-MET'!M505+'II-I-TBILLTDCS'!M505</f>
        <v>3.0745161815553779</v>
      </c>
      <c r="N505" s="434">
        <f>'II-I-DIST'!N505+'II-I-MET'!N505+'II-I-TBILLTDCS'!N505</f>
        <v>1301.2900359412918</v>
      </c>
      <c r="O505" s="434">
        <f>'II-I-DIST'!O505+'II-I-MET'!O505+'II-I-TBILLTDCS'!O505</f>
        <v>119.15952913061197</v>
      </c>
      <c r="P505" s="434">
        <f>'II-I-DIST'!P505+'II-I-MET'!P505+'II-I-TBILLTDCS'!P505</f>
        <v>23.585078608997296</v>
      </c>
      <c r="Q505" s="434">
        <f>'II-I-DIST'!Q505+'II-I-MET'!Q505+'II-I-TBILLTDCS'!Q505</f>
        <v>922.07341163832814</v>
      </c>
      <c r="R505" s="434">
        <f>'II-I-DIST'!R505+'II-I-MET'!R505+'II-I-TBILLTDCS'!R505</f>
        <v>0</v>
      </c>
      <c r="S505" s="434">
        <f>'II-I-DIST'!S505+'II-I-MET'!S505+'II-I-TBILLTDCS'!S505</f>
        <v>0</v>
      </c>
      <c r="T505" s="897"/>
      <c r="U505" s="121">
        <f t="shared" si="142" ref="U505:U534">SUM(I505:T505)</f>
        <v>26087.999999999996</v>
      </c>
      <c r="V505" s="67"/>
      <c r="X505" s="370">
        <f t="shared" si="143" ref="X505:X534">U505-F505</f>
        <v>0</v>
      </c>
    </row>
    <row r="506" spans="1:24" ht="15">
      <c r="A506" s="47"/>
      <c r="B506" s="17">
        <f t="shared" si="140"/>
        <v>7</v>
      </c>
      <c r="C506" s="43">
        <v>182</v>
      </c>
      <c r="D506" s="43" t="s">
        <v>1213</v>
      </c>
      <c r="E506" s="897"/>
      <c r="F506" s="290">
        <f>' WP II-I-1.4'!L506</f>
        <v>31612013.449999999</v>
      </c>
      <c r="G506" s="358" t="s">
        <v>805</v>
      </c>
      <c r="H506" s="1" t="s">
        <v>320</v>
      </c>
      <c r="I506" s="897"/>
      <c r="J506" s="434">
        <f>'II-I-DIST'!J506+'II-I-MET'!J506+'II-I-TBILLTDCS'!J506</f>
        <v>17309736.450395286</v>
      </c>
      <c r="K506" s="434">
        <f>'II-I-DIST'!K506+'II-I-MET'!K506+'II-I-TBILLTDCS'!K506</f>
        <v>881375.78782460326</v>
      </c>
      <c r="L506" s="434">
        <f>'II-I-DIST'!L506+'II-I-MET'!L506+'II-I-TBILLTDCS'!L506</f>
        <v>10550277.322384894</v>
      </c>
      <c r="M506" s="434">
        <f>'II-I-DIST'!M506+'II-I-MET'!M506+'II-I-TBILLTDCS'!M506</f>
        <v>14043.345231526564</v>
      </c>
      <c r="N506" s="434">
        <f>'II-I-DIST'!N506+'II-I-MET'!N506+'II-I-TBILLTDCS'!N506</f>
        <v>1656513.8600199733</v>
      </c>
      <c r="O506" s="434">
        <f>'II-I-DIST'!O506+'II-I-MET'!O506+'II-I-TBILLTDCS'!O506</f>
        <v>138925.86406962748</v>
      </c>
      <c r="P506" s="434">
        <f>'II-I-DIST'!P506+'II-I-MET'!P506+'II-I-TBILLTDCS'!P506</f>
        <v>42533.740100945324</v>
      </c>
      <c r="Q506" s="434">
        <f>'II-I-DIST'!Q506+'II-I-MET'!Q506+'II-I-TBILLTDCS'!Q506</f>
        <v>1018607.0799731411</v>
      </c>
      <c r="R506" s="434">
        <f>'II-I-DIST'!R506+'II-I-MET'!R506+'II-I-TBILLTDCS'!R506</f>
        <v>0</v>
      </c>
      <c r="S506" s="434">
        <f>'II-I-DIST'!S506+'II-I-MET'!S506+'II-I-TBILLTDCS'!S506</f>
        <v>0</v>
      </c>
      <c r="T506" s="897"/>
      <c r="U506" s="121">
        <f t="shared" si="142"/>
        <v>31612013.449999999</v>
      </c>
      <c r="V506" s="67"/>
      <c r="X506" s="370">
        <f t="shared" si="143"/>
        <v>0</v>
      </c>
    </row>
    <row r="507" spans="1:24" ht="15">
      <c r="A507" s="47"/>
      <c r="B507" s="17">
        <f t="shared" si="140"/>
        <v>8</v>
      </c>
      <c r="C507" s="43">
        <v>182</v>
      </c>
      <c r="D507" s="43" t="s">
        <v>135</v>
      </c>
      <c r="E507" s="897"/>
      <c r="F507" s="290">
        <f>' WP II-I-1.4'!L507</f>
        <v>136860059.47</v>
      </c>
      <c r="G507" s="358" t="s">
        <v>805</v>
      </c>
      <c r="H507" s="1" t="s">
        <v>320</v>
      </c>
      <c r="I507" s="897"/>
      <c r="J507" s="434">
        <f>'II-I-DIST'!J507+'II-I-MET'!J507+'II-I-TBILLTDCS'!J507</f>
        <v>74474234.53067486</v>
      </c>
      <c r="K507" s="434">
        <f>'II-I-DIST'!K507+'II-I-MET'!K507+'II-I-TBILLTDCS'!K507</f>
        <v>4239516.949213298</v>
      </c>
      <c r="L507" s="434">
        <f>'II-I-DIST'!L507+'II-I-MET'!L507+'II-I-TBILLTDCS'!L507</f>
        <v>44813243.174954429</v>
      </c>
      <c r="M507" s="434">
        <f>'II-I-DIST'!M507+'II-I-MET'!M507+'II-I-TBILLTDCS'!M507</f>
        <v>140951.0365823223</v>
      </c>
      <c r="N507" s="434">
        <f>'II-I-DIST'!N507+'II-I-MET'!N507+'II-I-TBILLTDCS'!N507</f>
        <v>9874091.0164992455</v>
      </c>
      <c r="O507" s="434">
        <f>'II-I-DIST'!O507+'II-I-MET'!O507+'II-I-TBILLTDCS'!O507</f>
        <v>920932.59741953004</v>
      </c>
      <c r="P507" s="434">
        <f>'II-I-DIST'!P507+'II-I-MET'!P507+'II-I-TBILLTDCS'!P507</f>
        <v>224002.30067366993</v>
      </c>
      <c r="Q507" s="434">
        <f>'II-I-DIST'!Q507+'II-I-MET'!Q507+'II-I-TBILLTDCS'!Q507</f>
        <v>1649425.4710068605</v>
      </c>
      <c r="R507" s="434">
        <f>'II-I-DIST'!R507+'II-I-MET'!R507+'II-I-TBILLTDCS'!R507</f>
        <v>108477.58883118328</v>
      </c>
      <c r="S507" s="434">
        <f>'II-I-DIST'!S507+'II-I-MET'!S507+'II-I-TBILLTDCS'!S507</f>
        <v>415184.80414457689</v>
      </c>
      <c r="T507" s="897"/>
      <c r="U507" s="121">
        <f t="shared" si="142"/>
        <v>136860059.47</v>
      </c>
      <c r="V507" s="67"/>
      <c r="X507" s="370">
        <f t="shared" si="143"/>
        <v>0</v>
      </c>
    </row>
    <row r="508" spans="1:24" ht="15">
      <c r="A508" s="47"/>
      <c r="B508" s="17">
        <f t="shared" si="140"/>
        <v>9</v>
      </c>
      <c r="C508" s="43">
        <v>182</v>
      </c>
      <c r="D508" s="43" t="s">
        <v>136</v>
      </c>
      <c r="E508" s="897"/>
      <c r="F508" s="290">
        <f>' WP II-I-1.4'!L508</f>
        <v>-13599806.539999999</v>
      </c>
      <c r="G508" s="358" t="s">
        <v>805</v>
      </c>
      <c r="H508" s="1" t="s">
        <v>320</v>
      </c>
      <c r="I508" s="897"/>
      <c r="J508" s="434">
        <f>'II-I-DIST'!J508+'II-I-MET'!J508+'II-I-TBILLTDCS'!J508</f>
        <v>-7407469.6951637631</v>
      </c>
      <c r="K508" s="434">
        <f>'II-I-DIST'!K508+'II-I-MET'!K508+'II-I-TBILLTDCS'!K508</f>
        <v>-416599.16928347677</v>
      </c>
      <c r="L508" s="434">
        <f>'II-I-DIST'!L508+'II-I-MET'!L508+'II-I-TBILLTDCS'!L508</f>
        <v>-4462369.6682900032</v>
      </c>
      <c r="M508" s="434">
        <f>'II-I-DIST'!M508+'II-I-MET'!M508+'II-I-TBILLTDCS'!M508</f>
        <v>-13816.198779299568</v>
      </c>
      <c r="N508" s="434">
        <f>'II-I-DIST'!N508+'II-I-MET'!N508+'II-I-TBILLTDCS'!N508</f>
        <v>-982420.83401681879</v>
      </c>
      <c r="O508" s="434">
        <f>'II-I-DIST'!O508+'II-I-MET'!O508+'II-I-TBILLTDCS'!O508</f>
        <v>-91959.228539592747</v>
      </c>
      <c r="P508" s="434">
        <f>'II-I-DIST'!P508+'II-I-MET'!P508+'II-I-TBILLTDCS'!P508</f>
        <v>-20221.246993269768</v>
      </c>
      <c r="Q508" s="434">
        <f>'II-I-DIST'!Q508+'II-I-MET'!Q508+'II-I-TBILLTDCS'!Q508</f>
        <v>-152334.9860936008</v>
      </c>
      <c r="R508" s="434">
        <f>'II-I-DIST'!R508+'II-I-MET'!R508+'II-I-TBILLTDCS'!R508</f>
        <v>-10890.611206766149</v>
      </c>
      <c r="S508" s="434">
        <f>'II-I-DIST'!S508+'II-I-MET'!S508+'II-I-TBILLTDCS'!S508</f>
        <v>-41724.901633406946</v>
      </c>
      <c r="T508" s="897"/>
      <c r="U508" s="121">
        <f t="shared" si="142"/>
        <v>-13599806.539999999</v>
      </c>
      <c r="V508" s="67"/>
      <c r="X508" s="370">
        <f t="shared" si="143"/>
        <v>0</v>
      </c>
    </row>
    <row r="509" spans="1:24" ht="15">
      <c r="A509" s="47"/>
      <c r="B509" s="17">
        <f t="shared" si="140"/>
        <v>10</v>
      </c>
      <c r="C509" s="43">
        <v>182</v>
      </c>
      <c r="D509" s="43" t="s">
        <v>137</v>
      </c>
      <c r="E509" s="897"/>
      <c r="F509" s="290">
        <f>' WP II-I-1.4'!L509</f>
        <v>14887147.789999999</v>
      </c>
      <c r="G509" s="358" t="s">
        <v>805</v>
      </c>
      <c r="H509" s="1" t="s">
        <v>320</v>
      </c>
      <c r="I509" s="897"/>
      <c r="J509" s="434">
        <f>'II-I-DIST'!J509+'II-I-MET'!J509+'II-I-TBILLTDCS'!J509</f>
        <v>7814030.8396567553</v>
      </c>
      <c r="K509" s="434">
        <f>'II-I-DIST'!K509+'II-I-MET'!K509+'II-I-TBILLTDCS'!K509</f>
        <v>453037.13572797569</v>
      </c>
      <c r="L509" s="434">
        <f>'II-I-DIST'!L509+'II-I-MET'!L509+'II-I-TBILLTDCS'!L509</f>
        <v>5402600.5397496428</v>
      </c>
      <c r="M509" s="434">
        <f>'II-I-DIST'!M509+'II-I-MET'!M509+'II-I-TBILLTDCS'!M509</f>
        <v>14122.605751512961</v>
      </c>
      <c r="N509" s="434">
        <f>'II-I-DIST'!N509+'II-I-MET'!N509+'II-I-TBILLTDCS'!N509</f>
        <v>877152.77022629976</v>
      </c>
      <c r="O509" s="434">
        <f>'II-I-DIST'!O509+'II-I-MET'!O509+'II-I-TBILLTDCS'!O509</f>
        <v>46282.596716996566</v>
      </c>
      <c r="P509" s="434">
        <f>'II-I-DIST'!P509+'II-I-MET'!P509+'II-I-TBILLTDCS'!P509</f>
        <v>22589.763607148339</v>
      </c>
      <c r="Q509" s="434">
        <f>'II-I-DIST'!Q509+'II-I-MET'!Q509+'II-I-TBILLTDCS'!Q509</f>
        <v>208611.93611255538</v>
      </c>
      <c r="R509" s="434">
        <f>'II-I-DIST'!R509+'II-I-MET'!R509+'II-I-TBILLTDCS'!R509</f>
        <v>8196.8473785850165</v>
      </c>
      <c r="S509" s="434">
        <f>'II-I-DIST'!S509+'II-I-MET'!S509+'II-I-TBILLTDCS'!S509</f>
        <v>40522.755072522858</v>
      </c>
      <c r="T509" s="897"/>
      <c r="U509" s="121">
        <f t="shared" si="142"/>
        <v>14887147.789999994</v>
      </c>
      <c r="V509" s="67"/>
      <c r="X509" s="370">
        <f t="shared" si="143"/>
        <v>0</v>
      </c>
    </row>
    <row r="510" spans="1:24" ht="15">
      <c r="A510" s="47"/>
      <c r="B510" s="17">
        <f t="shared" si="140"/>
        <v>11</v>
      </c>
      <c r="C510" s="43">
        <v>182</v>
      </c>
      <c r="D510" s="43" t="s">
        <v>1360</v>
      </c>
      <c r="E510" s="897"/>
      <c r="F510" s="290">
        <f>' WP II-I-1.4'!L510</f>
        <v>0</v>
      </c>
      <c r="G510" s="358" t="s">
        <v>805</v>
      </c>
      <c r="H510" s="1" t="s">
        <v>320</v>
      </c>
      <c r="I510" s="897"/>
      <c r="J510" s="434">
        <f>'II-I-DIST'!J510+'II-I-MET'!J510+'II-I-TBILLTDCS'!J510</f>
        <v>0</v>
      </c>
      <c r="K510" s="434">
        <f>'II-I-DIST'!K510+'II-I-MET'!K510+'II-I-TBILLTDCS'!K510</f>
        <v>0</v>
      </c>
      <c r="L510" s="434">
        <f>'II-I-DIST'!L510+'II-I-MET'!L510+'II-I-TBILLTDCS'!L510</f>
        <v>0</v>
      </c>
      <c r="M510" s="434">
        <f>'II-I-DIST'!M510+'II-I-MET'!M510+'II-I-TBILLTDCS'!M510</f>
        <v>0</v>
      </c>
      <c r="N510" s="434">
        <f>'II-I-DIST'!N510+'II-I-MET'!N510+'II-I-TBILLTDCS'!N510</f>
        <v>0</v>
      </c>
      <c r="O510" s="434">
        <f>'II-I-DIST'!O510+'II-I-MET'!O510+'II-I-TBILLTDCS'!O510</f>
        <v>0</v>
      </c>
      <c r="P510" s="434">
        <f>'II-I-DIST'!P510+'II-I-MET'!P510+'II-I-TBILLTDCS'!P510</f>
        <v>0</v>
      </c>
      <c r="Q510" s="434">
        <f>'II-I-DIST'!Q510+'II-I-MET'!Q510+'II-I-TBILLTDCS'!Q510</f>
        <v>0</v>
      </c>
      <c r="R510" s="434">
        <f>'II-I-DIST'!R510+'II-I-MET'!R510+'II-I-TBILLTDCS'!R510</f>
        <v>0</v>
      </c>
      <c r="S510" s="434">
        <f>'II-I-DIST'!S510+'II-I-MET'!S510+'II-I-TBILLTDCS'!S510</f>
        <v>0</v>
      </c>
      <c r="T510" s="897"/>
      <c r="U510" s="121">
        <f t="shared" si="142"/>
        <v>0</v>
      </c>
      <c r="V510" s="67"/>
      <c r="X510" s="370">
        <f t="shared" si="143"/>
        <v>0</v>
      </c>
    </row>
    <row r="511" spans="1:24" ht="15">
      <c r="A511" s="47"/>
      <c r="B511" s="17">
        <f t="shared" si="140"/>
        <v>12</v>
      </c>
      <c r="C511" s="43">
        <v>182</v>
      </c>
      <c r="D511" s="43" t="s">
        <v>1361</v>
      </c>
      <c r="E511" s="263"/>
      <c r="F511" s="290">
        <f>' WP II-I-1.4'!L511</f>
        <v>0</v>
      </c>
      <c r="G511" s="358" t="s">
        <v>805</v>
      </c>
      <c r="H511" s="1" t="s">
        <v>320</v>
      </c>
      <c r="I511" s="263"/>
      <c r="J511" s="434">
        <f>'II-I-DIST'!J511+'II-I-MET'!J511+'II-I-TBILLTDCS'!J511</f>
        <v>0</v>
      </c>
      <c r="K511" s="434">
        <f>'II-I-DIST'!K511+'II-I-MET'!K511+'II-I-TBILLTDCS'!K511</f>
        <v>0</v>
      </c>
      <c r="L511" s="434">
        <f>'II-I-DIST'!L511+'II-I-MET'!L511+'II-I-TBILLTDCS'!L511</f>
        <v>0</v>
      </c>
      <c r="M511" s="434">
        <f>'II-I-DIST'!M511+'II-I-MET'!M511+'II-I-TBILLTDCS'!M511</f>
        <v>0</v>
      </c>
      <c r="N511" s="434">
        <f>'II-I-DIST'!N511+'II-I-MET'!N511+'II-I-TBILLTDCS'!N511</f>
        <v>0</v>
      </c>
      <c r="O511" s="434">
        <f>'II-I-DIST'!O511+'II-I-MET'!O511+'II-I-TBILLTDCS'!O511</f>
        <v>0</v>
      </c>
      <c r="P511" s="434">
        <f>'II-I-DIST'!P511+'II-I-MET'!P511+'II-I-TBILLTDCS'!P511</f>
        <v>0</v>
      </c>
      <c r="Q511" s="434">
        <f>'II-I-DIST'!Q511+'II-I-MET'!Q511+'II-I-TBILLTDCS'!Q511</f>
        <v>0</v>
      </c>
      <c r="R511" s="434">
        <f>'II-I-DIST'!R511+'II-I-MET'!R511+'II-I-TBILLTDCS'!R511</f>
        <v>0</v>
      </c>
      <c r="S511" s="434">
        <f>'II-I-DIST'!S511+'II-I-MET'!S511+'II-I-TBILLTDCS'!S511</f>
        <v>0</v>
      </c>
      <c r="T511" s="897"/>
      <c r="U511" s="121">
        <f t="shared" si="142"/>
        <v>0</v>
      </c>
      <c r="V511" s="67"/>
      <c r="X511" s="370">
        <f t="shared" si="143"/>
        <v>0</v>
      </c>
    </row>
    <row r="512" spans="1:24" ht="15">
      <c r="A512" s="47"/>
      <c r="B512" s="17">
        <f t="shared" si="140"/>
        <v>13</v>
      </c>
      <c r="C512" s="691">
        <v>182</v>
      </c>
      <c r="D512" s="691" t="s">
        <v>1362</v>
      </c>
      <c r="E512" s="897"/>
      <c r="F512" s="290">
        <f>' WP II-I-1.4'!L512</f>
        <v>0</v>
      </c>
      <c r="G512" s="358" t="s">
        <v>805</v>
      </c>
      <c r="H512" s="1" t="s">
        <v>320</v>
      </c>
      <c r="I512" s="897"/>
      <c r="J512" s="434">
        <f>'II-I-DIST'!J512+'II-I-MET'!J512+'II-I-TBILLTDCS'!J512</f>
        <v>0</v>
      </c>
      <c r="K512" s="434">
        <f>'II-I-DIST'!K512+'II-I-MET'!K512+'II-I-TBILLTDCS'!K512</f>
        <v>0</v>
      </c>
      <c r="L512" s="434">
        <f>'II-I-DIST'!L512+'II-I-MET'!L512+'II-I-TBILLTDCS'!L512</f>
        <v>0</v>
      </c>
      <c r="M512" s="434">
        <f>'II-I-DIST'!M512+'II-I-MET'!M512+'II-I-TBILLTDCS'!M512</f>
        <v>0</v>
      </c>
      <c r="N512" s="434">
        <f>'II-I-DIST'!N512+'II-I-MET'!N512+'II-I-TBILLTDCS'!N512</f>
        <v>0</v>
      </c>
      <c r="O512" s="434">
        <f>'II-I-DIST'!O512+'II-I-MET'!O512+'II-I-TBILLTDCS'!O512</f>
        <v>0</v>
      </c>
      <c r="P512" s="434">
        <f>'II-I-DIST'!P512+'II-I-MET'!P512+'II-I-TBILLTDCS'!P512</f>
        <v>0</v>
      </c>
      <c r="Q512" s="434">
        <f>'II-I-DIST'!Q512+'II-I-MET'!Q512+'II-I-TBILLTDCS'!Q512</f>
        <v>0</v>
      </c>
      <c r="R512" s="434">
        <f>'II-I-DIST'!R512+'II-I-MET'!R512+'II-I-TBILLTDCS'!R512</f>
        <v>0</v>
      </c>
      <c r="S512" s="434">
        <f>'II-I-DIST'!S512+'II-I-MET'!S512+'II-I-TBILLTDCS'!S512</f>
        <v>0</v>
      </c>
      <c r="T512" s="897"/>
      <c r="U512" s="121">
        <f t="shared" si="142"/>
        <v>0</v>
      </c>
      <c r="V512" s="67"/>
      <c r="X512" s="370">
        <f t="shared" si="143"/>
        <v>0</v>
      </c>
    </row>
    <row r="513" spans="1:24" ht="15">
      <c r="A513" s="47"/>
      <c r="B513" s="17">
        <f t="shared" si="140"/>
        <v>14</v>
      </c>
      <c r="C513" s="43">
        <v>186</v>
      </c>
      <c r="D513" s="43" t="s">
        <v>1335</v>
      </c>
      <c r="E513" s="897"/>
      <c r="F513" s="290">
        <f>' WP II-I-1.4'!L513</f>
        <v>80079.689999999973</v>
      </c>
      <c r="G513" s="358" t="s">
        <v>805</v>
      </c>
      <c r="H513" s="1" t="s">
        <v>320</v>
      </c>
      <c r="I513" s="897"/>
      <c r="J513" s="434">
        <f>'II-I-DIST'!J513+'II-I-MET'!J513+'II-I-TBILLTDCS'!J513</f>
        <v>44644.812737457687</v>
      </c>
      <c r="K513" s="434">
        <f>'II-I-DIST'!K513+'II-I-MET'!K513+'II-I-TBILLTDCS'!K513</f>
        <v>6883.0803943137598</v>
      </c>
      <c r="L513" s="434">
        <f>'II-I-DIST'!L513+'II-I-MET'!L513+'II-I-TBILLTDCS'!L513</f>
        <v>21231.099584379248</v>
      </c>
      <c r="M513" s="434">
        <f>'II-I-DIST'!M513+'II-I-MET'!M513+'II-I-TBILLTDCS'!M513</f>
        <v>298.11687438908621</v>
      </c>
      <c r="N513" s="434">
        <f>'II-I-DIST'!N513+'II-I-MET'!N513+'II-I-TBILLTDCS'!N513</f>
        <v>6220.8961017595602</v>
      </c>
      <c r="O513" s="434">
        <f>'II-I-DIST'!O513+'II-I-MET'!O513+'II-I-TBILLTDCS'!O513</f>
        <v>212.58671943048182</v>
      </c>
      <c r="P513" s="434">
        <f>'II-I-DIST'!P513+'II-I-MET'!P513+'II-I-TBILLTDCS'!P513</f>
        <v>462.78493537558728</v>
      </c>
      <c r="Q513" s="434">
        <f>'II-I-DIST'!Q513+'II-I-MET'!Q513+'II-I-TBILLTDCS'!Q513</f>
        <v>44.50293579243889</v>
      </c>
      <c r="R513" s="434">
        <f>'II-I-DIST'!R513+'II-I-MET'!R513+'II-I-TBILLTDCS'!R513</f>
        <v>24.529236857363287</v>
      </c>
      <c r="S513" s="434">
        <f>'II-I-DIST'!S513+'II-I-MET'!S513+'II-I-TBILLTDCS'!S513</f>
        <v>57.280480244746023</v>
      </c>
      <c r="T513" s="897"/>
      <c r="U513" s="121">
        <f t="shared" si="142"/>
        <v>80079.689999999959</v>
      </c>
      <c r="V513" s="67"/>
      <c r="X513" s="370">
        <f t="shared" si="143"/>
        <v>0</v>
      </c>
    </row>
    <row r="514" spans="1:24" s="386" customFormat="1" ht="15">
      <c r="A514" s="47"/>
      <c r="B514" s="17">
        <f t="shared" si="140"/>
        <v>15</v>
      </c>
      <c r="C514" s="43">
        <v>186</v>
      </c>
      <c r="D514" s="43" t="s">
        <v>1216</v>
      </c>
      <c r="E514" s="897"/>
      <c r="F514" s="290">
        <f>' WP II-I-1.4'!L514</f>
        <v>0</v>
      </c>
      <c r="G514" s="358" t="s">
        <v>805</v>
      </c>
      <c r="H514" s="1" t="s">
        <v>320</v>
      </c>
      <c r="I514" s="897"/>
      <c r="J514" s="434">
        <f>'II-I-DIST'!J514+'II-I-MET'!J514+'II-I-TBILLTDCS'!J514</f>
        <v>0</v>
      </c>
      <c r="K514" s="434">
        <f>'II-I-DIST'!K514+'II-I-MET'!K514+'II-I-TBILLTDCS'!K514</f>
        <v>0</v>
      </c>
      <c r="L514" s="434">
        <f>'II-I-DIST'!L514+'II-I-MET'!L514+'II-I-TBILLTDCS'!L514</f>
        <v>0</v>
      </c>
      <c r="M514" s="434">
        <f>'II-I-DIST'!M514+'II-I-MET'!M514+'II-I-TBILLTDCS'!M514</f>
        <v>0</v>
      </c>
      <c r="N514" s="434">
        <f>'II-I-DIST'!N514+'II-I-MET'!N514+'II-I-TBILLTDCS'!N514</f>
        <v>0</v>
      </c>
      <c r="O514" s="434">
        <f>'II-I-DIST'!O514+'II-I-MET'!O514+'II-I-TBILLTDCS'!O514</f>
        <v>0</v>
      </c>
      <c r="P514" s="434">
        <f>'II-I-DIST'!P514+'II-I-MET'!P514+'II-I-TBILLTDCS'!P514</f>
        <v>0</v>
      </c>
      <c r="Q514" s="434">
        <f>'II-I-DIST'!Q514+'II-I-MET'!Q514+'II-I-TBILLTDCS'!Q514</f>
        <v>0</v>
      </c>
      <c r="R514" s="434">
        <f>'II-I-DIST'!R514+'II-I-MET'!R514+'II-I-TBILLTDCS'!R514</f>
        <v>0</v>
      </c>
      <c r="S514" s="434">
        <f>'II-I-DIST'!S514+'II-I-MET'!S514+'II-I-TBILLTDCS'!S514</f>
        <v>0</v>
      </c>
      <c r="T514" s="897"/>
      <c r="U514" s="24">
        <f t="shared" si="142"/>
        <v>0</v>
      </c>
      <c r="V514" s="47"/>
      <c r="X514" s="839">
        <f t="shared" si="143"/>
        <v>0</v>
      </c>
    </row>
    <row r="515" spans="1:24" s="386" customFormat="1" ht="15">
      <c r="A515" s="47"/>
      <c r="B515" s="17">
        <f t="shared" si="140"/>
        <v>16</v>
      </c>
      <c r="C515" s="43">
        <v>186</v>
      </c>
      <c r="D515" s="43" t="s">
        <v>1217</v>
      </c>
      <c r="E515" s="897"/>
      <c r="F515" s="290">
        <f>' WP II-I-1.4'!L515</f>
        <v>178482.85000000001</v>
      </c>
      <c r="G515" s="358" t="s">
        <v>805</v>
      </c>
      <c r="H515" s="1" t="s">
        <v>320</v>
      </c>
      <c r="I515" s="897"/>
      <c r="J515" s="434">
        <f>'II-I-DIST'!J515+'II-I-MET'!J515+'II-I-TBILLTDCS'!J515</f>
        <v>97231.231396990901</v>
      </c>
      <c r="K515" s="434">
        <f>'II-I-DIST'!K515+'II-I-MET'!K515+'II-I-TBILLTDCS'!K515</f>
        <v>3931.3639071486423</v>
      </c>
      <c r="L515" s="434">
        <f>'II-I-DIST'!L515+'II-I-MET'!L515+'II-I-TBILLTDCS'!L515</f>
        <v>60584.82111725404</v>
      </c>
      <c r="M515" s="434">
        <f>'II-I-DIST'!M515+'II-I-MET'!M515+'II-I-TBILLTDCS'!M515</f>
        <v>20.966266577642635</v>
      </c>
      <c r="N515" s="434">
        <f>'II-I-DIST'!N515+'II-I-MET'!N515+'II-I-TBILLTDCS'!N515</f>
        <v>8873.9795718274272</v>
      </c>
      <c r="O515" s="434">
        <f>'II-I-DIST'!O515+'II-I-MET'!O515+'II-I-TBILLTDCS'!O515</f>
        <v>812.59304081948085</v>
      </c>
      <c r="P515" s="434">
        <f>'II-I-DIST'!P515+'II-I-MET'!P515+'II-I-TBILLTDCS'!P515</f>
        <v>160.83540179018814</v>
      </c>
      <c r="Q515" s="434">
        <f>'II-I-DIST'!Q515+'II-I-MET'!Q515+'II-I-TBILLTDCS'!Q515</f>
        <v>6287.9607102231757</v>
      </c>
      <c r="R515" s="434">
        <f>'II-I-DIST'!R515+'II-I-MET'!R515+'II-I-TBILLTDCS'!R515</f>
        <v>97.394361864786632</v>
      </c>
      <c r="S515" s="434">
        <f>'II-I-DIST'!S515+'II-I-MET'!S515+'II-I-TBILLTDCS'!S515</f>
        <v>481.704225503668</v>
      </c>
      <c r="T515" s="897"/>
      <c r="U515" s="24">
        <f t="shared" si="142"/>
        <v>178482.84999999995</v>
      </c>
      <c r="V515" s="47"/>
      <c r="X515" s="839">
        <f t="shared" si="143"/>
        <v>0</v>
      </c>
    </row>
    <row r="516" spans="1:24" s="386" customFormat="1" ht="15">
      <c r="A516" s="47"/>
      <c r="B516" s="17">
        <f t="shared" si="140"/>
        <v>17</v>
      </c>
      <c r="C516" s="43">
        <v>186</v>
      </c>
      <c r="D516" s="43" t="s">
        <v>1218</v>
      </c>
      <c r="E516" s="897"/>
      <c r="F516" s="290">
        <f>' WP II-I-1.4'!L516</f>
        <v>304615.98999999999</v>
      </c>
      <c r="G516" s="358" t="s">
        <v>805</v>
      </c>
      <c r="H516" s="1" t="s">
        <v>320</v>
      </c>
      <c r="I516" s="897"/>
      <c r="J516" s="434">
        <f>'II-I-DIST'!J516+'II-I-MET'!J516+'II-I-TBILLTDCS'!J516</f>
        <v>165944.1666855581</v>
      </c>
      <c r="K516" s="434">
        <f>'II-I-DIST'!K516+'II-I-MET'!K516+'II-I-TBILLTDCS'!K516</f>
        <v>6709.6435799089477</v>
      </c>
      <c r="L516" s="434">
        <f>'II-I-DIST'!L516+'II-I-MET'!L516+'II-I-TBILLTDCS'!L516</f>
        <v>103399.87995264107</v>
      </c>
      <c r="M516" s="434">
        <f>'II-I-DIST'!M516+'II-I-MET'!M516+'II-I-TBILLTDCS'!M516</f>
        <v>35.783046103043084</v>
      </c>
      <c r="N516" s="434">
        <f>'II-I-DIST'!N516+'II-I-MET'!N516+'II-I-TBILLTDCS'!N516</f>
        <v>15145.186624440317</v>
      </c>
      <c r="O516" s="434">
        <f>'II-I-DIST'!O516+'II-I-MET'!O516+'II-I-TBILLTDCS'!O516</f>
        <v>1386.8494009163153</v>
      </c>
      <c r="P516" s="434">
        <f>'II-I-DIST'!P516+'II-I-MET'!P516+'II-I-TBILLTDCS'!P516</f>
        <v>274.4971583732887</v>
      </c>
      <c r="Q516" s="434">
        <f>'II-I-DIST'!Q516+'II-I-MET'!Q516+'II-I-TBILLTDCS'!Q516</f>
        <v>10731.638232052746</v>
      </c>
      <c r="R516" s="434">
        <f>'II-I-DIST'!R516+'II-I-MET'!R516+'II-I-TBILLTDCS'!R516</f>
        <v>166.2225808242093</v>
      </c>
      <c r="S516" s="434">
        <f>'II-I-DIST'!S516+'II-I-MET'!S516+'II-I-TBILLTDCS'!S516</f>
        <v>822.12273918184894</v>
      </c>
      <c r="T516" s="897"/>
      <c r="U516" s="24">
        <f t="shared" si="142"/>
        <v>304615.98999999987</v>
      </c>
      <c r="V516" s="47"/>
      <c r="X516" s="839">
        <f t="shared" si="143"/>
        <v>0</v>
      </c>
    </row>
    <row r="517" spans="1:24" s="386" customFormat="1" ht="15">
      <c r="A517" s="47"/>
      <c r="B517" s="17">
        <f t="shared" si="140"/>
        <v>18</v>
      </c>
      <c r="C517" s="43">
        <v>186</v>
      </c>
      <c r="D517" s="43" t="s">
        <v>1219</v>
      </c>
      <c r="E517" s="897"/>
      <c r="F517" s="290">
        <f>' WP II-I-1.4'!L517</f>
        <v>167728.14000000001</v>
      </c>
      <c r="G517" s="358" t="s">
        <v>805</v>
      </c>
      <c r="H517" s="1" t="s">
        <v>320</v>
      </c>
      <c r="I517" s="897"/>
      <c r="J517" s="434">
        <f>'II-I-DIST'!J517+'II-I-MET'!J517+'II-I-TBILLTDCS'!J517</f>
        <v>91372.440501296835</v>
      </c>
      <c r="K517" s="434">
        <f>'II-I-DIST'!K517+'II-I-MET'!K517+'II-I-TBILLTDCS'!K517</f>
        <v>3694.4745997118184</v>
      </c>
      <c r="L517" s="434">
        <f>'II-I-DIST'!L517+'II-I-MET'!L517+'II-I-TBILLTDCS'!L517</f>
        <v>56934.206049655433</v>
      </c>
      <c r="M517" s="434">
        <f>'II-I-DIST'!M517+'II-I-MET'!M517+'II-I-TBILLTDCS'!M517</f>
        <v>19.702917651820133</v>
      </c>
      <c r="N517" s="434">
        <f>'II-I-DIST'!N517+'II-I-MET'!N517+'II-I-TBILLTDCS'!N517</f>
        <v>8339.2667025465507</v>
      </c>
      <c r="O517" s="434">
        <f>'II-I-DIST'!O517+'II-I-MET'!O517+'II-I-TBILLTDCS'!O517</f>
        <v>763.62921879382588</v>
      </c>
      <c r="P517" s="434">
        <f>'II-I-DIST'!P517+'II-I-MET'!P517+'II-I-TBILLTDCS'!P517</f>
        <v>151.1440611152328</v>
      </c>
      <c r="Q517" s="434">
        <f>'II-I-DIST'!Q517+'II-I-MET'!Q517+'II-I-TBILLTDCS'!Q517</f>
        <v>5909.071680101546</v>
      </c>
      <c r="R517" s="434">
        <f>'II-I-DIST'!R517+'II-I-MET'!R517+'II-I-TBILLTDCS'!R517</f>
        <v>91.525741336311</v>
      </c>
      <c r="S517" s="434">
        <f>'II-I-DIST'!S517+'II-I-MET'!S517+'II-I-TBILLTDCS'!S517</f>
        <v>452.67852779060178</v>
      </c>
      <c r="T517" s="897"/>
      <c r="U517" s="24">
        <f t="shared" si="142"/>
        <v>167728.13999999996</v>
      </c>
      <c r="V517" s="47"/>
      <c r="X517" s="839">
        <f t="shared" si="143"/>
        <v>0</v>
      </c>
    </row>
    <row r="518" spans="1:24" ht="15">
      <c r="A518" s="47"/>
      <c r="B518" s="17">
        <f t="shared" si="140"/>
        <v>19</v>
      </c>
      <c r="C518" s="43">
        <v>186</v>
      </c>
      <c r="D518" s="1384" t="s">
        <v>1363</v>
      </c>
      <c r="E518" s="897"/>
      <c r="F518" s="290">
        <f>' WP II-I-1.4'!L518</f>
        <v>215521.45999999999</v>
      </c>
      <c r="G518" s="358" t="s">
        <v>805</v>
      </c>
      <c r="H518" s="1" t="s">
        <v>320</v>
      </c>
      <c r="I518" s="897"/>
      <c r="J518" s="434">
        <f>'II-I-DIST'!J518+'II-I-MET'!J518+'II-I-TBILLTDCS'!J518</f>
        <v>117408.57425952867</v>
      </c>
      <c r="K518" s="434">
        <f>'II-I-DIST'!K518+'II-I-MET'!K518+'II-I-TBILLTDCS'!K518</f>
        <v>4747.1972184441238</v>
      </c>
      <c r="L518" s="434">
        <f>'II-I-DIST'!L518+'II-I-MET'!L518+'II-I-TBILLTDCS'!L518</f>
        <v>73157.331928694664</v>
      </c>
      <c r="M518" s="434">
        <f>'II-I-DIST'!M518+'II-I-MET'!M518+'II-I-TBILLTDCS'!M518</f>
        <v>25.317168476202301</v>
      </c>
      <c r="N518" s="434">
        <f>'II-I-DIST'!N518+'II-I-MET'!N518+'II-I-TBILLTDCS'!N518</f>
        <v>10715.500303420871</v>
      </c>
      <c r="O518" s="434">
        <f>'II-I-DIST'!O518+'II-I-MET'!O518+'II-I-TBILLTDCS'!O518</f>
        <v>981.22166103496272</v>
      </c>
      <c r="P518" s="434">
        <f>'II-I-DIST'!P518+'II-I-MET'!P518+'II-I-TBILLTDCS'!P518</f>
        <v>194.21182827094009</v>
      </c>
      <c r="Q518" s="434">
        <f>'II-I-DIST'!Q518+'II-I-MET'!Q518+'II-I-TBILLTDCS'!Q518</f>
        <v>7592.8329959429475</v>
      </c>
      <c r="R518" s="434">
        <f>'II-I-DIST'!R518+'II-I-MET'!R518+'II-I-TBILLTDCS'!R518</f>
        <v>117.60555742396055</v>
      </c>
      <c r="S518" s="434">
        <f>'II-I-DIST'!S518+'II-I-MET'!S518+'II-I-TBILLTDCS'!S518</f>
        <v>581.66707876257999</v>
      </c>
      <c r="T518" s="897"/>
      <c r="U518" s="121">
        <f t="shared" si="142"/>
        <v>215521.45999999993</v>
      </c>
      <c r="V518" s="67"/>
      <c r="X518" s="370">
        <f t="shared" si="143"/>
        <v>0</v>
      </c>
    </row>
    <row r="519" spans="1:24" ht="15">
      <c r="A519" s="47"/>
      <c r="B519" s="17">
        <f t="shared" si="140"/>
        <v>20</v>
      </c>
      <c r="C519" s="702">
        <v>186</v>
      </c>
      <c r="D519" s="691" t="s">
        <v>1364</v>
      </c>
      <c r="E519" s="263"/>
      <c r="F519" s="290">
        <f>' WP II-I-1.4'!L519</f>
        <v>586172.70000000007</v>
      </c>
      <c r="G519" s="358" t="s">
        <v>805</v>
      </c>
      <c r="H519" s="1" t="s">
        <v>320</v>
      </c>
      <c r="I519" s="263"/>
      <c r="J519" s="434">
        <f>'II-I-DIST'!J519+'II-I-MET'!J519+'II-I-TBILLTDCS'!J519</f>
        <v>319326.44190911861</v>
      </c>
      <c r="K519" s="434">
        <f>'II-I-DIST'!K519+'II-I-MET'!K519+'II-I-TBILLTDCS'!K519</f>
        <v>12911.370454561147</v>
      </c>
      <c r="L519" s="434">
        <f>'II-I-DIST'!L519+'II-I-MET'!L519+'II-I-TBILLTDCS'!L519</f>
        <v>198972.44005974702</v>
      </c>
      <c r="M519" s="434">
        <f>'II-I-DIST'!M519+'II-I-MET'!M519+'II-I-TBILLTDCS'!M519</f>
        <v>68.857333288529091</v>
      </c>
      <c r="N519" s="434">
        <f>'II-I-DIST'!N519+'II-I-MET'!N519+'II-I-TBILLTDCS'!N519</f>
        <v>29143.89010127823</v>
      </c>
      <c r="O519" s="434">
        <f>'II-I-DIST'!O519+'II-I-MET'!O519+'II-I-TBILLTDCS'!O519</f>
        <v>2668.7149871170554</v>
      </c>
      <c r="P519" s="434">
        <f>'II-I-DIST'!P519+'II-I-MET'!P519+'II-I-TBILLTDCS'!P519</f>
        <v>528.21501742570467</v>
      </c>
      <c r="Q519" s="434">
        <f>'II-I-DIST'!Q519+'II-I-MET'!Q519+'II-I-TBILLTDCS'!Q519</f>
        <v>20650.896750054344</v>
      </c>
      <c r="R519" s="434">
        <f>'II-I-DIST'!R519+'II-I-MET'!R519+'II-I-TBILLTDCS'!R519</f>
        <v>319.86219437362763</v>
      </c>
      <c r="S519" s="434">
        <f>'II-I-DIST'!S519+'II-I-MET'!S519+'II-I-TBILLTDCS'!S519</f>
        <v>1582.0111930355995</v>
      </c>
      <c r="T519" s="897"/>
      <c r="U519" s="121">
        <f t="shared" si="142"/>
        <v>586172.69999999995</v>
      </c>
      <c r="V519" s="67"/>
      <c r="X519" s="370">
        <f t="shared" si="143"/>
        <v>0</v>
      </c>
    </row>
    <row r="520" spans="1:24" ht="15">
      <c r="A520" s="47"/>
      <c r="B520" s="17">
        <f t="shared" si="140"/>
        <v>21</v>
      </c>
      <c r="C520" s="43">
        <v>186</v>
      </c>
      <c r="D520" s="43" t="s">
        <v>1221</v>
      </c>
      <c r="E520" s="263"/>
      <c r="F520" s="290">
        <f>' WP II-I-1.4'!L520</f>
        <v>334785.03000000003</v>
      </c>
      <c r="G520" s="358" t="s">
        <v>805</v>
      </c>
      <c r="H520" s="1" t="s">
        <v>320</v>
      </c>
      <c r="I520" s="263"/>
      <c r="J520" s="434">
        <f>'II-I-DIST'!J520+'II-I-MET'!J520+'II-I-TBILLTDCS'!J520</f>
        <v>182379.207415046</v>
      </c>
      <c r="K520" s="434">
        <f>'II-I-DIST'!K520+'II-I-MET'!K520+'II-I-TBILLTDCS'!K520</f>
        <v>7374.1638683810543</v>
      </c>
      <c r="L520" s="434">
        <f>'II-I-DIST'!L520+'II-I-MET'!L520+'II-I-TBILLTDCS'!L520</f>
        <v>113640.56073333953</v>
      </c>
      <c r="M520" s="434">
        <f>'II-I-DIST'!M520+'II-I-MET'!M520+'II-I-TBILLTDCS'!M520</f>
        <v>39.326983994171357</v>
      </c>
      <c r="N520" s="434">
        <f>'II-I-DIST'!N520+'II-I-MET'!N520+'II-I-TBILLTDCS'!N520</f>
        <v>16645.15956112104</v>
      </c>
      <c r="O520" s="434">
        <f>'II-I-DIST'!O520+'II-I-MET'!O520+'II-I-TBILLTDCS'!O520</f>
        <v>1524.2023844225994</v>
      </c>
      <c r="P520" s="434">
        <f>'II-I-DIST'!P520+'II-I-MET'!P520+'II-I-TBILLTDCS'!P520</f>
        <v>301.68324191030229</v>
      </c>
      <c r="Q520" s="434">
        <f>'II-I-DIST'!Q520+'II-I-MET'!Q520+'II-I-TBILLTDCS'!Q520</f>
        <v>11794.495185452761</v>
      </c>
      <c r="R520" s="434">
        <f>'II-I-DIST'!R520+'II-I-MET'!R520+'II-I-TBILLTDCS'!R520</f>
        <v>182.6851955733195</v>
      </c>
      <c r="S520" s="434">
        <f>'II-I-DIST'!S520+'II-I-MET'!S520+'II-I-TBILLTDCS'!S520</f>
        <v>903.54543075915853</v>
      </c>
      <c r="T520" s="897"/>
      <c r="U520" s="121">
        <f t="shared" si="142"/>
        <v>334785.02999999985</v>
      </c>
      <c r="V520" s="67"/>
      <c r="X520" s="370">
        <f t="shared" si="143"/>
        <v>0</v>
      </c>
    </row>
    <row r="521" spans="1:24" ht="15">
      <c r="A521" s="47"/>
      <c r="B521" s="17">
        <f t="shared" si="140"/>
        <v>22</v>
      </c>
      <c r="C521" s="43">
        <v>186</v>
      </c>
      <c r="D521" s="43" t="s">
        <v>1222</v>
      </c>
      <c r="E521" s="897"/>
      <c r="F521" s="290">
        <f>' WP II-I-1.4'!L521</f>
        <v>6700000</v>
      </c>
      <c r="G521" s="358" t="s">
        <v>805</v>
      </c>
      <c r="H521" s="1" t="s">
        <v>320</v>
      </c>
      <c r="I521" s="897"/>
      <c r="J521" s="434">
        <f>'II-I-DIST'!J521+'II-I-MET'!J521+'II-I-TBILLTDCS'!J521</f>
        <v>3649926.3114626366</v>
      </c>
      <c r="K521" s="434">
        <f>'II-I-DIST'!K521+'II-I-MET'!K521+'II-I-TBILLTDCS'!K521</f>
        <v>147577.97837661099</v>
      </c>
      <c r="L521" s="434">
        <f>'II-I-DIST'!L521+'II-I-MET'!L521+'II-I-TBILLTDCS'!L521</f>
        <v>2274270.6175164846</v>
      </c>
      <c r="M521" s="434">
        <f>'II-I-DIST'!M521+'II-I-MET'!M521+'II-I-TBILLTDCS'!M521</f>
        <v>787.04472765986009</v>
      </c>
      <c r="N521" s="434">
        <f>'II-I-DIST'!N521+'II-I-MET'!N521+'II-I-TBILLTDCS'!N521</f>
        <v>333116.9528682658</v>
      </c>
      <c r="O521" s="434">
        <f>'II-I-DIST'!O521+'II-I-MET'!O521+'II-I-TBILLTDCS'!O521</f>
        <v>30503.621908158242</v>
      </c>
      <c r="P521" s="434">
        <f>'II-I-DIST'!P521+'II-I-MET'!P521+'II-I-TBILLTDCS'!P521</f>
        <v>6037.5391360809208</v>
      </c>
      <c r="Q521" s="434">
        <f>'II-I-DIST'!Q521+'II-I-MET'!Q521+'II-I-TBILLTDCS'!Q521</f>
        <v>236041.37180964599</v>
      </c>
      <c r="R521" s="434">
        <f>'II-I-DIST'!R521+'II-I-MET'!R521+'II-I-TBILLTDCS'!R521</f>
        <v>3656.0500042108833</v>
      </c>
      <c r="S521" s="434">
        <f>'II-I-DIST'!S521+'II-I-MET'!S521+'II-I-TBILLTDCS'!S521</f>
        <v>18082.512190244473</v>
      </c>
      <c r="T521" s="897"/>
      <c r="U521" s="121">
        <f t="shared" si="142"/>
        <v>6699999.9999999981</v>
      </c>
      <c r="V521" s="67"/>
      <c r="X521" s="370">
        <f t="shared" si="143"/>
        <v>0</v>
      </c>
    </row>
    <row r="522" spans="1:24" ht="15">
      <c r="A522" s="47"/>
      <c r="B522" s="17">
        <f t="shared" si="140"/>
        <v>23</v>
      </c>
      <c r="C522" s="43">
        <v>182</v>
      </c>
      <c r="D522" s="43" t="s">
        <v>1223</v>
      </c>
      <c r="E522" s="897"/>
      <c r="F522" s="290">
        <f>' WP II-I-1.4'!L522</f>
        <v>75267069.370000005</v>
      </c>
      <c r="G522" s="358" t="s">
        <v>805</v>
      </c>
      <c r="H522" s="1" t="s">
        <v>320</v>
      </c>
      <c r="I522" s="897"/>
      <c r="J522" s="434">
        <f>'II-I-DIST'!J522+'II-I-MET'!J522+'II-I-TBILLTDCS'!J522</f>
        <v>41002874.161230825</v>
      </c>
      <c r="K522" s="434">
        <f>'II-I-DIST'!K522+'II-I-MET'!K522+'II-I-TBILLTDCS'!K522</f>
        <v>1657874.9158144388</v>
      </c>
      <c r="L522" s="434">
        <f>'II-I-DIST'!L522+'II-I-MET'!L522+'II-I-TBILLTDCS'!L522</f>
        <v>25548908.109666564</v>
      </c>
      <c r="M522" s="434">
        <f>'II-I-DIST'!M522+'II-I-MET'!M522+'II-I-TBILLTDCS'!M522</f>
        <v>8841.5746438906644</v>
      </c>
      <c r="N522" s="434">
        <f>'II-I-DIST'!N522+'II-I-MET'!N522+'II-I-TBILLTDCS'!N522</f>
        <v>3742199.5223669829</v>
      </c>
      <c r="O522" s="434">
        <f>'II-I-DIST'!O522+'II-I-MET'!O522+'II-I-TBILLTDCS'!O522</f>
        <v>342674.36211904453</v>
      </c>
      <c r="P522" s="434">
        <f>'II-I-DIST'!P522+'II-I-MET'!P522+'II-I-TBILLTDCS'!P522</f>
        <v>67825.056265595907</v>
      </c>
      <c r="Q522" s="434">
        <f>'II-I-DIST'!Q522+'II-I-MET'!Q522+'II-I-TBILLTDCS'!Q522</f>
        <v>2651663.0307741179</v>
      </c>
      <c r="R522" s="434">
        <f>'II-I-DIST'!R522+'II-I-MET'!R522+'II-I-TBILLTDCS'!R522</f>
        <v>41071.667057780498</v>
      </c>
      <c r="S522" s="434">
        <f>'II-I-DIST'!S522+'II-I-MET'!S522+'II-I-TBILLTDCS'!S522</f>
        <v>203136.97006074648</v>
      </c>
      <c r="T522" s="897"/>
      <c r="U522" s="121">
        <f t="shared" si="142"/>
        <v>75267069.36999999</v>
      </c>
      <c r="V522" s="67"/>
      <c r="X522" s="370">
        <f t="shared" si="143"/>
        <v>0</v>
      </c>
    </row>
    <row r="523" spans="1:24" ht="15">
      <c r="A523" s="47"/>
      <c r="B523" s="17">
        <f t="shared" si="140"/>
        <v>24</v>
      </c>
      <c r="C523" s="43">
        <v>182</v>
      </c>
      <c r="D523" s="43" t="s">
        <v>1224</v>
      </c>
      <c r="E523" s="897"/>
      <c r="F523" s="290">
        <f>' WP II-I-1.4'!L523</f>
        <v>627362.98999999999</v>
      </c>
      <c r="G523" s="358"/>
      <c r="H523" s="1"/>
      <c r="I523" s="897"/>
      <c r="J523" s="434">
        <f>'II-I-DIST'!J523+'II-I-MET'!J523+'II-I-TBILLTDCS'!J523</f>
        <v>341765.47522968223</v>
      </c>
      <c r="K523" s="434">
        <f>'II-I-DIST'!K523+'II-I-MET'!K523+'II-I-TBILLTDCS'!K523</f>
        <v>13818.651010821794</v>
      </c>
      <c r="L523" s="434">
        <f>'II-I-DIST'!L523+'II-I-MET'!L523+'II-I-TBILLTDCS'!L523</f>
        <v>212954.21114541611</v>
      </c>
      <c r="M523" s="434">
        <f>'II-I-DIST'!M523+'II-I-MET'!M523+'II-I-TBILLTDCS'!M523</f>
        <v>73.69593038931724</v>
      </c>
      <c r="N523" s="434">
        <f>'II-I-DIST'!N523+'II-I-MET'!N523+'II-I-TBILLTDCS'!N523</f>
        <v>31191.827995690197</v>
      </c>
      <c r="O523" s="434">
        <f>'II-I-DIST'!O523+'II-I-MET'!O523+'II-I-TBILLTDCS'!O523</f>
        <v>2856.2452904674119</v>
      </c>
      <c r="P523" s="434">
        <f>'II-I-DIST'!P523+'II-I-MET'!P523+'II-I-TBILLTDCS'!P523</f>
        <v>565.33262756026011</v>
      </c>
      <c r="Q523" s="434">
        <f>'II-I-DIST'!Q523+'II-I-MET'!Q523+'II-I-TBILLTDCS'!Q523</f>
        <v>22102.032952567348</v>
      </c>
      <c r="R523" s="434">
        <f>'II-I-DIST'!R523+'II-I-MET'!R523+'II-I-TBILLTDCS'!R523</f>
        <v>342.33887495988841</v>
      </c>
      <c r="S523" s="434">
        <f>'II-I-DIST'!S523+'II-I-MET'!S523+'II-I-TBILLTDCS'!S523</f>
        <v>1693.1789424452568</v>
      </c>
      <c r="T523" s="897"/>
      <c r="U523" s="121">
        <f t="shared" si="142"/>
        <v>627362.98999999964</v>
      </c>
      <c r="V523" s="67"/>
      <c r="X523" s="370">
        <f t="shared" si="143"/>
        <v>0</v>
      </c>
    </row>
    <row r="524" spans="1:24" ht="15">
      <c r="A524" s="47"/>
      <c r="B524" s="17">
        <f t="shared" si="140"/>
        <v>25</v>
      </c>
      <c r="C524" s="43">
        <v>182</v>
      </c>
      <c r="D524" s="43" t="s">
        <v>1225</v>
      </c>
      <c r="E524" s="897"/>
      <c r="F524" s="290">
        <f>' WP II-I-1.4'!L524</f>
        <v>0</v>
      </c>
      <c r="G524" s="358"/>
      <c r="H524" s="1"/>
      <c r="I524" s="897"/>
      <c r="J524" s="434">
        <f>'II-I-DIST'!J524+'II-I-MET'!J524+'II-I-TBILLTDCS'!J524</f>
        <v>0</v>
      </c>
      <c r="K524" s="434">
        <f>'II-I-DIST'!K524+'II-I-MET'!K524+'II-I-TBILLTDCS'!K524</f>
        <v>0</v>
      </c>
      <c r="L524" s="434">
        <f>'II-I-DIST'!L524+'II-I-MET'!L524+'II-I-TBILLTDCS'!L524</f>
        <v>0</v>
      </c>
      <c r="M524" s="434">
        <f>'II-I-DIST'!M524+'II-I-MET'!M524+'II-I-TBILLTDCS'!M524</f>
        <v>0</v>
      </c>
      <c r="N524" s="434">
        <f>'II-I-DIST'!N524+'II-I-MET'!N524+'II-I-TBILLTDCS'!N524</f>
        <v>0</v>
      </c>
      <c r="O524" s="434">
        <f>'II-I-DIST'!O524+'II-I-MET'!O524+'II-I-TBILLTDCS'!O524</f>
        <v>0</v>
      </c>
      <c r="P524" s="434">
        <f>'II-I-DIST'!P524+'II-I-MET'!P524+'II-I-TBILLTDCS'!P524</f>
        <v>0</v>
      </c>
      <c r="Q524" s="434">
        <f>'II-I-DIST'!Q524+'II-I-MET'!Q524+'II-I-TBILLTDCS'!Q524</f>
        <v>0</v>
      </c>
      <c r="R524" s="434">
        <f>'II-I-DIST'!R524+'II-I-MET'!R524+'II-I-TBILLTDCS'!R524</f>
        <v>0</v>
      </c>
      <c r="S524" s="434">
        <f>'II-I-DIST'!S524+'II-I-MET'!S524+'II-I-TBILLTDCS'!S524</f>
        <v>0</v>
      </c>
      <c r="T524" s="897"/>
      <c r="U524" s="121">
        <f t="shared" si="142"/>
        <v>0</v>
      </c>
      <c r="V524" s="67"/>
      <c r="X524" s="370">
        <f t="shared" si="143"/>
        <v>0</v>
      </c>
    </row>
    <row r="525" spans="1:24" ht="15">
      <c r="A525" s="47"/>
      <c r="B525" s="17">
        <f t="shared" si="140"/>
        <v>26</v>
      </c>
      <c r="C525" s="43">
        <v>182</v>
      </c>
      <c r="D525" s="43" t="s">
        <v>1226</v>
      </c>
      <c r="E525" s="897"/>
      <c r="F525" s="290">
        <f>' WP II-I-1.4'!L525</f>
        <v>613207.77999999933</v>
      </c>
      <c r="G525" s="358"/>
      <c r="H525" s="1"/>
      <c r="I525" s="897"/>
      <c r="J525" s="434">
        <f>'II-I-DIST'!J525+'II-I-MET'!J525+'II-I-TBILLTDCS'!J525</f>
        <v>334054.21053964022</v>
      </c>
      <c r="K525" s="434">
        <f>'II-I-DIST'!K525+'II-I-MET'!K525+'II-I-TBILLTDCS'!K525</f>
        <v>13506.86037271784</v>
      </c>
      <c r="L525" s="434">
        <f>'II-I-DIST'!L525+'II-I-MET'!L525+'II-I-TBILLTDCS'!L525</f>
        <v>208149.31887858373</v>
      </c>
      <c r="M525" s="434">
        <f>'II-I-DIST'!M525+'II-I-MET'!M525+'II-I-TBILLTDCS'!M525</f>
        <v>72.03312689686669</v>
      </c>
      <c r="N525" s="434">
        <f>'II-I-DIST'!N525+'II-I-MET'!N525+'II-I-TBILLTDCS'!N525</f>
        <v>30488.045843091597</v>
      </c>
      <c r="O525" s="434">
        <f>'II-I-DIST'!O525+'II-I-MET'!O525+'II-I-TBILLTDCS'!O525</f>
        <v>2791.7997421285163</v>
      </c>
      <c r="P525" s="434">
        <f>'II-I-DIST'!P525+'II-I-MET'!P525+'II-I-TBILLTDCS'!P525</f>
        <v>552.57701049243212</v>
      </c>
      <c r="Q525" s="434">
        <f>'II-I-DIST'!Q525+'II-I-MET'!Q525+'II-I-TBILLTDCS'!Q525</f>
        <v>21603.344118738427</v>
      </c>
      <c r="R525" s="434">
        <f>'II-I-DIST'!R525+'II-I-MET'!R525+'II-I-TBILLTDCS'!R525</f>
        <v>334.61467263449907</v>
      </c>
      <c r="S525" s="434">
        <f>'II-I-DIST'!S525+'II-I-MET'!S525+'II-I-TBILLTDCS'!S525</f>
        <v>1654.9756950750357</v>
      </c>
      <c r="T525" s="897"/>
      <c r="U525" s="121">
        <f t="shared" si="142"/>
        <v>613207.77999999898</v>
      </c>
      <c r="V525" s="67"/>
      <c r="X525" s="370">
        <f t="shared" si="143"/>
        <v>0</v>
      </c>
    </row>
    <row r="526" spans="1:24" ht="15">
      <c r="A526" s="47"/>
      <c r="B526" s="17">
        <f t="shared" si="140"/>
        <v>27</v>
      </c>
      <c r="C526" s="43">
        <v>182</v>
      </c>
      <c r="D526" s="43" t="s">
        <v>992</v>
      </c>
      <c r="E526" s="897"/>
      <c r="F526" s="290">
        <f>' WP II-I-1.4'!L526</f>
        <v>8358753.9900000002</v>
      </c>
      <c r="G526" s="358"/>
      <c r="H526" s="1"/>
      <c r="I526" s="897"/>
      <c r="J526" s="434">
        <f>'II-I-DIST'!J526+'II-I-MET'!J526+'II-I-TBILLTDCS'!J526</f>
        <v>4657201.135251591</v>
      </c>
      <c r="K526" s="434">
        <f>'II-I-DIST'!K526+'II-I-MET'!K526+'II-I-TBILLTDCS'!K526</f>
        <v>718020.47899577406</v>
      </c>
      <c r="L526" s="434">
        <f>'II-I-DIST'!L526+'II-I-MET'!L526+'II-I-TBILLTDCS'!L526</f>
        <v>2214759.0061241509</v>
      </c>
      <c r="M526" s="434">
        <f>'II-I-DIST'!M526+'II-I-MET'!M526+'II-I-TBILLTDCS'!M526</f>
        <v>31098.579223687222</v>
      </c>
      <c r="N526" s="434">
        <f>'II-I-DIST'!N526+'II-I-MET'!N526+'II-I-TBILLTDCS'!N526</f>
        <v>648943.57509733504</v>
      </c>
      <c r="O526" s="434">
        <f>'II-I-DIST'!O526+'II-I-MET'!O526+'II-I-TBILLTDCS'!O526</f>
        <v>22176.352645788491</v>
      </c>
      <c r="P526" s="434">
        <f>'II-I-DIST'!P526+'II-I-MET'!P526+'II-I-TBILLTDCS'!P526</f>
        <v>48276.213836601077</v>
      </c>
      <c r="Q526" s="434">
        <f>'II-I-DIST'!Q526+'II-I-MET'!Q526+'II-I-TBILLTDCS'!Q526</f>
        <v>9744.5261801170909</v>
      </c>
      <c r="R526" s="434">
        <f>'II-I-DIST'!R526+'II-I-MET'!R526+'II-I-TBILLTDCS'!R526</f>
        <v>2558.8099206679026</v>
      </c>
      <c r="S526" s="434">
        <f>'II-I-DIST'!S526+'II-I-MET'!S526+'II-I-TBILLTDCS'!S526</f>
        <v>5975.3127242880364</v>
      </c>
      <c r="T526" s="897"/>
      <c r="U526" s="121">
        <f t="shared" si="142"/>
        <v>8358753.9899999993</v>
      </c>
      <c r="V526" s="67"/>
      <c r="X526" s="370">
        <f t="shared" si="143"/>
        <v>0</v>
      </c>
    </row>
    <row r="527" spans="1:24" ht="15">
      <c r="A527" s="47"/>
      <c r="B527" s="17">
        <f t="shared" si="140"/>
        <v>28</v>
      </c>
      <c r="C527" s="43">
        <v>182</v>
      </c>
      <c r="D527" s="43" t="s">
        <v>993</v>
      </c>
      <c r="E527" s="897"/>
      <c r="F527" s="290">
        <f>' WP II-I-1.4'!L527</f>
        <v>59200.770000000004</v>
      </c>
      <c r="G527" s="358"/>
      <c r="H527" s="1"/>
      <c r="I527" s="897"/>
      <c r="J527" s="434">
        <f>'II-I-DIST'!J527+'II-I-MET'!J527+'II-I-TBILLTDCS'!J527</f>
        <v>33004.714310998257</v>
      </c>
      <c r="K527" s="434">
        <f>'II-I-DIST'!K527+'II-I-MET'!K527+'II-I-TBILLTDCS'!K527</f>
        <v>5088.4769823069792</v>
      </c>
      <c r="L527" s="434">
        <f>'II-I-DIST'!L527+'II-I-MET'!L527+'II-I-TBILLTDCS'!L527</f>
        <v>15695.583278880475</v>
      </c>
      <c r="M527" s="434">
        <f>'II-I-DIST'!M527+'II-I-MET'!M527+'II-I-TBILLTDCS'!M527</f>
        <v>220.38982061278196</v>
      </c>
      <c r="N527" s="434">
        <f>'II-I-DIST'!N527+'II-I-MET'!N527+'II-I-TBILLTDCS'!N527</f>
        <v>4598.9418704563477</v>
      </c>
      <c r="O527" s="434">
        <f>'II-I-DIST'!O527+'II-I-MET'!O527+'II-I-TBILLTDCS'!O527</f>
        <v>157.15966785159245</v>
      </c>
      <c r="P527" s="434">
        <f>'II-I-DIST'!P527+'II-I-MET'!P527+'II-I-TBILLTDCS'!P527</f>
        <v>342.12450770769738</v>
      </c>
      <c r="Q527" s="434">
        <f>'II-I-DIST'!Q527+'II-I-MET'!Q527+'II-I-TBILLTDCS'!Q527</f>
        <v>32.899828485511662</v>
      </c>
      <c r="R527" s="434">
        <f>'II-I-DIST'!R527+'II-I-MET'!R527+'II-I-TBILLTDCS'!R527</f>
        <v>18.133807829029898</v>
      </c>
      <c r="S527" s="434">
        <f>'II-I-DIST'!S527+'II-I-MET'!S527+'II-I-TBILLTDCS'!S527</f>
        <v>42.345924871321984</v>
      </c>
      <c r="T527" s="897"/>
      <c r="U527" s="121">
        <f t="shared" si="142"/>
        <v>59200.769999999997</v>
      </c>
      <c r="V527" s="67"/>
      <c r="X527" s="370">
        <f t="shared" si="143"/>
        <v>0</v>
      </c>
    </row>
    <row r="528" spans="1:24" ht="15">
      <c r="A528" s="47"/>
      <c r="B528" s="17">
        <f t="shared" si="140"/>
        <v>29</v>
      </c>
      <c r="C528" s="43">
        <v>182</v>
      </c>
      <c r="D528" s="43" t="s">
        <v>140</v>
      </c>
      <c r="E528" s="897"/>
      <c r="F528" s="290">
        <f>' WP II-I-1.4'!L528</f>
        <v>524869.04000000004</v>
      </c>
      <c r="G528" s="358"/>
      <c r="H528" s="1"/>
      <c r="I528" s="897"/>
      <c r="J528" s="434">
        <f>'II-I-DIST'!J528+'II-I-MET'!J528+'II-I-TBILLTDCS'!J528</f>
        <v>292617.01690515032</v>
      </c>
      <c r="K528" s="434">
        <f>'II-I-DIST'!K528+'II-I-MET'!K528+'II-I-TBILLTDCS'!K528</f>
        <v>45114.008293567145</v>
      </c>
      <c r="L528" s="434">
        <f>'II-I-DIST'!L528+'II-I-MET'!L528+'II-I-TBILLTDCS'!L528</f>
        <v>139155.71922165956</v>
      </c>
      <c r="M528" s="434">
        <f>'II-I-DIST'!M528+'II-I-MET'!M528+'II-I-TBILLTDCS'!M528</f>
        <v>1953.9575848557895</v>
      </c>
      <c r="N528" s="434">
        <f>'II-I-DIST'!N528+'II-I-MET'!N528+'II-I-TBILLTDCS'!N528</f>
        <v>40773.831228246316</v>
      </c>
      <c r="O528" s="434">
        <f>'II-I-DIST'!O528+'II-I-MET'!O528+'II-I-TBILLTDCS'!O528</f>
        <v>1393.3643767130766</v>
      </c>
      <c r="P528" s="434">
        <f>'II-I-DIST'!P528+'II-I-MET'!P528+'II-I-TBILLTDCS'!P528</f>
        <v>3033.2470662292353</v>
      </c>
      <c r="Q528" s="434">
        <f>'II-I-DIST'!Q528+'II-I-MET'!Q528+'II-I-TBILLTDCS'!Q528</f>
        <v>291.68710801152014</v>
      </c>
      <c r="R528" s="434">
        <f>'II-I-DIST'!R528+'II-I-MET'!R528+'II-I-TBILLTDCS'!R528</f>
        <v>160.77281269766266</v>
      </c>
      <c r="S528" s="434">
        <f>'II-I-DIST'!S528+'II-I-MET'!S528+'II-I-TBILLTDCS'!S528</f>
        <v>375.4354028693021</v>
      </c>
      <c r="T528" s="897"/>
      <c r="U528" s="121">
        <f t="shared" si="142"/>
        <v>524869.03999999992</v>
      </c>
      <c r="V528" s="67"/>
      <c r="X528" s="370">
        <f t="shared" si="143"/>
        <v>0</v>
      </c>
    </row>
    <row r="529" spans="1:24" ht="15">
      <c r="A529" s="47"/>
      <c r="B529" s="17">
        <f t="shared" si="140"/>
        <v>30</v>
      </c>
      <c r="C529" s="43">
        <v>182</v>
      </c>
      <c r="D529" s="43" t="s">
        <v>994</v>
      </c>
      <c r="E529" s="897"/>
      <c r="F529" s="290">
        <f>' WP II-I-1.4'!L529</f>
        <v>127299791.38</v>
      </c>
      <c r="G529" s="358"/>
      <c r="H529" s="1"/>
      <c r="I529" s="897"/>
      <c r="J529" s="434">
        <f>'II-I-DIST'!J529+'II-I-MET'!J529+'II-I-TBILLTDCS'!J529</f>
        <v>70970246.609065697</v>
      </c>
      <c r="K529" s="434">
        <f>'II-I-DIST'!K529+'II-I-MET'!K529+'II-I-TBILLTDCS'!K529</f>
        <v>10941784.343170036</v>
      </c>
      <c r="L529" s="434">
        <f>'II-I-DIST'!L529+'II-I-MET'!L529+'II-I-TBILLTDCS'!L529</f>
        <v>33750312.318385392</v>
      </c>
      <c r="M529" s="434">
        <f>'II-I-DIST'!M529+'II-I-MET'!M529+'II-I-TBILLTDCS'!M529</f>
        <v>473905.62971195753</v>
      </c>
      <c r="N529" s="434">
        <f>'II-I-DIST'!N529+'II-I-MET'!N529+'II-I-TBILLTDCS'!N529</f>
        <v>9889133.885891011</v>
      </c>
      <c r="O529" s="434">
        <f>'II-I-DIST'!O529+'II-I-MET'!O529+'II-I-TBILLTDCS'!O529</f>
        <v>337941.43101276911</v>
      </c>
      <c r="P529" s="434">
        <f>'II-I-DIST'!P529+'II-I-MET'!P529+'II-I-TBILLTDCS'!P529</f>
        <v>735672.49982010503</v>
      </c>
      <c r="Q529" s="434">
        <f>'II-I-DIST'!Q529+'II-I-MET'!Q529+'II-I-TBILLTDCS'!Q529</f>
        <v>70744.709952985679</v>
      </c>
      <c r="R529" s="434">
        <f>'II-I-DIST'!R529+'II-I-MET'!R529+'II-I-TBILLTDCS'!R529</f>
        <v>38993.242039934899</v>
      </c>
      <c r="S529" s="434">
        <f>'II-I-DIST'!S529+'II-I-MET'!S529+'II-I-TBILLTDCS'!S529</f>
        <v>91056.710950084627</v>
      </c>
      <c r="T529" s="897"/>
      <c r="U529" s="121">
        <f t="shared" si="142"/>
        <v>127299791.37999995</v>
      </c>
      <c r="V529" s="67"/>
      <c r="X529" s="370">
        <f t="shared" si="143"/>
        <v>0</v>
      </c>
    </row>
    <row r="530" spans="1:24" ht="15">
      <c r="A530" s="47"/>
      <c r="B530" s="17">
        <f t="shared" si="140"/>
        <v>31</v>
      </c>
      <c r="C530" s="43">
        <v>182</v>
      </c>
      <c r="D530" s="43" t="s">
        <v>139</v>
      </c>
      <c r="E530" s="897"/>
      <c r="F530" s="290">
        <f>' WP II-I-1.4'!L530</f>
        <v>0</v>
      </c>
      <c r="G530" s="358"/>
      <c r="H530" s="1"/>
      <c r="I530" s="897"/>
      <c r="J530" s="434">
        <f>'II-I-DIST'!J530+'II-I-MET'!J530+'II-I-TBILLTDCS'!J530</f>
        <v>0</v>
      </c>
      <c r="K530" s="434">
        <f>'II-I-DIST'!K530+'II-I-MET'!K530+'II-I-TBILLTDCS'!K530</f>
        <v>0</v>
      </c>
      <c r="L530" s="434">
        <f>'II-I-DIST'!L530+'II-I-MET'!L530+'II-I-TBILLTDCS'!L530</f>
        <v>0</v>
      </c>
      <c r="M530" s="434">
        <f>'II-I-DIST'!M530+'II-I-MET'!M530+'II-I-TBILLTDCS'!M530</f>
        <v>0</v>
      </c>
      <c r="N530" s="434">
        <f>'II-I-DIST'!N530+'II-I-MET'!N530+'II-I-TBILLTDCS'!N530</f>
        <v>0</v>
      </c>
      <c r="O530" s="434">
        <f>'II-I-DIST'!O530+'II-I-MET'!O530+'II-I-TBILLTDCS'!O530</f>
        <v>0</v>
      </c>
      <c r="P530" s="434">
        <f>'II-I-DIST'!P530+'II-I-MET'!P530+'II-I-TBILLTDCS'!P530</f>
        <v>0</v>
      </c>
      <c r="Q530" s="434">
        <f>'II-I-DIST'!Q530+'II-I-MET'!Q530+'II-I-TBILLTDCS'!Q530</f>
        <v>0</v>
      </c>
      <c r="R530" s="434">
        <f>'II-I-DIST'!R530+'II-I-MET'!R530+'II-I-TBILLTDCS'!R530</f>
        <v>0</v>
      </c>
      <c r="S530" s="434">
        <f>'II-I-DIST'!S530+'II-I-MET'!S530+'II-I-TBILLTDCS'!S530</f>
        <v>0</v>
      </c>
      <c r="T530" s="897"/>
      <c r="U530" s="121">
        <f t="shared" si="142"/>
        <v>0</v>
      </c>
      <c r="V530" s="67"/>
      <c r="X530" s="370">
        <f t="shared" si="143"/>
        <v>0</v>
      </c>
    </row>
    <row r="531" spans="1:24" ht="15">
      <c r="A531" s="47"/>
      <c r="B531" s="17">
        <f t="shared" si="140"/>
        <v>32</v>
      </c>
      <c r="C531" s="43">
        <v>182</v>
      </c>
      <c r="D531" s="43" t="s">
        <v>1227</v>
      </c>
      <c r="E531" s="897"/>
      <c r="F531" s="290">
        <f>' WP II-I-1.4'!L531</f>
        <v>0</v>
      </c>
      <c r="G531" s="358"/>
      <c r="H531" s="1"/>
      <c r="I531" s="897"/>
      <c r="J531" s="434">
        <f>'II-I-DIST'!J531+'II-I-MET'!J531+'II-I-TBILLTDCS'!J531</f>
        <v>0</v>
      </c>
      <c r="K531" s="434">
        <f>'II-I-DIST'!K531+'II-I-MET'!K531+'II-I-TBILLTDCS'!K531</f>
        <v>0</v>
      </c>
      <c r="L531" s="434">
        <f>'II-I-DIST'!L531+'II-I-MET'!L531+'II-I-TBILLTDCS'!L531</f>
        <v>0</v>
      </c>
      <c r="M531" s="434">
        <f>'II-I-DIST'!M531+'II-I-MET'!M531+'II-I-TBILLTDCS'!M531</f>
        <v>0</v>
      </c>
      <c r="N531" s="434">
        <f>'II-I-DIST'!N531+'II-I-MET'!N531+'II-I-TBILLTDCS'!N531</f>
        <v>0</v>
      </c>
      <c r="O531" s="434">
        <f>'II-I-DIST'!O531+'II-I-MET'!O531+'II-I-TBILLTDCS'!O531</f>
        <v>0</v>
      </c>
      <c r="P531" s="434">
        <f>'II-I-DIST'!P531+'II-I-MET'!P531+'II-I-TBILLTDCS'!P531</f>
        <v>0</v>
      </c>
      <c r="Q531" s="434">
        <f>'II-I-DIST'!Q531+'II-I-MET'!Q531+'II-I-TBILLTDCS'!Q531</f>
        <v>0</v>
      </c>
      <c r="R531" s="434">
        <f>'II-I-DIST'!R531+'II-I-MET'!R531+'II-I-TBILLTDCS'!R531</f>
        <v>0</v>
      </c>
      <c r="S531" s="434">
        <f>'II-I-DIST'!S531+'II-I-MET'!S531+'II-I-TBILLTDCS'!S531</f>
        <v>0</v>
      </c>
      <c r="T531" s="897"/>
      <c r="U531" s="121">
        <f t="shared" si="142"/>
        <v>0</v>
      </c>
      <c r="V531" s="67"/>
      <c r="X531" s="370">
        <f t="shared" si="143"/>
        <v>0</v>
      </c>
    </row>
    <row r="532" spans="1:24" ht="15">
      <c r="A532" s="47"/>
      <c r="B532" s="17">
        <f t="shared" si="140"/>
        <v>33</v>
      </c>
      <c r="C532" s="43">
        <v>186</v>
      </c>
      <c r="D532" s="43" t="s">
        <v>1228</v>
      </c>
      <c r="E532" s="897"/>
      <c r="F532" s="290">
        <f>' WP II-I-1.4'!L532</f>
        <v>0</v>
      </c>
      <c r="G532" s="358"/>
      <c r="H532" s="1"/>
      <c r="I532" s="897"/>
      <c r="J532" s="434">
        <f>'II-I-DIST'!J532+'II-I-MET'!J532+'II-I-TBILLTDCS'!J532</f>
        <v>0</v>
      </c>
      <c r="K532" s="434">
        <f>'II-I-DIST'!K532+'II-I-MET'!K532+'II-I-TBILLTDCS'!K532</f>
        <v>0</v>
      </c>
      <c r="L532" s="434">
        <f>'II-I-DIST'!L532+'II-I-MET'!L532+'II-I-TBILLTDCS'!L532</f>
        <v>0</v>
      </c>
      <c r="M532" s="434">
        <f>'II-I-DIST'!M532+'II-I-MET'!M532+'II-I-TBILLTDCS'!M532</f>
        <v>0</v>
      </c>
      <c r="N532" s="434">
        <f>'II-I-DIST'!N532+'II-I-MET'!N532+'II-I-TBILLTDCS'!N532</f>
        <v>0</v>
      </c>
      <c r="O532" s="434">
        <f>'II-I-DIST'!O532+'II-I-MET'!O532+'II-I-TBILLTDCS'!O532</f>
        <v>0</v>
      </c>
      <c r="P532" s="434">
        <f>'II-I-DIST'!P532+'II-I-MET'!P532+'II-I-TBILLTDCS'!P532</f>
        <v>0</v>
      </c>
      <c r="Q532" s="434">
        <f>'II-I-DIST'!Q532+'II-I-MET'!Q532+'II-I-TBILLTDCS'!Q532</f>
        <v>0</v>
      </c>
      <c r="R532" s="434">
        <f>'II-I-DIST'!R532+'II-I-MET'!R532+'II-I-TBILLTDCS'!R532</f>
        <v>0</v>
      </c>
      <c r="S532" s="434">
        <f>'II-I-DIST'!S532+'II-I-MET'!S532+'II-I-TBILLTDCS'!S532</f>
        <v>0</v>
      </c>
      <c r="T532" s="897"/>
      <c r="U532" s="121">
        <f t="shared" si="142"/>
        <v>0</v>
      </c>
      <c r="V532" s="67"/>
      <c r="X532" s="370">
        <f t="shared" si="143"/>
        <v>0</v>
      </c>
    </row>
    <row r="533" spans="1:24" ht="15">
      <c r="A533" s="47"/>
      <c r="B533" s="17">
        <f t="shared" si="140"/>
        <v>34</v>
      </c>
      <c r="C533" s="43">
        <v>186</v>
      </c>
      <c r="D533" s="43" t="s">
        <v>995</v>
      </c>
      <c r="E533" s="897"/>
      <c r="F533" s="290">
        <f>' WP II-I-1.4'!L533</f>
        <v>221954256.47</v>
      </c>
      <c r="G533" s="358" t="s">
        <v>805</v>
      </c>
      <c r="H533" s="1" t="s">
        <v>320</v>
      </c>
      <c r="I533" s="897"/>
      <c r="J533" s="434">
        <f>'II-I-DIST'!J533+'II-I-MET'!J533+'II-I-TBILLTDCS'!J533</f>
        <v>120912937.40760882</v>
      </c>
      <c r="K533" s="434">
        <f>'II-I-DIST'!K533+'II-I-MET'!K533+'II-I-TBILLTDCS'!K533</f>
        <v>4888889.6211830489</v>
      </c>
      <c r="L533" s="434">
        <f>'II-I-DIST'!L533+'II-I-MET'!L533+'II-I-TBILLTDCS'!L533</f>
        <v>75340902.077975973</v>
      </c>
      <c r="M533" s="434">
        <f>'II-I-DIST'!M533+'II-I-MET'!M533+'II-I-TBILLTDCS'!M533</f>
        <v>26072.824975578787</v>
      </c>
      <c r="N533" s="434">
        <f>'II-I-DIST'!N533+'II-I-MET'!N533+'II-I-TBILLTDCS'!N533</f>
        <v>11035332.177825071</v>
      </c>
      <c r="O533" s="434">
        <f>'II-I-DIST'!O533+'II-I-MET'!O533+'II-I-TBILLTDCS'!O533</f>
        <v>1010508.7642189949</v>
      </c>
      <c r="P533" s="434">
        <f>'II-I-DIST'!P533+'II-I-MET'!P533+'II-I-TBILLTDCS'!P533</f>
        <v>200008.58356080102</v>
      </c>
      <c r="Q533" s="434">
        <f>'II-I-DIST'!Q533+'II-I-MET'!Q533+'II-I-TBILLTDCS'!Q533</f>
        <v>7819460.7725625066</v>
      </c>
      <c r="R533" s="434">
        <f>'II-I-DIST'!R533+'II-I-MET'!R533+'II-I-TBILLTDCS'!R533</f>
        <v>121115.80004503984</v>
      </c>
      <c r="S533" s="434">
        <f>'II-I-DIST'!S533+'II-I-MET'!S533+'II-I-TBILLTDCS'!S533</f>
        <v>599028.44004409295</v>
      </c>
      <c r="T533" s="897"/>
      <c r="U533" s="121">
        <f t="shared" si="142"/>
        <v>221954256.46999991</v>
      </c>
      <c r="V533" s="67"/>
      <c r="X533" s="370">
        <f t="shared" si="143"/>
        <v>0</v>
      </c>
    </row>
    <row r="534" spans="1:24" ht="15">
      <c r="A534" s="47"/>
      <c r="B534" s="17">
        <f t="shared" si="140"/>
        <v>35</v>
      </c>
      <c r="C534" s="43">
        <v>186</v>
      </c>
      <c r="D534" s="43" t="s">
        <v>996</v>
      </c>
      <c r="E534" s="897"/>
      <c r="F534" s="290">
        <f>' WP II-I-1.4'!L534</f>
        <v>340803895.18000001</v>
      </c>
      <c r="G534" s="358" t="s">
        <v>805</v>
      </c>
      <c r="H534" s="1" t="s">
        <v>320</v>
      </c>
      <c r="I534" s="897"/>
      <c r="J534" s="434">
        <f>'II-I-DIST'!J534+'II-I-MET'!J534+'II-I-TBILLTDCS'!J534</f>
        <v>185658075.23379648</v>
      </c>
      <c r="K534" s="434">
        <f>'II-I-DIST'!K534+'II-I-MET'!K534+'II-I-TBILLTDCS'!K534</f>
        <v>7506738.7870953493</v>
      </c>
      <c r="L534" s="434">
        <f>'II-I-DIST'!L534+'II-I-MET'!L534+'II-I-TBILLTDCS'!L534</f>
        <v>115683624.6482152</v>
      </c>
      <c r="M534" s="434">
        <f>'II-I-DIST'!M534+'II-I-MET'!M534+'II-I-TBILLTDCS'!M534</f>
        <v>40034.016248860091</v>
      </c>
      <c r="N534" s="434">
        <f>'II-I-DIST'!N534+'II-I-MET'!N534+'II-I-TBILLTDCS'!N534</f>
        <v>16944411.2071638</v>
      </c>
      <c r="O534" s="434">
        <f>'II-I-DIST'!O534+'II-I-MET'!O534+'II-I-TBILLTDCS'!O534</f>
        <v>1551604.9497609423</v>
      </c>
      <c r="P534" s="434">
        <f>'II-I-DIST'!P534+'II-I-MET'!P534+'II-I-TBILLTDCS'!P534</f>
        <v>307106.99326538353</v>
      </c>
      <c r="Q534" s="434">
        <f>'II-I-DIST'!Q534+'II-I-MET'!Q534+'II-I-TBILLTDCS'!Q534</f>
        <v>12006540.139754927</v>
      </c>
      <c r="R534" s="434">
        <f>'II-I-DIST'!R534+'II-I-MET'!R534+'II-I-TBILLTDCS'!R534</f>
        <v>185969.56453849617</v>
      </c>
      <c r="S534" s="434">
        <f>'II-I-DIST'!S534+'II-I-MET'!S534+'II-I-TBILLTDCS'!S534</f>
        <v>919789.64016047004</v>
      </c>
      <c r="T534" s="897"/>
      <c r="U534" s="121">
        <f t="shared" si="142"/>
        <v>340803895.17999989</v>
      </c>
      <c r="V534" s="67"/>
      <c r="X534" s="370">
        <f t="shared" si="143"/>
        <v>0</v>
      </c>
    </row>
    <row r="535" spans="1:24" ht="15">
      <c r="A535" s="147"/>
      <c r="B535" s="17">
        <f t="shared" si="140"/>
        <v>36</v>
      </c>
      <c r="C535" s="36"/>
      <c r="D535" s="44" t="s">
        <v>612</v>
      </c>
      <c r="E535" s="897"/>
      <c r="F535" s="898">
        <f>SUM(F503:F534)</f>
        <v>953861295</v>
      </c>
      <c r="G535" s="897"/>
      <c r="H535" s="897"/>
      <c r="I535" s="897"/>
      <c r="J535" s="898">
        <f t="shared" si="144" ref="J535:S535">SUM(J503:J534)</f>
        <v>521075799.36961162</v>
      </c>
      <c r="K535" s="898">
        <f t="shared" si="144"/>
        <v>31142572.618287578</v>
      </c>
      <c r="L535" s="898">
        <f t="shared" si="144"/>
        <v>312329287.54283154</v>
      </c>
      <c r="M535" s="898">
        <f t="shared" si="144"/>
        <v>738871.67988711328</v>
      </c>
      <c r="N535" s="898">
        <f t="shared" si="144"/>
        <v>54221911.949880987</v>
      </c>
      <c r="O535" s="898">
        <f t="shared" si="144"/>
        <v>4325258.8373510856</v>
      </c>
      <c r="P535" s="898">
        <f t="shared" si="144"/>
        <v>1640421.6812079214</v>
      </c>
      <c r="Q535" s="898">
        <f t="shared" si="144"/>
        <v>25626467.487942316</v>
      </c>
      <c r="R535" s="898">
        <f t="shared" si="144"/>
        <v>501004.64364550693</v>
      </c>
      <c r="S535" s="898">
        <f t="shared" si="144"/>
        <v>2259699.189354158</v>
      </c>
      <c r="T535" s="897"/>
      <c r="U535" s="898">
        <f t="shared" si="145" ref="U535">SUM(I535:T535)</f>
        <v>953861294.99999976</v>
      </c>
      <c r="V535" s="133"/>
      <c r="W535" s="1300" t="b">
        <f>' WP II-I-1.4'!$L$535=F535</f>
        <v>1</v>
      </c>
      <c r="X535" s="370">
        <f t="shared" si="134"/>
        <v>0</v>
      </c>
    </row>
    <row r="536" spans="1:24" ht="10.5" customHeight="1">
      <c r="A536" s="47"/>
      <c r="B536" s="17">
        <f t="shared" si="140"/>
        <v>37</v>
      </c>
      <c r="C536" s="43"/>
      <c r="D536" s="44"/>
      <c r="E536" s="897"/>
      <c r="F536" s="263"/>
      <c r="G536" s="897"/>
      <c r="H536" s="897"/>
      <c r="I536" s="897"/>
      <c r="J536" s="897"/>
      <c r="K536" s="897"/>
      <c r="L536" s="897"/>
      <c r="M536" s="897"/>
      <c r="N536" s="897"/>
      <c r="O536" s="897"/>
      <c r="P536" s="897"/>
      <c r="Q536" s="897"/>
      <c r="R536" s="897"/>
      <c r="S536" s="897"/>
      <c r="T536" s="37"/>
      <c r="U536" s="118"/>
      <c r="V536" s="67"/>
      <c r="X536" s="370">
        <f t="shared" si="134"/>
        <v>0</v>
      </c>
    </row>
    <row r="537" spans="1:24" ht="15">
      <c r="A537" s="47"/>
      <c r="B537" s="17">
        <f t="shared" si="140"/>
        <v>38</v>
      </c>
      <c r="C537" s="36" t="s">
        <v>141</v>
      </c>
      <c r="D537" s="43"/>
      <c r="E537" s="897"/>
      <c r="F537" s="18"/>
      <c r="G537" s="897"/>
      <c r="H537" s="897"/>
      <c r="I537" s="897"/>
      <c r="J537" s="897"/>
      <c r="K537" s="897"/>
      <c r="L537" s="897"/>
      <c r="M537" s="897"/>
      <c r="N537" s="897"/>
      <c r="O537" s="897"/>
      <c r="P537" s="897"/>
      <c r="Q537" s="897"/>
      <c r="R537" s="897"/>
      <c r="S537" s="897"/>
      <c r="T537" s="37"/>
      <c r="U537" s="118"/>
      <c r="V537" s="67"/>
      <c r="X537" s="370">
        <f t="shared" si="134"/>
        <v>0</v>
      </c>
    </row>
    <row r="538" spans="1:24" ht="15">
      <c r="A538" s="47"/>
      <c r="B538" s="17">
        <f t="shared" si="140"/>
        <v>39</v>
      </c>
      <c r="C538" s="691">
        <v>254</v>
      </c>
      <c r="D538" s="43" t="s">
        <v>1367</v>
      </c>
      <c r="E538" s="897"/>
      <c r="F538" s="290">
        <f>' WP II-I-1.4'!L538</f>
        <v>0</v>
      </c>
      <c r="G538" s="358" t="s">
        <v>805</v>
      </c>
      <c r="H538" s="47" t="s">
        <v>320</v>
      </c>
      <c r="I538" s="897"/>
      <c r="J538" s="434">
        <f>'II-I-DIST'!J538+'II-I-MET'!J538+'II-I-TBILLTDCS'!J538</f>
        <v>0</v>
      </c>
      <c r="K538" s="434">
        <f>'II-I-DIST'!K538+'II-I-MET'!K538+'II-I-TBILLTDCS'!K538</f>
        <v>0</v>
      </c>
      <c r="L538" s="434">
        <f>'II-I-DIST'!L538+'II-I-MET'!L538+'II-I-TBILLTDCS'!L538</f>
        <v>0</v>
      </c>
      <c r="M538" s="434">
        <f>'II-I-DIST'!M538+'II-I-MET'!M538+'II-I-TBILLTDCS'!M538</f>
        <v>0</v>
      </c>
      <c r="N538" s="434">
        <f>'II-I-DIST'!N538+'II-I-MET'!N538+'II-I-TBILLTDCS'!N538</f>
        <v>0</v>
      </c>
      <c r="O538" s="434">
        <f>'II-I-DIST'!O538+'II-I-MET'!O538+'II-I-TBILLTDCS'!O538</f>
        <v>0</v>
      </c>
      <c r="P538" s="434">
        <f>'II-I-DIST'!P538+'II-I-MET'!P538+'II-I-TBILLTDCS'!P538</f>
        <v>0</v>
      </c>
      <c r="Q538" s="434">
        <f>'II-I-DIST'!Q538+'II-I-MET'!Q538+'II-I-TBILLTDCS'!Q538</f>
        <v>0</v>
      </c>
      <c r="R538" s="434">
        <f>'II-I-DIST'!R538+'II-I-MET'!R538+'II-I-TBILLTDCS'!R538</f>
        <v>0</v>
      </c>
      <c r="S538" s="434">
        <f>'II-I-DIST'!S538+'II-I-MET'!S538+'II-I-TBILLTDCS'!S538</f>
        <v>0</v>
      </c>
      <c r="T538" s="897"/>
      <c r="U538" s="121">
        <f t="shared" si="146" ref="U538:U547">SUM(I538:T538)</f>
        <v>0</v>
      </c>
      <c r="V538" s="67"/>
      <c r="X538" s="370">
        <f t="shared" si="134"/>
        <v>0</v>
      </c>
    </row>
    <row r="539" spans="1:24" ht="15">
      <c r="A539" s="47"/>
      <c r="B539" s="17">
        <f t="shared" si="140"/>
        <v>40</v>
      </c>
      <c r="C539" s="690" t="s">
        <v>1229</v>
      </c>
      <c r="D539" s="43" t="s">
        <v>997</v>
      </c>
      <c r="E539" s="263"/>
      <c r="F539" s="290">
        <f>' WP II-I-1.4'!L539</f>
        <v>0</v>
      </c>
      <c r="G539" s="358"/>
      <c r="H539" s="47"/>
      <c r="I539" s="897"/>
      <c r="J539" s="434">
        <f>'II-I-DIST'!J539+'II-I-MET'!J539+'II-I-TBILLTDCS'!J539</f>
        <v>0</v>
      </c>
      <c r="K539" s="434">
        <f>'II-I-DIST'!K539+'II-I-MET'!K539+'II-I-TBILLTDCS'!K539</f>
        <v>0</v>
      </c>
      <c r="L539" s="434">
        <f>'II-I-DIST'!L539+'II-I-MET'!L539+'II-I-TBILLTDCS'!L539</f>
        <v>0</v>
      </c>
      <c r="M539" s="434">
        <f>'II-I-DIST'!M539+'II-I-MET'!M539+'II-I-TBILLTDCS'!M539</f>
        <v>0</v>
      </c>
      <c r="N539" s="434">
        <f>'II-I-DIST'!N539+'II-I-MET'!N539+'II-I-TBILLTDCS'!N539</f>
        <v>0</v>
      </c>
      <c r="O539" s="434">
        <f>'II-I-DIST'!O539+'II-I-MET'!O539+'II-I-TBILLTDCS'!O539</f>
        <v>0</v>
      </c>
      <c r="P539" s="434">
        <f>'II-I-DIST'!P539+'II-I-MET'!P539+'II-I-TBILLTDCS'!P539</f>
        <v>0</v>
      </c>
      <c r="Q539" s="434">
        <f>'II-I-DIST'!Q539+'II-I-MET'!Q539+'II-I-TBILLTDCS'!Q539</f>
        <v>0</v>
      </c>
      <c r="R539" s="434">
        <f>'II-I-DIST'!R539+'II-I-MET'!R539+'II-I-TBILLTDCS'!R539</f>
        <v>0</v>
      </c>
      <c r="S539" s="434">
        <f>'II-I-DIST'!S539+'II-I-MET'!S539+'II-I-TBILLTDCS'!S539</f>
        <v>0</v>
      </c>
      <c r="T539" s="897"/>
      <c r="U539" s="121">
        <f t="shared" si="147" ref="U539:U542">SUM(I539:T539)</f>
        <v>0</v>
      </c>
      <c r="V539" s="67"/>
      <c r="X539" s="370">
        <f t="shared" si="148" ref="X539:X543">U539-F539</f>
        <v>0</v>
      </c>
    </row>
    <row r="540" spans="1:24" ht="15">
      <c r="A540" s="47"/>
      <c r="B540" s="17">
        <f t="shared" si="140"/>
        <v>41</v>
      </c>
      <c r="C540" s="691">
        <v>254</v>
      </c>
      <c r="D540" s="43" t="s">
        <v>1368</v>
      </c>
      <c r="E540" s="897"/>
      <c r="F540" s="290">
        <f>' WP II-I-1.4'!L540</f>
        <v>-13373824.789999999</v>
      </c>
      <c r="G540" s="358"/>
      <c r="H540" s="47"/>
      <c r="I540" s="897"/>
      <c r="J540" s="434">
        <f>'II-I-DIST'!J540+'II-I-MET'!J540+'II-I-TBILLTDCS'!J540</f>
        <v>-7285593.2814794425</v>
      </c>
      <c r="K540" s="434">
        <f>'II-I-DIST'!K540+'II-I-MET'!K540+'II-I-TBILLTDCS'!K540</f>
        <v>-294579.40681659756</v>
      </c>
      <c r="L540" s="434">
        <f>'II-I-DIST'!L540+'II-I-MET'!L540+'II-I-TBILLTDCS'!L540</f>
        <v>-4539656.2333896365</v>
      </c>
      <c r="M540" s="434">
        <f>'II-I-DIST'!M540+'II-I-MET'!M540+'II-I-TBILLTDCS'!M540</f>
        <v>-1571.0146700919752</v>
      </c>
      <c r="N540" s="434">
        <f>'II-I-DIST'!N540+'II-I-MET'!N540+'II-I-TBILLTDCS'!N540</f>
        <v>-664932.50182669773</v>
      </c>
      <c r="O540" s="434">
        <f>'II-I-DIST'!O540+'II-I-MET'!O540+'II-I-TBILLTDCS'!O540</f>
        <v>-60888.073859718475</v>
      </c>
      <c r="P540" s="434">
        <f>'II-I-DIST'!P540+'II-I-MET'!P540+'II-I-TBILLTDCS'!P540</f>
        <v>-12051.491129658834</v>
      </c>
      <c r="Q540" s="434">
        <f>'II-I-DIST'!Q540+'II-I-MET'!Q540+'II-I-TBILLTDCS'!Q540</f>
        <v>-471160.58951842546</v>
      </c>
      <c r="R540" s="434">
        <f>'II-I-DIST'!R540+'II-I-MET'!R540+'II-I-TBILLTDCS'!R540</f>
        <v>-7297.8167432530017</v>
      </c>
      <c r="S540" s="434">
        <f>'II-I-DIST'!S540+'II-I-MET'!S540+'II-I-TBILLTDCS'!S540</f>
        <v>-36094.380566472944</v>
      </c>
      <c r="T540" s="897"/>
      <c r="U540" s="121">
        <f t="shared" si="147"/>
        <v>-13373824.789999995</v>
      </c>
      <c r="V540" s="67"/>
      <c r="X540" s="370">
        <f t="shared" si="148"/>
        <v>0</v>
      </c>
    </row>
    <row r="541" spans="1:24" ht="15">
      <c r="A541" s="47"/>
      <c r="B541" s="17">
        <f t="shared" si="140"/>
        <v>42</v>
      </c>
      <c r="C541" s="691">
        <v>254</v>
      </c>
      <c r="D541" s="43" t="s">
        <v>1230</v>
      </c>
      <c r="E541" s="897"/>
      <c r="F541" s="290">
        <f>' WP II-I-1.4'!L541</f>
        <v>0</v>
      </c>
      <c r="G541" s="358"/>
      <c r="H541" s="47"/>
      <c r="I541" s="897"/>
      <c r="J541" s="434">
        <f>'II-I-DIST'!J541+'II-I-MET'!J541+'II-I-TBILLTDCS'!J541</f>
        <v>0</v>
      </c>
      <c r="K541" s="434">
        <f>'II-I-DIST'!K541+'II-I-MET'!K541+'II-I-TBILLTDCS'!K541</f>
        <v>0</v>
      </c>
      <c r="L541" s="434">
        <f>'II-I-DIST'!L541+'II-I-MET'!L541+'II-I-TBILLTDCS'!L541</f>
        <v>0</v>
      </c>
      <c r="M541" s="434">
        <f>'II-I-DIST'!M541+'II-I-MET'!M541+'II-I-TBILLTDCS'!M541</f>
        <v>0</v>
      </c>
      <c r="N541" s="434">
        <f>'II-I-DIST'!N541+'II-I-MET'!N541+'II-I-TBILLTDCS'!N541</f>
        <v>0</v>
      </c>
      <c r="O541" s="434">
        <f>'II-I-DIST'!O541+'II-I-MET'!O541+'II-I-TBILLTDCS'!O541</f>
        <v>0</v>
      </c>
      <c r="P541" s="434">
        <f>'II-I-DIST'!P541+'II-I-MET'!P541+'II-I-TBILLTDCS'!P541</f>
        <v>0</v>
      </c>
      <c r="Q541" s="434">
        <f>'II-I-DIST'!Q541+'II-I-MET'!Q541+'II-I-TBILLTDCS'!Q541</f>
        <v>0</v>
      </c>
      <c r="R541" s="434">
        <f>'II-I-DIST'!R541+'II-I-MET'!R541+'II-I-TBILLTDCS'!R541</f>
        <v>0</v>
      </c>
      <c r="S541" s="434">
        <f>'II-I-DIST'!S541+'II-I-MET'!S541+'II-I-TBILLTDCS'!S541</f>
        <v>0</v>
      </c>
      <c r="T541" s="897"/>
      <c r="U541" s="121">
        <f t="shared" si="147"/>
        <v>0</v>
      </c>
      <c r="V541" s="67"/>
      <c r="X541" s="370">
        <f t="shared" si="148"/>
        <v>0</v>
      </c>
    </row>
    <row r="542" spans="1:24" ht="15">
      <c r="A542" s="47"/>
      <c r="B542" s="17">
        <f t="shared" si="140"/>
        <v>43</v>
      </c>
      <c r="C542" s="43">
        <v>254</v>
      </c>
      <c r="D542" s="43" t="s">
        <v>1231</v>
      </c>
      <c r="E542" s="897"/>
      <c r="F542" s="290">
        <f>' WP II-I-1.4'!L542</f>
        <v>0</v>
      </c>
      <c r="G542" s="358"/>
      <c r="H542" s="47"/>
      <c r="I542" s="897"/>
      <c r="J542" s="434">
        <f>'II-I-DIST'!J542+'II-I-MET'!J542+'II-I-TBILLTDCS'!J542</f>
        <v>0</v>
      </c>
      <c r="K542" s="434">
        <f>'II-I-DIST'!K542+'II-I-MET'!K542+'II-I-TBILLTDCS'!K542</f>
        <v>0</v>
      </c>
      <c r="L542" s="434">
        <f>'II-I-DIST'!L542+'II-I-MET'!L542+'II-I-TBILLTDCS'!L542</f>
        <v>0</v>
      </c>
      <c r="M542" s="434">
        <f>'II-I-DIST'!M542+'II-I-MET'!M542+'II-I-TBILLTDCS'!M542</f>
        <v>0</v>
      </c>
      <c r="N542" s="434">
        <f>'II-I-DIST'!N542+'II-I-MET'!N542+'II-I-TBILLTDCS'!N542</f>
        <v>0</v>
      </c>
      <c r="O542" s="434">
        <f>'II-I-DIST'!O542+'II-I-MET'!O542+'II-I-TBILLTDCS'!O542</f>
        <v>0</v>
      </c>
      <c r="P542" s="434">
        <f>'II-I-DIST'!P542+'II-I-MET'!P542+'II-I-TBILLTDCS'!P542</f>
        <v>0</v>
      </c>
      <c r="Q542" s="434">
        <f>'II-I-DIST'!Q542+'II-I-MET'!Q542+'II-I-TBILLTDCS'!Q542</f>
        <v>0</v>
      </c>
      <c r="R542" s="434">
        <f>'II-I-DIST'!R542+'II-I-MET'!R542+'II-I-TBILLTDCS'!R542</f>
        <v>0</v>
      </c>
      <c r="S542" s="434">
        <f>'II-I-DIST'!S542+'II-I-MET'!S542+'II-I-TBILLTDCS'!S542</f>
        <v>0</v>
      </c>
      <c r="T542" s="897"/>
      <c r="U542" s="121">
        <f t="shared" si="147"/>
        <v>0</v>
      </c>
      <c r="V542" s="67"/>
      <c r="X542" s="370">
        <f t="shared" si="148"/>
        <v>0</v>
      </c>
    </row>
    <row r="543" spans="1:24" ht="15">
      <c r="A543" s="47"/>
      <c r="B543" s="17">
        <f t="shared" si="140"/>
        <v>44</v>
      </c>
      <c r="C543" s="43">
        <v>254</v>
      </c>
      <c r="D543" s="43" t="s">
        <v>1232</v>
      </c>
      <c r="E543" s="897"/>
      <c r="F543" s="290">
        <f>' WP II-I-1.4'!L543</f>
        <v>81644.489999999743</v>
      </c>
      <c r="G543" s="358" t="s">
        <v>805</v>
      </c>
      <c r="H543" s="47" t="s">
        <v>320</v>
      </c>
      <c r="I543" s="263"/>
      <c r="J543" s="434">
        <f>'II-I-DIST'!J543+'II-I-MET'!J543+'II-I-TBILLTDCS'!J543</f>
        <v>44477.070483126445</v>
      </c>
      <c r="K543" s="434">
        <f>'II-I-DIST'!K543+'II-I-MET'!K543+'II-I-TBILLTDCS'!K543</f>
        <v>1798.3475790730438</v>
      </c>
      <c r="L543" s="434">
        <f>'II-I-DIST'!L543+'II-I-MET'!L543+'II-I-TBILLTDCS'!L543</f>
        <v>27713.68129688326</v>
      </c>
      <c r="M543" s="434">
        <f>'II-I-DIST'!M543+'II-I-MET'!M543+'II-I-TBILLTDCS'!M543</f>
        <v>9.5907261786534281</v>
      </c>
      <c r="N543" s="434">
        <f>'II-I-DIST'!N543+'II-I-MET'!N543+'II-I-TBILLTDCS'!N543</f>
        <v>4059.2781682512709</v>
      </c>
      <c r="O543" s="434">
        <f>'II-I-DIST'!O543+'II-I-MET'!O543+'II-I-TBILLTDCS'!O543</f>
        <v>371.70935132005951</v>
      </c>
      <c r="P543" s="434">
        <f>'II-I-DIST'!P543+'II-I-MET'!P543+'II-I-TBILLTDCS'!P543</f>
        <v>73.571910988114297</v>
      </c>
      <c r="Q543" s="434">
        <f>'II-I-DIST'!Q543+'II-I-MET'!Q543+'II-I-TBILLTDCS'!Q543</f>
        <v>2876.3399134774422</v>
      </c>
      <c r="R543" s="434">
        <f>'II-I-DIST'!R543+'II-I-MET'!R543+'II-I-TBILLTDCS'!R543</f>
        <v>44.551692240043948</v>
      </c>
      <c r="S543" s="434">
        <f>'II-I-DIST'!S543+'II-I-MET'!S543+'II-I-TBILLTDCS'!S543</f>
        <v>220.34887846138631</v>
      </c>
      <c r="T543" s="434">
        <f>'II-I-DIST'!T543+'II-I-MET'!T543+'II-I-TBILLTDCS'!T543</f>
        <v>0</v>
      </c>
      <c r="U543" s="434">
        <f>'II-I-DIST'!U543+'II-I-MET'!U543+'II-I-TBILLTDCS'!U543</f>
        <v>81644.489999999714</v>
      </c>
      <c r="V543" s="67"/>
      <c r="X543" s="370">
        <f t="shared" si="148"/>
        <v>0</v>
      </c>
    </row>
    <row r="544" spans="1:24" ht="15">
      <c r="A544" s="47"/>
      <c r="B544" s="17">
        <f t="shared" si="140"/>
        <v>45</v>
      </c>
      <c r="C544" s="43">
        <v>254</v>
      </c>
      <c r="D544" s="43" t="s">
        <v>1233</v>
      </c>
      <c r="E544" s="897"/>
      <c r="F544" s="290">
        <f>' WP II-I-1.4'!L544</f>
        <v>2368303.2899999991</v>
      </c>
      <c r="G544" s="358" t="s">
        <v>805</v>
      </c>
      <c r="H544" s="47" t="s">
        <v>320</v>
      </c>
      <c r="I544" s="897"/>
      <c r="J544" s="434">
        <f>'II-I-DIST'!J544+'II-I-MET'!J544+'II-I-TBILLTDCS'!J540</f>
        <v>1290169.0286111229</v>
      </c>
      <c r="K544" s="434">
        <f>'II-I-DIST'!K544+'II-I-MET'!K544+'II-I-TBILLTDCS'!K540</f>
        <v>52165.583838936793</v>
      </c>
      <c r="L544" s="434">
        <f>'II-I-DIST'!L544+'II-I-MET'!L544+'II-I-TBILLTDCS'!L540</f>
        <v>803904.86355442088</v>
      </c>
      <c r="M544" s="434">
        <f>'II-I-DIST'!M544+'II-I-MET'!M544+'II-I-TBILLTDCS'!M540</f>
        <v>278.20307729761191</v>
      </c>
      <c r="N544" s="434">
        <f>'II-I-DIST'!N544+'II-I-MET'!N544+'II-I-TBILLTDCS'!N540</f>
        <v>117749.54857204307</v>
      </c>
      <c r="O544" s="434">
        <f>'II-I-DIST'!O544+'II-I-MET'!O544+'II-I-TBILLTDCS'!O540</f>
        <v>10782.362406269735</v>
      </c>
      <c r="P544" s="434">
        <f>'II-I-DIST'!P544+'II-I-MET'!P544+'II-I-TBILLTDCS'!P540</f>
        <v>2134.1378805200293</v>
      </c>
      <c r="Q544" s="434">
        <f>'II-I-DIST'!Q544+'II-I-MET'!Q544+'II-I-TBILLTDCS'!Q540</f>
        <v>83435.456333268303</v>
      </c>
      <c r="R544" s="434">
        <f>'II-I-DIST'!R544+'II-I-MET'!R544+'II-I-TBILLTDCS'!R540</f>
        <v>1292.3336199070366</v>
      </c>
      <c r="S544" s="434">
        <f>'II-I-DIST'!S544+'II-I-MET'!S544+'II-I-TBILLTDCS'!S540</f>
        <v>6391.7721062121009</v>
      </c>
      <c r="T544" s="897"/>
      <c r="U544" s="121">
        <f t="shared" si="146"/>
        <v>2368303.2899999982</v>
      </c>
      <c r="V544" s="67"/>
      <c r="X544" s="370">
        <f t="shared" si="149" ref="X544:X613">U544-F544</f>
        <v>0</v>
      </c>
    </row>
    <row r="545" spans="1:24" ht="15">
      <c r="A545" s="47"/>
      <c r="B545" s="17">
        <f t="shared" si="140"/>
        <v>46</v>
      </c>
      <c r="C545" s="43">
        <v>254</v>
      </c>
      <c r="D545" s="43" t="s">
        <v>1234</v>
      </c>
      <c r="E545" s="897"/>
      <c r="F545" s="290">
        <f>' WP II-I-1.4'!L545</f>
        <v>0</v>
      </c>
      <c r="G545" s="358" t="s">
        <v>805</v>
      </c>
      <c r="H545" s="47" t="s">
        <v>320</v>
      </c>
      <c r="I545" s="897"/>
      <c r="J545" s="434">
        <f>'II-I-DIST'!J545+'II-I-MET'!J545+'II-I-TBILLTDCS'!J541</f>
        <v>0</v>
      </c>
      <c r="K545" s="434">
        <f>'II-I-DIST'!K545+'II-I-MET'!K545+'II-I-TBILLTDCS'!K541</f>
        <v>0</v>
      </c>
      <c r="L545" s="434">
        <f>'II-I-DIST'!L545+'II-I-MET'!L545+'II-I-TBILLTDCS'!L541</f>
        <v>0</v>
      </c>
      <c r="M545" s="434">
        <f>'II-I-DIST'!M545+'II-I-MET'!M545+'II-I-TBILLTDCS'!M541</f>
        <v>0</v>
      </c>
      <c r="N545" s="434">
        <f>'II-I-DIST'!N545+'II-I-MET'!N545+'II-I-TBILLTDCS'!N541</f>
        <v>0</v>
      </c>
      <c r="O545" s="434">
        <f>'II-I-DIST'!O545+'II-I-MET'!O545+'II-I-TBILLTDCS'!O541</f>
        <v>0</v>
      </c>
      <c r="P545" s="434">
        <f>'II-I-DIST'!P545+'II-I-MET'!P545+'II-I-TBILLTDCS'!P541</f>
        <v>0</v>
      </c>
      <c r="Q545" s="434">
        <f>'II-I-DIST'!Q545+'II-I-MET'!Q545+'II-I-TBILLTDCS'!Q541</f>
        <v>0</v>
      </c>
      <c r="R545" s="434">
        <f>'II-I-DIST'!R545+'II-I-MET'!R545+'II-I-TBILLTDCS'!R541</f>
        <v>0</v>
      </c>
      <c r="S545" s="434">
        <f>'II-I-DIST'!S545+'II-I-MET'!S545+'II-I-TBILLTDCS'!S541</f>
        <v>0</v>
      </c>
      <c r="T545" s="897"/>
      <c r="U545" s="121">
        <f t="shared" si="146"/>
        <v>0</v>
      </c>
      <c r="V545" s="67"/>
      <c r="X545" s="370">
        <f t="shared" si="149"/>
        <v>0</v>
      </c>
    </row>
    <row r="546" spans="1:24" ht="15">
      <c r="A546" s="47"/>
      <c r="B546" s="17">
        <f t="shared" si="140"/>
        <v>47</v>
      </c>
      <c r="C546" s="43">
        <v>254</v>
      </c>
      <c r="D546" s="43" t="s">
        <v>1235</v>
      </c>
      <c r="E546" s="897"/>
      <c r="F546" s="290">
        <f>' WP II-I-1.4'!L546</f>
        <v>-254178.24000000002</v>
      </c>
      <c r="G546" s="358" t="s">
        <v>805</v>
      </c>
      <c r="H546" s="47" t="s">
        <v>320</v>
      </c>
      <c r="I546" s="897"/>
      <c r="J546" s="434">
        <f>'II-I-DIST'!J546+'II-I-MET'!J546+'II-I-TBILLTDCS'!J542</f>
        <v>-138467.43969809925</v>
      </c>
      <c r="K546" s="434">
        <f>'II-I-DIST'!K546+'II-I-MET'!K546+'II-I-TBILLTDCS'!K542</f>
        <v>-5598.6732547052297</v>
      </c>
      <c r="L546" s="434">
        <f>'II-I-DIST'!L546+'II-I-MET'!L546+'II-I-TBILLTDCS'!L542</f>
        <v>-86279.119827470626</v>
      </c>
      <c r="M546" s="434">
        <f>'II-I-DIST'!M546+'II-I-MET'!M546+'II-I-TBILLTDCS'!M542</f>
        <v>-29.858155772815309</v>
      </c>
      <c r="N546" s="434">
        <f>'II-I-DIST'!N546+'II-I-MET'!N546+'II-I-TBILLTDCS'!N542</f>
        <v>-12637.474745405785</v>
      </c>
      <c r="O546" s="434">
        <f>'II-I-DIST'!O546+'II-I-MET'!O546+'II-I-TBILLTDCS'!O542</f>
        <v>-1157.2174522747916</v>
      </c>
      <c r="P546" s="434">
        <f>'II-I-DIST'!P546+'II-I-MET'!P546+'II-I-TBILLTDCS'!P542</f>
        <v>-229.04642858808492</v>
      </c>
      <c r="Q546" s="434">
        <f>'II-I-DIST'!Q546+'II-I-MET'!Q546+'II-I-TBILLTDCS'!Q542</f>
        <v>-8954.7135005614091</v>
      </c>
      <c r="R546" s="434">
        <f>'II-I-DIST'!R546+'II-I-MET'!R546+'II-I-TBILLTDCS'!R542</f>
        <v>-138.69975454064402</v>
      </c>
      <c r="S546" s="434">
        <f>'II-I-DIST'!S546+'II-I-MET'!S546+'II-I-TBILLTDCS'!S542</f>
        <v>-685.99718258132623</v>
      </c>
      <c r="T546" s="897"/>
      <c r="U546" s="121">
        <f t="shared" si="146"/>
        <v>-254178.2399999999</v>
      </c>
      <c r="V546" s="67"/>
      <c r="X546" s="370">
        <f t="shared" si="149"/>
        <v>0</v>
      </c>
    </row>
    <row r="547" spans="1:24" ht="15">
      <c r="A547" s="47"/>
      <c r="B547" s="17">
        <f t="shared" si="140"/>
        <v>48</v>
      </c>
      <c r="C547" s="43">
        <v>254</v>
      </c>
      <c r="D547" s="43" t="s">
        <v>1372</v>
      </c>
      <c r="E547" s="897"/>
      <c r="F547" s="290">
        <f>' WP II-I-1.4'!L547</f>
        <v>-30637612.779999997</v>
      </c>
      <c r="G547" s="358" t="s">
        <v>805</v>
      </c>
      <c r="H547" s="47" t="s">
        <v>320</v>
      </c>
      <c r="I547" s="897"/>
      <c r="J547" s="434">
        <f>'II-I-DIST'!J547+'II-I-MET'!J547+'II-I-TBILLTDCS'!J547</f>
        <v>-16776454.787118925</v>
      </c>
      <c r="K547" s="434">
        <f>'II-I-DIST'!K547+'II-I-MET'!K547+'II-I-TBILLTDCS'!K547</f>
        <v>-1107575.3711838878</v>
      </c>
      <c r="L547" s="434">
        <f>'II-I-DIST'!L547+'II-I-MET'!L547+'II-I-TBILLTDCS'!L547</f>
        <v>-9896593.3914051242</v>
      </c>
      <c r="M547" s="434">
        <f>'II-I-DIST'!M547+'II-I-MET'!M547+'II-I-TBILLTDCS'!M547</f>
        <v>-28004.268465050893</v>
      </c>
      <c r="N547" s="434">
        <f>'II-I-DIST'!N547+'II-I-MET'!N547+'II-I-TBILLTDCS'!N547</f>
        <v>-1712565.0167990231</v>
      </c>
      <c r="O547" s="434">
        <f>'II-I-DIST'!O547+'II-I-MET'!O547+'II-I-TBILLTDCS'!O547</f>
        <v>-126636.79204064759</v>
      </c>
      <c r="P547" s="434">
        <f>'II-I-DIST'!P547+'II-I-MET'!P547+'II-I-TBILLTDCS'!P547</f>
        <v>-60628.437011897135</v>
      </c>
      <c r="Q547" s="434">
        <f>'II-I-DIST'!Q547+'II-I-MET'!Q547+'II-I-TBILLTDCS'!Q547</f>
        <v>-844797.52122290072</v>
      </c>
      <c r="R547" s="434">
        <f>'II-I-DIST'!R547+'II-I-MET'!R547+'II-I-TBILLTDCS'!R547</f>
        <v>-15097.854745946999</v>
      </c>
      <c r="S547" s="434">
        <f>'II-I-DIST'!S547+'II-I-MET'!S547+'II-I-TBILLTDCS'!S547</f>
        <v>-69259.340006590908</v>
      </c>
      <c r="T547" s="897"/>
      <c r="U547" s="121">
        <f t="shared" si="146"/>
        <v>-30637612.77999999</v>
      </c>
      <c r="V547" s="67"/>
      <c r="X547" s="370">
        <f t="shared" si="149"/>
        <v>0</v>
      </c>
    </row>
    <row r="548" spans="1:24" ht="15">
      <c r="A548" s="47"/>
      <c r="B548" s="17">
        <f t="shared" si="140"/>
        <v>49</v>
      </c>
      <c r="C548" s="43">
        <v>257</v>
      </c>
      <c r="D548" s="43" t="s">
        <v>1236</v>
      </c>
      <c r="E548" s="897"/>
      <c r="F548" s="290">
        <f>' WP II-I-1.4'!L548</f>
        <v>0</v>
      </c>
      <c r="G548" s="358"/>
      <c r="H548" s="47"/>
      <c r="I548" s="897"/>
      <c r="J548" s="435">
        <f>'II-I-DIST'!J548+'II-I-MET'!J548+'II-I-TBILLTDCS'!J548</f>
        <v>0</v>
      </c>
      <c r="K548" s="435">
        <f>'II-I-DIST'!K548+'II-I-MET'!K548+'II-I-TBILLTDCS'!K548</f>
        <v>0</v>
      </c>
      <c r="L548" s="435">
        <f>'II-I-DIST'!L548+'II-I-MET'!L548+'II-I-TBILLTDCS'!L548</f>
        <v>0</v>
      </c>
      <c r="M548" s="435">
        <f>'II-I-DIST'!M548+'II-I-MET'!M548+'II-I-TBILLTDCS'!M548</f>
        <v>0</v>
      </c>
      <c r="N548" s="435">
        <f>'II-I-DIST'!N548+'II-I-MET'!N548+'II-I-TBILLTDCS'!N548</f>
        <v>0</v>
      </c>
      <c r="O548" s="435">
        <f>'II-I-DIST'!O548+'II-I-MET'!O548+'II-I-TBILLTDCS'!O548</f>
        <v>0</v>
      </c>
      <c r="P548" s="435">
        <f>'II-I-DIST'!P548+'II-I-MET'!P548+'II-I-TBILLTDCS'!P548</f>
        <v>0</v>
      </c>
      <c r="Q548" s="435">
        <f>'II-I-DIST'!Q548+'II-I-MET'!Q548+'II-I-TBILLTDCS'!Q548</f>
        <v>0</v>
      </c>
      <c r="R548" s="435">
        <f>'II-I-DIST'!R548+'II-I-MET'!R548+'II-I-TBILLTDCS'!R548</f>
        <v>0</v>
      </c>
      <c r="S548" s="435">
        <f>'II-I-DIST'!S548+'II-I-MET'!S548+'II-I-TBILLTDCS'!S548</f>
        <v>0</v>
      </c>
      <c r="T548" s="459"/>
      <c r="U548" s="121">
        <f t="shared" si="150" ref="U548">SUM(I548:T548)</f>
        <v>0</v>
      </c>
      <c r="V548" s="67"/>
      <c r="X548" s="370"/>
    </row>
    <row r="549" spans="1:24" ht="12" customHeight="1">
      <c r="A549" s="47"/>
      <c r="B549" s="17">
        <f t="shared" si="140"/>
        <v>50</v>
      </c>
      <c r="C549" s="43"/>
      <c r="D549" s="43"/>
      <c r="E549" s="897"/>
      <c r="F549" s="290"/>
      <c r="G549" s="358"/>
      <c r="H549" s="47"/>
      <c r="I549" s="897"/>
      <c r="J549" s="434"/>
      <c r="K549" s="434"/>
      <c r="L549" s="434"/>
      <c r="M549" s="434"/>
      <c r="N549" s="434"/>
      <c r="O549" s="434"/>
      <c r="P549" s="434"/>
      <c r="Q549" s="434"/>
      <c r="R549" s="434"/>
      <c r="S549" s="434"/>
      <c r="T549" s="897"/>
      <c r="U549" s="121"/>
      <c r="V549" s="67"/>
      <c r="X549" s="370"/>
    </row>
    <row r="550" spans="1:24" ht="15">
      <c r="A550" s="147"/>
      <c r="B550" s="17">
        <f t="shared" si="140"/>
        <v>51</v>
      </c>
      <c r="C550" s="36"/>
      <c r="D550" s="44" t="s">
        <v>613</v>
      </c>
      <c r="E550" s="37"/>
      <c r="F550" s="39">
        <f>SUM(F538:F547)</f>
        <v>-41815668.030000001</v>
      </c>
      <c r="G550" s="37"/>
      <c r="H550" s="37"/>
      <c r="I550" s="37"/>
      <c r="J550" s="898">
        <f t="shared" si="151" ref="J550:U550">SUM(J538:J547)</f>
        <v>-22865869.409202218</v>
      </c>
      <c r="K550" s="898">
        <f t="shared" si="151"/>
        <v>-1353789.5198371809</v>
      </c>
      <c r="L550" s="898">
        <f t="shared" si="151"/>
        <v>-13690910.199770927</v>
      </c>
      <c r="M550" s="898">
        <f t="shared" si="151"/>
        <v>-29317.347487439416</v>
      </c>
      <c r="N550" s="898">
        <f t="shared" si="151"/>
        <v>-2268326.1666308325</v>
      </c>
      <c r="O550" s="898">
        <f t="shared" si="151"/>
        <v>-177528.01159505107</v>
      </c>
      <c r="P550" s="898">
        <f t="shared" si="151"/>
        <v>-70701.264778635916</v>
      </c>
      <c r="Q550" s="898">
        <f t="shared" si="151"/>
        <v>-1238601.0279951419</v>
      </c>
      <c r="R550" s="898">
        <f t="shared" si="151"/>
        <v>-21197.485931593565</v>
      </c>
      <c r="S550" s="898">
        <f t="shared" si="151"/>
        <v>-99427.596770971693</v>
      </c>
      <c r="T550" s="898">
        <f t="shared" si="151"/>
        <v>0</v>
      </c>
      <c r="U550" s="898">
        <f t="shared" si="151"/>
        <v>-41815668.029999986</v>
      </c>
      <c r="V550" s="133"/>
      <c r="W550" s="1300" t="b">
        <f>' WP II-I-1.4'!$L$550=F550</f>
        <v>1</v>
      </c>
      <c r="X550" s="370">
        <f t="shared" si="149"/>
        <v>0</v>
      </c>
    </row>
    <row r="551" spans="1:24" ht="12" customHeight="1" thickBot="1">
      <c r="A551" s="47"/>
      <c r="B551" s="17">
        <f t="shared" si="140"/>
        <v>52</v>
      </c>
      <c r="C551" s="43"/>
      <c r="D551" s="44"/>
      <c r="E551" s="37"/>
      <c r="F551" s="263"/>
      <c r="G551" s="37"/>
      <c r="H551" s="37"/>
      <c r="I551" s="37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37"/>
      <c r="U551" s="118"/>
      <c r="V551" s="67"/>
      <c r="X551" s="370">
        <f t="shared" si="149"/>
        <v>0</v>
      </c>
    </row>
    <row r="552" spans="1:24" ht="15.75" thickBot="1">
      <c r="A552" s="40"/>
      <c r="B552" s="17">
        <f t="shared" si="140"/>
        <v>53</v>
      </c>
      <c r="C552" s="356" t="s">
        <v>614</v>
      </c>
      <c r="D552" s="278"/>
      <c r="E552" s="337" t="s">
        <v>132</v>
      </c>
      <c r="F552" s="278">
        <f>F535+F550</f>
        <v>912045626.97000003</v>
      </c>
      <c r="G552" s="337"/>
      <c r="H552" s="457"/>
      <c r="I552" s="643"/>
      <c r="J552" s="356">
        <f t="shared" si="152" ref="J552:S552">J535+J550</f>
        <v>498209929.9604094</v>
      </c>
      <c r="K552" s="905">
        <f t="shared" si="152"/>
        <v>29788783.098450396</v>
      </c>
      <c r="L552" s="905">
        <f t="shared" si="152"/>
        <v>298638377.34306061</v>
      </c>
      <c r="M552" s="905">
        <f t="shared" si="152"/>
        <v>709554.33239967388</v>
      </c>
      <c r="N552" s="905">
        <f t="shared" si="152"/>
        <v>51953585.783250153</v>
      </c>
      <c r="O552" s="905">
        <f t="shared" si="152"/>
        <v>4147730.8257560343</v>
      </c>
      <c r="P552" s="905">
        <f t="shared" si="152"/>
        <v>1569720.4164292854</v>
      </c>
      <c r="Q552" s="905">
        <f t="shared" si="152"/>
        <v>24387866.459947173</v>
      </c>
      <c r="R552" s="905">
        <f t="shared" si="152"/>
        <v>479807.15771391336</v>
      </c>
      <c r="S552" s="279">
        <f t="shared" si="152"/>
        <v>2160271.5925831865</v>
      </c>
      <c r="T552" s="457"/>
      <c r="U552" s="279">
        <f>SUM(I552:T552)</f>
        <v>912045626.96999991</v>
      </c>
      <c r="V552" s="36"/>
      <c r="W552" s="1300" t="b">
        <f>' WP II-I-1.4'!$L$552=F552</f>
        <v>1</v>
      </c>
      <c r="X552" s="370">
        <f t="shared" si="149"/>
        <v>0</v>
      </c>
    </row>
    <row r="553" spans="1:24" ht="15">
      <c r="A553" s="47"/>
      <c r="B553" s="17"/>
      <c r="C553" s="43"/>
      <c r="D553" s="44"/>
      <c r="E553" s="37"/>
      <c r="F553" s="263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118"/>
      <c r="V553" s="67"/>
      <c r="X553" s="370">
        <f t="shared" si="149"/>
        <v>0</v>
      </c>
    </row>
    <row r="554" spans="1:24" ht="15">
      <c r="A554" s="47"/>
      <c r="B554" s="17"/>
      <c r="C554" s="43"/>
      <c r="D554" s="44"/>
      <c r="E554" s="37"/>
      <c r="F554" s="263"/>
      <c r="G554" s="37"/>
      <c r="H554" s="134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134"/>
      <c r="V554" s="134"/>
      <c r="X554" s="370"/>
    </row>
    <row r="555" spans="1:24" ht="15.75" thickBot="1">
      <c r="A555" s="47"/>
      <c r="B555" s="17"/>
      <c r="C555" s="43"/>
      <c r="D555" s="44"/>
      <c r="E555" s="37"/>
      <c r="F555" s="26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118"/>
      <c r="V555" s="67"/>
      <c r="X555" s="370">
        <f t="shared" si="149"/>
        <v>0</v>
      </c>
    </row>
    <row r="556" spans="1:24" ht="15">
      <c r="A556" s="47"/>
      <c r="B556" s="920" t="str">
        <f>+$B$4</f>
        <v>2022 RATE CASE</v>
      </c>
      <c r="C556" s="935"/>
      <c r="D556" s="969"/>
      <c r="F556" s="332"/>
      <c r="U556" s="134"/>
      <c r="X556" s="370">
        <f t="shared" si="149"/>
        <v>0</v>
      </c>
    </row>
    <row r="557" spans="1:24" ht="15">
      <c r="A557" s="47"/>
      <c r="B557" s="917" t="str">
        <f>+$B$5</f>
        <v>ONCOR ELECTRIC DELIVERY COMPANY LLC</v>
      </c>
      <c r="C557" s="8"/>
      <c r="D557" s="970"/>
      <c r="F557" s="332"/>
      <c r="U557" s="134"/>
      <c r="V557" s="67"/>
      <c r="X557" s="370">
        <f t="shared" si="149"/>
        <v>0</v>
      </c>
    </row>
    <row r="558" spans="1:24" ht="15">
      <c r="A558" s="47"/>
      <c r="B558" s="917" t="str">
        <f>+$B$6</f>
        <v>II-I-1-TOT:  CLASS REVENUE REQUIREMENT</v>
      </c>
      <c r="C558" s="85"/>
      <c r="D558" s="970"/>
      <c r="F558" s="332"/>
      <c r="U558" s="332"/>
      <c r="V558" s="67"/>
      <c r="X558" s="370">
        <f t="shared" si="149"/>
        <v>0</v>
      </c>
    </row>
    <row r="559" spans="1:24" ht="15">
      <c r="A559" s="47"/>
      <c r="B559" s="406" t="str">
        <f>+$B$7</f>
        <v>TEST YEAR ENDING 12/31/2021</v>
      </c>
      <c r="C559" s="85"/>
      <c r="D559" s="970"/>
      <c r="F559" s="332"/>
      <c r="U559" s="332"/>
      <c r="V559" s="67"/>
      <c r="X559" s="370">
        <f t="shared" si="149"/>
        <v>0</v>
      </c>
    </row>
    <row r="560" spans="1:24" ht="15">
      <c r="A560" s="47"/>
      <c r="B560" s="406" t="str">
        <f>+$B$8</f>
        <v>SPONSOR:  MATTHEW A. TROXLE</v>
      </c>
      <c r="C560" s="85"/>
      <c r="D560" s="970"/>
      <c r="F560" s="332"/>
      <c r="U560" s="332"/>
      <c r="V560" s="67"/>
      <c r="X560" s="370">
        <f t="shared" si="149"/>
        <v>0</v>
      </c>
    </row>
    <row r="561" spans="1:24" ht="15.75" thickBot="1">
      <c r="A561" s="47"/>
      <c r="B561" s="410"/>
      <c r="C561" s="934"/>
      <c r="D561" s="936"/>
      <c r="F561" s="332"/>
      <c r="U561" s="332"/>
      <c r="V561" s="67"/>
      <c r="X561" s="370">
        <f t="shared" si="149"/>
        <v>0</v>
      </c>
    </row>
    <row r="562" spans="1:24" ht="15" thickBot="1">
      <c r="A562" s="47"/>
      <c r="B562" s="13"/>
      <c r="C562" s="14"/>
      <c r="D562" s="14"/>
      <c r="E562" s="14"/>
      <c r="F562" s="13"/>
      <c r="G562" s="14"/>
      <c r="H562" s="14"/>
      <c r="I562" s="14"/>
      <c r="J562" s="238"/>
      <c r="K562" s="238"/>
      <c r="L562" s="14"/>
      <c r="M562" s="238"/>
      <c r="N562" s="238"/>
      <c r="O562" s="238"/>
      <c r="P562" s="238"/>
      <c r="Q562" s="14"/>
      <c r="R562" s="393" t="str">
        <f>R$10</f>
        <v xml:space="preserve"> </v>
      </c>
      <c r="S562" s="394"/>
      <c r="T562" s="238"/>
      <c r="U562" s="13"/>
      <c r="V562" s="67"/>
      <c r="X562" s="370">
        <f t="shared" si="149"/>
        <v>0</v>
      </c>
    </row>
    <row r="563" spans="1:24" ht="15">
      <c r="A563" s="47"/>
      <c r="B563" s="15" t="s">
        <v>2</v>
      </c>
      <c r="C563" s="15" t="s">
        <v>370</v>
      </c>
      <c r="D563" s="287" t="s">
        <v>615</v>
      </c>
      <c r="E563" s="15" t="s">
        <v>371</v>
      </c>
      <c r="F563" s="287" t="str">
        <f>F$11</f>
        <v>TOTAL</v>
      </c>
      <c r="G563" s="242" t="s">
        <v>741</v>
      </c>
      <c r="H563" s="242" t="s">
        <v>376</v>
      </c>
      <c r="I563" s="15"/>
      <c r="J563" s="242" t="s">
        <v>730</v>
      </c>
      <c r="K563" s="242" t="s">
        <v>409</v>
      </c>
      <c r="L563" s="15" t="s">
        <v>409</v>
      </c>
      <c r="M563" s="242" t="s">
        <v>410</v>
      </c>
      <c r="N563" s="242" t="s">
        <v>410</v>
      </c>
      <c r="O563" s="242" t="s">
        <v>410</v>
      </c>
      <c r="P563" s="242" t="s">
        <v>411</v>
      </c>
      <c r="Q563" s="15" t="s">
        <v>412</v>
      </c>
      <c r="R563" s="396" t="str">
        <f>R$11</f>
        <v>Wholesale</v>
      </c>
      <c r="S563" s="13" t="str">
        <f>S$11</f>
        <v>Wholesale</v>
      </c>
      <c r="T563" s="242"/>
      <c r="U563" s="15" t="s">
        <v>10</v>
      </c>
      <c r="V563" s="67"/>
      <c r="X563" s="370"/>
    </row>
    <row r="564" spans="1:24" ht="14.25">
      <c r="A564" s="47"/>
      <c r="B564" s="15"/>
      <c r="C564" s="15"/>
      <c r="D564" s="15"/>
      <c r="E564" s="15"/>
      <c r="F564" s="15" t="str">
        <f>F$12</f>
        <v>(Dist+Met+Cust)</v>
      </c>
      <c r="G564" s="242" t="s">
        <v>742</v>
      </c>
      <c r="H564" s="242" t="s">
        <v>743</v>
      </c>
      <c r="I564" s="15"/>
      <c r="J564" s="242"/>
      <c r="K564" s="242" t="s">
        <v>731</v>
      </c>
      <c r="L564" s="15" t="s">
        <v>732</v>
      </c>
      <c r="M564" s="242" t="s">
        <v>731</v>
      </c>
      <c r="N564" s="242" t="s">
        <v>732</v>
      </c>
      <c r="O564" s="242" t="s">
        <v>414</v>
      </c>
      <c r="P564" s="242"/>
      <c r="Q564" s="15"/>
      <c r="R564" s="235" t="str">
        <f>R$12</f>
        <v>XFMR</v>
      </c>
      <c r="S564" s="15" t="str">
        <f>S$12</f>
        <v>DLS</v>
      </c>
      <c r="T564" s="242"/>
      <c r="U564" s="15"/>
      <c r="V564" s="67"/>
      <c r="X564" s="370"/>
    </row>
    <row r="565" spans="1:24" ht="15" thickBot="1">
      <c r="A565" s="47"/>
      <c r="B565" s="16"/>
      <c r="C565" s="16"/>
      <c r="D565" s="16"/>
      <c r="E565" s="16"/>
      <c r="F565" s="16" t="s">
        <v>13</v>
      </c>
      <c r="G565" s="16" t="s">
        <v>14</v>
      </c>
      <c r="H565" s="16" t="s">
        <v>15</v>
      </c>
      <c r="I565" s="16"/>
      <c r="J565" s="243" t="str">
        <f t="shared" si="153" ref="J565:Q565">J$13</f>
        <v>(d)</v>
      </c>
      <c r="K565" s="243" t="str">
        <f t="shared" si="153"/>
        <v>(e)</v>
      </c>
      <c r="L565" s="16" t="str">
        <f t="shared" si="153"/>
        <v>(f)</v>
      </c>
      <c r="M565" s="243" t="str">
        <f t="shared" si="153"/>
        <v>(g)</v>
      </c>
      <c r="N565" s="243" t="str">
        <f t="shared" si="153"/>
        <v>(h)</v>
      </c>
      <c r="O565" s="243" t="str">
        <f>O$13</f>
        <v>(i)</v>
      </c>
      <c r="P565" s="243" t="str">
        <f t="shared" si="153"/>
        <v>(j)</v>
      </c>
      <c r="Q565" s="243" t="str">
        <f t="shared" si="153"/>
        <v>(k)</v>
      </c>
      <c r="R565" s="243" t="str">
        <f>R$13</f>
        <v>(l)</v>
      </c>
      <c r="S565" s="16" t="str">
        <f>S$13</f>
        <v>(m)</v>
      </c>
      <c r="T565" s="16"/>
      <c r="U565" s="16" t="s">
        <v>734</v>
      </c>
      <c r="V565" s="67"/>
      <c r="X565" s="370"/>
    </row>
    <row r="566" spans="1:24" ht="14.25">
      <c r="A566" s="47"/>
      <c r="B566" s="67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43"/>
      <c r="V566" s="67"/>
      <c r="X566" s="370">
        <f t="shared" si="149"/>
        <v>0</v>
      </c>
    </row>
    <row r="567" spans="1:24" ht="15">
      <c r="A567" s="40"/>
      <c r="B567" s="17">
        <f>B553+1</f>
        <v>1</v>
      </c>
      <c r="C567" s="36" t="s">
        <v>146</v>
      </c>
      <c r="D567" s="43"/>
      <c r="E567" s="897" t="s">
        <v>132</v>
      </c>
      <c r="F567" s="346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43"/>
      <c r="V567" s="43"/>
      <c r="W567" s="359"/>
      <c r="X567" s="370">
        <f t="shared" si="149"/>
        <v>0</v>
      </c>
    </row>
    <row r="568" spans="1:24" ht="14.25">
      <c r="A568" s="40"/>
      <c r="B568" s="17">
        <f t="shared" si="154" ref="B568:B599">B567+1</f>
        <v>2</v>
      </c>
      <c r="C568" s="43">
        <v>182</v>
      </c>
      <c r="D568" s="43" t="s">
        <v>147</v>
      </c>
      <c r="E568" s="358"/>
      <c r="F568" s="118">
        <f>' WP II-I-1.4'!L568</f>
        <v>0</v>
      </c>
      <c r="G568" s="358" t="s">
        <v>805</v>
      </c>
      <c r="H568" s="1" t="s">
        <v>320</v>
      </c>
      <c r="I568" s="358"/>
      <c r="J568" s="434">
        <f>'II-I-DIST'!J568+'II-I-MET'!J568+'II-I-TBILLTDCS'!J568</f>
        <v>0</v>
      </c>
      <c r="K568" s="434">
        <f>'II-I-DIST'!K568+'II-I-MET'!K568+'II-I-TBILLTDCS'!K568</f>
        <v>0</v>
      </c>
      <c r="L568" s="434">
        <f>'II-I-DIST'!L568+'II-I-MET'!L568+'II-I-TBILLTDCS'!L568</f>
        <v>0</v>
      </c>
      <c r="M568" s="434">
        <f>'II-I-DIST'!M568+'II-I-MET'!M568+'II-I-TBILLTDCS'!M568</f>
        <v>0</v>
      </c>
      <c r="N568" s="434">
        <f>'II-I-DIST'!N568+'II-I-MET'!N568+'II-I-TBILLTDCS'!N568</f>
        <v>0</v>
      </c>
      <c r="O568" s="434">
        <f>'II-I-DIST'!O568+'II-I-MET'!O568+'II-I-TBILLTDCS'!O568</f>
        <v>0</v>
      </c>
      <c r="P568" s="434">
        <f>'II-I-DIST'!P568+'II-I-MET'!P568+'II-I-TBILLTDCS'!P568</f>
        <v>0</v>
      </c>
      <c r="Q568" s="434">
        <f>'II-I-DIST'!Q568+'II-I-MET'!Q568+'II-I-TBILLTDCS'!Q568</f>
        <v>0</v>
      </c>
      <c r="R568" s="434">
        <f>'II-I-DIST'!R568+'II-I-MET'!R568+'II-I-TBILLTDCS'!R568</f>
        <v>0</v>
      </c>
      <c r="S568" s="434">
        <f>'II-I-DIST'!S568+'II-I-MET'!S568+'II-I-TBILLTDCS'!S568</f>
        <v>0</v>
      </c>
      <c r="T568" s="358"/>
      <c r="U568" s="118">
        <f t="shared" si="155" ref="U568:U574">SUM(I568:T568)</f>
        <v>0</v>
      </c>
      <c r="V568" s="43"/>
      <c r="W568" s="359"/>
      <c r="X568" s="370">
        <f t="shared" si="149"/>
        <v>0</v>
      </c>
    </row>
    <row r="569" spans="1:24" ht="14.25">
      <c r="A569" s="40"/>
      <c r="B569" s="17">
        <f t="shared" si="154"/>
        <v>3</v>
      </c>
      <c r="C569" s="43">
        <v>182</v>
      </c>
      <c r="D569" s="43" t="s">
        <v>148</v>
      </c>
      <c r="E569" s="358"/>
      <c r="F569" s="118">
        <f>' WP II-I-1.4'!L569</f>
        <v>0</v>
      </c>
      <c r="G569" s="358" t="s">
        <v>805</v>
      </c>
      <c r="H569" s="1" t="s">
        <v>320</v>
      </c>
      <c r="I569" s="358"/>
      <c r="J569" s="434">
        <f>'II-I-DIST'!J569+'II-I-MET'!J569+'II-I-TBILLTDCS'!J569</f>
        <v>0</v>
      </c>
      <c r="K569" s="434">
        <f>'II-I-DIST'!K569+'II-I-MET'!K569+'II-I-TBILLTDCS'!K569</f>
        <v>0</v>
      </c>
      <c r="L569" s="434">
        <f>'II-I-DIST'!L569+'II-I-MET'!L569+'II-I-TBILLTDCS'!L569</f>
        <v>0</v>
      </c>
      <c r="M569" s="434">
        <f>'II-I-DIST'!M569+'II-I-MET'!M569+'II-I-TBILLTDCS'!M569</f>
        <v>0</v>
      </c>
      <c r="N569" s="434">
        <f>'II-I-DIST'!N569+'II-I-MET'!N569+'II-I-TBILLTDCS'!N569</f>
        <v>0</v>
      </c>
      <c r="O569" s="434">
        <f>'II-I-DIST'!O569+'II-I-MET'!O569+'II-I-TBILLTDCS'!O569</f>
        <v>0</v>
      </c>
      <c r="P569" s="434">
        <f>'II-I-DIST'!P569+'II-I-MET'!P569+'II-I-TBILLTDCS'!P569</f>
        <v>0</v>
      </c>
      <c r="Q569" s="434">
        <f>'II-I-DIST'!Q569+'II-I-MET'!Q569+'II-I-TBILLTDCS'!Q569</f>
        <v>0</v>
      </c>
      <c r="R569" s="434">
        <f>'II-I-DIST'!R569+'II-I-MET'!R569+'II-I-TBILLTDCS'!R569</f>
        <v>0</v>
      </c>
      <c r="S569" s="434">
        <f>'II-I-DIST'!S569+'II-I-MET'!S569+'II-I-TBILLTDCS'!S569</f>
        <v>0</v>
      </c>
      <c r="T569" s="358"/>
      <c r="U569" s="118">
        <f t="shared" si="155"/>
        <v>0</v>
      </c>
      <c r="V569" s="43"/>
      <c r="W569" s="359"/>
      <c r="X569" s="370">
        <f t="shared" si="149"/>
        <v>0</v>
      </c>
    </row>
    <row r="570" spans="1:24" ht="14.25">
      <c r="A570" s="40"/>
      <c r="B570" s="17">
        <f t="shared" si="154"/>
        <v>4</v>
      </c>
      <c r="C570" s="43">
        <v>182</v>
      </c>
      <c r="D570" s="43" t="s">
        <v>149</v>
      </c>
      <c r="E570" s="358"/>
      <c r="F570" s="118">
        <f>' WP II-I-1.4'!L570</f>
        <v>0</v>
      </c>
      <c r="G570" s="358" t="s">
        <v>805</v>
      </c>
      <c r="H570" s="1" t="s">
        <v>320</v>
      </c>
      <c r="I570" s="358"/>
      <c r="J570" s="434">
        <f>'II-I-DIST'!J570+'II-I-MET'!J570+'II-I-TBILLTDCS'!J570</f>
        <v>0</v>
      </c>
      <c r="K570" s="434">
        <f>'II-I-DIST'!K570+'II-I-MET'!K570+'II-I-TBILLTDCS'!K570</f>
        <v>0</v>
      </c>
      <c r="L570" s="434">
        <f>'II-I-DIST'!L570+'II-I-MET'!L570+'II-I-TBILLTDCS'!L570</f>
        <v>0</v>
      </c>
      <c r="M570" s="434">
        <f>'II-I-DIST'!M570+'II-I-MET'!M570+'II-I-TBILLTDCS'!M570</f>
        <v>0</v>
      </c>
      <c r="N570" s="434">
        <f>'II-I-DIST'!N570+'II-I-MET'!N570+'II-I-TBILLTDCS'!N570</f>
        <v>0</v>
      </c>
      <c r="O570" s="434">
        <f>'II-I-DIST'!O570+'II-I-MET'!O570+'II-I-TBILLTDCS'!O570</f>
        <v>0</v>
      </c>
      <c r="P570" s="434">
        <f>'II-I-DIST'!P570+'II-I-MET'!P570+'II-I-TBILLTDCS'!P570</f>
        <v>0</v>
      </c>
      <c r="Q570" s="434">
        <f>'II-I-DIST'!Q570+'II-I-MET'!Q570+'II-I-TBILLTDCS'!Q570</f>
        <v>0</v>
      </c>
      <c r="R570" s="434">
        <f>'II-I-DIST'!R570+'II-I-MET'!R570+'II-I-TBILLTDCS'!R570</f>
        <v>0</v>
      </c>
      <c r="S570" s="434">
        <f>'II-I-DIST'!S570+'II-I-MET'!S570+'II-I-TBILLTDCS'!S570</f>
        <v>0</v>
      </c>
      <c r="T570" s="358"/>
      <c r="U570" s="118">
        <f t="shared" si="155"/>
        <v>0</v>
      </c>
      <c r="V570" s="43"/>
      <c r="W570" s="359"/>
      <c r="X570" s="370">
        <f t="shared" si="149"/>
        <v>0</v>
      </c>
    </row>
    <row r="571" spans="1:24" ht="14.25">
      <c r="A571" s="40"/>
      <c r="B571" s="17">
        <f t="shared" si="154"/>
        <v>5</v>
      </c>
      <c r="C571" s="43">
        <v>182</v>
      </c>
      <c r="D571" s="43" t="s">
        <v>150</v>
      </c>
      <c r="E571" s="358"/>
      <c r="F571" s="118">
        <f>' WP II-I-1.4'!L571</f>
        <v>0</v>
      </c>
      <c r="G571" s="358" t="s">
        <v>805</v>
      </c>
      <c r="H571" s="1" t="s">
        <v>320</v>
      </c>
      <c r="I571" s="358"/>
      <c r="J571" s="434">
        <f>'II-I-DIST'!J571+'II-I-MET'!J571+'II-I-TBILLTDCS'!J571</f>
        <v>0</v>
      </c>
      <c r="K571" s="434">
        <f>'II-I-DIST'!K571+'II-I-MET'!K571+'II-I-TBILLTDCS'!K571</f>
        <v>0</v>
      </c>
      <c r="L571" s="434">
        <f>'II-I-DIST'!L571+'II-I-MET'!L571+'II-I-TBILLTDCS'!L571</f>
        <v>0</v>
      </c>
      <c r="M571" s="434">
        <f>'II-I-DIST'!M571+'II-I-MET'!M571+'II-I-TBILLTDCS'!M571</f>
        <v>0</v>
      </c>
      <c r="N571" s="434">
        <f>'II-I-DIST'!N571+'II-I-MET'!N571+'II-I-TBILLTDCS'!N571</f>
        <v>0</v>
      </c>
      <c r="O571" s="434">
        <f>'II-I-DIST'!O571+'II-I-MET'!O571+'II-I-TBILLTDCS'!O571</f>
        <v>0</v>
      </c>
      <c r="P571" s="434">
        <f>'II-I-DIST'!P571+'II-I-MET'!P571+'II-I-TBILLTDCS'!P571</f>
        <v>0</v>
      </c>
      <c r="Q571" s="434">
        <f>'II-I-DIST'!Q571+'II-I-MET'!Q571+'II-I-TBILLTDCS'!Q571</f>
        <v>0</v>
      </c>
      <c r="R571" s="434">
        <f>'II-I-DIST'!R571+'II-I-MET'!R571+'II-I-TBILLTDCS'!R571</f>
        <v>0</v>
      </c>
      <c r="S571" s="434">
        <f>'II-I-DIST'!S571+'II-I-MET'!S571+'II-I-TBILLTDCS'!S571</f>
        <v>0</v>
      </c>
      <c r="T571" s="358"/>
      <c r="U571" s="118">
        <f t="shared" si="155"/>
        <v>0</v>
      </c>
      <c r="V571" s="43"/>
      <c r="W571" s="359"/>
      <c r="X571" s="370">
        <f t="shared" si="149"/>
        <v>0</v>
      </c>
    </row>
    <row r="572" spans="1:24" ht="14.25">
      <c r="A572" s="40"/>
      <c r="B572" s="17">
        <f t="shared" si="154"/>
        <v>6</v>
      </c>
      <c r="C572" s="43">
        <v>182</v>
      </c>
      <c r="D572" s="43" t="s">
        <v>1237</v>
      </c>
      <c r="E572" s="358"/>
      <c r="F572" s="118">
        <f>' WP II-I-1.4'!L572</f>
        <v>78375790.330000013</v>
      </c>
      <c r="G572" s="358" t="s">
        <v>805</v>
      </c>
      <c r="H572" s="1" t="s">
        <v>320</v>
      </c>
      <c r="I572" s="358"/>
      <c r="J572" s="434">
        <f>'II-I-DIST'!J572+'II-I-MET'!J572+'II-I-TBILLTDCS'!J572</f>
        <v>42973627.561469935</v>
      </c>
      <c r="K572" s="434">
        <f>'II-I-DIST'!K572+'II-I-MET'!K572+'II-I-TBILLTDCS'!K572</f>
        <v>3126895.3791699</v>
      </c>
      <c r="L572" s="434">
        <f>'II-I-DIST'!L572+'II-I-MET'!L572+'II-I-TBILLTDCS'!L572</f>
        <v>24974641.996300302</v>
      </c>
      <c r="M572" s="434">
        <f>'II-I-DIST'!M572+'II-I-MET'!M572+'II-I-TBILLTDCS'!M572</f>
        <v>88197.929957137152</v>
      </c>
      <c r="N572" s="434">
        <f>'II-I-DIST'!N572+'II-I-MET'!N572+'II-I-TBILLTDCS'!N572</f>
        <v>4509297.8485487988</v>
      </c>
      <c r="O572" s="434">
        <f>'II-I-DIST'!O572+'II-I-MET'!O572+'II-I-TBILLTDCS'!O572</f>
        <v>315224.78474473371</v>
      </c>
      <c r="P572" s="434">
        <f>'II-I-DIST'!P572+'II-I-MET'!P572+'II-I-TBILLTDCS'!P572</f>
        <v>177498.47780700805</v>
      </c>
      <c r="Q572" s="434">
        <f>'II-I-DIST'!Q572+'II-I-MET'!Q572+'II-I-TBILLTDCS'!Q572</f>
        <v>2004827.4651495775</v>
      </c>
      <c r="R572" s="434">
        <f>'II-I-DIST'!R572+'II-I-MET'!R572+'II-I-TBILLTDCS'!R572</f>
        <v>37521.574184304336</v>
      </c>
      <c r="S572" s="434">
        <f>'II-I-DIST'!S572+'II-I-MET'!S572+'II-I-TBILLTDCS'!S572</f>
        <v>168057.31266830096</v>
      </c>
      <c r="T572" s="358"/>
      <c r="U572" s="118">
        <f t="shared" si="155"/>
        <v>78375790.329999998</v>
      </c>
      <c r="V572" s="43"/>
      <c r="W572" s="359"/>
      <c r="X572" s="370">
        <f t="shared" si="149"/>
        <v>0</v>
      </c>
    </row>
    <row r="573" spans="1:24" ht="14.25">
      <c r="A573" s="40"/>
      <c r="B573" s="17">
        <f t="shared" si="154"/>
        <v>7</v>
      </c>
      <c r="C573" s="43">
        <v>182</v>
      </c>
      <c r="D573" s="43" t="s">
        <v>1238</v>
      </c>
      <c r="E573" s="358"/>
      <c r="F573" s="118">
        <f>' WP II-I-1.4'!L573</f>
        <v>0</v>
      </c>
      <c r="G573" s="358" t="s">
        <v>805</v>
      </c>
      <c r="H573" s="1" t="s">
        <v>320</v>
      </c>
      <c r="I573" s="358"/>
      <c r="J573" s="435">
        <f>'II-I-DIST'!J573+'II-I-MET'!J573+'II-I-TBILLTDCS'!J573</f>
        <v>0</v>
      </c>
      <c r="K573" s="435">
        <f>'II-I-DIST'!K573+'II-I-MET'!K573+'II-I-TBILLTDCS'!K573</f>
        <v>0</v>
      </c>
      <c r="L573" s="435">
        <f>'II-I-DIST'!L573+'II-I-MET'!L573+'II-I-TBILLTDCS'!L573</f>
        <v>0</v>
      </c>
      <c r="M573" s="435">
        <f>'II-I-DIST'!M573+'II-I-MET'!M573+'II-I-TBILLTDCS'!M573</f>
        <v>0</v>
      </c>
      <c r="N573" s="435">
        <f>'II-I-DIST'!N573+'II-I-MET'!N573+'II-I-TBILLTDCS'!N573</f>
        <v>0</v>
      </c>
      <c r="O573" s="435">
        <f>'II-I-DIST'!O573+'II-I-MET'!O573+'II-I-TBILLTDCS'!O573</f>
        <v>0</v>
      </c>
      <c r="P573" s="435">
        <f>'II-I-DIST'!P573+'II-I-MET'!P573+'II-I-TBILLTDCS'!P573</f>
        <v>0</v>
      </c>
      <c r="Q573" s="435">
        <f>'II-I-DIST'!Q573+'II-I-MET'!Q573+'II-I-TBILLTDCS'!Q573</f>
        <v>0</v>
      </c>
      <c r="R573" s="435">
        <f>'II-I-DIST'!R573+'II-I-MET'!R573+'II-I-TBILLTDCS'!R573</f>
        <v>0</v>
      </c>
      <c r="S573" s="435">
        <f>'II-I-DIST'!S573+'II-I-MET'!S573+'II-I-TBILLTDCS'!S573</f>
        <v>0</v>
      </c>
      <c r="T573" s="358"/>
      <c r="U573" s="118">
        <f t="shared" si="155"/>
        <v>0</v>
      </c>
      <c r="V573" s="43"/>
      <c r="W573" s="359"/>
      <c r="X573" s="370">
        <f t="shared" si="149"/>
        <v>0</v>
      </c>
    </row>
    <row r="574" spans="1:24" ht="15">
      <c r="A574" s="38"/>
      <c r="B574" s="17">
        <f t="shared" si="154"/>
        <v>8</v>
      </c>
      <c r="C574" s="35"/>
      <c r="D574" s="44" t="s">
        <v>616</v>
      </c>
      <c r="E574" s="37"/>
      <c r="F574" s="21">
        <f>SUM(F568:F573)</f>
        <v>78375790.330000013</v>
      </c>
      <c r="G574" s="37"/>
      <c r="H574" s="897"/>
      <c r="I574" s="897"/>
      <c r="J574" s="895">
        <f t="shared" si="156" ref="J574:Q574">SUM(J568:J573)</f>
        <v>42973627.561469935</v>
      </c>
      <c r="K574" s="895">
        <f t="shared" si="156"/>
        <v>3126895.3791699</v>
      </c>
      <c r="L574" s="895">
        <f t="shared" si="156"/>
        <v>24974641.996300302</v>
      </c>
      <c r="M574" s="895">
        <f t="shared" si="156"/>
        <v>88197.929957137152</v>
      </c>
      <c r="N574" s="895">
        <f t="shared" si="156"/>
        <v>4509297.8485487988</v>
      </c>
      <c r="O574" s="895">
        <f>SUM(O568:O573)</f>
        <v>315224.78474473371</v>
      </c>
      <c r="P574" s="895">
        <f t="shared" si="156"/>
        <v>177498.47780700805</v>
      </c>
      <c r="Q574" s="895">
        <f t="shared" si="156"/>
        <v>2004827.4651495775</v>
      </c>
      <c r="R574" s="895">
        <f>SUM(R568:R573)</f>
        <v>37521.574184304336</v>
      </c>
      <c r="S574" s="895">
        <f>SUM(S568:S573)</f>
        <v>168057.31266830096</v>
      </c>
      <c r="T574" s="37"/>
      <c r="U574" s="118">
        <f t="shared" si="155"/>
        <v>78375790.329999998</v>
      </c>
      <c r="V574" s="36"/>
      <c r="W574" s="1300" t="b">
        <f>' WP II-I-1.4'!$L$574=F574</f>
        <v>1</v>
      </c>
      <c r="X574" s="370">
        <f t="shared" si="149"/>
        <v>0</v>
      </c>
    </row>
    <row r="575" spans="1:24" ht="15">
      <c r="A575" s="38"/>
      <c r="B575" s="17">
        <f t="shared" si="154"/>
        <v>9</v>
      </c>
      <c r="C575" s="35"/>
      <c r="D575" s="44"/>
      <c r="E575" s="37"/>
      <c r="F575" s="21"/>
      <c r="G575" s="37"/>
      <c r="H575" s="37"/>
      <c r="I575" s="37"/>
      <c r="J575" s="897"/>
      <c r="K575" s="897"/>
      <c r="L575" s="897"/>
      <c r="M575" s="897"/>
      <c r="N575" s="897"/>
      <c r="O575" s="897"/>
      <c r="P575" s="897"/>
      <c r="Q575" s="897"/>
      <c r="R575" s="897"/>
      <c r="S575" s="897"/>
      <c r="T575" s="37"/>
      <c r="U575" s="118"/>
      <c r="V575" s="36"/>
      <c r="W575" s="357"/>
      <c r="X575" s="370">
        <f t="shared" si="149"/>
        <v>0</v>
      </c>
    </row>
    <row r="576" spans="1:24" ht="15">
      <c r="A576" s="40"/>
      <c r="B576" s="17">
        <f t="shared" si="154"/>
        <v>10</v>
      </c>
      <c r="C576" s="36" t="s">
        <v>153</v>
      </c>
      <c r="D576" s="43"/>
      <c r="E576" s="897" t="s">
        <v>132</v>
      </c>
      <c r="F576" s="263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263"/>
      <c r="V576" s="43"/>
      <c r="W576" s="359"/>
      <c r="X576" s="370">
        <f t="shared" si="149"/>
        <v>0</v>
      </c>
    </row>
    <row r="577" spans="1:24" ht="14.25">
      <c r="A577" s="40"/>
      <c r="B577" s="17">
        <f t="shared" si="154"/>
        <v>11</v>
      </c>
      <c r="C577" s="43">
        <v>254</v>
      </c>
      <c r="D577" s="43" t="s">
        <v>154</v>
      </c>
      <c r="E577" s="358"/>
      <c r="F577" s="290">
        <f>' WP II-I-1.4'!L577</f>
        <v>0</v>
      </c>
      <c r="G577" s="358" t="s">
        <v>805</v>
      </c>
      <c r="H577" s="1" t="s">
        <v>320</v>
      </c>
      <c r="I577" s="358"/>
      <c r="J577" s="434">
        <f>'II-I-DIST'!J577+'II-I-MET'!J577+'II-I-TBILLTDCS'!J577</f>
        <v>0</v>
      </c>
      <c r="K577" s="434">
        <f>'II-I-DIST'!K577+'II-I-MET'!K577+'II-I-TBILLTDCS'!K577</f>
        <v>0</v>
      </c>
      <c r="L577" s="434">
        <f>'II-I-DIST'!L577+'II-I-MET'!L577+'II-I-TBILLTDCS'!L577</f>
        <v>0</v>
      </c>
      <c r="M577" s="434">
        <f>'II-I-DIST'!M577+'II-I-MET'!M577+'II-I-TBILLTDCS'!M577</f>
        <v>0</v>
      </c>
      <c r="N577" s="434">
        <f>'II-I-DIST'!N577+'II-I-MET'!N577+'II-I-TBILLTDCS'!N577</f>
        <v>0</v>
      </c>
      <c r="O577" s="434">
        <f>'II-I-DIST'!O577+'II-I-MET'!O577+'II-I-TBILLTDCS'!O577</f>
        <v>0</v>
      </c>
      <c r="P577" s="434">
        <f>'II-I-DIST'!P577+'II-I-MET'!P577+'II-I-TBILLTDCS'!P577</f>
        <v>0</v>
      </c>
      <c r="Q577" s="434">
        <f>'II-I-DIST'!Q577+'II-I-MET'!Q577+'II-I-TBILLTDCS'!Q577</f>
        <v>0</v>
      </c>
      <c r="R577" s="434">
        <f>'II-I-DIST'!R577+'II-I-MET'!R577+'II-I-TBILLTDCS'!R577</f>
        <v>0</v>
      </c>
      <c r="S577" s="434">
        <f>'II-I-DIST'!S577+'II-I-MET'!S577+'II-I-TBILLTDCS'!S577</f>
        <v>0</v>
      </c>
      <c r="T577" s="358"/>
      <c r="U577" s="118">
        <f t="shared" si="157" ref="U577:U587">SUM(I577:T577)</f>
        <v>0</v>
      </c>
      <c r="V577" s="43"/>
      <c r="W577" s="359"/>
      <c r="X577" s="370">
        <f t="shared" si="149"/>
        <v>0</v>
      </c>
    </row>
    <row r="578" spans="1:24" ht="14.25">
      <c r="A578" s="40"/>
      <c r="B578" s="17">
        <f t="shared" si="154"/>
        <v>12</v>
      </c>
      <c r="C578" s="43">
        <v>254</v>
      </c>
      <c r="D578" s="43" t="s">
        <v>1239</v>
      </c>
      <c r="E578" s="358"/>
      <c r="F578" s="290">
        <f>' WP II-I-1.4'!L578</f>
        <v>-95293879.980000004</v>
      </c>
      <c r="G578" s="358"/>
      <c r="H578" s="1" t="s">
        <v>320</v>
      </c>
      <c r="I578" s="358"/>
      <c r="J578" s="434">
        <f>'II-I-DIST'!J578+'II-I-MET'!J578+'II-I-TBILLTDCS'!J578</f>
        <v>-52266006.575401887</v>
      </c>
      <c r="K578" s="434">
        <f>'II-I-DIST'!K578+'II-I-MET'!K578+'II-I-TBILLTDCS'!K578</f>
        <v>-3874656.0804486428</v>
      </c>
      <c r="L578" s="434">
        <f>'II-I-DIST'!L578+'II-I-MET'!L578+'II-I-TBILLTDCS'!L578</f>
        <v>-30282117.260016255</v>
      </c>
      <c r="M578" s="434">
        <f>'II-I-DIST'!M578+'II-I-MET'!M578+'II-I-TBILLTDCS'!M578</f>
        <v>-111338.15385527539</v>
      </c>
      <c r="N578" s="434">
        <f>'II-I-DIST'!N578+'II-I-MET'!N578+'II-I-TBILLTDCS'!N578</f>
        <v>-5514634.4341714457</v>
      </c>
      <c r="O578" s="434">
        <f>'II-I-DIST'!O578+'II-I-MET'!O578+'II-I-TBILLTDCS'!O578</f>
        <v>-381123.24626027234</v>
      </c>
      <c r="P578" s="434">
        <f>'II-I-DIST'!P578+'II-I-MET'!P578+'II-I-TBILLTDCS'!P578</f>
        <v>-221365.21711136258</v>
      </c>
      <c r="Q578" s="434">
        <f>'II-I-DIST'!Q578+'II-I-MET'!Q578+'II-I-TBILLTDCS'!Q578</f>
        <v>-2395203.2462018779</v>
      </c>
      <c r="R578" s="434">
        <f>'II-I-DIST'!R578+'II-I-MET'!R578+'II-I-TBILLTDCS'!R578</f>
        <v>-45350.2697954174</v>
      </c>
      <c r="S578" s="434">
        <f>'II-I-DIST'!S578+'II-I-MET'!S578+'II-I-TBILLTDCS'!S578</f>
        <v>-202085.49673755374</v>
      </c>
      <c r="T578" s="358"/>
      <c r="U578" s="118">
        <f t="shared" si="158" ref="U578:U581">SUM(I578:T578)</f>
        <v>-95293879.980000004</v>
      </c>
      <c r="V578" s="43"/>
      <c r="W578" s="359"/>
      <c r="X578" s="370">
        <f t="shared" si="159" ref="X578:X581">U578-F578</f>
        <v>0</v>
      </c>
    </row>
    <row r="579" spans="1:24" ht="14.25">
      <c r="A579" s="40"/>
      <c r="B579" s="17">
        <f t="shared" si="154"/>
        <v>13</v>
      </c>
      <c r="C579" s="43">
        <v>254</v>
      </c>
      <c r="D579" s="43" t="s">
        <v>1240</v>
      </c>
      <c r="E579" s="358"/>
      <c r="F579" s="290">
        <f>' WP II-I-1.4'!L579</f>
        <v>0</v>
      </c>
      <c r="G579" s="358"/>
      <c r="H579" s="1" t="s">
        <v>320</v>
      </c>
      <c r="I579" s="358"/>
      <c r="J579" s="434">
        <f>'II-I-DIST'!J579+'II-I-MET'!J579+'II-I-TBILLTDCS'!J579</f>
        <v>0</v>
      </c>
      <c r="K579" s="434">
        <f>'II-I-DIST'!K579+'II-I-MET'!K579+'II-I-TBILLTDCS'!K579</f>
        <v>0</v>
      </c>
      <c r="L579" s="434">
        <f>'II-I-DIST'!L579+'II-I-MET'!L579+'II-I-TBILLTDCS'!L579</f>
        <v>0</v>
      </c>
      <c r="M579" s="434">
        <f>'II-I-DIST'!M579+'II-I-MET'!M579+'II-I-TBILLTDCS'!M579</f>
        <v>0</v>
      </c>
      <c r="N579" s="434">
        <f>'II-I-DIST'!N579+'II-I-MET'!N579+'II-I-TBILLTDCS'!N579</f>
        <v>0</v>
      </c>
      <c r="O579" s="434">
        <f>'II-I-DIST'!O579+'II-I-MET'!O579+'II-I-TBILLTDCS'!O579</f>
        <v>0</v>
      </c>
      <c r="P579" s="434">
        <f>'II-I-DIST'!P579+'II-I-MET'!P579+'II-I-TBILLTDCS'!P579</f>
        <v>0</v>
      </c>
      <c r="Q579" s="434">
        <f>'II-I-DIST'!Q579+'II-I-MET'!Q579+'II-I-TBILLTDCS'!Q579</f>
        <v>0</v>
      </c>
      <c r="R579" s="434">
        <f>'II-I-DIST'!R579+'II-I-MET'!R579+'II-I-TBILLTDCS'!R579</f>
        <v>0</v>
      </c>
      <c r="S579" s="434">
        <f>'II-I-DIST'!S579+'II-I-MET'!S579+'II-I-TBILLTDCS'!S579</f>
        <v>0</v>
      </c>
      <c r="T579" s="358"/>
      <c r="U579" s="118">
        <f t="shared" si="158"/>
        <v>0</v>
      </c>
      <c r="V579" s="43"/>
      <c r="W579" s="359"/>
      <c r="X579" s="370">
        <f t="shared" si="159"/>
        <v>0</v>
      </c>
    </row>
    <row r="580" spans="1:24" ht="14.25">
      <c r="A580" s="40"/>
      <c r="B580" s="17">
        <f t="shared" si="154"/>
        <v>14</v>
      </c>
      <c r="C580" s="43">
        <v>254</v>
      </c>
      <c r="D580" s="43" t="s">
        <v>1241</v>
      </c>
      <c r="E580" s="358"/>
      <c r="F580" s="290">
        <f>' WP II-I-1.4'!L580</f>
        <v>-491578166.56681275</v>
      </c>
      <c r="G580" s="358"/>
      <c r="H580" s="1" t="s">
        <v>320</v>
      </c>
      <c r="I580" s="358"/>
      <c r="J580" s="434">
        <f>'II-I-DIST'!J580+'II-I-MET'!J580+'II-I-TBILLTDCS'!J580</f>
        <v>-268161287.39572322</v>
      </c>
      <c r="K580" s="434">
        <f>'II-I-DIST'!K580+'II-I-MET'!K580+'II-I-TBILLTDCS'!K580</f>
        <v>-12689772.218218479</v>
      </c>
      <c r="L580" s="434">
        <f>'II-I-DIST'!L580+'II-I-MET'!L580+'II-I-TBILLTDCS'!L580</f>
        <v>-164695268.01234314</v>
      </c>
      <c r="M580" s="434">
        <f>'II-I-DIST'!M580+'II-I-MET'!M580+'II-I-TBILLTDCS'!M580</f>
        <v>-162766.36247722074</v>
      </c>
      <c r="N580" s="434">
        <f>'II-I-DIST'!N580+'II-I-MET'!N580+'II-I-TBILLTDCS'!N580</f>
        <v>-25254959.445995361</v>
      </c>
      <c r="O580" s="434">
        <f>'II-I-DIST'!O580+'II-I-MET'!O580+'II-I-TBILLTDCS'!O580</f>
        <v>-2182718.2935392843</v>
      </c>
      <c r="P580" s="434">
        <f>'II-I-DIST'!P580+'II-I-MET'!P580+'II-I-TBILLTDCS'!P580</f>
        <v>-585060.28038866376</v>
      </c>
      <c r="Q580" s="434">
        <f>'II-I-DIST'!Q580+'II-I-MET'!Q580+'II-I-TBILLTDCS'!Q580</f>
        <v>-16316160.302770719</v>
      </c>
      <c r="R580" s="434">
        <f>'II-I-DIST'!R580+'II-I-MET'!R580+'II-I-TBILLTDCS'!R580</f>
        <v>-261266.65154508009</v>
      </c>
      <c r="S580" s="434">
        <f>'II-I-DIST'!S580+'II-I-MET'!S580+'II-I-TBILLTDCS'!S580</f>
        <v>-1268907.6038114452</v>
      </c>
      <c r="T580" s="358"/>
      <c r="U580" s="118">
        <f t="shared" si="158"/>
        <v>-491578166.56681269</v>
      </c>
      <c r="V580" s="43"/>
      <c r="W580" s="359"/>
      <c r="X580" s="370">
        <f t="shared" si="159"/>
        <v>0</v>
      </c>
    </row>
    <row r="581" spans="1:24" ht="14.25">
      <c r="A581" s="40"/>
      <c r="B581" s="17">
        <f t="shared" si="154"/>
        <v>15</v>
      </c>
      <c r="C581" s="43">
        <v>254</v>
      </c>
      <c r="D581" s="43" t="s">
        <v>1242</v>
      </c>
      <c r="E581" s="358"/>
      <c r="F581" s="290">
        <f>' WP II-I-1.4'!L581</f>
        <v>0</v>
      </c>
      <c r="G581" s="358"/>
      <c r="H581" s="1" t="s">
        <v>320</v>
      </c>
      <c r="I581" s="358"/>
      <c r="J581" s="434">
        <f>'II-I-DIST'!J581+'II-I-MET'!J581+'II-I-TBILLTDCS'!J581</f>
        <v>0</v>
      </c>
      <c r="K581" s="434">
        <f>'II-I-DIST'!K581+'II-I-MET'!K581+'II-I-TBILLTDCS'!K581</f>
        <v>0</v>
      </c>
      <c r="L581" s="434">
        <f>'II-I-DIST'!L581+'II-I-MET'!L581+'II-I-TBILLTDCS'!L581</f>
        <v>0</v>
      </c>
      <c r="M581" s="434">
        <f>'II-I-DIST'!M581+'II-I-MET'!M581+'II-I-TBILLTDCS'!M581</f>
        <v>0</v>
      </c>
      <c r="N581" s="434">
        <f>'II-I-DIST'!N581+'II-I-MET'!N581+'II-I-TBILLTDCS'!N581</f>
        <v>0</v>
      </c>
      <c r="O581" s="434">
        <f>'II-I-DIST'!O581+'II-I-MET'!O581+'II-I-TBILLTDCS'!O581</f>
        <v>0</v>
      </c>
      <c r="P581" s="434">
        <f>'II-I-DIST'!P581+'II-I-MET'!P581+'II-I-TBILLTDCS'!P581</f>
        <v>0</v>
      </c>
      <c r="Q581" s="434">
        <f>'II-I-DIST'!Q581+'II-I-MET'!Q581+'II-I-TBILLTDCS'!Q581</f>
        <v>0</v>
      </c>
      <c r="R581" s="434">
        <f>'II-I-DIST'!R581+'II-I-MET'!R581+'II-I-TBILLTDCS'!R581</f>
        <v>0</v>
      </c>
      <c r="S581" s="434">
        <f>'II-I-DIST'!S581+'II-I-MET'!S581+'II-I-TBILLTDCS'!S581</f>
        <v>0</v>
      </c>
      <c r="T581" s="358"/>
      <c r="U581" s="118">
        <f t="shared" si="158"/>
        <v>0</v>
      </c>
      <c r="V581" s="43"/>
      <c r="W581" s="359"/>
      <c r="X581" s="370">
        <f t="shared" si="159"/>
        <v>0</v>
      </c>
    </row>
    <row r="582" spans="1:24" ht="14.25">
      <c r="A582" s="40"/>
      <c r="B582" s="17">
        <f t="shared" si="154"/>
        <v>16</v>
      </c>
      <c r="C582" s="43">
        <v>254</v>
      </c>
      <c r="D582" s="43" t="s">
        <v>1244</v>
      </c>
      <c r="E582" s="358"/>
      <c r="F582" s="290">
        <f>' WP II-I-1.4'!L582</f>
        <v>-97762906.820000008</v>
      </c>
      <c r="G582" s="358" t="s">
        <v>805</v>
      </c>
      <c r="H582" s="1" t="s">
        <v>320</v>
      </c>
      <c r="I582" s="358"/>
      <c r="J582" s="434">
        <f>'II-I-DIST'!J582+'II-I-MET'!J582+'II-I-TBILLTDCS'!J582</f>
        <v>-53330739.10928157</v>
      </c>
      <c r="K582" s="434">
        <f>'II-I-DIST'!K582+'II-I-MET'!K582+'II-I-TBILLTDCS'!K582</f>
        <v>-2523686.1731789564</v>
      </c>
      <c r="L582" s="434">
        <f>'II-I-DIST'!L582+'II-I-MET'!L582+'II-I-TBILLTDCS'!L582</f>
        <v>-32753871.575017039</v>
      </c>
      <c r="M582" s="434">
        <f>'II-I-DIST'!M582+'II-I-MET'!M582+'II-I-TBILLTDCS'!M582</f>
        <v>-32370.259672626315</v>
      </c>
      <c r="N582" s="434">
        <f>'II-I-DIST'!N582+'II-I-MET'!N582+'II-I-TBILLTDCS'!N582</f>
        <v>-5022595.4208760811</v>
      </c>
      <c r="O582" s="434">
        <f>'II-I-DIST'!O582+'II-I-MET'!O582+'II-I-TBILLTDCS'!O582</f>
        <v>-434089.4278213142</v>
      </c>
      <c r="P582" s="434">
        <f>'II-I-DIST'!P582+'II-I-MET'!P582+'II-I-TBILLTDCS'!P582</f>
        <v>-116354.21953146547</v>
      </c>
      <c r="Q582" s="434">
        <f>'II-I-DIST'!Q582+'II-I-MET'!Q582+'II-I-TBILLTDCS'!Q582</f>
        <v>-3244886.2992572072</v>
      </c>
      <c r="R582" s="434">
        <f>'II-I-DIST'!R582+'II-I-MET'!R582+'II-I-TBILLTDCS'!R582</f>
        <v>-51959.56418705012</v>
      </c>
      <c r="S582" s="434">
        <f>'II-I-DIST'!S582+'II-I-MET'!S582+'II-I-TBILLTDCS'!S582</f>
        <v>-252354.77117666457</v>
      </c>
      <c r="T582" s="358"/>
      <c r="U582" s="118">
        <f t="shared" si="160" ref="U582:U586">SUM(I582:T582)</f>
        <v>-97762906.819999963</v>
      </c>
      <c r="V582" s="43"/>
      <c r="W582" s="359"/>
      <c r="X582" s="370">
        <f t="shared" si="161" ref="X582:X586">U582-F582</f>
        <v>0</v>
      </c>
    </row>
    <row r="583" spans="1:24" ht="14.25">
      <c r="A583" s="40"/>
      <c r="B583" s="17">
        <f t="shared" si="154"/>
        <v>17</v>
      </c>
      <c r="C583" s="43">
        <v>254</v>
      </c>
      <c r="D583" s="43" t="s">
        <v>1245</v>
      </c>
      <c r="E583" s="358"/>
      <c r="F583" s="290">
        <f>' WP II-I-1.4'!L583</f>
        <v>8913032.5399999991</v>
      </c>
      <c r="G583" s="358" t="s">
        <v>805</v>
      </c>
      <c r="H583" s="1" t="s">
        <v>320</v>
      </c>
      <c r="I583" s="358"/>
      <c r="J583" s="434">
        <f>'II-I-DIST'!J583+'II-I-MET'!J583+'II-I-TBILLTDCS'!J583</f>
        <v>4862157.115845101</v>
      </c>
      <c r="K583" s="434">
        <f>'II-I-DIST'!K583+'II-I-MET'!K583+'II-I-TBILLTDCS'!K583</f>
        <v>230084.16688305081</v>
      </c>
      <c r="L583" s="434">
        <f>'II-I-DIST'!L583+'II-I-MET'!L583+'II-I-TBILLTDCS'!L583</f>
        <v>2986166.5602236623</v>
      </c>
      <c r="M583" s="434">
        <f>'II-I-DIST'!M583+'II-I-MET'!M583+'II-I-TBILLTDCS'!M583</f>
        <v>2951.1927003232008</v>
      </c>
      <c r="N583" s="434">
        <f>'II-I-DIST'!N583+'II-I-MET'!N583+'II-I-TBILLTDCS'!N583</f>
        <v>457909.42466141423</v>
      </c>
      <c r="O583" s="434">
        <f>'II-I-DIST'!O583+'II-I-MET'!O583+'II-I-TBILLTDCS'!O583</f>
        <v>39575.881300243447</v>
      </c>
      <c r="P583" s="434">
        <f>'II-I-DIST'!P583+'II-I-MET'!P583+'II-I-TBILLTDCS'!P583</f>
        <v>10608.00028838549</v>
      </c>
      <c r="Q583" s="434">
        <f>'II-I-DIST'!Q583+'II-I-MET'!Q583+'II-I-TBILLTDCS'!Q583</f>
        <v>295835.89647852676</v>
      </c>
      <c r="R583" s="434">
        <f>'II-I-DIST'!R583+'II-I-MET'!R583+'II-I-TBILLTDCS'!R583</f>
        <v>4737.1472625171673</v>
      </c>
      <c r="S583" s="434">
        <f>'II-I-DIST'!S583+'II-I-MET'!S583+'II-I-TBILLTDCS'!S583</f>
        <v>23007.154356771593</v>
      </c>
      <c r="T583" s="358"/>
      <c r="U583" s="118">
        <f t="shared" si="160"/>
        <v>8913032.5399999954</v>
      </c>
      <c r="V583" s="43"/>
      <c r="W583" s="359"/>
      <c r="X583" s="370">
        <f t="shared" si="161"/>
        <v>0</v>
      </c>
    </row>
    <row r="584" spans="1:24" ht="14.25">
      <c r="A584" s="40"/>
      <c r="B584" s="17">
        <f t="shared" si="154"/>
        <v>18</v>
      </c>
      <c r="C584" s="43">
        <v>254</v>
      </c>
      <c r="D584" s="43" t="s">
        <v>1246</v>
      </c>
      <c r="E584" s="358"/>
      <c r="F584" s="290">
        <f>' WP II-I-1.4'!L584</f>
        <v>0</v>
      </c>
      <c r="G584" s="358" t="s">
        <v>805</v>
      </c>
      <c r="H584" s="1" t="s">
        <v>320</v>
      </c>
      <c r="I584" s="358"/>
      <c r="J584" s="434">
        <f>'II-I-DIST'!J584+'II-I-MET'!J584+'II-I-TBILLTDCS'!J584</f>
        <v>0</v>
      </c>
      <c r="K584" s="434">
        <f>'II-I-DIST'!K584+'II-I-MET'!K584+'II-I-TBILLTDCS'!K584</f>
        <v>0</v>
      </c>
      <c r="L584" s="434">
        <f>'II-I-DIST'!L584+'II-I-MET'!L584+'II-I-TBILLTDCS'!L584</f>
        <v>0</v>
      </c>
      <c r="M584" s="434">
        <f>'II-I-DIST'!M584+'II-I-MET'!M584+'II-I-TBILLTDCS'!M584</f>
        <v>0</v>
      </c>
      <c r="N584" s="434">
        <f>'II-I-DIST'!N584+'II-I-MET'!N584+'II-I-TBILLTDCS'!N584</f>
        <v>0</v>
      </c>
      <c r="O584" s="434">
        <f>'II-I-DIST'!O584+'II-I-MET'!O584+'II-I-TBILLTDCS'!O584</f>
        <v>0</v>
      </c>
      <c r="P584" s="434">
        <f>'II-I-DIST'!P584+'II-I-MET'!P584+'II-I-TBILLTDCS'!P584</f>
        <v>0</v>
      </c>
      <c r="Q584" s="434">
        <f>'II-I-DIST'!Q584+'II-I-MET'!Q584+'II-I-TBILLTDCS'!Q584</f>
        <v>0</v>
      </c>
      <c r="R584" s="434">
        <f>'II-I-DIST'!R584+'II-I-MET'!R584+'II-I-TBILLTDCS'!R584</f>
        <v>0</v>
      </c>
      <c r="S584" s="434">
        <f>'II-I-DIST'!S584+'II-I-MET'!S584+'II-I-TBILLTDCS'!S584</f>
        <v>0</v>
      </c>
      <c r="T584" s="358"/>
      <c r="U584" s="118">
        <f t="shared" si="160"/>
        <v>0</v>
      </c>
      <c r="V584" s="43"/>
      <c r="W584" s="359"/>
      <c r="X584" s="370">
        <f t="shared" si="161"/>
        <v>0</v>
      </c>
    </row>
    <row r="585" spans="1:24" ht="14.25">
      <c r="A585" s="40"/>
      <c r="B585" s="17">
        <f t="shared" si="154"/>
        <v>19</v>
      </c>
      <c r="C585" s="43">
        <v>254</v>
      </c>
      <c r="D585" s="43" t="s">
        <v>155</v>
      </c>
      <c r="E585" s="358"/>
      <c r="F585" s="290">
        <f>' WP II-I-1.4'!L585</f>
        <v>0</v>
      </c>
      <c r="G585" s="358" t="s">
        <v>805</v>
      </c>
      <c r="H585" s="1" t="s">
        <v>320</v>
      </c>
      <c r="I585" s="358"/>
      <c r="J585" s="434">
        <f>'II-I-DIST'!J585+'II-I-MET'!J585+'II-I-TBILLTDCS'!J585</f>
        <v>0</v>
      </c>
      <c r="K585" s="434">
        <f>'II-I-DIST'!K585+'II-I-MET'!K585+'II-I-TBILLTDCS'!K585</f>
        <v>0</v>
      </c>
      <c r="L585" s="434">
        <f>'II-I-DIST'!L585+'II-I-MET'!L585+'II-I-TBILLTDCS'!L585</f>
        <v>0</v>
      </c>
      <c r="M585" s="434">
        <f>'II-I-DIST'!M585+'II-I-MET'!M585+'II-I-TBILLTDCS'!M585</f>
        <v>0</v>
      </c>
      <c r="N585" s="434">
        <f>'II-I-DIST'!N585+'II-I-MET'!N585+'II-I-TBILLTDCS'!N585</f>
        <v>0</v>
      </c>
      <c r="O585" s="434">
        <f>'II-I-DIST'!O585+'II-I-MET'!O585+'II-I-TBILLTDCS'!O585</f>
        <v>0</v>
      </c>
      <c r="P585" s="434">
        <f>'II-I-DIST'!P585+'II-I-MET'!P585+'II-I-TBILLTDCS'!P585</f>
        <v>0</v>
      </c>
      <c r="Q585" s="434">
        <f>'II-I-DIST'!Q585+'II-I-MET'!Q585+'II-I-TBILLTDCS'!Q585</f>
        <v>0</v>
      </c>
      <c r="R585" s="434">
        <f>'II-I-DIST'!R585+'II-I-MET'!R585+'II-I-TBILLTDCS'!R585</f>
        <v>0</v>
      </c>
      <c r="S585" s="434">
        <f>'II-I-DIST'!S585+'II-I-MET'!S585+'II-I-TBILLTDCS'!S585</f>
        <v>0</v>
      </c>
      <c r="T585" s="358"/>
      <c r="U585" s="118">
        <f t="shared" si="160"/>
        <v>0</v>
      </c>
      <c r="V585" s="43"/>
      <c r="W585" s="359"/>
      <c r="X585" s="370">
        <f t="shared" si="161"/>
        <v>0</v>
      </c>
    </row>
    <row r="586" spans="1:24" ht="14.25">
      <c r="A586" s="40"/>
      <c r="B586" s="17">
        <f t="shared" si="154"/>
        <v>20</v>
      </c>
      <c r="C586" s="43">
        <v>254</v>
      </c>
      <c r="D586" s="43" t="s">
        <v>156</v>
      </c>
      <c r="E586" s="358"/>
      <c r="F586" s="290">
        <f>' WP II-I-1.4'!L586</f>
        <v>0</v>
      </c>
      <c r="G586" s="358" t="s">
        <v>805</v>
      </c>
      <c r="H586" s="1" t="s">
        <v>320</v>
      </c>
      <c r="I586" s="358"/>
      <c r="J586" s="434">
        <f>'II-I-DIST'!J586+'II-I-MET'!J586+'II-I-TBILLTDCS'!J586</f>
        <v>0</v>
      </c>
      <c r="K586" s="434">
        <f>'II-I-DIST'!K586+'II-I-MET'!K586+'II-I-TBILLTDCS'!K586</f>
        <v>0</v>
      </c>
      <c r="L586" s="434">
        <f>'II-I-DIST'!L586+'II-I-MET'!L586+'II-I-TBILLTDCS'!L586</f>
        <v>0</v>
      </c>
      <c r="M586" s="434">
        <f>'II-I-DIST'!M586+'II-I-MET'!M586+'II-I-TBILLTDCS'!M586</f>
        <v>0</v>
      </c>
      <c r="N586" s="434">
        <f>'II-I-DIST'!N586+'II-I-MET'!N586+'II-I-TBILLTDCS'!N586</f>
        <v>0</v>
      </c>
      <c r="O586" s="434">
        <f>'II-I-DIST'!O586+'II-I-MET'!O586+'II-I-TBILLTDCS'!O586</f>
        <v>0</v>
      </c>
      <c r="P586" s="434">
        <f>'II-I-DIST'!P586+'II-I-MET'!P586+'II-I-TBILLTDCS'!P586</f>
        <v>0</v>
      </c>
      <c r="Q586" s="434">
        <f>'II-I-DIST'!Q586+'II-I-MET'!Q586+'II-I-TBILLTDCS'!Q586</f>
        <v>0</v>
      </c>
      <c r="R586" s="434">
        <f>'II-I-DIST'!R586+'II-I-MET'!R586+'II-I-TBILLTDCS'!R586</f>
        <v>0</v>
      </c>
      <c r="S586" s="434">
        <f>'II-I-DIST'!S586+'II-I-MET'!S586+'II-I-TBILLTDCS'!S586</f>
        <v>0</v>
      </c>
      <c r="T586" s="358"/>
      <c r="U586" s="118">
        <f t="shared" si="160"/>
        <v>0</v>
      </c>
      <c r="V586" s="43"/>
      <c r="W586" s="359"/>
      <c r="X586" s="370">
        <f t="shared" si="161"/>
        <v>0</v>
      </c>
    </row>
    <row r="587" spans="1:24" ht="15">
      <c r="A587" s="38"/>
      <c r="B587" s="17">
        <f t="shared" si="154"/>
        <v>21</v>
      </c>
      <c r="C587" s="35"/>
      <c r="D587" s="44" t="s">
        <v>617</v>
      </c>
      <c r="E587" s="897"/>
      <c r="F587" s="895">
        <f>SUM(F577:F586)</f>
        <v>-675721920.82681286</v>
      </c>
      <c r="G587" s="37"/>
      <c r="H587" s="897"/>
      <c r="I587" s="897"/>
      <c r="J587" s="895">
        <f t="shared" si="162" ref="J587:Q587">SUM(J577:J586)</f>
        <v>-368895875.96456158</v>
      </c>
      <c r="K587" s="895">
        <f t="shared" si="162"/>
        <v>-18858030.304963026</v>
      </c>
      <c r="L587" s="895">
        <f t="shared" si="162"/>
        <v>-224745090.28715277</v>
      </c>
      <c r="M587" s="895">
        <f t="shared" si="162"/>
        <v>-303523.58330479928</v>
      </c>
      <c r="N587" s="895">
        <f t="shared" si="162"/>
        <v>-35334279.876381472</v>
      </c>
      <c r="O587" s="895">
        <f>SUM(O577:O586)</f>
        <v>-2958355.0863206275</v>
      </c>
      <c r="P587" s="895">
        <f t="shared" si="162"/>
        <v>-912171.71674310626</v>
      </c>
      <c r="Q587" s="895">
        <f t="shared" si="162"/>
        <v>-21660413.951751277</v>
      </c>
      <c r="R587" s="895">
        <f>SUM(R577:R586)</f>
        <v>-353839.33826503041</v>
      </c>
      <c r="S587" s="895">
        <f>SUM(S577:S586)</f>
        <v>-1700340.7173688919</v>
      </c>
      <c r="T587" s="37"/>
      <c r="U587" s="21">
        <f t="shared" si="157"/>
        <v>-675721920.82681251</v>
      </c>
      <c r="V587" s="36"/>
      <c r="W587" s="1300" t="b">
        <f>' WP II-I-1.4'!$L$587=F587</f>
        <v>1</v>
      </c>
      <c r="X587" s="370">
        <f t="shared" si="149"/>
        <v>0</v>
      </c>
    </row>
    <row r="588" spans="1:24" ht="15.75" thickBot="1">
      <c r="A588" s="40"/>
      <c r="B588" s="17">
        <f t="shared" si="154"/>
        <v>22</v>
      </c>
      <c r="C588" s="35"/>
      <c r="D588" s="43"/>
      <c r="E588" s="358"/>
      <c r="F588" s="346"/>
      <c r="G588" s="358"/>
      <c r="H588" s="358"/>
      <c r="I588" s="358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58"/>
      <c r="U588" s="43"/>
      <c r="V588" s="43"/>
      <c r="W588" s="359"/>
      <c r="X588" s="370">
        <f t="shared" si="149"/>
        <v>0</v>
      </c>
    </row>
    <row r="589" spans="1:24" ht="15.75" thickBot="1">
      <c r="A589" s="38"/>
      <c r="B589" s="17">
        <f t="shared" si="154"/>
        <v>23</v>
      </c>
      <c r="C589" s="356" t="s">
        <v>618</v>
      </c>
      <c r="D589" s="278"/>
      <c r="E589" s="337" t="s">
        <v>132</v>
      </c>
      <c r="F589" s="278">
        <f>F574+F587</f>
        <v>-597346130.49681282</v>
      </c>
      <c r="G589" s="337"/>
      <c r="H589" s="457"/>
      <c r="I589" s="643"/>
      <c r="J589" s="356">
        <f t="shared" si="163" ref="J589:Q589">J574+J587</f>
        <v>-325922248.40309167</v>
      </c>
      <c r="K589" s="905">
        <f t="shared" si="163"/>
        <v>-15731134.925793126</v>
      </c>
      <c r="L589" s="905">
        <f t="shared" si="163"/>
        <v>-199770448.29085246</v>
      </c>
      <c r="M589" s="905">
        <f t="shared" si="163"/>
        <v>-215325.65334766213</v>
      </c>
      <c r="N589" s="905">
        <f t="shared" si="163"/>
        <v>-30824982.027832672</v>
      </c>
      <c r="O589" s="905">
        <f>O574+O587</f>
        <v>-2643130.3015758935</v>
      </c>
      <c r="P589" s="905">
        <f t="shared" si="163"/>
        <v>-734673.23893609818</v>
      </c>
      <c r="Q589" s="905">
        <f t="shared" si="163"/>
        <v>-19655586.486601699</v>
      </c>
      <c r="R589" s="905">
        <f>R574+R587</f>
        <v>-316317.76408072608</v>
      </c>
      <c r="S589" s="279">
        <f>S574+S587</f>
        <v>-1532283.404700591</v>
      </c>
      <c r="T589" s="457"/>
      <c r="U589" s="279">
        <f>SUM(I589:T589)</f>
        <v>-597346130.49681258</v>
      </c>
      <c r="V589" s="36"/>
      <c r="W589" s="1300" t="b">
        <f>' WP II-I-1.4'!$L$589=F589</f>
        <v>1</v>
      </c>
      <c r="X589" s="370">
        <f t="shared" si="149"/>
        <v>0</v>
      </c>
    </row>
    <row r="590" spans="1:24" ht="15.75" thickBot="1">
      <c r="A590" s="40"/>
      <c r="B590" s="17">
        <f t="shared" si="154"/>
        <v>24</v>
      </c>
      <c r="C590" s="46"/>
      <c r="D590" s="36"/>
      <c r="E590" s="37"/>
      <c r="F590" s="39"/>
      <c r="G590" s="37"/>
      <c r="H590" s="37"/>
      <c r="I590" s="37"/>
      <c r="J590" s="898"/>
      <c r="K590" s="898"/>
      <c r="L590" s="898"/>
      <c r="M590" s="898"/>
      <c r="N590" s="898"/>
      <c r="O590" s="898"/>
      <c r="P590" s="898"/>
      <c r="Q590" s="898"/>
      <c r="R590" s="898"/>
      <c r="S590" s="898"/>
      <c r="T590" s="37"/>
      <c r="U590" s="43"/>
      <c r="V590" s="36"/>
      <c r="W590" s="357"/>
      <c r="X590" s="370">
        <f t="shared" si="149"/>
        <v>0</v>
      </c>
    </row>
    <row r="591" spans="1:24" ht="15.75" thickBot="1">
      <c r="A591" s="38"/>
      <c r="B591" s="17">
        <f t="shared" si="154"/>
        <v>25</v>
      </c>
      <c r="C591" s="335" t="s">
        <v>619</v>
      </c>
      <c r="D591" s="336"/>
      <c r="E591" s="336"/>
      <c r="F591" s="360">
        <f>F552+F589</f>
        <v>314699496.47318721</v>
      </c>
      <c r="G591" s="336"/>
      <c r="H591" s="464"/>
      <c r="I591" s="335"/>
      <c r="J591" s="465">
        <f t="shared" si="164" ref="J591:Q591">J552+J589</f>
        <v>172287681.55731773</v>
      </c>
      <c r="K591" s="360">
        <f t="shared" si="164"/>
        <v>14057648.17265727</v>
      </c>
      <c r="L591" s="360">
        <f t="shared" si="164"/>
        <v>98867929.052208155</v>
      </c>
      <c r="M591" s="360">
        <f t="shared" si="164"/>
        <v>494228.67905201175</v>
      </c>
      <c r="N591" s="360">
        <f t="shared" si="164"/>
        <v>21128603.755417481</v>
      </c>
      <c r="O591" s="360">
        <f>O552+O589</f>
        <v>1504600.5241801408</v>
      </c>
      <c r="P591" s="360">
        <f t="shared" si="164"/>
        <v>835047.17749318725</v>
      </c>
      <c r="Q591" s="360">
        <f t="shared" si="164"/>
        <v>4732279.9733454734</v>
      </c>
      <c r="R591" s="360">
        <f>R552+R589</f>
        <v>163489.39363318728</v>
      </c>
      <c r="S591" s="361">
        <f>S552+S589</f>
        <v>627988.18788259546</v>
      </c>
      <c r="T591" s="464"/>
      <c r="U591" s="361">
        <f>SUM(I591:T591)</f>
        <v>314699496.47318721</v>
      </c>
      <c r="V591" s="36"/>
      <c r="W591" s="1300" t="b">
        <f>' WP II-I-1.4'!$L$591=F591</f>
        <v>1</v>
      </c>
      <c r="X591" s="370">
        <f t="shared" si="149"/>
        <v>0</v>
      </c>
    </row>
    <row r="592" spans="1:24" ht="15.75" thickBot="1">
      <c r="A592" s="40"/>
      <c r="B592" s="17">
        <f t="shared" si="154"/>
        <v>26</v>
      </c>
      <c r="C592" s="362"/>
      <c r="D592" s="362"/>
      <c r="E592" s="362"/>
      <c r="F592" s="362"/>
      <c r="G592" s="362"/>
      <c r="H592" s="362"/>
      <c r="I592" s="362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2"/>
      <c r="U592" s="362"/>
      <c r="V592" s="36"/>
      <c r="W592" s="357"/>
      <c r="X592" s="370">
        <f t="shared" si="149"/>
        <v>0</v>
      </c>
    </row>
    <row r="593" spans="1:24" ht="15.75" thickBot="1">
      <c r="A593" s="147"/>
      <c r="B593" s="17">
        <f t="shared" si="154"/>
        <v>27</v>
      </c>
      <c r="C593" s="341" t="s">
        <v>620</v>
      </c>
      <c r="D593" s="336"/>
      <c r="E593" s="337" t="s">
        <v>621</v>
      </c>
      <c r="F593" s="278">
        <f>F591+F483+F462+F441+F421+F374</f>
        <v>476441558.27934104</v>
      </c>
      <c r="G593" s="337"/>
      <c r="H593" s="457"/>
      <c r="I593" s="643"/>
      <c r="J593" s="356">
        <f t="shared" si="165" ref="J593:S593">J591+J483+J462+J441+J421+J374</f>
        <v>246838625.62425655</v>
      </c>
      <c r="K593" s="905">
        <f t="shared" si="165"/>
        <v>17014105.995863255</v>
      </c>
      <c r="L593" s="905">
        <f t="shared" si="165"/>
        <v>162378079.27063602</v>
      </c>
      <c r="M593" s="905">
        <f t="shared" si="165"/>
        <v>502933.33836915431</v>
      </c>
      <c r="N593" s="905">
        <f t="shared" si="165"/>
        <v>30505398.513102826</v>
      </c>
      <c r="O593" s="905">
        <f t="shared" si="165"/>
        <v>2526544.4855579962</v>
      </c>
      <c r="P593" s="905">
        <f t="shared" si="165"/>
        <v>7796321.3776761545</v>
      </c>
      <c r="Q593" s="905">
        <f t="shared" si="165"/>
        <v>7654034.1384670399</v>
      </c>
      <c r="R593" s="905">
        <f t="shared" si="165"/>
        <v>283668.31436586962</v>
      </c>
      <c r="S593" s="279">
        <f t="shared" si="165"/>
        <v>941847.22104613076</v>
      </c>
      <c r="T593" s="457"/>
      <c r="U593" s="279">
        <f>SUM(I593:T593)</f>
        <v>476441558.27934092</v>
      </c>
      <c r="V593" s="133"/>
      <c r="W593" s="1300" t="b">
        <f>' WP II-I-1.4'!$L$593=F593</f>
        <v>1</v>
      </c>
      <c r="X593" s="370">
        <f t="shared" si="149"/>
        <v>0</v>
      </c>
    </row>
    <row r="594" spans="1:24" ht="15.75" thickBot="1">
      <c r="A594" s="47"/>
      <c r="B594" s="17">
        <f t="shared" si="154"/>
        <v>28</v>
      </c>
      <c r="C594" s="36"/>
      <c r="D594" s="36"/>
      <c r="E594" s="363"/>
      <c r="F594" s="39"/>
      <c r="G594" s="363"/>
      <c r="H594" s="363"/>
      <c r="I594" s="363"/>
      <c r="J594" s="898"/>
      <c r="K594" s="898"/>
      <c r="L594" s="898"/>
      <c r="M594" s="898"/>
      <c r="N594" s="898"/>
      <c r="O594" s="898"/>
      <c r="P594" s="898"/>
      <c r="Q594" s="898"/>
      <c r="R594" s="898"/>
      <c r="S594" s="898"/>
      <c r="T594" s="363"/>
      <c r="U594" s="39"/>
      <c r="V594" s="67"/>
      <c r="X594" s="370">
        <f t="shared" si="149"/>
        <v>0</v>
      </c>
    </row>
    <row r="595" spans="1:24" ht="15.75" thickBot="1">
      <c r="A595" s="147"/>
      <c r="B595" s="17">
        <f t="shared" si="154"/>
        <v>29</v>
      </c>
      <c r="C595" s="341" t="s">
        <v>622</v>
      </c>
      <c r="D595" s="336"/>
      <c r="E595" s="337" t="s">
        <v>623</v>
      </c>
      <c r="F595" s="278">
        <f>F352+F593+F397</f>
        <v>9687950496.5693398</v>
      </c>
      <c r="G595" s="337"/>
      <c r="H595" s="457"/>
      <c r="I595" s="643"/>
      <c r="J595" s="356">
        <f t="shared" si="166" ref="J595:S595">J352+J593+J397</f>
        <v>5387717300.5741529</v>
      </c>
      <c r="K595" s="905">
        <f t="shared" si="166"/>
        <v>217035207.20092851</v>
      </c>
      <c r="L595" s="905">
        <f t="shared" si="166"/>
        <v>3375832752.7471981</v>
      </c>
      <c r="M595" s="905">
        <f t="shared" si="166"/>
        <v>3478066.6096882191</v>
      </c>
      <c r="N595" s="905">
        <f t="shared" si="166"/>
        <v>544065569.77023041</v>
      </c>
      <c r="O595" s="905">
        <f t="shared" si="166"/>
        <v>51350344.344025865</v>
      </c>
      <c r="P595" s="905">
        <f t="shared" si="166"/>
        <v>19623592.42589641</v>
      </c>
      <c r="Q595" s="905">
        <f t="shared" si="166"/>
        <v>55641786.449538231</v>
      </c>
      <c r="R595" s="905">
        <f t="shared" si="166"/>
        <v>6129597.2085581291</v>
      </c>
      <c r="S595" s="279">
        <f t="shared" si="166"/>
        <v>27076279.239122745</v>
      </c>
      <c r="T595" s="457"/>
      <c r="U595" s="279">
        <f>SUM(I595:T595)</f>
        <v>9687950496.5693398</v>
      </c>
      <c r="V595" s="133"/>
      <c r="W595" s="1300" t="b">
        <f>' WP II-I-1.4'!$L$595=U595</f>
        <v>1</v>
      </c>
      <c r="X595" s="370">
        <f t="shared" si="149"/>
        <v>0</v>
      </c>
    </row>
    <row r="596" spans="1:24" ht="14.25">
      <c r="A596" s="47"/>
      <c r="B596" s="17">
        <f t="shared" si="154"/>
        <v>30</v>
      </c>
      <c r="C596" s="43"/>
      <c r="D596" s="4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43"/>
      <c r="V596" s="67"/>
      <c r="X596" s="370">
        <f t="shared" si="149"/>
        <v>0</v>
      </c>
    </row>
    <row r="597" spans="1:24" ht="15">
      <c r="A597" s="47"/>
      <c r="B597" s="17">
        <f t="shared" si="154"/>
        <v>31</v>
      </c>
      <c r="C597" s="364" t="s">
        <v>157</v>
      </c>
      <c r="D597" s="365"/>
      <c r="E597" s="36"/>
      <c r="F597" s="202">
        <f>' WP II-I-1.4'!L597</f>
        <v>0.070499999999999993</v>
      </c>
      <c r="G597" s="358">
        <v>1</v>
      </c>
      <c r="H597" s="47" t="s">
        <v>804</v>
      </c>
      <c r="I597" s="36"/>
      <c r="J597" s="365">
        <f t="shared" si="167" ref="J597:S597">$F597</f>
        <v>0.070499999999999993</v>
      </c>
      <c r="K597" s="365">
        <f t="shared" si="167"/>
        <v>0.070499999999999993</v>
      </c>
      <c r="L597" s="365">
        <f t="shared" si="167"/>
        <v>0.070499999999999993</v>
      </c>
      <c r="M597" s="365">
        <f t="shared" si="167"/>
        <v>0.070499999999999993</v>
      </c>
      <c r="N597" s="365">
        <f t="shared" si="167"/>
        <v>0.070499999999999993</v>
      </c>
      <c r="O597" s="365">
        <f t="shared" si="167"/>
        <v>0.070499999999999993</v>
      </c>
      <c r="P597" s="365">
        <f t="shared" si="167"/>
        <v>0.070499999999999993</v>
      </c>
      <c r="Q597" s="365">
        <f t="shared" si="167"/>
        <v>0.070499999999999993</v>
      </c>
      <c r="R597" s="365">
        <f t="shared" si="167"/>
        <v>0.070499999999999993</v>
      </c>
      <c r="S597" s="365">
        <f t="shared" si="167"/>
        <v>0.070499999999999993</v>
      </c>
      <c r="T597" s="36"/>
      <c r="U597" s="282">
        <f>U599/U595</f>
        <v>0.070499999999999979</v>
      </c>
      <c r="V597" s="67"/>
      <c r="W597" s="1300" t="b">
        <f>' WP II-I-1.4'!$L$597=U597</f>
        <v>1</v>
      </c>
      <c r="X597" s="370">
        <f t="shared" si="149"/>
        <v>0</v>
      </c>
    </row>
    <row r="598" spans="1:24" ht="15" thickBot="1">
      <c r="A598" s="47"/>
      <c r="B598" s="17">
        <f t="shared" si="154"/>
        <v>32</v>
      </c>
      <c r="C598" s="1"/>
      <c r="D598" s="263"/>
      <c r="E598" s="263"/>
      <c r="F598" s="12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12"/>
      <c r="V598" s="67"/>
      <c r="X598" s="370">
        <f t="shared" si="149"/>
        <v>0</v>
      </c>
    </row>
    <row r="599" spans="1:24" ht="15.75" thickBot="1">
      <c r="A599" s="47"/>
      <c r="B599" s="17">
        <f t="shared" si="154"/>
        <v>33</v>
      </c>
      <c r="C599" s="341" t="s">
        <v>624</v>
      </c>
      <c r="D599" s="336"/>
      <c r="E599" s="337"/>
      <c r="F599" s="278">
        <f>+F595*F597</f>
        <v>683000510.00813842</v>
      </c>
      <c r="G599" s="337"/>
      <c r="H599" s="457"/>
      <c r="I599" s="643"/>
      <c r="J599" s="356">
        <f t="shared" si="168" ref="J599:Q599">+J595*J597</f>
        <v>379834069.69047773</v>
      </c>
      <c r="K599" s="905">
        <f t="shared" si="168"/>
        <v>15300982.107665459</v>
      </c>
      <c r="L599" s="905">
        <f t="shared" si="168"/>
        <v>237996209.06867746</v>
      </c>
      <c r="M599" s="905">
        <f t="shared" si="168"/>
        <v>245203.69598301943</v>
      </c>
      <c r="N599" s="905">
        <f t="shared" si="168"/>
        <v>38356622.668801241</v>
      </c>
      <c r="O599" s="905">
        <f>+O595*O597</f>
        <v>3620199.2762538232</v>
      </c>
      <c r="P599" s="905">
        <f t="shared" si="168"/>
        <v>1383463.2660256969</v>
      </c>
      <c r="Q599" s="905">
        <f t="shared" si="168"/>
        <v>3922745.944692445</v>
      </c>
      <c r="R599" s="905">
        <f>+R595*R597</f>
        <v>432136.60320334806</v>
      </c>
      <c r="S599" s="279">
        <f>+S595*S597</f>
        <v>1908877.6863581534</v>
      </c>
      <c r="T599" s="457"/>
      <c r="U599" s="256">
        <f>SUM(I599:T599)</f>
        <v>683000510.0081383</v>
      </c>
      <c r="V599" s="67"/>
      <c r="W599" s="1300" t="b">
        <f>' WP II-I-1.4'!$L$599=U599</f>
        <v>0</v>
      </c>
      <c r="X599" s="370">
        <f t="shared" si="149"/>
        <v>0</v>
      </c>
    </row>
    <row r="600" spans="1:24" ht="14.25">
      <c r="A600" s="4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X600" s="370">
        <f t="shared" si="149"/>
        <v>0</v>
      </c>
    </row>
    <row r="601" spans="1:24" ht="14.25">
      <c r="A601" s="47"/>
      <c r="B601" s="67"/>
      <c r="C601" s="67"/>
      <c r="D601" s="67"/>
      <c r="E601" s="67"/>
      <c r="F601" s="67"/>
      <c r="G601" s="67"/>
      <c r="H601" s="134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134"/>
      <c r="V601" s="134"/>
      <c r="X601" s="370"/>
    </row>
    <row r="602" spans="1:24" ht="15" thickBot="1">
      <c r="A602" s="4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X602" s="370">
        <f t="shared" si="149"/>
        <v>0</v>
      </c>
    </row>
    <row r="603" spans="1:24" ht="15">
      <c r="A603" s="47"/>
      <c r="B603" s="920" t="str">
        <f>+$B$4</f>
        <v>2022 RATE CASE</v>
      </c>
      <c r="C603" s="935"/>
      <c r="D603" s="969"/>
      <c r="F603" s="332"/>
      <c r="U603" s="134" t="s">
        <v>0</v>
      </c>
      <c r="X603" s="370"/>
    </row>
    <row r="604" spans="1:24" ht="15">
      <c r="A604" s="47"/>
      <c r="B604" s="917" t="str">
        <f>+$B$5</f>
        <v>ONCOR ELECTRIC DELIVERY COMPANY LLC</v>
      </c>
      <c r="C604" s="8"/>
      <c r="D604" s="970"/>
      <c r="F604" s="332"/>
      <c r="U604" s="134"/>
      <c r="V604" s="67"/>
      <c r="X604" s="370">
        <f t="shared" si="149"/>
        <v>0</v>
      </c>
    </row>
    <row r="605" spans="1:24" ht="15">
      <c r="A605" s="47"/>
      <c r="B605" s="917" t="str">
        <f>+$B$6</f>
        <v>II-I-1-TOT:  CLASS REVENUE REQUIREMENT</v>
      </c>
      <c r="C605" s="85"/>
      <c r="D605" s="970"/>
      <c r="F605" s="332"/>
      <c r="U605" s="332"/>
      <c r="V605" s="67"/>
      <c r="X605" s="370">
        <f t="shared" si="149"/>
        <v>0</v>
      </c>
    </row>
    <row r="606" spans="1:24" ht="15">
      <c r="A606" s="47"/>
      <c r="B606" s="406" t="str">
        <f>+$B$7</f>
        <v>TEST YEAR ENDING 12/31/2021</v>
      </c>
      <c r="C606" s="85"/>
      <c r="D606" s="970"/>
      <c r="F606" s="332"/>
      <c r="U606" s="332"/>
      <c r="V606" s="67"/>
      <c r="X606" s="370">
        <f t="shared" si="149"/>
        <v>0</v>
      </c>
    </row>
    <row r="607" spans="1:24" ht="15">
      <c r="A607" s="47"/>
      <c r="B607" s="406" t="str">
        <f>+$B$8</f>
        <v>SPONSOR:  MATTHEW A. TROXLE</v>
      </c>
      <c r="C607" s="85"/>
      <c r="D607" s="970"/>
      <c r="F607" s="332"/>
      <c r="U607" s="332"/>
      <c r="V607" s="67"/>
      <c r="X607" s="370">
        <f t="shared" si="149"/>
        <v>0</v>
      </c>
    </row>
    <row r="608" spans="1:24" ht="15.75" thickBot="1">
      <c r="A608" s="47"/>
      <c r="B608" s="410"/>
      <c r="C608" s="934"/>
      <c r="D608" s="936"/>
      <c r="F608" s="332"/>
      <c r="U608" s="332"/>
      <c r="V608" s="67"/>
      <c r="X608" s="370">
        <f t="shared" si="149"/>
        <v>0</v>
      </c>
    </row>
    <row r="609" spans="1:24" ht="15" thickBot="1">
      <c r="A609" s="47"/>
      <c r="B609" s="13"/>
      <c r="C609" s="14"/>
      <c r="D609" s="14"/>
      <c r="E609" s="14"/>
      <c r="F609" s="13"/>
      <c r="G609" s="14"/>
      <c r="H609" s="14"/>
      <c r="I609" s="14"/>
      <c r="J609" s="238"/>
      <c r="K609" s="238"/>
      <c r="L609" s="14"/>
      <c r="M609" s="238"/>
      <c r="N609" s="238"/>
      <c r="O609" s="238"/>
      <c r="P609" s="238"/>
      <c r="Q609" s="14"/>
      <c r="R609" s="393" t="str">
        <f>R$10</f>
        <v xml:space="preserve"> </v>
      </c>
      <c r="S609" s="394"/>
      <c r="T609" s="238"/>
      <c r="U609" s="13"/>
      <c r="V609" s="67"/>
      <c r="X609" s="370">
        <f t="shared" si="149"/>
        <v>0</v>
      </c>
    </row>
    <row r="610" spans="1:24" ht="15">
      <c r="A610" s="47"/>
      <c r="B610" s="15" t="s">
        <v>2</v>
      </c>
      <c r="C610" s="15" t="s">
        <v>370</v>
      </c>
      <c r="D610" s="287" t="s">
        <v>625</v>
      </c>
      <c r="E610" s="15" t="s">
        <v>371</v>
      </c>
      <c r="F610" s="287" t="str">
        <f>F$11</f>
        <v>TOTAL</v>
      </c>
      <c r="G610" s="242" t="s">
        <v>741</v>
      </c>
      <c r="H610" s="242" t="s">
        <v>376</v>
      </c>
      <c r="I610" s="15"/>
      <c r="J610" s="242" t="s">
        <v>730</v>
      </c>
      <c r="K610" s="242" t="s">
        <v>409</v>
      </c>
      <c r="L610" s="15" t="s">
        <v>409</v>
      </c>
      <c r="M610" s="242" t="s">
        <v>410</v>
      </c>
      <c r="N610" s="242" t="s">
        <v>410</v>
      </c>
      <c r="O610" s="242" t="s">
        <v>410</v>
      </c>
      <c r="P610" s="242" t="s">
        <v>411</v>
      </c>
      <c r="Q610" s="15" t="s">
        <v>412</v>
      </c>
      <c r="R610" s="396" t="str">
        <f>R$11</f>
        <v>Wholesale</v>
      </c>
      <c r="S610" s="13" t="str">
        <f>S$11</f>
        <v>Wholesale</v>
      </c>
      <c r="T610" s="242"/>
      <c r="U610" s="15" t="s">
        <v>10</v>
      </c>
      <c r="V610" s="67"/>
      <c r="X610" s="370"/>
    </row>
    <row r="611" spans="1:24" ht="14.25">
      <c r="A611" s="47"/>
      <c r="B611" s="15"/>
      <c r="C611" s="15"/>
      <c r="D611" s="15"/>
      <c r="E611" s="15"/>
      <c r="F611" s="15" t="str">
        <f>F$12</f>
        <v>(Dist+Met+Cust)</v>
      </c>
      <c r="G611" s="242" t="s">
        <v>742</v>
      </c>
      <c r="H611" s="242" t="s">
        <v>743</v>
      </c>
      <c r="I611" s="15"/>
      <c r="J611" s="242"/>
      <c r="K611" s="242" t="s">
        <v>731</v>
      </c>
      <c r="L611" s="15" t="s">
        <v>732</v>
      </c>
      <c r="M611" s="242" t="s">
        <v>731</v>
      </c>
      <c r="N611" s="242" t="s">
        <v>732</v>
      </c>
      <c r="O611" s="242" t="s">
        <v>414</v>
      </c>
      <c r="P611" s="242"/>
      <c r="Q611" s="15"/>
      <c r="R611" s="235" t="str">
        <f>R$12</f>
        <v>XFMR</v>
      </c>
      <c r="S611" s="15" t="str">
        <f>S$12</f>
        <v>DLS</v>
      </c>
      <c r="T611" s="242"/>
      <c r="U611" s="15"/>
      <c r="V611" s="67"/>
      <c r="X611" s="370"/>
    </row>
    <row r="612" spans="1:24" ht="15" thickBot="1">
      <c r="A612" s="47"/>
      <c r="B612" s="16"/>
      <c r="C612" s="16"/>
      <c r="D612" s="16"/>
      <c r="E612" s="16"/>
      <c r="F612" s="16" t="s">
        <v>13</v>
      </c>
      <c r="G612" s="16" t="s">
        <v>14</v>
      </c>
      <c r="H612" s="16" t="s">
        <v>15</v>
      </c>
      <c r="I612" s="16"/>
      <c r="J612" s="243" t="str">
        <f t="shared" si="169" ref="J612:Q612">J$13</f>
        <v>(d)</v>
      </c>
      <c r="K612" s="243" t="str">
        <f t="shared" si="169"/>
        <v>(e)</v>
      </c>
      <c r="L612" s="16" t="str">
        <f t="shared" si="169"/>
        <v>(f)</v>
      </c>
      <c r="M612" s="243" t="str">
        <f t="shared" si="169"/>
        <v>(g)</v>
      </c>
      <c r="N612" s="243" t="str">
        <f t="shared" si="169"/>
        <v>(h)</v>
      </c>
      <c r="O612" s="243" t="str">
        <f>O$13</f>
        <v>(i)</v>
      </c>
      <c r="P612" s="243" t="str">
        <f t="shared" si="169"/>
        <v>(j)</v>
      </c>
      <c r="Q612" s="243" t="str">
        <f t="shared" si="169"/>
        <v>(k)</v>
      </c>
      <c r="R612" s="243" t="str">
        <f>R$13</f>
        <v>(l)</v>
      </c>
      <c r="S612" s="16" t="str">
        <f>S$13</f>
        <v>(m)</v>
      </c>
      <c r="T612" s="16"/>
      <c r="U612" s="16" t="s">
        <v>734</v>
      </c>
      <c r="V612" s="67"/>
      <c r="X612" s="370"/>
    </row>
    <row r="613" spans="1:24" ht="14.25">
      <c r="A613" s="47"/>
      <c r="B613" s="47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43"/>
      <c r="V613" s="67"/>
      <c r="X613" s="370">
        <f t="shared" si="149"/>
        <v>0</v>
      </c>
    </row>
    <row r="614" spans="1:24" ht="15">
      <c r="A614" s="47"/>
      <c r="B614" s="17">
        <f t="shared" si="170" ref="B614:B640">B613+1</f>
        <v>1</v>
      </c>
      <c r="C614" s="8" t="s">
        <v>625</v>
      </c>
      <c r="D614" s="8"/>
      <c r="E614" s="20"/>
      <c r="F614" s="8"/>
      <c r="G614" s="20"/>
      <c r="H614" s="20"/>
      <c r="I614" s="20"/>
      <c r="J614" s="20"/>
      <c r="K614" s="20"/>
      <c r="L614" s="907"/>
      <c r="M614" s="20"/>
      <c r="N614" s="20"/>
      <c r="O614" s="20"/>
      <c r="P614" s="20"/>
      <c r="Q614" s="20"/>
      <c r="R614" s="20"/>
      <c r="S614" s="20"/>
      <c r="T614" s="20"/>
      <c r="U614" s="8"/>
      <c r="V614" s="67"/>
      <c r="X614" s="370">
        <f t="shared" si="171" ref="X614:X677">U614-F614</f>
        <v>0</v>
      </c>
    </row>
    <row r="615" spans="1:24" ht="15">
      <c r="A615" s="47"/>
      <c r="B615" s="17">
        <f t="shared" si="170"/>
        <v>2</v>
      </c>
      <c r="C615" s="8"/>
      <c r="D615" s="8"/>
      <c r="E615" s="20"/>
      <c r="F615" s="8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8"/>
      <c r="V615" s="67"/>
      <c r="X615" s="370">
        <f t="shared" si="171"/>
        <v>0</v>
      </c>
    </row>
    <row r="616" spans="1:24" ht="15">
      <c r="A616" s="47"/>
      <c r="B616" s="17">
        <f t="shared" si="170"/>
        <v>3</v>
      </c>
      <c r="C616" s="8"/>
      <c r="D616" s="366" t="s">
        <v>626</v>
      </c>
      <c r="E616" s="20" t="s">
        <v>160</v>
      </c>
      <c r="F616" s="8"/>
      <c r="G616" s="20"/>
      <c r="H616" s="20"/>
      <c r="I616" s="20"/>
      <c r="J616" s="1059"/>
      <c r="K616" s="1059"/>
      <c r="L616" s="1059"/>
      <c r="M616" s="1059"/>
      <c r="N616" s="1059"/>
      <c r="O616" s="1059"/>
      <c r="P616" s="1059"/>
      <c r="Q616" s="1059"/>
      <c r="R616" s="1059"/>
      <c r="S616" s="1059"/>
      <c r="T616" s="20"/>
      <c r="U616" s="8"/>
      <c r="V616" s="67"/>
      <c r="X616" s="370">
        <f t="shared" si="171"/>
        <v>0</v>
      </c>
    </row>
    <row r="617" spans="1:24" ht="14.25">
      <c r="A617" s="47"/>
      <c r="B617" s="17">
        <f t="shared" si="170"/>
        <v>4</v>
      </c>
      <c r="C617" s="28" t="s">
        <v>161</v>
      </c>
      <c r="D617" s="1" t="s">
        <v>162</v>
      </c>
      <c r="E617" s="17"/>
      <c r="F617" s="118">
        <f>' WP II-I-1.4'!L617</f>
        <v>48834.199999999997</v>
      </c>
      <c r="G617" s="17" t="s">
        <v>805</v>
      </c>
      <c r="H617" s="47" t="s">
        <v>320</v>
      </c>
      <c r="I617" s="17"/>
      <c r="J617" s="434">
        <f>'II-I-DIST'!J617+'II-I-MET'!J617+'II-I-TBILLTDCS'!J617</f>
        <v>25702.561862199545</v>
      </c>
      <c r="K617" s="434">
        <f>'II-I-DIST'!K617+'II-I-MET'!K617+'II-I-TBILLTDCS'!K617</f>
        <v>627.6621043526784</v>
      </c>
      <c r="L617" s="434">
        <f>'II-I-DIST'!L617+'II-I-MET'!L617+'II-I-TBILLTDCS'!L617</f>
        <v>16549.1685423157</v>
      </c>
      <c r="M617" s="434">
        <f>'II-I-DIST'!M617+'II-I-MET'!M617+'II-I-TBILLTDCS'!M617</f>
        <v>9.3559271139431974</v>
      </c>
      <c r="N617" s="434">
        <f>'II-I-DIST'!N617+'II-I-MET'!N617+'II-I-TBILLTDCS'!N617</f>
        <v>3959.899383000844</v>
      </c>
      <c r="O617" s="434">
        <f>'II-I-DIST'!O617+'II-I-MET'!O617+'II-I-TBILLTDCS'!O617</f>
        <v>1432.0371397511253</v>
      </c>
      <c r="P617" s="434">
        <f>'II-I-DIST'!P617+'II-I-MET'!P617+'II-I-TBILLTDCS'!P617</f>
        <v>0</v>
      </c>
      <c r="Q617" s="434">
        <f>'II-I-DIST'!Q617+'II-I-MET'!Q617+'II-I-TBILLTDCS'!Q617</f>
        <v>166.92210477347811</v>
      </c>
      <c r="R617" s="434">
        <f>'II-I-DIST'!R617+'II-I-MET'!R617+'II-I-TBILLTDCS'!R617</f>
        <v>171.63861414820951</v>
      </c>
      <c r="S617" s="434">
        <f>'II-I-DIST'!S617+'II-I-MET'!S617+'II-I-TBILLTDCS'!S617</f>
        <v>214.95432234447449</v>
      </c>
      <c r="T617" s="17"/>
      <c r="U617" s="121">
        <f t="shared" si="172" ref="U617:U625">SUM(I617:T617)</f>
        <v>48834.200000000004</v>
      </c>
      <c r="V617" s="67"/>
      <c r="X617" s="370">
        <f t="shared" si="171"/>
        <v>0</v>
      </c>
    </row>
    <row r="618" spans="1:24" ht="14.25">
      <c r="A618" s="47"/>
      <c r="B618" s="17">
        <f t="shared" si="170"/>
        <v>5</v>
      </c>
      <c r="C618" s="1" t="s">
        <v>163</v>
      </c>
      <c r="D618" s="1" t="s">
        <v>164</v>
      </c>
      <c r="E618" s="17"/>
      <c r="F618" s="118">
        <f>' WP II-I-1.4'!L618</f>
        <v>0</v>
      </c>
      <c r="G618" s="17" t="s">
        <v>805</v>
      </c>
      <c r="H618" s="47" t="s">
        <v>320</v>
      </c>
      <c r="I618" s="17"/>
      <c r="J618" s="434">
        <f>'II-I-DIST'!J618+'II-I-MET'!J618+'II-I-TBILLTDCS'!J618</f>
        <v>0</v>
      </c>
      <c r="K618" s="434">
        <f>'II-I-DIST'!K618+'II-I-MET'!K618+'II-I-TBILLTDCS'!K618</f>
        <v>0</v>
      </c>
      <c r="L618" s="434">
        <f>'II-I-DIST'!L618+'II-I-MET'!L618+'II-I-TBILLTDCS'!L618</f>
        <v>0</v>
      </c>
      <c r="M618" s="434">
        <f>'II-I-DIST'!M618+'II-I-MET'!M618+'II-I-TBILLTDCS'!M618</f>
        <v>0</v>
      </c>
      <c r="N618" s="434">
        <f>'II-I-DIST'!N618+'II-I-MET'!N618+'II-I-TBILLTDCS'!N618</f>
        <v>0</v>
      </c>
      <c r="O618" s="434">
        <f>'II-I-DIST'!O618+'II-I-MET'!O618+'II-I-TBILLTDCS'!O618</f>
        <v>0</v>
      </c>
      <c r="P618" s="434">
        <f>'II-I-DIST'!P618+'II-I-MET'!P618+'II-I-TBILLTDCS'!P618</f>
        <v>0</v>
      </c>
      <c r="Q618" s="434">
        <f>'II-I-DIST'!Q618+'II-I-MET'!Q618+'II-I-TBILLTDCS'!Q618</f>
        <v>0</v>
      </c>
      <c r="R618" s="434">
        <f>'II-I-DIST'!R618+'II-I-MET'!R618+'II-I-TBILLTDCS'!R618</f>
        <v>0</v>
      </c>
      <c r="S618" s="434">
        <f>'II-I-DIST'!S618+'II-I-MET'!S618+'II-I-TBILLTDCS'!S618</f>
        <v>0</v>
      </c>
      <c r="T618" s="17"/>
      <c r="U618" s="121">
        <f t="shared" si="172"/>
        <v>0</v>
      </c>
      <c r="V618" s="67"/>
      <c r="X618" s="370">
        <f t="shared" si="171"/>
        <v>0</v>
      </c>
    </row>
    <row r="619" spans="1:24" ht="14.25">
      <c r="A619" s="47"/>
      <c r="B619" s="17">
        <f t="shared" si="170"/>
        <v>6</v>
      </c>
      <c r="C619" s="1" t="s">
        <v>165</v>
      </c>
      <c r="D619" s="1" t="s">
        <v>166</v>
      </c>
      <c r="E619" s="17"/>
      <c r="F619" s="118">
        <f>' WP II-I-1.4'!L619</f>
        <v>522283.20000000001</v>
      </c>
      <c r="G619" s="17" t="s">
        <v>805</v>
      </c>
      <c r="H619" s="47" t="s">
        <v>320</v>
      </c>
      <c r="I619" s="17"/>
      <c r="J619" s="434">
        <f>'II-I-DIST'!J619+'II-I-MET'!J619+'II-I-TBILLTDCS'!J619</f>
        <v>274889.65228441416</v>
      </c>
      <c r="K619" s="434">
        <f>'II-I-DIST'!K619+'II-I-MET'!K619+'II-I-TBILLTDCS'!K619</f>
        <v>6712.8645985815438</v>
      </c>
      <c r="L619" s="434">
        <f>'II-I-DIST'!L619+'II-I-MET'!L619+'II-I-TBILLTDCS'!L619</f>
        <v>176993.84250422817</v>
      </c>
      <c r="M619" s="434">
        <f>'II-I-DIST'!M619+'II-I-MET'!M619+'II-I-TBILLTDCS'!M619</f>
        <v>100.06191464254597</v>
      </c>
      <c r="N619" s="434">
        <f>'II-I-DIST'!N619+'II-I-MET'!N619+'II-I-TBILLTDCS'!N619</f>
        <v>42351.239939053092</v>
      </c>
      <c r="O619" s="434">
        <f>'II-I-DIST'!O619+'II-I-MET'!O619+'II-I-TBILLTDCS'!O619</f>
        <v>15315.679172957987</v>
      </c>
      <c r="P619" s="434">
        <f>'II-I-DIST'!P619+'II-I-MET'!P619+'II-I-TBILLTDCS'!P619</f>
        <v>0</v>
      </c>
      <c r="Q619" s="434">
        <f>'II-I-DIST'!Q619+'II-I-MET'!Q619+'II-I-TBILLTDCS'!Q619</f>
        <v>1785.2368019098794</v>
      </c>
      <c r="R619" s="434">
        <f>'II-I-DIST'!R619+'II-I-MET'!R619+'II-I-TBILLTDCS'!R619</f>
        <v>1835.6800078816102</v>
      </c>
      <c r="S619" s="434">
        <f>'II-I-DIST'!S619+'II-I-MET'!S619+'II-I-TBILLTDCS'!S619</f>
        <v>2298.9427763310068</v>
      </c>
      <c r="T619" s="17"/>
      <c r="U619" s="121">
        <f t="shared" si="172"/>
        <v>522283.20000000001</v>
      </c>
      <c r="V619" s="67"/>
      <c r="X619" s="370">
        <f t="shared" si="171"/>
        <v>0</v>
      </c>
    </row>
    <row r="620" spans="1:24" ht="14.25">
      <c r="A620" s="47"/>
      <c r="B620" s="17">
        <f t="shared" si="170"/>
        <v>7</v>
      </c>
      <c r="C620" s="1" t="s">
        <v>167</v>
      </c>
      <c r="D620" s="1" t="s">
        <v>168</v>
      </c>
      <c r="E620" s="17"/>
      <c r="F620" s="118">
        <f>' WP II-I-1.4'!L620</f>
        <v>0</v>
      </c>
      <c r="G620" s="17" t="s">
        <v>805</v>
      </c>
      <c r="H620" s="47" t="s">
        <v>320</v>
      </c>
      <c r="I620" s="17"/>
      <c r="J620" s="434">
        <f>'II-I-DIST'!J620+'II-I-MET'!J620+'II-I-TBILLTDCS'!J620</f>
        <v>0</v>
      </c>
      <c r="K620" s="434">
        <f>'II-I-DIST'!K620+'II-I-MET'!K620+'II-I-TBILLTDCS'!K620</f>
        <v>0</v>
      </c>
      <c r="L620" s="434">
        <f>'II-I-DIST'!L620+'II-I-MET'!L620+'II-I-TBILLTDCS'!L620</f>
        <v>0</v>
      </c>
      <c r="M620" s="434">
        <f>'II-I-DIST'!M620+'II-I-MET'!M620+'II-I-TBILLTDCS'!M620</f>
        <v>0</v>
      </c>
      <c r="N620" s="434">
        <f>'II-I-DIST'!N620+'II-I-MET'!N620+'II-I-TBILLTDCS'!N620</f>
        <v>0</v>
      </c>
      <c r="O620" s="434">
        <f>'II-I-DIST'!O620+'II-I-MET'!O620+'II-I-TBILLTDCS'!O620</f>
        <v>0</v>
      </c>
      <c r="P620" s="434">
        <f>'II-I-DIST'!P620+'II-I-MET'!P620+'II-I-TBILLTDCS'!P620</f>
        <v>0</v>
      </c>
      <c r="Q620" s="434">
        <f>'II-I-DIST'!Q620+'II-I-MET'!Q620+'II-I-TBILLTDCS'!Q620</f>
        <v>0</v>
      </c>
      <c r="R620" s="434">
        <f>'II-I-DIST'!R620+'II-I-MET'!R620+'II-I-TBILLTDCS'!R620</f>
        <v>0</v>
      </c>
      <c r="S620" s="434">
        <f>'II-I-DIST'!S620+'II-I-MET'!S620+'II-I-TBILLTDCS'!S620</f>
        <v>0</v>
      </c>
      <c r="T620" s="17"/>
      <c r="U620" s="121">
        <f t="shared" si="172"/>
        <v>0</v>
      </c>
      <c r="V620" s="67"/>
      <c r="X620" s="370">
        <f t="shared" si="171"/>
        <v>0</v>
      </c>
    </row>
    <row r="621" spans="1:24" ht="14.25">
      <c r="A621" s="47"/>
      <c r="B621" s="17">
        <f t="shared" si="170"/>
        <v>8</v>
      </c>
      <c r="C621" s="1" t="s">
        <v>169</v>
      </c>
      <c r="D621" s="1" t="s">
        <v>170</v>
      </c>
      <c r="E621" s="17"/>
      <c r="F621" s="118">
        <f>' WP II-I-1.4'!L621</f>
        <v>0</v>
      </c>
      <c r="G621" s="17" t="s">
        <v>805</v>
      </c>
      <c r="H621" s="47" t="s">
        <v>320</v>
      </c>
      <c r="I621" s="17"/>
      <c r="J621" s="434">
        <f>'II-I-DIST'!J621+'II-I-MET'!J621+'II-I-TBILLTDCS'!J621</f>
        <v>0</v>
      </c>
      <c r="K621" s="434">
        <f>'II-I-DIST'!K621+'II-I-MET'!K621+'II-I-TBILLTDCS'!K621</f>
        <v>0</v>
      </c>
      <c r="L621" s="434">
        <f>'II-I-DIST'!L621+'II-I-MET'!L621+'II-I-TBILLTDCS'!L621</f>
        <v>0</v>
      </c>
      <c r="M621" s="434">
        <f>'II-I-DIST'!M621+'II-I-MET'!M621+'II-I-TBILLTDCS'!M621</f>
        <v>0</v>
      </c>
      <c r="N621" s="434">
        <f>'II-I-DIST'!N621+'II-I-MET'!N621+'II-I-TBILLTDCS'!N621</f>
        <v>0</v>
      </c>
      <c r="O621" s="434">
        <f>'II-I-DIST'!O621+'II-I-MET'!O621+'II-I-TBILLTDCS'!O621</f>
        <v>0</v>
      </c>
      <c r="P621" s="434">
        <f>'II-I-DIST'!P621+'II-I-MET'!P621+'II-I-TBILLTDCS'!P621</f>
        <v>0</v>
      </c>
      <c r="Q621" s="434">
        <f>'II-I-DIST'!Q621+'II-I-MET'!Q621+'II-I-TBILLTDCS'!Q621</f>
        <v>0</v>
      </c>
      <c r="R621" s="434">
        <f>'II-I-DIST'!R621+'II-I-MET'!R621+'II-I-TBILLTDCS'!R621</f>
        <v>0</v>
      </c>
      <c r="S621" s="434">
        <f>'II-I-DIST'!S621+'II-I-MET'!S621+'II-I-TBILLTDCS'!S621</f>
        <v>0</v>
      </c>
      <c r="T621" s="17"/>
      <c r="U621" s="121">
        <f t="shared" si="172"/>
        <v>0</v>
      </c>
      <c r="V621" s="67"/>
      <c r="X621" s="370">
        <f t="shared" si="171"/>
        <v>0</v>
      </c>
    </row>
    <row r="622" spans="1:24" s="386" customFormat="1" ht="15">
      <c r="A622" s="612"/>
      <c r="B622" s="17">
        <f t="shared" si="170"/>
        <v>9</v>
      </c>
      <c r="C622" s="1" t="s">
        <v>171</v>
      </c>
      <c r="D622" s="1" t="s">
        <v>172</v>
      </c>
      <c r="E622" s="17"/>
      <c r="F622" s="290">
        <f>' WP II-I-1.4'!L622</f>
        <v>1652522021.4399998</v>
      </c>
      <c r="G622" s="17" t="s">
        <v>805</v>
      </c>
      <c r="H622" s="47" t="s">
        <v>320</v>
      </c>
      <c r="I622" s="17"/>
      <c r="J622" s="434">
        <f>'II-I-DIST'!J622+'II-I-MET'!J622+'II-I-TBILLTDCS'!J622</f>
        <v>758188212.5284481</v>
      </c>
      <c r="K622" s="434">
        <f>'II-I-DIST'!K622+'II-I-MET'!K622+'II-I-TBILLTDCS'!K622</f>
        <v>21192617.197626065</v>
      </c>
      <c r="L622" s="434">
        <f>'II-I-DIST'!L622+'II-I-MET'!L622+'II-I-TBILLTDCS'!L622</f>
        <v>551175463.58832192</v>
      </c>
      <c r="M622" s="434">
        <f>'II-I-DIST'!M622+'II-I-MET'!M622+'II-I-TBILLTDCS'!M622</f>
        <v>219196.03634105407</v>
      </c>
      <c r="N622" s="434">
        <f>'II-I-DIST'!N622+'II-I-MET'!N622+'II-I-TBILLTDCS'!N622</f>
        <v>138570539.70599067</v>
      </c>
      <c r="O622" s="434">
        <f>'II-I-DIST'!O622+'II-I-MET'!O622+'II-I-TBILLTDCS'!O622</f>
        <v>45384309.083489172</v>
      </c>
      <c r="P622" s="434">
        <f>'II-I-DIST'!P622+'II-I-MET'!P622+'II-I-TBILLTDCS'!P622</f>
        <v>137791683.29978278</v>
      </c>
      <c r="Q622" s="434">
        <f>'II-I-DIST'!Q622+'II-I-MET'!Q622+'II-I-TBILLTDCS'!Q622</f>
        <v>0</v>
      </c>
      <c r="R622" s="434">
        <f>'II-I-DIST'!R622+'II-I-MET'!R622+'II-I-TBILLTDCS'!R622</f>
        <v>0</v>
      </c>
      <c r="S622" s="434">
        <f>'II-I-DIST'!S622+'II-I-MET'!S622+'II-I-TBILLTDCS'!S622</f>
        <v>0</v>
      </c>
      <c r="T622" s="17"/>
      <c r="U622" s="24">
        <f t="shared" si="172"/>
        <v>1652522021.4399998</v>
      </c>
      <c r="V622" s="612"/>
      <c r="W622" s="860"/>
      <c r="X622" s="839">
        <f t="shared" si="171"/>
        <v>0</v>
      </c>
    </row>
    <row r="623" spans="1:24" ht="14.25">
      <c r="A623" s="47"/>
      <c r="B623" s="17">
        <f t="shared" si="170"/>
        <v>10</v>
      </c>
      <c r="C623" s="1" t="s">
        <v>173</v>
      </c>
      <c r="D623" s="31" t="s">
        <v>174</v>
      </c>
      <c r="E623" s="17"/>
      <c r="F623" s="118">
        <f>' WP II-I-1.4'!L623</f>
        <v>271783.87</v>
      </c>
      <c r="G623" s="17" t="s">
        <v>805</v>
      </c>
      <c r="H623" s="47" t="s">
        <v>320</v>
      </c>
      <c r="I623" s="17"/>
      <c r="J623" s="434">
        <f>'II-I-DIST'!J623+'II-I-MET'!J623+'II-I-TBILLTDCS'!J623</f>
        <v>143046.09744447537</v>
      </c>
      <c r="K623" s="434">
        <f>'II-I-DIST'!K623+'II-I-MET'!K623+'II-I-TBILLTDCS'!K623</f>
        <v>3493.2165526068775</v>
      </c>
      <c r="L623" s="434">
        <f>'II-I-DIST'!L623+'II-I-MET'!L623+'II-I-TBILLTDCS'!L623</f>
        <v>92103.424888967565</v>
      </c>
      <c r="M623" s="434">
        <f>'II-I-DIST'!M623+'II-I-MET'!M623+'II-I-TBILLTDCS'!M623</f>
        <v>52.069862482960986</v>
      </c>
      <c r="N623" s="434">
        <f>'II-I-DIST'!N623+'II-I-MET'!N623+'II-I-TBILLTDCS'!N623</f>
        <v>22038.587283555</v>
      </c>
      <c r="O623" s="434">
        <f>'II-I-DIST'!O623+'II-I-MET'!O623+'II-I-TBILLTDCS'!O623</f>
        <v>7969.9185371172589</v>
      </c>
      <c r="P623" s="434">
        <f>'II-I-DIST'!P623+'II-I-MET'!P623+'II-I-TBILLTDCS'!P623</f>
        <v>0</v>
      </c>
      <c r="Q623" s="434">
        <f>'II-I-DIST'!Q623+'II-I-MET'!Q623+'II-I-TBILLTDCS'!Q623</f>
        <v>928.99516371480149</v>
      </c>
      <c r="R623" s="434">
        <f>'II-I-DIST'!R623+'II-I-MET'!R623+'II-I-TBILLTDCS'!R623</f>
        <v>955.24461943959625</v>
      </c>
      <c r="S623" s="434">
        <f>'II-I-DIST'!S623+'II-I-MET'!S623+'II-I-TBILLTDCS'!S623</f>
        <v>1196.3156476405625</v>
      </c>
      <c r="T623" s="17"/>
      <c r="U623" s="121">
        <f t="shared" si="172"/>
        <v>271783.87</v>
      </c>
      <c r="V623" s="67"/>
      <c r="X623" s="370">
        <f t="shared" si="171"/>
        <v>0</v>
      </c>
    </row>
    <row r="624" spans="1:24" ht="14.25">
      <c r="A624" s="47"/>
      <c r="B624" s="17">
        <f t="shared" si="170"/>
        <v>11</v>
      </c>
      <c r="C624" s="1" t="s">
        <v>175</v>
      </c>
      <c r="D624" s="1" t="s">
        <v>176</v>
      </c>
      <c r="E624" s="17"/>
      <c r="F624" s="118">
        <f>' WP II-I-1.4'!L624</f>
        <v>0</v>
      </c>
      <c r="G624" s="17" t="s">
        <v>805</v>
      </c>
      <c r="H624" s="47" t="s">
        <v>320</v>
      </c>
      <c r="I624" s="17"/>
      <c r="J624" s="435">
        <f>'II-I-DIST'!J624+'II-I-MET'!J624+'II-I-TBILLTDCS'!J624</f>
        <v>0</v>
      </c>
      <c r="K624" s="435">
        <f>'II-I-DIST'!K624+'II-I-MET'!K624+'II-I-TBILLTDCS'!K624</f>
        <v>0</v>
      </c>
      <c r="L624" s="435">
        <f>'II-I-DIST'!L624+'II-I-MET'!L624+'II-I-TBILLTDCS'!L624</f>
        <v>0</v>
      </c>
      <c r="M624" s="435">
        <f>'II-I-DIST'!M624+'II-I-MET'!M624+'II-I-TBILLTDCS'!M624</f>
        <v>0</v>
      </c>
      <c r="N624" s="435">
        <f>'II-I-DIST'!N624+'II-I-MET'!N624+'II-I-TBILLTDCS'!N624</f>
        <v>0</v>
      </c>
      <c r="O624" s="435">
        <f>'II-I-DIST'!O624+'II-I-MET'!O624+'II-I-TBILLTDCS'!O624</f>
        <v>0</v>
      </c>
      <c r="P624" s="435">
        <f>'II-I-DIST'!P624+'II-I-MET'!P624+'II-I-TBILLTDCS'!P624</f>
        <v>0</v>
      </c>
      <c r="Q624" s="435">
        <f>'II-I-DIST'!Q624+'II-I-MET'!Q624+'II-I-TBILLTDCS'!Q624</f>
        <v>0</v>
      </c>
      <c r="R624" s="435">
        <f>'II-I-DIST'!R624+'II-I-MET'!R624+'II-I-TBILLTDCS'!R624</f>
        <v>0</v>
      </c>
      <c r="S624" s="435">
        <f>'II-I-DIST'!S624+'II-I-MET'!S624+'II-I-TBILLTDCS'!S624</f>
        <v>0</v>
      </c>
      <c r="T624" s="17"/>
      <c r="U624" s="121">
        <f t="shared" si="172"/>
        <v>0</v>
      </c>
      <c r="V624" s="67"/>
      <c r="X624" s="370">
        <f t="shared" si="171"/>
        <v>0</v>
      </c>
    </row>
    <row r="625" spans="1:24" ht="15">
      <c r="A625" s="47"/>
      <c r="B625" s="17">
        <f t="shared" si="170"/>
        <v>12</v>
      </c>
      <c r="C625" s="8"/>
      <c r="D625" s="297" t="s">
        <v>491</v>
      </c>
      <c r="E625" s="20"/>
      <c r="F625" s="22">
        <f>SUM(F617:F624)</f>
        <v>1653364922.7099998</v>
      </c>
      <c r="G625" s="20"/>
      <c r="H625" s="20"/>
      <c r="I625" s="20"/>
      <c r="J625" s="896">
        <f t="shared" si="173" ref="J625:Q625">SUM(J617:J624)</f>
        <v>758631850.84003925</v>
      </c>
      <c r="K625" s="896">
        <f t="shared" si="173"/>
        <v>21203450.940881606</v>
      </c>
      <c r="L625" s="896">
        <f t="shared" si="173"/>
        <v>551461110.02425742</v>
      </c>
      <c r="M625" s="896">
        <f t="shared" si="173"/>
        <v>219357.52404529351</v>
      </c>
      <c r="N625" s="896">
        <f t="shared" si="173"/>
        <v>138638889.43259627</v>
      </c>
      <c r="O625" s="896">
        <f>SUM(O617:O624)</f>
        <v>45409026.718338996</v>
      </c>
      <c r="P625" s="896">
        <f t="shared" si="173"/>
        <v>137791683.29978278</v>
      </c>
      <c r="Q625" s="896">
        <f t="shared" si="173"/>
        <v>2881.1540703981591</v>
      </c>
      <c r="R625" s="896">
        <f>SUM(R617:R624)</f>
        <v>2962.563241469416</v>
      </c>
      <c r="S625" s="896">
        <f>SUM(S617:S624)</f>
        <v>3710.2127463160436</v>
      </c>
      <c r="T625" s="20"/>
      <c r="U625" s="299">
        <f t="shared" si="172"/>
        <v>1653364922.7099996</v>
      </c>
      <c r="V625" s="67"/>
      <c r="W625" s="1300" t="b">
        <f>' WP II-I-1.4'!$L$625=U625</f>
        <v>1</v>
      </c>
      <c r="X625" s="370">
        <f t="shared" si="171"/>
        <v>0</v>
      </c>
    </row>
    <row r="626" spans="1:24" ht="15">
      <c r="A626" s="47"/>
      <c r="B626" s="17">
        <f t="shared" si="170"/>
        <v>13</v>
      </c>
      <c r="C626" s="8"/>
      <c r="D626" s="20"/>
      <c r="E626" s="20"/>
      <c r="F626" s="22"/>
      <c r="G626" s="20"/>
      <c r="H626" s="20"/>
      <c r="I626" s="20"/>
      <c r="J626" s="896"/>
      <c r="K626" s="896"/>
      <c r="L626" s="896"/>
      <c r="M626" s="896"/>
      <c r="N626" s="896"/>
      <c r="O626" s="896"/>
      <c r="P626" s="896"/>
      <c r="Q626" s="896"/>
      <c r="R626" s="896"/>
      <c r="S626" s="896"/>
      <c r="T626" s="20"/>
      <c r="U626" s="8"/>
      <c r="V626" s="67"/>
      <c r="X626" s="370">
        <f t="shared" si="171"/>
        <v>0</v>
      </c>
    </row>
    <row r="627" spans="1:24" ht="15">
      <c r="A627" s="47"/>
      <c r="B627" s="17">
        <f t="shared" si="170"/>
        <v>14</v>
      </c>
      <c r="C627" s="8"/>
      <c r="D627" s="297" t="s">
        <v>627</v>
      </c>
      <c r="E627" s="20"/>
      <c r="F627" s="22">
        <f>F625-F622</f>
        <v>842901.26999998093</v>
      </c>
      <c r="G627" s="20"/>
      <c r="H627" s="20"/>
      <c r="I627" s="20"/>
      <c r="J627" s="896">
        <f t="shared" si="174" ref="J627:Q627">J625-J622</f>
        <v>443638.31159114838</v>
      </c>
      <c r="K627" s="896">
        <f t="shared" si="174"/>
        <v>10833.743255540729</v>
      </c>
      <c r="L627" s="896">
        <f t="shared" si="174"/>
        <v>285646.43593549728</v>
      </c>
      <c r="M627" s="896">
        <f t="shared" si="174"/>
        <v>161.48770423943643</v>
      </c>
      <c r="N627" s="896">
        <f t="shared" si="174"/>
        <v>68349.726605594158</v>
      </c>
      <c r="O627" s="896">
        <f>O625-O622</f>
        <v>24717.634849824011</v>
      </c>
      <c r="P627" s="896">
        <f t="shared" si="174"/>
        <v>0</v>
      </c>
      <c r="Q627" s="896">
        <f t="shared" si="174"/>
        <v>2881.1540703981591</v>
      </c>
      <c r="R627" s="896">
        <f>R625-R622</f>
        <v>2962.563241469416</v>
      </c>
      <c r="S627" s="896">
        <f>S625-S622</f>
        <v>3710.2127463160436</v>
      </c>
      <c r="T627" s="20"/>
      <c r="U627" s="299">
        <f>SUM(I627:T627)</f>
        <v>842901.27000002773</v>
      </c>
      <c r="V627" s="67"/>
      <c r="W627" s="1300">
        <f>' WP II-I-1.4'!$L$627-U627</f>
        <v>-5.634501576423645E-08</v>
      </c>
      <c r="X627" s="370"/>
    </row>
    <row r="628" spans="1:24" ht="15">
      <c r="A628" s="47"/>
      <c r="B628" s="17">
        <f t="shared" si="170"/>
        <v>15</v>
      </c>
      <c r="C628" s="8"/>
      <c r="D628" s="20"/>
      <c r="E628" s="20"/>
      <c r="F628" s="22"/>
      <c r="G628" s="20"/>
      <c r="H628" s="20"/>
      <c r="I628" s="20"/>
      <c r="J628" s="1059"/>
      <c r="K628" s="1059"/>
      <c r="L628" s="1059"/>
      <c r="M628" s="1059"/>
      <c r="N628" s="1059"/>
      <c r="O628" s="1059"/>
      <c r="P628" s="1059"/>
      <c r="Q628" s="1059"/>
      <c r="R628" s="1059"/>
      <c r="S628" s="1059"/>
      <c r="T628" s="20"/>
      <c r="U628" s="8"/>
      <c r="V628" s="67"/>
      <c r="X628" s="370">
        <f t="shared" si="171"/>
        <v>0</v>
      </c>
    </row>
    <row r="629" spans="1:24" ht="15">
      <c r="A629" s="47"/>
      <c r="B629" s="17">
        <f t="shared" si="170"/>
        <v>16</v>
      </c>
      <c r="C629" s="8"/>
      <c r="D629" s="366" t="s">
        <v>628</v>
      </c>
      <c r="E629" s="20" t="s">
        <v>160</v>
      </c>
      <c r="F629" s="22"/>
      <c r="G629" s="20"/>
      <c r="H629" s="20"/>
      <c r="I629" s="20"/>
      <c r="J629" s="1059"/>
      <c r="K629" s="1059"/>
      <c r="L629" s="1059"/>
      <c r="M629" s="1059"/>
      <c r="N629" s="1059"/>
      <c r="O629" s="1059"/>
      <c r="P629" s="1059"/>
      <c r="Q629" s="1059"/>
      <c r="R629" s="1059"/>
      <c r="S629" s="1059"/>
      <c r="T629" s="1009"/>
      <c r="U629" s="8"/>
      <c r="V629" s="67"/>
      <c r="X629" s="370">
        <f t="shared" si="171"/>
        <v>0</v>
      </c>
    </row>
    <row r="630" spans="1:24" ht="14.25">
      <c r="A630" s="47"/>
      <c r="B630" s="17">
        <f t="shared" si="170"/>
        <v>17</v>
      </c>
      <c r="C630" s="1" t="s">
        <v>178</v>
      </c>
      <c r="D630" s="1" t="s">
        <v>179</v>
      </c>
      <c r="E630" s="17"/>
      <c r="F630" s="118">
        <f>' WP II-I-1.4'!L630</f>
        <v>86085.440000000002</v>
      </c>
      <c r="G630" s="17" t="s">
        <v>805</v>
      </c>
      <c r="H630" s="47" t="s">
        <v>320</v>
      </c>
      <c r="I630" s="17"/>
      <c r="J630" s="434">
        <f>'II-I-DIST'!J630+'II-I-MET'!J630+'II-I-TBILLTDCS'!J630</f>
        <v>45308.74565437065</v>
      </c>
      <c r="K630" s="434">
        <f>'II-I-DIST'!K630+'II-I-MET'!K630+'II-I-TBILLTDCS'!K630</f>
        <v>1106.4493413330461</v>
      </c>
      <c r="L630" s="434">
        <f>'II-I-DIST'!L630+'II-I-MET'!L630+'II-I-TBILLTDCS'!L630</f>
        <v>29173.047896748707</v>
      </c>
      <c r="M630" s="434">
        <f>'II-I-DIST'!M630+'II-I-MET'!M630+'II-I-TBILLTDCS'!M630</f>
        <v>16.492726454241705</v>
      </c>
      <c r="N630" s="434">
        <f>'II-I-DIST'!N630+'II-I-MET'!N630+'II-I-TBILLTDCS'!N630</f>
        <v>6980.5521692042903</v>
      </c>
      <c r="O630" s="434">
        <f>'II-I-DIST'!O630+'II-I-MET'!O630+'II-I-TBILLTDCS'!O630</f>
        <v>2524.4100911209175</v>
      </c>
      <c r="P630" s="434">
        <f>'II-I-DIST'!P630+'II-I-MET'!P630+'II-I-TBILLTDCS'!P630</f>
        <v>0</v>
      </c>
      <c r="Q630" s="434">
        <f>'II-I-DIST'!Q630+'II-I-MET'!Q630+'II-I-TBILLTDCS'!Q630</f>
        <v>294.25203720243121</v>
      </c>
      <c r="R630" s="434">
        <f>'II-I-DIST'!R630+'II-I-MET'!R630+'II-I-TBILLTDCS'!R630</f>
        <v>302.56634940142033</v>
      </c>
      <c r="S630" s="434">
        <f>'II-I-DIST'!S630+'II-I-MET'!S630+'II-I-TBILLTDCS'!S630</f>
        <v>378.92373416429308</v>
      </c>
      <c r="T630" s="17"/>
      <c r="U630" s="121">
        <f t="shared" si="175" ref="U630:U636">SUM(I630:T630)</f>
        <v>86085.439999999988</v>
      </c>
      <c r="V630" s="67"/>
      <c r="X630" s="370">
        <f t="shared" si="171"/>
        <v>0</v>
      </c>
    </row>
    <row r="631" spans="1:24" ht="14.25">
      <c r="A631" s="47"/>
      <c r="B631" s="17">
        <f t="shared" si="170"/>
        <v>18</v>
      </c>
      <c r="C631" s="1" t="s">
        <v>180</v>
      </c>
      <c r="D631" s="31" t="s">
        <v>181</v>
      </c>
      <c r="E631" s="17"/>
      <c r="F631" s="118">
        <f>' WP II-I-1.4'!L631</f>
        <v>24.050000000000001</v>
      </c>
      <c r="G631" s="17" t="s">
        <v>805</v>
      </c>
      <c r="H631" s="47" t="s">
        <v>320</v>
      </c>
      <c r="I631" s="17"/>
      <c r="J631" s="434">
        <f>'II-I-DIST'!J631+'II-I-MET'!J631+'II-I-TBILLTDCS'!J631</f>
        <v>12.658067763696325</v>
      </c>
      <c r="K631" s="434">
        <f>'II-I-DIST'!K631+'II-I-MET'!K631+'II-I-TBILLTDCS'!K631</f>
        <v>0.30911274495500929</v>
      </c>
      <c r="L631" s="434">
        <f>'II-I-DIST'!L631+'II-I-MET'!L631+'II-I-TBILLTDCS'!L631</f>
        <v>8.1501796577540446</v>
      </c>
      <c r="M631" s="434">
        <f>'II-I-DIST'!M631+'II-I-MET'!M631+'II-I-TBILLTDCS'!M631</f>
        <v>0.0046076325012047691</v>
      </c>
      <c r="N631" s="434">
        <f>'II-I-DIST'!N631+'II-I-MET'!N631+'II-I-TBILLTDCS'!N631</f>
        <v>1.9501820478511023</v>
      </c>
      <c r="O631" s="434">
        <f>'II-I-DIST'!O631+'II-I-MET'!O631+'II-I-TBILLTDCS'!O631</f>
        <v>0.70525355613513818</v>
      </c>
      <c r="P631" s="434">
        <f>'II-I-DIST'!P631+'II-I-MET'!P631+'II-I-TBILLTDCS'!P631</f>
        <v>0</v>
      </c>
      <c r="Q631" s="434">
        <f>'II-I-DIST'!Q631+'II-I-MET'!Q631+'II-I-TBILLTDCS'!Q631</f>
        <v>0.082206253400324961</v>
      </c>
      <c r="R631" s="434">
        <f>'II-I-DIST'!R631+'II-I-MET'!R631+'II-I-TBILLTDCS'!R631</f>
        <v>0.08452905280038249</v>
      </c>
      <c r="S631" s="434">
        <f>'II-I-DIST'!S631+'II-I-MET'!S631+'II-I-TBILLTDCS'!S631</f>
        <v>0.10586129090646744</v>
      </c>
      <c r="T631" s="17"/>
      <c r="U631" s="121">
        <f t="shared" si="175"/>
        <v>24.049999999999994</v>
      </c>
      <c r="V631" s="67"/>
      <c r="X631" s="370">
        <f t="shared" si="171"/>
        <v>0</v>
      </c>
    </row>
    <row r="632" spans="1:24" ht="14.25">
      <c r="A632" s="47"/>
      <c r="B632" s="17">
        <f t="shared" si="170"/>
        <v>19</v>
      </c>
      <c r="C632" s="1" t="s">
        <v>182</v>
      </c>
      <c r="D632" s="1" t="s">
        <v>183</v>
      </c>
      <c r="E632" s="17"/>
      <c r="F632" s="118">
        <f>' WP II-I-1.4'!L632</f>
        <v>179023.23999999999</v>
      </c>
      <c r="G632" s="17" t="s">
        <v>805</v>
      </c>
      <c r="H632" s="47" t="s">
        <v>320</v>
      </c>
      <c r="I632" s="17"/>
      <c r="J632" s="434">
        <f>'II-I-DIST'!J632+'II-I-MET'!J632+'II-I-TBILLTDCS'!J632</f>
        <v>94224.045870955102</v>
      </c>
      <c r="K632" s="434">
        <f>'II-I-DIST'!K632+'II-I-MET'!K632+'II-I-TBILLTDCS'!K632</f>
        <v>2300.9715229579801</v>
      </c>
      <c r="L632" s="434">
        <f>'II-I-DIST'!L632+'II-I-MET'!L632+'II-I-TBILLTDCS'!L632</f>
        <v>60668.256503668199</v>
      </c>
      <c r="M632" s="434">
        <f>'II-I-DIST'!M632+'II-I-MET'!M632+'II-I-TBILLTDCS'!M632</f>
        <v>34.298266074635407</v>
      </c>
      <c r="N632" s="434">
        <f>'II-I-DIST'!N632+'II-I-MET'!N632+'II-I-TBILLTDCS'!N632</f>
        <v>14516.752964496438</v>
      </c>
      <c r="O632" s="434">
        <f>'II-I-DIST'!O632+'II-I-MET'!O632+'II-I-TBILLTDCS'!O632</f>
        <v>5249.7620224879129</v>
      </c>
      <c r="P632" s="434">
        <f>'II-I-DIST'!P632+'II-I-MET'!P632+'II-I-TBILLTDCS'!P632</f>
        <v>0</v>
      </c>
      <c r="Q632" s="434">
        <f>'II-I-DIST'!Q632+'II-I-MET'!Q632+'II-I-TBILLTDCS'!Q632</f>
        <v>611.92639634042371</v>
      </c>
      <c r="R632" s="434">
        <f>'II-I-DIST'!R632+'II-I-MET'!R632+'II-I-TBILLTDCS'!R632</f>
        <v>629.21683602725761</v>
      </c>
      <c r="S632" s="434">
        <f>'II-I-DIST'!S632+'II-I-MET'!S632+'II-I-TBILLTDCS'!S632</f>
        <v>788.0096169920306</v>
      </c>
      <c r="T632" s="17"/>
      <c r="U632" s="121">
        <f t="shared" si="175"/>
        <v>179023.23999999996</v>
      </c>
      <c r="V632" s="67"/>
      <c r="X632" s="370">
        <f t="shared" si="171"/>
        <v>0</v>
      </c>
    </row>
    <row r="633" spans="1:24" ht="14.25">
      <c r="A633" s="47"/>
      <c r="B633" s="17">
        <f t="shared" si="170"/>
        <v>20</v>
      </c>
      <c r="C633" s="1" t="s">
        <v>184</v>
      </c>
      <c r="D633" s="1" t="s">
        <v>185</v>
      </c>
      <c r="E633" s="17"/>
      <c r="F633" s="118">
        <f>' WP II-I-1.4'!L633</f>
        <v>4628.7399999999998</v>
      </c>
      <c r="G633" s="17" t="s">
        <v>805</v>
      </c>
      <c r="H633" s="47" t="s">
        <v>320</v>
      </c>
      <c r="I633" s="17"/>
      <c r="J633" s="434">
        <f>'II-I-DIST'!J633+'II-I-MET'!J633+'II-I-TBILLTDCS'!J633</f>
        <v>2436.2122486707576</v>
      </c>
      <c r="K633" s="434">
        <f>'II-I-DIST'!K633+'II-I-MET'!K633+'II-I-TBILLTDCS'!K633</f>
        <v>59.492828568941775</v>
      </c>
      <c r="L633" s="434">
        <f>'II-I-DIST'!L633+'II-I-MET'!L633+'II-I-TBILLTDCS'!L633</f>
        <v>1568.6096710616407</v>
      </c>
      <c r="M633" s="434">
        <f>'II-I-DIST'!M633+'II-I-MET'!M633+'II-I-TBILLTDCS'!M633</f>
        <v>0.88679970326929569</v>
      </c>
      <c r="N633" s="434">
        <f>'II-I-DIST'!N633+'II-I-MET'!N633+'II-I-TBILLTDCS'!N633</f>
        <v>375.33828075552225</v>
      </c>
      <c r="O633" s="434">
        <f>'II-I-DIST'!O633+'II-I-MET'!O633+'II-I-TBILLTDCS'!O633</f>
        <v>135.73535739812721</v>
      </c>
      <c r="P633" s="434">
        <f>'II-I-DIST'!P633+'II-I-MET'!P633+'II-I-TBILLTDCS'!P633</f>
        <v>0</v>
      </c>
      <c r="Q633" s="434">
        <f>'II-I-DIST'!Q633+'II-I-MET'!Q633+'II-I-TBILLTDCS'!Q633</f>
        <v>15.821678726162999</v>
      </c>
      <c r="R633" s="434">
        <f>'II-I-DIST'!R633+'II-I-MET'!R633+'II-I-TBILLTDCS'!R633</f>
        <v>16.268732135519436</v>
      </c>
      <c r="S633" s="434">
        <f>'II-I-DIST'!S633+'II-I-MET'!S633+'II-I-TBILLTDCS'!S633</f>
        <v>20.374402980058299</v>
      </c>
      <c r="T633" s="17"/>
      <c r="U633" s="121">
        <f t="shared" si="175"/>
        <v>4628.7399999999998</v>
      </c>
      <c r="V633" s="67"/>
      <c r="X633" s="370">
        <f t="shared" si="171"/>
        <v>0</v>
      </c>
    </row>
    <row r="634" spans="1:24" ht="14.25">
      <c r="A634" s="47"/>
      <c r="B634" s="17">
        <f t="shared" si="170"/>
        <v>21</v>
      </c>
      <c r="C634" s="1" t="s">
        <v>186</v>
      </c>
      <c r="D634" s="31" t="s">
        <v>187</v>
      </c>
      <c r="E634" s="17"/>
      <c r="F634" s="118">
        <f>' WP II-I-1.4'!L634</f>
        <v>79.019999999999996</v>
      </c>
      <c r="G634" s="17" t="s">
        <v>805</v>
      </c>
      <c r="H634" s="47" t="s">
        <v>320</v>
      </c>
      <c r="I634" s="17"/>
      <c r="J634" s="434">
        <f>'II-I-DIST'!J634+'II-I-MET'!J634+'II-I-TBILLTDCS'!J634</f>
        <v>41.590042190739439</v>
      </c>
      <c r="K634" s="434">
        <f>'II-I-DIST'!K634+'II-I-MET'!K634+'II-I-TBILLTDCS'!K634</f>
        <v>1.015637800679619</v>
      </c>
      <c r="L634" s="434">
        <f>'II-I-DIST'!L634+'II-I-MET'!L634+'II-I-TBILLTDCS'!L634</f>
        <v>26.778677611464641</v>
      </c>
      <c r="M634" s="434">
        <f>'II-I-DIST'!M634+'II-I-MET'!M634+'II-I-TBILLTDCS'!M634</f>
        <v>0.015139090238885688</v>
      </c>
      <c r="N634" s="434">
        <f>'II-I-DIST'!N634+'II-I-MET'!N634+'II-I-TBILLTDCS'!N634</f>
        <v>6.407625173438424</v>
      </c>
      <c r="O634" s="434">
        <f>'II-I-DIST'!O634+'II-I-MET'!O634+'II-I-TBILLTDCS'!O634</f>
        <v>2.3172197923408988</v>
      </c>
      <c r="P634" s="434">
        <f>'II-I-DIST'!P634+'II-I-MET'!P634+'II-I-TBILLTDCS'!P634</f>
        <v>0</v>
      </c>
      <c r="Q634" s="434">
        <f>'II-I-DIST'!Q634+'II-I-MET'!Q634+'II-I-TBILLTDCS'!Q634</f>
        <v>0.27010137811616125</v>
      </c>
      <c r="R634" s="434">
        <f>'II-I-DIST'!R634+'II-I-MET'!R634+'II-I-TBILLTDCS'!R634</f>
        <v>0.2777332953133565</v>
      </c>
      <c r="S634" s="434">
        <f>'II-I-DIST'!S634+'II-I-MET'!S634+'II-I-TBILLTDCS'!S634</f>
        <v>0.34782366766856782</v>
      </c>
      <c r="T634" s="17"/>
      <c r="U634" s="121">
        <f t="shared" si="175"/>
        <v>79.019999999999982</v>
      </c>
      <c r="V634" s="67"/>
      <c r="X634" s="370">
        <f t="shared" si="171"/>
        <v>0</v>
      </c>
    </row>
    <row r="635" spans="1:24" ht="14.25">
      <c r="A635" s="47"/>
      <c r="B635" s="17">
        <f t="shared" si="170"/>
        <v>22</v>
      </c>
      <c r="C635" s="1" t="s">
        <v>188</v>
      </c>
      <c r="D635" s="31" t="s">
        <v>189</v>
      </c>
      <c r="E635" s="17"/>
      <c r="F635" s="118">
        <f>' WP II-I-1.4'!L635</f>
        <v>35239.690000000002</v>
      </c>
      <c r="G635" s="17" t="s">
        <v>805</v>
      </c>
      <c r="H635" s="47" t="s">
        <v>320</v>
      </c>
      <c r="I635" s="17"/>
      <c r="J635" s="435">
        <f>'II-I-DIST'!J635+'II-I-MET'!J635+'II-I-TBILLTDCS'!J635</f>
        <v>18547.458793831673</v>
      </c>
      <c r="K635" s="435">
        <f>'II-I-DIST'!K635+'II-I-MET'!K635+'II-I-TBILLTDCS'!K635</f>
        <v>452.93294416896435</v>
      </c>
      <c r="L635" s="435">
        <f>'II-I-DIST'!L635+'II-I-MET'!L635+'II-I-TBILLTDCS'!L635</f>
        <v>11942.195616779985</v>
      </c>
      <c r="M635" s="435">
        <f>'II-I-DIST'!M635+'II-I-MET'!M635+'II-I-TBILLTDCS'!M635</f>
        <v>6.7514154252133345</v>
      </c>
      <c r="N635" s="435">
        <f>'II-I-DIST'!N635+'II-I-MET'!N635+'II-I-TBILLTDCS'!N635</f>
        <v>2857.5389110119754</v>
      </c>
      <c r="O635" s="435">
        <f>'II-I-DIST'!O635+'II-I-MET'!O635+'II-I-TBILLTDCS'!O635</f>
        <v>1033.3853093388718</v>
      </c>
      <c r="P635" s="435">
        <f>'II-I-DIST'!P635+'II-I-MET'!P635+'II-I-TBILLTDCS'!P635</f>
        <v>0</v>
      </c>
      <c r="Q635" s="435">
        <f>'II-I-DIST'!Q635+'II-I-MET'!Q635+'II-I-TBILLTDCS'!Q635</f>
        <v>120.45417404943441</v>
      </c>
      <c r="R635" s="435">
        <f>'II-I-DIST'!R635+'II-I-MET'!R635+'II-I-TBILLTDCS'!R635</f>
        <v>123.8576971592146</v>
      </c>
      <c r="S635" s="435">
        <f>'II-I-DIST'!S635+'II-I-MET'!S635+'II-I-TBILLTDCS'!S635</f>
        <v>155.1151382346666</v>
      </c>
      <c r="T635" s="17"/>
      <c r="U635" s="121">
        <f t="shared" si="175"/>
        <v>35239.689999999995</v>
      </c>
      <c r="V635" s="67"/>
      <c r="X635" s="370">
        <f t="shared" si="171"/>
        <v>0</v>
      </c>
    </row>
    <row r="636" spans="1:24" ht="15">
      <c r="A636" s="47"/>
      <c r="B636" s="17">
        <f t="shared" si="170"/>
        <v>23</v>
      </c>
      <c r="C636" s="8"/>
      <c r="D636" s="297" t="s">
        <v>491</v>
      </c>
      <c r="E636" s="20"/>
      <c r="F636" s="22">
        <f>SUM(F630:F635)</f>
        <v>305080.17999999999</v>
      </c>
      <c r="G636" s="20"/>
      <c r="H636" s="20"/>
      <c r="I636" s="20"/>
      <c r="J636" s="896">
        <f t="shared" si="176" ref="J636:Q636">SUM(J630:J635)</f>
        <v>160570.71067778263</v>
      </c>
      <c r="K636" s="896">
        <f t="shared" si="176"/>
        <v>3921.1713875745668</v>
      </c>
      <c r="L636" s="896">
        <f t="shared" si="176"/>
        <v>103387.03854552774</v>
      </c>
      <c r="M636" s="896">
        <f t="shared" si="176"/>
        <v>58.448954380099835</v>
      </c>
      <c r="N636" s="896">
        <f t="shared" si="176"/>
        <v>24738.540132689512</v>
      </c>
      <c r="O636" s="896">
        <f>SUM(O630:O635)</f>
        <v>8946.3152536943053</v>
      </c>
      <c r="P636" s="896">
        <f t="shared" si="176"/>
        <v>0</v>
      </c>
      <c r="Q636" s="896">
        <f t="shared" si="176"/>
        <v>1042.8065939499688</v>
      </c>
      <c r="R636" s="896">
        <f>SUM(R630:R635)</f>
        <v>1072.2718770715258</v>
      </c>
      <c r="S636" s="896">
        <f>SUM(S630:S635)</f>
        <v>1342.8765773296234</v>
      </c>
      <c r="T636" s="1009"/>
      <c r="U636" s="251">
        <f t="shared" si="175"/>
        <v>305080.18000000005</v>
      </c>
      <c r="V636" s="67"/>
      <c r="X636" s="370">
        <f t="shared" si="171"/>
        <v>0</v>
      </c>
    </row>
    <row r="637" spans="1:24" ht="15.75" thickBot="1">
      <c r="A637" s="47"/>
      <c r="B637" s="17">
        <f t="shared" si="170"/>
        <v>24</v>
      </c>
      <c r="C637" s="8"/>
      <c r="D637" s="297"/>
      <c r="E637" s="20"/>
      <c r="F637" s="22"/>
      <c r="G637" s="20"/>
      <c r="H637" s="20"/>
      <c r="I637" s="20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0"/>
      <c r="U637" s="8"/>
      <c r="V637" s="67"/>
      <c r="X637" s="370">
        <f t="shared" si="171"/>
        <v>0</v>
      </c>
    </row>
    <row r="638" spans="1:24" ht="15.75" thickBot="1">
      <c r="A638" s="47"/>
      <c r="B638" s="17">
        <f t="shared" si="170"/>
        <v>25</v>
      </c>
      <c r="C638" s="870" t="s">
        <v>629</v>
      </c>
      <c r="D638" s="1017"/>
      <c r="E638" s="1013"/>
      <c r="F638" s="1014">
        <f>+F636+F625</f>
        <v>1653670002.8899999</v>
      </c>
      <c r="G638" s="1013"/>
      <c r="H638" s="1013"/>
      <c r="I638" s="1016"/>
      <c r="J638" s="1014">
        <f t="shared" si="177" ref="J638:Q638">+J636+J625</f>
        <v>758792421.550717</v>
      </c>
      <c r="K638" s="1014">
        <f t="shared" si="177"/>
        <v>21207372.112269182</v>
      </c>
      <c r="L638" s="1014">
        <f t="shared" si="177"/>
        <v>551564497.06280291</v>
      </c>
      <c r="M638" s="1014">
        <f t="shared" si="177"/>
        <v>219415.9729996736</v>
      </c>
      <c r="N638" s="1014">
        <f t="shared" si="177"/>
        <v>138663627.97272897</v>
      </c>
      <c r="O638" s="1014">
        <f>+O636+O625</f>
        <v>45417973.033592694</v>
      </c>
      <c r="P638" s="1014">
        <f t="shared" si="177"/>
        <v>137791683.29978278</v>
      </c>
      <c r="Q638" s="1014">
        <f t="shared" si="177"/>
        <v>3923.9606643481279</v>
      </c>
      <c r="R638" s="1014">
        <f>+R636+R625</f>
        <v>4034.8351185409419</v>
      </c>
      <c r="S638" s="1014">
        <f>+S636+S625</f>
        <v>5053.0893236456668</v>
      </c>
      <c r="T638" s="1016"/>
      <c r="U638" s="1015">
        <f>SUM(I638:T638)</f>
        <v>1653670002.8899996</v>
      </c>
      <c r="V638" s="67"/>
      <c r="W638" s="1300" t="b">
        <f>' WP II-I-1.4'!$L$638=U638</f>
        <v>1</v>
      </c>
      <c r="X638" s="370">
        <f t="shared" si="171"/>
        <v>0</v>
      </c>
    </row>
    <row r="639" spans="1:24" ht="15.75" thickBot="1">
      <c r="A639" s="47"/>
      <c r="B639" s="17">
        <f t="shared" si="170"/>
        <v>26</v>
      </c>
      <c r="C639" s="8"/>
      <c r="D639" s="8"/>
      <c r="E639" s="20"/>
      <c r="F639" s="22"/>
      <c r="G639" s="20"/>
      <c r="H639" s="20"/>
      <c r="I639" s="20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0"/>
      <c r="U639" s="8"/>
      <c r="V639" s="67"/>
      <c r="X639" s="370">
        <f t="shared" si="171"/>
        <v>0</v>
      </c>
    </row>
    <row r="640" spans="1:24" ht="15.75" thickBot="1">
      <c r="A640" s="47"/>
      <c r="B640" s="17">
        <f t="shared" si="170"/>
        <v>27</v>
      </c>
      <c r="C640" s="870" t="s">
        <v>630</v>
      </c>
      <c r="D640" s="1017"/>
      <c r="E640" s="1013"/>
      <c r="F640" s="1014">
        <f>F638-F622</f>
        <v>1147981.4500000477</v>
      </c>
      <c r="G640" s="1013"/>
      <c r="H640" s="1013"/>
      <c r="I640" s="1016"/>
      <c r="J640" s="1014">
        <f t="shared" si="178" ref="J640:Q640">J638-J622</f>
        <v>604209.02226889133</v>
      </c>
      <c r="K640" s="1014">
        <f t="shared" si="178"/>
        <v>14754.914643116295</v>
      </c>
      <c r="L640" s="1014">
        <f t="shared" si="178"/>
        <v>389033.4744809866</v>
      </c>
      <c r="M640" s="1014">
        <f t="shared" si="178"/>
        <v>219.93665861952468</v>
      </c>
      <c r="N640" s="1014">
        <f t="shared" si="178"/>
        <v>93088.266738295555</v>
      </c>
      <c r="O640" s="1014">
        <f>O638-O622</f>
        <v>33663.950103521347</v>
      </c>
      <c r="P640" s="1014">
        <f t="shared" si="178"/>
        <v>0</v>
      </c>
      <c r="Q640" s="1014">
        <f t="shared" si="178"/>
        <v>3923.9606643481279</v>
      </c>
      <c r="R640" s="1014">
        <f>R638-R622</f>
        <v>4034.8351185409419</v>
      </c>
      <c r="S640" s="1014">
        <f>S638-S622</f>
        <v>5053.0893236456668</v>
      </c>
      <c r="T640" s="1016"/>
      <c r="U640" s="1015">
        <f>SUM(I640:T640)</f>
        <v>1147981.4499999655</v>
      </c>
      <c r="V640" s="67"/>
      <c r="W640" s="1300">
        <f>' WP II-I-1.4'!$L$640-U640</f>
        <v>4.400499165058136E-08</v>
      </c>
      <c r="X640" s="370"/>
    </row>
    <row r="641" spans="1:24" ht="15">
      <c r="A641" s="47"/>
      <c r="B641" s="17"/>
      <c r="C641" s="8"/>
      <c r="D641" s="8"/>
      <c r="E641" s="20"/>
      <c r="F641" s="2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8"/>
      <c r="V641" s="67"/>
      <c r="X641" s="370">
        <f t="shared" si="171"/>
        <v>0</v>
      </c>
    </row>
    <row r="642" spans="1:24" ht="15">
      <c r="A642" s="47"/>
      <c r="B642" s="17"/>
      <c r="C642" s="8"/>
      <c r="D642" s="8"/>
      <c r="E642" s="20"/>
      <c r="F642" s="22"/>
      <c r="G642" s="20"/>
      <c r="H642" s="13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134"/>
      <c r="V642" s="134"/>
      <c r="X642" s="370"/>
    </row>
    <row r="643" spans="1:24" ht="15.75" thickBot="1">
      <c r="A643" s="47"/>
      <c r="B643" s="17"/>
      <c r="C643" s="8"/>
      <c r="D643" s="8"/>
      <c r="E643" s="20"/>
      <c r="F643" s="2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8"/>
      <c r="V643" s="67"/>
      <c r="X643" s="370">
        <f t="shared" si="171"/>
        <v>0</v>
      </c>
    </row>
    <row r="644" spans="1:24" ht="15">
      <c r="A644" s="47"/>
      <c r="B644" s="920" t="str">
        <f>+$B$4</f>
        <v>2022 RATE CASE</v>
      </c>
      <c r="C644" s="935"/>
      <c r="D644" s="969"/>
      <c r="F644" s="332"/>
      <c r="U644" s="134"/>
      <c r="X644" s="370">
        <f t="shared" si="171"/>
        <v>0</v>
      </c>
    </row>
    <row r="645" spans="1:24" ht="15">
      <c r="A645" s="47"/>
      <c r="B645" s="917" t="str">
        <f>+$B$5</f>
        <v>ONCOR ELECTRIC DELIVERY COMPANY LLC</v>
      </c>
      <c r="C645" s="8"/>
      <c r="D645" s="970"/>
      <c r="F645" s="332"/>
      <c r="U645" s="134"/>
      <c r="V645" s="67"/>
      <c r="X645" s="370">
        <f t="shared" si="171"/>
        <v>0</v>
      </c>
    </row>
    <row r="646" spans="1:24" ht="15">
      <c r="A646" s="47"/>
      <c r="B646" s="917" t="str">
        <f>+$B$6</f>
        <v>II-I-1-TOT:  CLASS REVENUE REQUIREMENT</v>
      </c>
      <c r="C646" s="85"/>
      <c r="D646" s="970"/>
      <c r="F646" s="332"/>
      <c r="U646" s="332"/>
      <c r="V646" s="67"/>
      <c r="X646" s="370">
        <f t="shared" si="171"/>
        <v>0</v>
      </c>
    </row>
    <row r="647" spans="1:24" ht="15">
      <c r="A647" s="47"/>
      <c r="B647" s="406" t="str">
        <f>+$B$7</f>
        <v>TEST YEAR ENDING 12/31/2021</v>
      </c>
      <c r="C647" s="85"/>
      <c r="D647" s="970"/>
      <c r="F647" s="332"/>
      <c r="U647" s="332"/>
      <c r="V647" s="67"/>
      <c r="X647" s="370">
        <f t="shared" si="171"/>
        <v>0</v>
      </c>
    </row>
    <row r="648" spans="1:24" ht="15">
      <c r="A648" s="47"/>
      <c r="B648" s="406" t="str">
        <f>+$B$8</f>
        <v>SPONSOR:  MATTHEW A. TROXLE</v>
      </c>
      <c r="C648" s="85"/>
      <c r="D648" s="970"/>
      <c r="F648" s="332"/>
      <c r="U648" s="332"/>
      <c r="V648" s="67"/>
      <c r="X648" s="370">
        <f t="shared" si="171"/>
        <v>0</v>
      </c>
    </row>
    <row r="649" spans="1:24" ht="15.75" thickBot="1">
      <c r="A649" s="47"/>
      <c r="B649" s="410"/>
      <c r="C649" s="934"/>
      <c r="D649" s="936"/>
      <c r="F649" s="332"/>
      <c r="U649" s="332"/>
      <c r="V649" s="67"/>
      <c r="X649" s="370">
        <f t="shared" si="171"/>
        <v>0</v>
      </c>
    </row>
    <row r="650" spans="1:24" ht="15" thickBot="1">
      <c r="A650" s="47"/>
      <c r="B650" s="13"/>
      <c r="C650" s="14"/>
      <c r="D650" s="14"/>
      <c r="E650" s="14"/>
      <c r="F650" s="13"/>
      <c r="G650" s="14"/>
      <c r="H650" s="14"/>
      <c r="I650" s="14"/>
      <c r="J650" s="238"/>
      <c r="K650" s="238"/>
      <c r="L650" s="14"/>
      <c r="M650" s="238"/>
      <c r="N650" s="238"/>
      <c r="O650" s="238"/>
      <c r="P650" s="238"/>
      <c r="Q650" s="14"/>
      <c r="R650" s="393" t="str">
        <f>R$10</f>
        <v xml:space="preserve"> </v>
      </c>
      <c r="S650" s="394"/>
      <c r="T650" s="238"/>
      <c r="U650" s="13"/>
      <c r="V650" s="67"/>
      <c r="X650" s="370">
        <f t="shared" si="171"/>
        <v>0</v>
      </c>
    </row>
    <row r="651" spans="1:24" ht="15">
      <c r="A651" s="47"/>
      <c r="B651" s="15" t="s">
        <v>2</v>
      </c>
      <c r="C651" s="15" t="s">
        <v>370</v>
      </c>
      <c r="D651" s="287" t="s">
        <v>631</v>
      </c>
      <c r="E651" s="15" t="s">
        <v>371</v>
      </c>
      <c r="F651" s="287" t="str">
        <f>F$11</f>
        <v>TOTAL</v>
      </c>
      <c r="G651" s="242" t="s">
        <v>741</v>
      </c>
      <c r="H651" s="242" t="s">
        <v>376</v>
      </c>
      <c r="I651" s="15"/>
      <c r="J651" s="242" t="s">
        <v>730</v>
      </c>
      <c r="K651" s="242" t="s">
        <v>409</v>
      </c>
      <c r="L651" s="15" t="s">
        <v>409</v>
      </c>
      <c r="M651" s="242" t="s">
        <v>410</v>
      </c>
      <c r="N651" s="242" t="s">
        <v>410</v>
      </c>
      <c r="O651" s="242" t="s">
        <v>410</v>
      </c>
      <c r="P651" s="242" t="s">
        <v>411</v>
      </c>
      <c r="Q651" s="15" t="s">
        <v>412</v>
      </c>
      <c r="R651" s="396" t="str">
        <f>R$11</f>
        <v>Wholesale</v>
      </c>
      <c r="S651" s="13" t="str">
        <f>S$11</f>
        <v>Wholesale</v>
      </c>
      <c r="T651" s="242"/>
      <c r="U651" s="15" t="s">
        <v>10</v>
      </c>
      <c r="V651" s="67"/>
      <c r="X651" s="370"/>
    </row>
    <row r="652" spans="1:24" ht="14.25">
      <c r="A652" s="47"/>
      <c r="B652" s="15"/>
      <c r="C652" s="15"/>
      <c r="D652" s="15"/>
      <c r="E652" s="15"/>
      <c r="F652" s="15" t="str">
        <f>F$12</f>
        <v>(Dist+Met+Cust)</v>
      </c>
      <c r="G652" s="242" t="s">
        <v>742</v>
      </c>
      <c r="H652" s="242" t="s">
        <v>743</v>
      </c>
      <c r="I652" s="15"/>
      <c r="J652" s="242"/>
      <c r="K652" s="242" t="s">
        <v>731</v>
      </c>
      <c r="L652" s="15" t="s">
        <v>732</v>
      </c>
      <c r="M652" s="242" t="s">
        <v>731</v>
      </c>
      <c r="N652" s="242" t="s">
        <v>732</v>
      </c>
      <c r="O652" s="242" t="s">
        <v>414</v>
      </c>
      <c r="P652" s="242"/>
      <c r="Q652" s="15"/>
      <c r="R652" s="235" t="str">
        <f>R$12</f>
        <v>XFMR</v>
      </c>
      <c r="S652" s="15" t="str">
        <f>S$12</f>
        <v>DLS</v>
      </c>
      <c r="T652" s="242"/>
      <c r="U652" s="15"/>
      <c r="V652" s="67"/>
      <c r="X652" s="370"/>
    </row>
    <row r="653" spans="1:24" ht="15" thickBot="1">
      <c r="A653" s="47"/>
      <c r="B653" s="16"/>
      <c r="C653" s="16"/>
      <c r="D653" s="16"/>
      <c r="E653" s="16"/>
      <c r="F653" s="16" t="s">
        <v>13</v>
      </c>
      <c r="G653" s="16" t="s">
        <v>14</v>
      </c>
      <c r="H653" s="16" t="s">
        <v>15</v>
      </c>
      <c r="I653" s="16"/>
      <c r="J653" s="243" t="str">
        <f t="shared" si="179" ref="J653:Q653">J$13</f>
        <v>(d)</v>
      </c>
      <c r="K653" s="243" t="str">
        <f t="shared" si="179"/>
        <v>(e)</v>
      </c>
      <c r="L653" s="16" t="str">
        <f t="shared" si="179"/>
        <v>(f)</v>
      </c>
      <c r="M653" s="243" t="str">
        <f t="shared" si="179"/>
        <v>(g)</v>
      </c>
      <c r="N653" s="243" t="str">
        <f t="shared" si="179"/>
        <v>(h)</v>
      </c>
      <c r="O653" s="243" t="str">
        <f>O$13</f>
        <v>(i)</v>
      </c>
      <c r="P653" s="243" t="str">
        <f t="shared" si="179"/>
        <v>(j)</v>
      </c>
      <c r="Q653" s="243" t="str">
        <f t="shared" si="179"/>
        <v>(k)</v>
      </c>
      <c r="R653" s="243" t="str">
        <f>R$13</f>
        <v>(l)</v>
      </c>
      <c r="S653" s="16" t="str">
        <f>S$13</f>
        <v>(m)</v>
      </c>
      <c r="T653" s="16"/>
      <c r="U653" s="16" t="s">
        <v>734</v>
      </c>
      <c r="V653" s="67"/>
      <c r="X653" s="370"/>
    </row>
    <row r="654" spans="1:24" ht="14.25">
      <c r="A654" s="47"/>
      <c r="B654" s="47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43"/>
      <c r="V654" s="67"/>
      <c r="X654" s="370">
        <f t="shared" si="171"/>
        <v>0</v>
      </c>
    </row>
    <row r="655" spans="1:24" ht="15">
      <c r="A655" s="47"/>
      <c r="B655" s="17">
        <f t="shared" si="180" ref="B655:B686">B654+1</f>
        <v>1</v>
      </c>
      <c r="C655" s="8" t="s">
        <v>631</v>
      </c>
      <c r="D655" s="8"/>
      <c r="E655" s="20"/>
      <c r="F655" s="8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8"/>
      <c r="V655" s="67"/>
      <c r="X655" s="370">
        <f t="shared" si="171"/>
        <v>0</v>
      </c>
    </row>
    <row r="656" spans="1:24" ht="15">
      <c r="A656" s="47"/>
      <c r="B656" s="17">
        <f t="shared" si="180"/>
        <v>2</v>
      </c>
      <c r="C656" s="8"/>
      <c r="D656" s="366" t="s">
        <v>626</v>
      </c>
      <c r="E656" s="20" t="s">
        <v>160</v>
      </c>
      <c r="F656" s="8"/>
      <c r="G656" s="20"/>
      <c r="H656" s="20"/>
      <c r="I656" s="20"/>
      <c r="J656" s="1059"/>
      <c r="K656" s="1059"/>
      <c r="L656" s="1059"/>
      <c r="M656" s="1059"/>
      <c r="N656" s="1059"/>
      <c r="O656" s="1059"/>
      <c r="P656" s="1059"/>
      <c r="Q656" s="1059"/>
      <c r="R656" s="1059"/>
      <c r="S656" s="1059"/>
      <c r="T656" s="20"/>
      <c r="U656" s="8"/>
      <c r="V656" s="67"/>
      <c r="X656" s="370">
        <f t="shared" si="171"/>
        <v>0</v>
      </c>
    </row>
    <row r="657" spans="1:24" ht="14.25">
      <c r="A657" s="47"/>
      <c r="B657" s="17">
        <f t="shared" si="180"/>
        <v>3</v>
      </c>
      <c r="C657" s="1" t="s">
        <v>191</v>
      </c>
      <c r="D657" s="28" t="s">
        <v>162</v>
      </c>
      <c r="E657" s="67"/>
      <c r="F657" s="118">
        <f>' WP II-I-1.4'!L657</f>
        <v>7927818.5799999991</v>
      </c>
      <c r="G657" s="68" t="s">
        <v>805</v>
      </c>
      <c r="H657" s="47" t="s">
        <v>320</v>
      </c>
      <c r="I657" s="12"/>
      <c r="J657" s="434">
        <f>'II-I-DIST'!J657+'II-I-MET'!J657+'II-I-TBILLTDCS'!J657</f>
        <v>4310347.0992854554</v>
      </c>
      <c r="K657" s="434">
        <f>'II-I-DIST'!K657+'II-I-MET'!K657+'II-I-TBILLTDCS'!K657</f>
        <v>169158.30009701627</v>
      </c>
      <c r="L657" s="434">
        <f>'II-I-DIST'!L657+'II-I-MET'!L657+'II-I-TBILLTDCS'!L657</f>
        <v>2692424.0621258966</v>
      </c>
      <c r="M657" s="434">
        <f>'II-I-DIST'!M657+'II-I-MET'!M657+'II-I-TBILLTDCS'!M657</f>
        <v>4518.7557350149818</v>
      </c>
      <c r="N657" s="434">
        <f>'II-I-DIST'!N657+'II-I-MET'!N657+'II-I-TBILLTDCS'!N657</f>
        <v>589362.3326001208</v>
      </c>
      <c r="O657" s="434">
        <f>'II-I-DIST'!O657+'II-I-MET'!O657+'II-I-TBILLTDCS'!O657</f>
        <v>75402.042549226971</v>
      </c>
      <c r="P657" s="434">
        <f>'II-I-DIST'!P657+'II-I-MET'!P657+'II-I-TBILLTDCS'!P657</f>
        <v>5104.8070436427442</v>
      </c>
      <c r="Q657" s="434">
        <f>'II-I-DIST'!Q657+'II-I-MET'!Q657+'II-I-TBILLTDCS'!Q657</f>
        <v>43884.736533997966</v>
      </c>
      <c r="R657" s="434">
        <f>'II-I-DIST'!R657+'II-I-MET'!R657+'II-I-TBILLTDCS'!R657</f>
        <v>8934.0823338828086</v>
      </c>
      <c r="S657" s="434">
        <f>'II-I-DIST'!S657+'II-I-MET'!S657+'II-I-TBILLTDCS'!S657</f>
        <v>28682.361695746196</v>
      </c>
      <c r="T657" s="12"/>
      <c r="U657" s="118">
        <f t="shared" si="181" ref="U657:U667">SUM(I657:T657)</f>
        <v>7927818.580000001</v>
      </c>
      <c r="V657" s="67"/>
      <c r="X657" s="370">
        <f t="shared" si="171"/>
        <v>0</v>
      </c>
    </row>
    <row r="658" spans="1:24" ht="14.25">
      <c r="A658" s="47"/>
      <c r="B658" s="17">
        <f t="shared" si="180"/>
        <v>4</v>
      </c>
      <c r="C658" s="1" t="s">
        <v>192</v>
      </c>
      <c r="D658" s="1" t="s">
        <v>193</v>
      </c>
      <c r="E658" s="19"/>
      <c r="F658" s="290">
        <f>' WP II-I-1.4'!L658</f>
        <v>9635578.4299999997</v>
      </c>
      <c r="G658" s="466" t="s">
        <v>805</v>
      </c>
      <c r="H658" s="47" t="s">
        <v>320</v>
      </c>
      <c r="I658" s="19"/>
      <c r="J658" s="434">
        <f>'II-I-DIST'!J658+'II-I-MET'!J658+'II-I-TBILLTDCS'!J658</f>
        <v>5071426.391241191</v>
      </c>
      <c r="K658" s="434">
        <f>'II-I-DIST'!K658+'II-I-MET'!K658+'II-I-TBILLTDCS'!K658</f>
        <v>123845.32630879746</v>
      </c>
      <c r="L658" s="434">
        <f>'II-I-DIST'!L658+'II-I-MET'!L658+'II-I-TBILLTDCS'!L658</f>
        <v>3265351.1563775325</v>
      </c>
      <c r="M658" s="434">
        <f>'II-I-DIST'!M658+'II-I-MET'!M658+'II-I-TBILLTDCS'!M658</f>
        <v>1846.0376025769488</v>
      </c>
      <c r="N658" s="434">
        <f>'II-I-DIST'!N658+'II-I-MET'!N658+'II-I-TBILLTDCS'!N658</f>
        <v>781336.05300820409</v>
      </c>
      <c r="O658" s="434">
        <f>'II-I-DIST'!O658+'II-I-MET'!O658+'II-I-TBILLTDCS'!O658</f>
        <v>282558.25169133185</v>
      </c>
      <c r="P658" s="434">
        <f>'II-I-DIST'!P658+'II-I-MET'!P658+'II-I-TBILLTDCS'!P658</f>
        <v>0</v>
      </c>
      <c r="Q658" s="434">
        <f>'II-I-DIST'!Q658+'II-I-MET'!Q658+'II-I-TBILLTDCS'!Q658</f>
        <v>32935.750606040965</v>
      </c>
      <c r="R658" s="434">
        <f>'II-I-DIST'!R658+'II-I-MET'!R658+'II-I-TBILLTDCS'!R658</f>
        <v>33866.374963480106</v>
      </c>
      <c r="S658" s="434">
        <f>'II-I-DIST'!S658+'II-I-MET'!S658+'II-I-TBILLTDCS'!S658</f>
        <v>42413.088200844606</v>
      </c>
      <c r="T658" s="19"/>
      <c r="U658" s="118">
        <f t="shared" si="181"/>
        <v>9635578.4300000016</v>
      </c>
      <c r="V658" s="67"/>
      <c r="X658" s="370">
        <f t="shared" si="171"/>
        <v>0</v>
      </c>
    </row>
    <row r="659" spans="1:24" ht="14.25">
      <c r="A659" s="47"/>
      <c r="B659" s="17">
        <f t="shared" si="180"/>
        <v>5</v>
      </c>
      <c r="C659" s="1" t="s">
        <v>194</v>
      </c>
      <c r="D659" s="1" t="s">
        <v>166</v>
      </c>
      <c r="E659" s="19"/>
      <c r="F659" s="290">
        <f>' WP II-I-1.4'!L659</f>
        <v>3847591.3799999999</v>
      </c>
      <c r="G659" s="466" t="s">
        <v>805</v>
      </c>
      <c r="H659" s="47" t="s">
        <v>320</v>
      </c>
      <c r="I659" s="19"/>
      <c r="J659" s="434">
        <f>'II-I-DIST'!J659+'II-I-MET'!J659+'II-I-TBILLTDCS'!J659</f>
        <v>2025075.7760937158</v>
      </c>
      <c r="K659" s="434">
        <f>'II-I-DIST'!K659+'II-I-MET'!K659+'II-I-TBILLTDCS'!K659</f>
        <v>49452.787232309034</v>
      </c>
      <c r="L659" s="434">
        <f>'II-I-DIST'!L659+'II-I-MET'!L659+'II-I-TBILLTDCS'!L659</f>
        <v>1303890.2701299717</v>
      </c>
      <c r="M659" s="434">
        <f>'II-I-DIST'!M659+'II-I-MET'!M659+'II-I-TBILLTDCS'!M659</f>
        <v>737.1429145049193</v>
      </c>
      <c r="N659" s="434">
        <f>'II-I-DIST'!N659+'II-I-MET'!N659+'II-I-TBILLTDCS'!N659</f>
        <v>311995.99321175256</v>
      </c>
      <c r="O659" s="434">
        <f>'II-I-DIST'!O659+'II-I-MET'!O659+'II-I-TBILLTDCS'!O659</f>
        <v>112828.58641579642</v>
      </c>
      <c r="P659" s="434">
        <f>'II-I-DIST'!P659+'II-I-MET'!P659+'II-I-TBILLTDCS'!P659</f>
        <v>0</v>
      </c>
      <c r="Q659" s="434">
        <f>'II-I-DIST'!Q659+'II-I-MET'!Q659+'II-I-TBILLTDCS'!Q659</f>
        <v>13151.603823916259</v>
      </c>
      <c r="R659" s="434">
        <f>'II-I-DIST'!R659+'II-I-MET'!R659+'II-I-TBILLTDCS'!R659</f>
        <v>13523.212262549545</v>
      </c>
      <c r="S659" s="434">
        <f>'II-I-DIST'!S659+'II-I-MET'!S659+'II-I-TBILLTDCS'!S659</f>
        <v>16936.007915484264</v>
      </c>
      <c r="T659" s="19"/>
      <c r="U659" s="118">
        <f t="shared" si="181"/>
        <v>3847591.3800000004</v>
      </c>
      <c r="V659" s="67"/>
      <c r="X659" s="370">
        <f t="shared" si="171"/>
        <v>0</v>
      </c>
    </row>
    <row r="660" spans="1:24" ht="14.25">
      <c r="A660" s="47"/>
      <c r="B660" s="17">
        <f t="shared" si="180"/>
        <v>6</v>
      </c>
      <c r="C660" s="1" t="s">
        <v>195</v>
      </c>
      <c r="D660" s="1" t="s">
        <v>168</v>
      </c>
      <c r="E660" s="19"/>
      <c r="F660" s="290">
        <f>' WP II-I-1.4'!L660</f>
        <v>13832321.969999999</v>
      </c>
      <c r="G660" s="466" t="s">
        <v>805</v>
      </c>
      <c r="H660" s="47" t="s">
        <v>320</v>
      </c>
      <c r="I660" s="19"/>
      <c r="J660" s="434">
        <f>'II-I-DIST'!J660+'II-I-MET'!J660+'II-I-TBILLTDCS'!J660</f>
        <v>7638110.3146669976</v>
      </c>
      <c r="K660" s="434">
        <f>'II-I-DIST'!K660+'II-I-MET'!K660+'II-I-TBILLTDCS'!K660</f>
        <v>193181.63419986694</v>
      </c>
      <c r="L660" s="434">
        <f>'II-I-DIST'!L660+'II-I-MET'!L660+'II-I-TBILLTDCS'!L660</f>
        <v>4909332.057349788</v>
      </c>
      <c r="M660" s="434">
        <f>'II-I-DIST'!M660+'II-I-MET'!M660+'II-I-TBILLTDCS'!M660</f>
        <v>2654.6680528716329</v>
      </c>
      <c r="N660" s="434">
        <f>'II-I-DIST'!N660+'II-I-MET'!N660+'II-I-TBILLTDCS'!N660</f>
        <v>985730.32623089489</v>
      </c>
      <c r="O660" s="434">
        <f>'II-I-DIST'!O660+'II-I-MET'!O660+'II-I-TBILLTDCS'!O660</f>
        <v>244.31185284728102</v>
      </c>
      <c r="P660" s="434">
        <f>'II-I-DIST'!P660+'II-I-MET'!P660+'II-I-TBILLTDCS'!P660</f>
        <v>531.84811042908098</v>
      </c>
      <c r="Q660" s="434">
        <f>'II-I-DIST'!Q660+'II-I-MET'!Q660+'II-I-TBILLTDCS'!Q660</f>
        <v>49322.69664621984</v>
      </c>
      <c r="R660" s="434">
        <f>'II-I-DIST'!R660+'II-I-MET'!R660+'II-I-TBILLTDCS'!R660</f>
        <v>28.18982917468627</v>
      </c>
      <c r="S660" s="434">
        <f>'II-I-DIST'!S660+'II-I-MET'!S660+'II-I-TBILLTDCS'!S660</f>
        <v>53185.923060909277</v>
      </c>
      <c r="T660" s="19"/>
      <c r="U660" s="118">
        <f t="shared" si="181"/>
        <v>13832321.969999999</v>
      </c>
      <c r="V660" s="67"/>
      <c r="X660" s="370">
        <f t="shared" si="171"/>
        <v>0</v>
      </c>
    </row>
    <row r="661" spans="1:24" ht="14.25">
      <c r="A661" s="47"/>
      <c r="B661" s="17">
        <f t="shared" si="180"/>
        <v>7</v>
      </c>
      <c r="C661" s="1" t="s">
        <v>196</v>
      </c>
      <c r="D661" s="1" t="s">
        <v>170</v>
      </c>
      <c r="E661" s="19"/>
      <c r="F661" s="290">
        <f>' WP II-I-1.4'!L661</f>
        <v>10078847.100000002</v>
      </c>
      <c r="G661" s="466" t="s">
        <v>805</v>
      </c>
      <c r="H661" s="47" t="s">
        <v>320</v>
      </c>
      <c r="I661" s="19"/>
      <c r="J661" s="434">
        <f>'II-I-DIST'!J661+'II-I-MET'!J661+'II-I-TBILLTDCS'!J661</f>
        <v>5585484.3681455106</v>
      </c>
      <c r="K661" s="434">
        <f>'II-I-DIST'!K661+'II-I-MET'!K661+'II-I-TBILLTDCS'!K661</f>
        <v>136956.58793951263</v>
      </c>
      <c r="L661" s="434">
        <f>'II-I-DIST'!L661+'II-I-MET'!L661+'II-I-TBILLTDCS'!L661</f>
        <v>3595615.2189391726</v>
      </c>
      <c r="M661" s="434">
        <f>'II-I-DIST'!M661+'II-I-MET'!M661+'II-I-TBILLTDCS'!M661</f>
        <v>1647.220203810668</v>
      </c>
      <c r="N661" s="434">
        <f>'II-I-DIST'!N661+'II-I-MET'!N661+'II-I-TBILLTDCS'!N661</f>
        <v>685634.56077906745</v>
      </c>
      <c r="O661" s="434">
        <f>'II-I-DIST'!O661+'II-I-MET'!O661+'II-I-TBILLTDCS'!O661</f>
        <v>20.472249353533087</v>
      </c>
      <c r="P661" s="434">
        <f>'II-I-DIST'!P661+'II-I-MET'!P661+'II-I-TBILLTDCS'!P661</f>
        <v>44.566512054229719</v>
      </c>
      <c r="Q661" s="434">
        <f>'II-I-DIST'!Q661+'II-I-MET'!Q661+'II-I-TBILLTDCS'!Q661</f>
        <v>36250.600690988234</v>
      </c>
      <c r="R661" s="434">
        <f>'II-I-DIST'!R661+'II-I-MET'!R661+'II-I-TBILLTDCS'!R661</f>
        <v>2.362182617715356</v>
      </c>
      <c r="S661" s="434">
        <f>'II-I-DIST'!S661+'II-I-MET'!S661+'II-I-TBILLTDCS'!S661</f>
        <v>37191.142357914992</v>
      </c>
      <c r="T661" s="19"/>
      <c r="U661" s="118">
        <f t="shared" si="181"/>
        <v>10078847.100000003</v>
      </c>
      <c r="V661" s="67"/>
      <c r="X661" s="370">
        <f t="shared" si="171"/>
        <v>0</v>
      </c>
    </row>
    <row r="662" spans="1:24" ht="14.25">
      <c r="A662" s="47"/>
      <c r="B662" s="17">
        <f t="shared" si="180"/>
        <v>8</v>
      </c>
      <c r="C662" s="1" t="s">
        <v>197</v>
      </c>
      <c r="D662" s="1" t="s">
        <v>198</v>
      </c>
      <c r="E662" s="19"/>
      <c r="F662" s="290">
        <f>' WP II-I-1.4'!L662</f>
        <v>826.62</v>
      </c>
      <c r="G662" s="466" t="s">
        <v>805</v>
      </c>
      <c r="H662" s="47" t="s">
        <v>320</v>
      </c>
      <c r="I662" s="19"/>
      <c r="J662" s="434">
        <f>'II-I-DIST'!J662+'II-I-MET'!J662+'II-I-TBILLTDCS'!J662</f>
        <v>0</v>
      </c>
      <c r="K662" s="434">
        <f>'II-I-DIST'!K662+'II-I-MET'!K662+'II-I-TBILLTDCS'!K662</f>
        <v>0</v>
      </c>
      <c r="L662" s="434">
        <f>'II-I-DIST'!L662+'II-I-MET'!L662+'II-I-TBILLTDCS'!L662</f>
        <v>0</v>
      </c>
      <c r="M662" s="434">
        <f>'II-I-DIST'!M662+'II-I-MET'!M662+'II-I-TBILLTDCS'!M662</f>
        <v>0</v>
      </c>
      <c r="N662" s="434">
        <f>'II-I-DIST'!N662+'II-I-MET'!N662+'II-I-TBILLTDCS'!N662</f>
        <v>0</v>
      </c>
      <c r="O662" s="434">
        <f>'II-I-DIST'!O662+'II-I-MET'!O662+'II-I-TBILLTDCS'!O662</f>
        <v>0</v>
      </c>
      <c r="P662" s="434">
        <f>'II-I-DIST'!P662+'II-I-MET'!P662+'II-I-TBILLTDCS'!P662</f>
        <v>0</v>
      </c>
      <c r="Q662" s="434">
        <f>'II-I-DIST'!Q662+'II-I-MET'!Q662+'II-I-TBILLTDCS'!Q662</f>
        <v>826.62</v>
      </c>
      <c r="R662" s="434">
        <f>'II-I-DIST'!R662+'II-I-MET'!R662+'II-I-TBILLTDCS'!R662</f>
        <v>0</v>
      </c>
      <c r="S662" s="434">
        <f>'II-I-DIST'!S662+'II-I-MET'!S662+'II-I-TBILLTDCS'!S662</f>
        <v>0</v>
      </c>
      <c r="T662" s="19"/>
      <c r="U662" s="118">
        <f t="shared" si="181"/>
        <v>826.62</v>
      </c>
      <c r="V662" s="67"/>
      <c r="X662" s="370">
        <f t="shared" si="171"/>
        <v>0</v>
      </c>
    </row>
    <row r="663" spans="1:24" ht="14.25">
      <c r="A663" s="47"/>
      <c r="B663" s="17">
        <f t="shared" si="180"/>
        <v>9</v>
      </c>
      <c r="C663" s="1" t="s">
        <v>199</v>
      </c>
      <c r="D663" s="1" t="s">
        <v>200</v>
      </c>
      <c r="E663" s="19"/>
      <c r="F663" s="290">
        <f>' WP II-I-1.4'!L663</f>
        <v>28413340.77</v>
      </c>
      <c r="G663" s="466" t="s">
        <v>805</v>
      </c>
      <c r="H663" s="47" t="s">
        <v>320</v>
      </c>
      <c r="I663" s="19"/>
      <c r="J663" s="434">
        <f>'II-I-DIST'!J663+'II-I-MET'!J663+'II-I-TBILLTDCS'!J663</f>
        <v>15840574.281971153</v>
      </c>
      <c r="K663" s="434">
        <f>'II-I-DIST'!K663+'II-I-MET'!K663+'II-I-TBILLTDCS'!K663</f>
        <v>2442208.6148303389</v>
      </c>
      <c r="L663" s="434">
        <f>'II-I-DIST'!L663+'II-I-MET'!L663+'II-I-TBILLTDCS'!L663</f>
        <v>7533076.9563764948</v>
      </c>
      <c r="M663" s="434">
        <f>'II-I-DIST'!M663+'II-I-MET'!M663+'II-I-TBILLTDCS'!M663</f>
        <v>105775.83830936902</v>
      </c>
      <c r="N663" s="434">
        <f>'II-I-DIST'!N663+'II-I-MET'!N663+'II-I-TBILLTDCS'!N663</f>
        <v>2207256.8067391259</v>
      </c>
      <c r="O663" s="434">
        <f>'II-I-DIST'!O663+'II-I-MET'!O663+'II-I-TBILLTDCS'!O663</f>
        <v>75428.599965292859</v>
      </c>
      <c r="P663" s="434">
        <f>'II-I-DIST'!P663+'II-I-MET'!P663+'II-I-TBILLTDCS'!P663</f>
        <v>164202.25992444521</v>
      </c>
      <c r="Q663" s="434">
        <f>'II-I-DIST'!Q663+'II-I-MET'!Q663+'II-I-TBILLTDCS'!Q663</f>
        <v>15790.234451906556</v>
      </c>
      <c r="R663" s="434">
        <f>'II-I-DIST'!R663+'II-I-MET'!R663+'II-I-TBILLTDCS'!R663</f>
        <v>8703.2999959953304</v>
      </c>
      <c r="S663" s="434">
        <f>'II-I-DIST'!S663+'II-I-MET'!S663+'II-I-TBILLTDCS'!S663</f>
        <v>20323.877435879469</v>
      </c>
      <c r="T663" s="19"/>
      <c r="U663" s="118">
        <f t="shared" si="181"/>
        <v>28413340.77</v>
      </c>
      <c r="V663" s="67"/>
      <c r="X663" s="370">
        <f t="shared" si="171"/>
        <v>0</v>
      </c>
    </row>
    <row r="664" spans="1:24" ht="14.25">
      <c r="A664" s="47"/>
      <c r="B664" s="17">
        <f t="shared" si="180"/>
        <v>10</v>
      </c>
      <c r="C664" s="1" t="s">
        <v>201</v>
      </c>
      <c r="D664" s="1" t="s">
        <v>202</v>
      </c>
      <c r="E664" s="19"/>
      <c r="F664" s="290">
        <f>' WP II-I-1.4'!L664</f>
        <v>1639833.5900000001</v>
      </c>
      <c r="G664" s="466" t="s">
        <v>805</v>
      </c>
      <c r="H664" s="47" t="s">
        <v>320</v>
      </c>
      <c r="I664" s="19"/>
      <c r="J664" s="434">
        <f>'II-I-DIST'!J664+'II-I-MET'!J664+'II-I-TBILLTDCS'!J664</f>
        <v>915150.0425667403</v>
      </c>
      <c r="K664" s="434">
        <f>'II-I-DIST'!K664+'II-I-MET'!K664+'II-I-TBILLTDCS'!K664</f>
        <v>141092.5688699671</v>
      </c>
      <c r="L664" s="434">
        <f>'II-I-DIST'!L664+'II-I-MET'!L664+'II-I-TBILLTDCS'!L664</f>
        <v>435204.90952987247</v>
      </c>
      <c r="M664" s="434">
        <f>'II-I-DIST'!M664+'II-I-MET'!M664+'II-I-TBILLTDCS'!M664</f>
        <v>6110.9377228529447</v>
      </c>
      <c r="N664" s="434">
        <f>'II-I-DIST'!N664+'II-I-MET'!N664+'II-I-TBILLTDCS'!N664</f>
        <v>127518.80864206138</v>
      </c>
      <c r="O664" s="434">
        <f>'II-I-DIST'!O664+'II-I-MET'!O664+'II-I-TBILLTDCS'!O664</f>
        <v>4357.7010050419522</v>
      </c>
      <c r="P664" s="434">
        <f>'II-I-DIST'!P664+'II-I-MET'!P664+'II-I-TBILLTDCS'!P664</f>
        <v>9486.3798802067122</v>
      </c>
      <c r="Q664" s="434">
        <f>'II-I-DIST'!Q664+'II-I-MET'!Q664+'II-I-TBILLTDCS'!Q664</f>
        <v>912.24178325704781</v>
      </c>
      <c r="R664" s="434">
        <f>'II-I-DIST'!R664+'II-I-MET'!R664+'II-I-TBILLTDCS'!R664</f>
        <v>0</v>
      </c>
      <c r="S664" s="434">
        <f>'II-I-DIST'!S664+'II-I-MET'!S664+'II-I-TBILLTDCS'!S664</f>
        <v>0</v>
      </c>
      <c r="T664" s="19"/>
      <c r="U664" s="118">
        <f t="shared" si="181"/>
        <v>1639833.5900000001</v>
      </c>
      <c r="V664" s="67"/>
      <c r="X664" s="370">
        <f t="shared" si="171"/>
        <v>0</v>
      </c>
    </row>
    <row r="665" spans="1:24" ht="14.25">
      <c r="A665" s="47"/>
      <c r="B665" s="17">
        <f t="shared" si="180"/>
        <v>11</v>
      </c>
      <c r="C665" s="1" t="s">
        <v>203</v>
      </c>
      <c r="D665" s="1" t="s">
        <v>204</v>
      </c>
      <c r="E665" s="19"/>
      <c r="F665" s="290">
        <f>' WP II-I-1.4'!L665</f>
        <v>104322733.54000001</v>
      </c>
      <c r="G665" s="466" t="s">
        <v>805</v>
      </c>
      <c r="H665" s="47" t="s">
        <v>320</v>
      </c>
      <c r="I665" s="19"/>
      <c r="J665" s="434">
        <f>'II-I-DIST'!J665+'II-I-MET'!J665+'II-I-TBILLTDCS'!J665</f>
        <v>56619600.919174068</v>
      </c>
      <c r="K665" s="434">
        <f>'II-I-DIST'!K665+'II-I-MET'!K665+'II-I-TBILLTDCS'!K665</f>
        <v>1936366.6048341701</v>
      </c>
      <c r="L665" s="434">
        <f>'II-I-DIST'!L665+'II-I-MET'!L665+'II-I-TBILLTDCS'!L665</f>
        <v>35737531.882290252</v>
      </c>
      <c r="M665" s="434">
        <f>'II-I-DIST'!M665+'II-I-MET'!M665+'II-I-TBILLTDCS'!M665</f>
        <v>45366.106933435462</v>
      </c>
      <c r="N665" s="434">
        <f>'II-I-DIST'!N665+'II-I-MET'!N665+'II-I-TBILLTDCS'!N665</f>
        <v>7735223.652390508</v>
      </c>
      <c r="O665" s="434">
        <f>'II-I-DIST'!O665+'II-I-MET'!O665+'II-I-TBILLTDCS'!O665</f>
        <v>1022105.3899996916</v>
      </c>
      <c r="P665" s="434">
        <f>'II-I-DIST'!P665+'II-I-MET'!P665+'II-I-TBILLTDCS'!P665</f>
        <v>44234.874854419206</v>
      </c>
      <c r="Q665" s="434">
        <f>'II-I-DIST'!Q665+'II-I-MET'!Q665+'II-I-TBILLTDCS'!Q665</f>
        <v>671047.90298053692</v>
      </c>
      <c r="R665" s="434">
        <f>'II-I-DIST'!R665+'II-I-MET'!R665+'II-I-TBILLTDCS'!R665</f>
        <v>121141.89298470847</v>
      </c>
      <c r="S665" s="434">
        <f>'II-I-DIST'!S665+'II-I-MET'!S665+'II-I-TBILLTDCS'!S665</f>
        <v>390114.3135582215</v>
      </c>
      <c r="T665" s="19"/>
      <c r="U665" s="118">
        <f t="shared" si="181"/>
        <v>104322733.53999999</v>
      </c>
      <c r="V665" s="67"/>
      <c r="X665" s="370">
        <f t="shared" si="171"/>
        <v>0</v>
      </c>
    </row>
    <row r="666" spans="1:24" ht="14.25">
      <c r="A666" s="47"/>
      <c r="B666" s="17">
        <f t="shared" si="180"/>
        <v>12</v>
      </c>
      <c r="C666" s="1" t="s">
        <v>205</v>
      </c>
      <c r="D666" s="1" t="s">
        <v>206</v>
      </c>
      <c r="E666" s="19"/>
      <c r="F666" s="290">
        <f>' WP II-I-1.4'!L666</f>
        <v>731384.02000000002</v>
      </c>
      <c r="G666" s="466" t="s">
        <v>805</v>
      </c>
      <c r="H666" s="47" t="s">
        <v>320</v>
      </c>
      <c r="I666" s="19"/>
      <c r="J666" s="435">
        <f>'II-I-DIST'!J666+'II-I-MET'!J666+'II-I-TBILLTDCS'!J666</f>
        <v>398014.70170270622</v>
      </c>
      <c r="K666" s="435">
        <f>'II-I-DIST'!K666+'II-I-MET'!K666+'II-I-TBILLTDCS'!K666</f>
        <v>9719.6048617017295</v>
      </c>
      <c r="L666" s="435">
        <f>'II-I-DIST'!L666+'II-I-MET'!L666+'II-I-TBILLTDCS'!L666</f>
        <v>256270.65566894875</v>
      </c>
      <c r="M666" s="435">
        <f>'II-I-DIST'!M666+'II-I-MET'!M666+'II-I-TBILLTDCS'!M666</f>
        <v>144.88036482016631</v>
      </c>
      <c r="N666" s="435">
        <f>'II-I-DIST'!N666+'II-I-MET'!N666+'II-I-TBILLTDCS'!N666</f>
        <v>61320.664459357271</v>
      </c>
      <c r="O666" s="435">
        <f>'II-I-DIST'!O666+'II-I-MET'!O666+'II-I-TBILLTDCS'!O666</f>
        <v>0</v>
      </c>
      <c r="P666" s="435">
        <f>'II-I-DIST'!P666+'II-I-MET'!P666+'II-I-TBILLTDCS'!P666</f>
        <v>0</v>
      </c>
      <c r="Q666" s="435">
        <f>'II-I-DIST'!Q666+'II-I-MET'!Q666+'II-I-TBILLTDCS'!Q666</f>
        <v>2584.8571864236046</v>
      </c>
      <c r="R666" s="435">
        <f>'II-I-DIST'!R666+'II-I-MET'!R666+'II-I-TBILLTDCS'!R666</f>
        <v>0</v>
      </c>
      <c r="S666" s="435">
        <f>'II-I-DIST'!S666+'II-I-MET'!S666+'II-I-TBILLTDCS'!S666</f>
        <v>3328.6557560422834</v>
      </c>
      <c r="T666" s="19"/>
      <c r="U666" s="118">
        <f t="shared" si="181"/>
        <v>731384.02000000002</v>
      </c>
      <c r="V666" s="67"/>
      <c r="X666" s="370">
        <f t="shared" si="171"/>
        <v>0</v>
      </c>
    </row>
    <row r="667" spans="1:24" ht="15">
      <c r="A667" s="47"/>
      <c r="B667" s="17">
        <f t="shared" si="180"/>
        <v>13</v>
      </c>
      <c r="C667" s="8"/>
      <c r="D667" s="297" t="s">
        <v>632</v>
      </c>
      <c r="E667" s="20"/>
      <c r="F667" s="22">
        <f>SUM(F657:F666)</f>
        <v>180430276.00000003</v>
      </c>
      <c r="G667" s="20"/>
      <c r="H667" s="20"/>
      <c r="I667" s="20"/>
      <c r="J667" s="896">
        <f t="shared" si="182" ref="J667:Q667">SUM(J657:J666)</f>
        <v>98403783.894847527</v>
      </c>
      <c r="K667" s="896">
        <f t="shared" si="182"/>
        <v>5201982.0291736806</v>
      </c>
      <c r="L667" s="896">
        <f t="shared" si="182"/>
        <v>59728697.168787934</v>
      </c>
      <c r="M667" s="896">
        <f t="shared" si="182"/>
        <v>168801.58783925674</v>
      </c>
      <c r="N667" s="896">
        <f t="shared" si="182"/>
        <v>13485379.198061092</v>
      </c>
      <c r="O667" s="896">
        <f>SUM(O657:O666)</f>
        <v>1572945.3557285825</v>
      </c>
      <c r="P667" s="896">
        <f t="shared" si="182"/>
        <v>223604.73632519718</v>
      </c>
      <c r="Q667" s="896">
        <f t="shared" si="182"/>
        <v>866707.24470328738</v>
      </c>
      <c r="R667" s="896">
        <f>SUM(R657:R666)</f>
        <v>186199.41455240865</v>
      </c>
      <c r="S667" s="896">
        <f>SUM(S657:S666)</f>
        <v>592175.36998104269</v>
      </c>
      <c r="T667" s="1009"/>
      <c r="U667" s="299">
        <f t="shared" si="181"/>
        <v>180430276.00000003</v>
      </c>
      <c r="V667" s="67"/>
      <c r="W667" s="1300" t="b">
        <f>' WP II-I-1.4'!$L$667=U667</f>
        <v>1</v>
      </c>
      <c r="X667" s="370">
        <f t="shared" si="171"/>
        <v>0</v>
      </c>
    </row>
    <row r="668" spans="1:24" ht="15">
      <c r="A668" s="47"/>
      <c r="B668" s="17">
        <f t="shared" si="180"/>
        <v>14</v>
      </c>
      <c r="C668" s="8"/>
      <c r="D668" s="297"/>
      <c r="E668" s="20"/>
      <c r="F668" s="22"/>
      <c r="G668" s="20"/>
      <c r="H668" s="20"/>
      <c r="I668" s="20"/>
      <c r="J668" s="896"/>
      <c r="K668" s="896"/>
      <c r="L668" s="896"/>
      <c r="M668" s="896"/>
      <c r="N668" s="896"/>
      <c r="O668" s="896"/>
      <c r="P668" s="896"/>
      <c r="Q668" s="896"/>
      <c r="R668" s="896"/>
      <c r="S668" s="896"/>
      <c r="T668" s="1009"/>
      <c r="U668" s="299"/>
      <c r="V668" s="67"/>
      <c r="X668" s="370">
        <f t="shared" si="171"/>
        <v>0</v>
      </c>
    </row>
    <row r="669" spans="1:24" ht="15">
      <c r="A669" s="47"/>
      <c r="B669" s="17">
        <f t="shared" si="180"/>
        <v>15</v>
      </c>
      <c r="C669" s="8"/>
      <c r="D669" s="297" t="s">
        <v>633</v>
      </c>
      <c r="E669" s="20"/>
      <c r="F669" s="22">
        <f>SUM(F658:F664)+F666</f>
        <v>68179723.879999995</v>
      </c>
      <c r="G669" s="20"/>
      <c r="H669" s="20"/>
      <c r="I669" s="20"/>
      <c r="J669" s="896">
        <f t="shared" si="183" ref="J669:Q669">SUM(J658:J664)+J666</f>
        <v>37473835.876388013</v>
      </c>
      <c r="K669" s="896">
        <f t="shared" si="183"/>
        <v>3096457.1242424939</v>
      </c>
      <c r="L669" s="896">
        <f t="shared" si="183"/>
        <v>21298741.22437178</v>
      </c>
      <c r="M669" s="896">
        <f t="shared" si="183"/>
        <v>118916.72517080631</v>
      </c>
      <c r="N669" s="896">
        <f t="shared" si="183"/>
        <v>5160793.2130704634</v>
      </c>
      <c r="O669" s="896">
        <f>SUM(O658:O664)+O666</f>
        <v>475437.92317966389</v>
      </c>
      <c r="P669" s="896">
        <f t="shared" si="183"/>
        <v>174265.05442713524</v>
      </c>
      <c r="Q669" s="896">
        <f t="shared" si="183"/>
        <v>151774.60518875253</v>
      </c>
      <c r="R669" s="896">
        <f>SUM(R658:R664)+R666</f>
        <v>56123.439233817386</v>
      </c>
      <c r="S669" s="896">
        <f>SUM(S658:S664)+S666</f>
        <v>173378.69472707488</v>
      </c>
      <c r="T669" s="1009"/>
      <c r="U669" s="299">
        <f>SUM(I669:T669)</f>
        <v>68179723.880000025</v>
      </c>
      <c r="V669" s="67"/>
      <c r="W669" s="1300" t="b">
        <f>' WP II-I-1.4'!$L$669=U669</f>
        <v>1</v>
      </c>
      <c r="X669" s="370">
        <f t="shared" si="171"/>
        <v>0</v>
      </c>
    </row>
    <row r="670" spans="1:24" ht="14.25">
      <c r="A670" s="47"/>
      <c r="B670" s="17">
        <f t="shared" si="180"/>
        <v>16</v>
      </c>
      <c r="C670" s="1"/>
      <c r="D670" s="30"/>
      <c r="E670" s="17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"/>
      <c r="V670" s="67"/>
      <c r="X670" s="370">
        <f t="shared" si="171"/>
        <v>0</v>
      </c>
    </row>
    <row r="671" spans="1:24" ht="15">
      <c r="A671" s="47"/>
      <c r="B671" s="17">
        <f t="shared" si="180"/>
        <v>17</v>
      </c>
      <c r="C671" s="366"/>
      <c r="D671" s="8"/>
      <c r="E671" s="20"/>
      <c r="F671" s="22"/>
      <c r="G671" s="20"/>
      <c r="H671" s="20"/>
      <c r="I671" s="20"/>
      <c r="J671" s="1059"/>
      <c r="K671" s="1059"/>
      <c r="L671" s="1059"/>
      <c r="M671" s="1059"/>
      <c r="N671" s="1059"/>
      <c r="O671" s="1059"/>
      <c r="P671" s="1059"/>
      <c r="Q671" s="1059"/>
      <c r="R671" s="1059"/>
      <c r="S671" s="1059"/>
      <c r="T671" s="1009"/>
      <c r="U671" s="8"/>
      <c r="V671" s="67"/>
      <c r="X671" s="370">
        <f t="shared" si="171"/>
        <v>0</v>
      </c>
    </row>
    <row r="672" spans="1:24" ht="15">
      <c r="A672" s="47"/>
      <c r="B672" s="17">
        <f t="shared" si="180"/>
        <v>18</v>
      </c>
      <c r="C672" s="8"/>
      <c r="D672" s="366" t="s">
        <v>628</v>
      </c>
      <c r="E672" s="20" t="s">
        <v>160</v>
      </c>
      <c r="F672" s="22"/>
      <c r="G672" s="20"/>
      <c r="H672" s="20"/>
      <c r="I672" s="20"/>
      <c r="J672" s="1059"/>
      <c r="K672" s="1059"/>
      <c r="L672" s="1059"/>
      <c r="M672" s="1059"/>
      <c r="N672" s="1059"/>
      <c r="O672" s="1059"/>
      <c r="P672" s="1059"/>
      <c r="Q672" s="1059"/>
      <c r="R672" s="1059"/>
      <c r="S672" s="1059"/>
      <c r="T672" s="1009"/>
      <c r="U672" s="8"/>
      <c r="V672" s="67"/>
      <c r="X672" s="370">
        <f t="shared" si="171"/>
        <v>0</v>
      </c>
    </row>
    <row r="673" spans="1:24" ht="14.25">
      <c r="A673" s="47"/>
      <c r="B673" s="17">
        <f t="shared" si="180"/>
        <v>19</v>
      </c>
      <c r="C673" s="1" t="s">
        <v>208</v>
      </c>
      <c r="D673" s="1" t="s">
        <v>179</v>
      </c>
      <c r="E673" s="17"/>
      <c r="F673" s="118">
        <f>' WP II-I-1.4'!L673</f>
        <v>2833433.6499999999</v>
      </c>
      <c r="G673" s="17" t="s">
        <v>805</v>
      </c>
      <c r="H673" s="47" t="s">
        <v>320</v>
      </c>
      <c r="I673" s="17"/>
      <c r="J673" s="434">
        <f>'II-I-DIST'!J673+'II-I-MET'!J673+'II-I-TBILLTDCS'!J673</f>
        <v>1501028.4874304778</v>
      </c>
      <c r="K673" s="434">
        <f>'II-I-DIST'!K673+'II-I-MET'!K673+'II-I-TBILLTDCS'!K673</f>
        <v>89596.065187730652</v>
      </c>
      <c r="L673" s="434">
        <f>'II-I-DIST'!L673+'II-I-MET'!L673+'II-I-TBILLTDCS'!L673</f>
        <v>897796.29876539437</v>
      </c>
      <c r="M673" s="434">
        <f>'II-I-DIST'!M673+'II-I-MET'!M673+'II-I-TBILLTDCS'!M673</f>
        <v>3040.065336533145</v>
      </c>
      <c r="N673" s="434">
        <f>'II-I-DIST'!N673+'II-I-MET'!N673+'II-I-TBILLTDCS'!N673</f>
        <v>190437.95552133198</v>
      </c>
      <c r="O673" s="434">
        <f>'II-I-DIST'!O673+'II-I-MET'!O673+'II-I-TBILLTDCS'!O673</f>
        <v>5571.6079410899283</v>
      </c>
      <c r="P673" s="434">
        <f>'II-I-DIST'!P673+'II-I-MET'!P673+'II-I-TBILLTDCS'!P673</f>
        <v>4573.6259270485352</v>
      </c>
      <c r="Q673" s="434">
        <f>'II-I-DIST'!Q673+'II-I-MET'!Q673+'II-I-TBILLTDCS'!Q673</f>
        <v>132955.53680722293</v>
      </c>
      <c r="R673" s="434">
        <f>'II-I-DIST'!R673+'II-I-MET'!R673+'II-I-TBILLTDCS'!R673</f>
        <v>659.10458207416002</v>
      </c>
      <c r="S673" s="434">
        <f>'II-I-DIST'!S673+'II-I-MET'!S673+'II-I-TBILLTDCS'!S673</f>
        <v>7774.9025010962714</v>
      </c>
      <c r="T673" s="17"/>
      <c r="U673" s="118">
        <f t="shared" si="184" ref="U673:U682">SUM(I673:T673)</f>
        <v>2833433.6500000004</v>
      </c>
      <c r="V673" s="67"/>
      <c r="X673" s="370">
        <f t="shared" si="171"/>
        <v>0</v>
      </c>
    </row>
    <row r="674" spans="1:24" ht="14.25">
      <c r="A674" s="47"/>
      <c r="B674" s="17">
        <f t="shared" si="180"/>
        <v>20</v>
      </c>
      <c r="C674" s="1" t="s">
        <v>209</v>
      </c>
      <c r="D674" s="31" t="s">
        <v>181</v>
      </c>
      <c r="E674" s="17"/>
      <c r="F674" s="118">
        <f>' WP II-I-1.4'!L674</f>
        <v>5772.4399999999996</v>
      </c>
      <c r="G674" s="17" t="s">
        <v>805</v>
      </c>
      <c r="H674" s="47" t="s">
        <v>320</v>
      </c>
      <c r="I674" s="17"/>
      <c r="J674" s="434">
        <f>'II-I-DIST'!J674+'II-I-MET'!J674+'II-I-TBILLTDCS'!J674</f>
        <v>3144.0651309798177</v>
      </c>
      <c r="K674" s="434">
        <f>'II-I-DIST'!K674+'II-I-MET'!K674+'II-I-TBILLTDCS'!K674</f>
        <v>129.52487985535367</v>
      </c>
      <c r="L674" s="434">
        <f>'II-I-DIST'!L674+'II-I-MET'!L674+'II-I-TBILLTDCS'!L674</f>
        <v>1955.9544379946321</v>
      </c>
      <c r="M674" s="434">
        <f>'II-I-DIST'!M674+'II-I-MET'!M674+'II-I-TBILLTDCS'!M674</f>
        <v>0.66408774598862708</v>
      </c>
      <c r="N674" s="434">
        <f>'II-I-DIST'!N674+'II-I-MET'!N674+'II-I-TBILLTDCS'!N674</f>
        <v>281.07536790017264</v>
      </c>
      <c r="O674" s="434">
        <f>'II-I-DIST'!O674+'II-I-MET'!O674+'II-I-TBILLTDCS'!O674</f>
        <v>22.320997687457837</v>
      </c>
      <c r="P674" s="434">
        <f>'II-I-DIST'!P674+'II-I-MET'!P674+'II-I-TBILLTDCS'!P674</f>
        <v>5.3060743588494583</v>
      </c>
      <c r="Q674" s="434">
        <f>'II-I-DIST'!Q674+'II-I-MET'!Q674+'II-I-TBILLTDCS'!Q674</f>
        <v>215.59616159344756</v>
      </c>
      <c r="R674" s="434">
        <f>'II-I-DIST'!R674+'II-I-MET'!R674+'II-I-TBILLTDCS'!R674</f>
        <v>2.6753112772944343</v>
      </c>
      <c r="S674" s="434">
        <f>'II-I-DIST'!S674+'II-I-MET'!S674+'II-I-TBILLTDCS'!S674</f>
        <v>15.257550606985362</v>
      </c>
      <c r="T674" s="17"/>
      <c r="U674" s="118">
        <f t="shared" si="184"/>
        <v>5772.4399999999987</v>
      </c>
      <c r="V674" s="67"/>
      <c r="X674" s="370">
        <f t="shared" si="171"/>
        <v>0</v>
      </c>
    </row>
    <row r="675" spans="1:24" ht="14.25">
      <c r="A675" s="47"/>
      <c r="B675" s="17">
        <f t="shared" si="180"/>
        <v>21</v>
      </c>
      <c r="C675" s="1" t="s">
        <v>210</v>
      </c>
      <c r="D675" s="1" t="s">
        <v>183</v>
      </c>
      <c r="E675" s="17"/>
      <c r="F675" s="118">
        <f>' WP II-I-1.4'!L675</f>
        <v>9278485.1099999994</v>
      </c>
      <c r="G675" s="17" t="s">
        <v>805</v>
      </c>
      <c r="H675" s="47" t="s">
        <v>320</v>
      </c>
      <c r="I675" s="17"/>
      <c r="J675" s="434">
        <f>'II-I-DIST'!J675+'II-I-MET'!J675+'II-I-TBILLTDCS'!J675</f>
        <v>4883479.9695146512</v>
      </c>
      <c r="K675" s="434">
        <f>'II-I-DIST'!K675+'II-I-MET'!K675+'II-I-TBILLTDCS'!K675</f>
        <v>119255.63415285993</v>
      </c>
      <c r="L675" s="434">
        <f>'II-I-DIST'!L675+'II-I-MET'!L675+'II-I-TBILLTDCS'!L675</f>
        <v>3144337.6548147947</v>
      </c>
      <c r="M675" s="434">
        <f>'II-I-DIST'!M675+'II-I-MET'!M675+'II-I-TBILLTDCS'!M675</f>
        <v>1777.6236821114555</v>
      </c>
      <c r="N675" s="434">
        <f>'II-I-DIST'!N675+'II-I-MET'!N675+'II-I-TBILLTDCS'!N675</f>
        <v>752379.83753745363</v>
      </c>
      <c r="O675" s="434">
        <f>'II-I-DIST'!O675+'II-I-MET'!O675+'II-I-TBILLTDCS'!O675</f>
        <v>272086.67856026732</v>
      </c>
      <c r="P675" s="434">
        <f>'II-I-DIST'!P675+'II-I-MET'!P675+'II-I-TBILLTDCS'!P675</f>
        <v>0</v>
      </c>
      <c r="Q675" s="434">
        <f>'II-I-DIST'!Q675+'II-I-MET'!Q675+'II-I-TBILLTDCS'!Q675</f>
        <v>31715.155847143535</v>
      </c>
      <c r="R675" s="434">
        <f>'II-I-DIST'!R675+'II-I-MET'!R675+'II-I-TBILLTDCS'!R675</f>
        <v>32611.291383399282</v>
      </c>
      <c r="S675" s="434">
        <f>'II-I-DIST'!S675+'II-I-MET'!S675+'II-I-TBILLTDCS'!S675</f>
        <v>40841.264507319611</v>
      </c>
      <c r="T675" s="17"/>
      <c r="U675" s="118">
        <f t="shared" si="184"/>
        <v>9278485.1100000013</v>
      </c>
      <c r="V675" s="67"/>
      <c r="X675" s="370">
        <f t="shared" si="171"/>
        <v>0</v>
      </c>
    </row>
    <row r="676" spans="1:24" ht="14.25">
      <c r="A676" s="47"/>
      <c r="B676" s="17">
        <f t="shared" si="180"/>
        <v>22</v>
      </c>
      <c r="C676" s="1" t="s">
        <v>211</v>
      </c>
      <c r="D676" s="31" t="s">
        <v>185</v>
      </c>
      <c r="E676" s="17"/>
      <c r="F676" s="118">
        <f>' WP II-I-1.4'!L676</f>
        <v>111942332.62000001</v>
      </c>
      <c r="G676" s="17" t="s">
        <v>805</v>
      </c>
      <c r="H676" s="47" t="s">
        <v>320</v>
      </c>
      <c r="I676" s="17"/>
      <c r="J676" s="434">
        <f>'II-I-DIST'!J676+'II-I-MET'!J676+'II-I-TBILLTDCS'!J676</f>
        <v>61882714.840226859</v>
      </c>
      <c r="K676" s="434">
        <f>'II-I-DIST'!K676+'II-I-MET'!K676+'II-I-TBILLTDCS'!K676</f>
        <v>1523811.838304807</v>
      </c>
      <c r="L676" s="434">
        <f>'II-I-DIST'!L676+'II-I-MET'!L676+'II-I-TBILLTDCS'!L676</f>
        <v>39828194.158336245</v>
      </c>
      <c r="M676" s="434">
        <f>'II-I-DIST'!M676+'II-I-MET'!M676+'II-I-TBILLTDCS'!M676</f>
        <v>19187.003305418999</v>
      </c>
      <c r="N676" s="434">
        <f>'II-I-DIST'!N676+'II-I-MET'!N676+'II-I-TBILLTDCS'!N676</f>
        <v>7859519.3715221118</v>
      </c>
      <c r="O676" s="434">
        <f>'II-I-DIST'!O676+'II-I-MET'!O676+'II-I-TBILLTDCS'!O676</f>
        <v>463.22597182224382</v>
      </c>
      <c r="P676" s="434">
        <f>'II-I-DIST'!P676+'II-I-MET'!P676+'II-I-TBILLTDCS'!P676</f>
        <v>1008.4073078899614</v>
      </c>
      <c r="Q676" s="434">
        <f>'II-I-DIST'!Q676+'II-I-MET'!Q676+'II-I-TBILLTDCS'!Q676</f>
        <v>401354.82015921554</v>
      </c>
      <c r="R676" s="434">
        <f>'II-I-DIST'!R676+'II-I-MET'!R676+'II-I-TBILLTDCS'!R676</f>
        <v>53.449150594874283</v>
      </c>
      <c r="S676" s="434">
        <f>'II-I-DIST'!S676+'II-I-MET'!S676+'II-I-TBILLTDCS'!S676</f>
        <v>426025.50571501913</v>
      </c>
      <c r="T676" s="17"/>
      <c r="U676" s="118">
        <f t="shared" si="184"/>
        <v>111942332.61999998</v>
      </c>
      <c r="V676" s="67"/>
      <c r="X676" s="370">
        <f t="shared" si="171"/>
        <v>0</v>
      </c>
    </row>
    <row r="677" spans="1:24" ht="14.25">
      <c r="A677" s="47"/>
      <c r="B677" s="17">
        <f t="shared" si="180"/>
        <v>23</v>
      </c>
      <c r="C677" s="1" t="s">
        <v>212</v>
      </c>
      <c r="D677" s="1" t="s">
        <v>187</v>
      </c>
      <c r="E677" s="17"/>
      <c r="F677" s="118">
        <f>' WP II-I-1.4'!L677</f>
        <v>26554337.559999999</v>
      </c>
      <c r="G677" s="17" t="s">
        <v>805</v>
      </c>
      <c r="H677" s="47" t="s">
        <v>320</v>
      </c>
      <c r="I677" s="17"/>
      <c r="J677" s="434">
        <f>'II-I-DIST'!J677+'II-I-MET'!J677+'II-I-TBILLTDCS'!J677</f>
        <v>14801133.17463341</v>
      </c>
      <c r="K677" s="434">
        <f>'II-I-DIST'!K677+'II-I-MET'!K677+'II-I-TBILLTDCS'!K677</f>
        <v>364196.918107551</v>
      </c>
      <c r="L677" s="434">
        <f>'II-I-DIST'!L677+'II-I-MET'!L677+'II-I-TBILLTDCS'!L677</f>
        <v>9526472.8284782246</v>
      </c>
      <c r="M677" s="434">
        <f>'II-I-DIST'!M677+'II-I-MET'!M677+'II-I-TBILLTDCS'!M677</f>
        <v>4083.7710986339407</v>
      </c>
      <c r="N677" s="434">
        <f>'II-I-DIST'!N677+'II-I-MET'!N677+'II-I-TBILLTDCS'!N677</f>
        <v>1671509.9163602938</v>
      </c>
      <c r="O677" s="434">
        <f>'II-I-DIST'!O677+'II-I-MET'!O677+'II-I-TBILLTDCS'!O677</f>
        <v>100.92190061874787</v>
      </c>
      <c r="P677" s="434">
        <f>'II-I-DIST'!P677+'II-I-MET'!P677+'II-I-TBILLTDCS'!P677</f>
        <v>219.69921442388957</v>
      </c>
      <c r="Q677" s="434">
        <f>'II-I-DIST'!Q677+'II-I-MET'!Q677+'II-I-TBILLTDCS'!Q677</f>
        <v>96007.609157857732</v>
      </c>
      <c r="R677" s="434">
        <f>'II-I-DIST'!R677+'II-I-MET'!R677+'II-I-TBILLTDCS'!R677</f>
        <v>11.6448346867786</v>
      </c>
      <c r="S677" s="434">
        <f>'II-I-DIST'!S677+'II-I-MET'!S677+'II-I-TBILLTDCS'!S677</f>
        <v>90601.076214296147</v>
      </c>
      <c r="T677" s="17"/>
      <c r="U677" s="118">
        <f t="shared" si="184"/>
        <v>26554337.559999991</v>
      </c>
      <c r="V677" s="67"/>
      <c r="X677" s="370">
        <f t="shared" si="171"/>
        <v>0</v>
      </c>
    </row>
    <row r="678" spans="1:24" ht="14.25">
      <c r="A678" s="47"/>
      <c r="B678" s="17">
        <f t="shared" si="180"/>
        <v>24</v>
      </c>
      <c r="C678" s="1" t="s">
        <v>213</v>
      </c>
      <c r="D678" s="1" t="s">
        <v>214</v>
      </c>
      <c r="E678" s="17"/>
      <c r="F678" s="118">
        <f>' WP II-I-1.4'!L678</f>
        <v>5010595.3799999999</v>
      </c>
      <c r="G678" s="17" t="s">
        <v>805</v>
      </c>
      <c r="H678" s="47" t="s">
        <v>320</v>
      </c>
      <c r="I678" s="17"/>
      <c r="J678" s="434">
        <f>'II-I-DIST'!J678+'II-I-MET'!J678+'II-I-TBILLTDCS'!J678</f>
        <v>2940838.4540889561</v>
      </c>
      <c r="K678" s="434">
        <f>'II-I-DIST'!K678+'II-I-MET'!K678+'II-I-TBILLTDCS'!K678</f>
        <v>71832.482819077908</v>
      </c>
      <c r="L678" s="434">
        <f>'II-I-DIST'!L678+'II-I-MET'!L678+'II-I-TBILLTDCS'!L678</f>
        <v>1893503.0255921036</v>
      </c>
      <c r="M678" s="434">
        <f>'II-I-DIST'!M678+'II-I-MET'!M678+'II-I-TBILLTDCS'!M678</f>
        <v>111.94813455012151</v>
      </c>
      <c r="N678" s="434">
        <f>'II-I-DIST'!N678+'II-I-MET'!N678+'II-I-TBILLTDCS'!N678</f>
        <v>47038.886140033792</v>
      </c>
      <c r="O678" s="434">
        <f>'II-I-DIST'!O678+'II-I-MET'!O678+'II-I-TBILLTDCS'!O678</f>
        <v>8072.5107547545349</v>
      </c>
      <c r="P678" s="434">
        <f>'II-I-DIST'!P678+'II-I-MET'!P678+'II-I-TBILLTDCS'!P678</f>
        <v>26579.726370819437</v>
      </c>
      <c r="Q678" s="434">
        <f>'II-I-DIST'!Q678+'II-I-MET'!Q678+'II-I-TBILLTDCS'!Q678</f>
        <v>19098.208917537962</v>
      </c>
      <c r="R678" s="434">
        <f>'II-I-DIST'!R678+'II-I-MET'!R678+'II-I-TBILLTDCS'!R678</f>
        <v>967.53821911101693</v>
      </c>
      <c r="S678" s="434">
        <f>'II-I-DIST'!S678+'II-I-MET'!S678+'II-I-TBILLTDCS'!S678</f>
        <v>2552.5989630563208</v>
      </c>
      <c r="T678" s="17"/>
      <c r="U678" s="118">
        <f t="shared" si="184"/>
        <v>5010595.3800000018</v>
      </c>
      <c r="V678" s="67"/>
      <c r="X678" s="370">
        <f t="shared" si="185" ref="X678:X740">U678-F678</f>
        <v>0</v>
      </c>
    </row>
    <row r="679" spans="1:24" ht="14.25">
      <c r="A679" s="47"/>
      <c r="B679" s="17">
        <f t="shared" si="180"/>
        <v>25</v>
      </c>
      <c r="C679" s="1" t="s">
        <v>215</v>
      </c>
      <c r="D679" s="1" t="s">
        <v>216</v>
      </c>
      <c r="E679" s="17"/>
      <c r="F679" s="118">
        <f>' WP II-I-1.4'!L679</f>
        <v>9648104.3399999999</v>
      </c>
      <c r="G679" s="17" t="s">
        <v>805</v>
      </c>
      <c r="H679" s="47" t="s">
        <v>320</v>
      </c>
      <c r="I679" s="17"/>
      <c r="J679" s="434">
        <f>'II-I-DIST'!J679+'II-I-MET'!J679+'II-I-TBILLTDCS'!J679</f>
        <v>0</v>
      </c>
      <c r="K679" s="434">
        <f>'II-I-DIST'!K679+'II-I-MET'!K679+'II-I-TBILLTDCS'!K679</f>
        <v>0</v>
      </c>
      <c r="L679" s="434">
        <f>'II-I-DIST'!L679+'II-I-MET'!L679+'II-I-TBILLTDCS'!L679</f>
        <v>0</v>
      </c>
      <c r="M679" s="434">
        <f>'II-I-DIST'!M679+'II-I-MET'!M679+'II-I-TBILLTDCS'!M679</f>
        <v>0</v>
      </c>
      <c r="N679" s="434">
        <f>'II-I-DIST'!N679+'II-I-MET'!N679+'II-I-TBILLTDCS'!N679</f>
        <v>0</v>
      </c>
      <c r="O679" s="434">
        <f>'II-I-DIST'!O679+'II-I-MET'!O679+'II-I-TBILLTDCS'!O679</f>
        <v>0</v>
      </c>
      <c r="P679" s="434">
        <f>'II-I-DIST'!P679+'II-I-MET'!P679+'II-I-TBILLTDCS'!P679</f>
        <v>0</v>
      </c>
      <c r="Q679" s="434">
        <f>'II-I-DIST'!Q679+'II-I-MET'!Q679+'II-I-TBILLTDCS'!Q679</f>
        <v>9648104.3399999999</v>
      </c>
      <c r="R679" s="434">
        <f>'II-I-DIST'!R679+'II-I-MET'!R679+'II-I-TBILLTDCS'!R679</f>
        <v>0</v>
      </c>
      <c r="S679" s="434">
        <f>'II-I-DIST'!S679+'II-I-MET'!S679+'II-I-TBILLTDCS'!S679</f>
        <v>0</v>
      </c>
      <c r="T679" s="17"/>
      <c r="U679" s="118">
        <f t="shared" si="184"/>
        <v>9648104.3399999999</v>
      </c>
      <c r="V679" s="67"/>
      <c r="X679" s="370">
        <f t="shared" si="185"/>
        <v>0</v>
      </c>
    </row>
    <row r="680" spans="1:24" ht="14.25">
      <c r="A680" s="47"/>
      <c r="B680" s="17">
        <f t="shared" si="180"/>
        <v>26</v>
      </c>
      <c r="C680" s="1" t="s">
        <v>217</v>
      </c>
      <c r="D680" s="1" t="s">
        <v>218</v>
      </c>
      <c r="E680" s="17"/>
      <c r="F680" s="118">
        <f>' WP II-I-1.4'!L680</f>
        <v>16626977.850000002</v>
      </c>
      <c r="G680" s="17" t="s">
        <v>805</v>
      </c>
      <c r="H680" s="47" t="s">
        <v>320</v>
      </c>
      <c r="I680" s="17"/>
      <c r="J680" s="434">
        <f>'II-I-DIST'!J680+'II-I-MET'!J680+'II-I-TBILLTDCS'!J680</f>
        <v>9269620.2058612779</v>
      </c>
      <c r="K680" s="434">
        <f>'II-I-DIST'!K680+'II-I-MET'!K680+'II-I-TBILLTDCS'!K680</f>
        <v>1429136.7168881926</v>
      </c>
      <c r="L680" s="434">
        <f>'II-I-DIST'!L680+'II-I-MET'!L680+'II-I-TBILLTDCS'!L680</f>
        <v>4408221.641724864</v>
      </c>
      <c r="M680" s="434">
        <f>'II-I-DIST'!M680+'II-I-MET'!M680+'II-I-TBILLTDCS'!M680</f>
        <v>61898.125069896894</v>
      </c>
      <c r="N680" s="434">
        <f>'II-I-DIST'!N680+'II-I-MET'!N680+'II-I-TBILLTDCS'!N680</f>
        <v>1291647.1291423286</v>
      </c>
      <c r="O680" s="434">
        <f>'II-I-DIST'!O680+'II-I-MET'!O680+'II-I-TBILLTDCS'!O680</f>
        <v>44139.465015096692</v>
      </c>
      <c r="P680" s="434">
        <f>'II-I-DIST'!P680+'II-I-MET'!P680+'II-I-TBILLTDCS'!P680</f>
        <v>96088.219994402782</v>
      </c>
      <c r="Q680" s="434">
        <f>'II-I-DIST'!Q680+'II-I-MET'!Q680+'II-I-TBILLTDCS'!Q680</f>
        <v>9240.1622393999551</v>
      </c>
      <c r="R680" s="434">
        <f>'II-I-DIST'!R680+'II-I-MET'!R680+'II-I-TBILLTDCS'!R680</f>
        <v>5093.015194049618</v>
      </c>
      <c r="S680" s="434">
        <f>'II-I-DIST'!S680+'II-I-MET'!S680+'II-I-TBILLTDCS'!S680</f>
        <v>11893.168870493322</v>
      </c>
      <c r="T680" s="17"/>
      <c r="U680" s="118">
        <f t="shared" si="184"/>
        <v>16626977.850000005</v>
      </c>
      <c r="V680" s="67"/>
      <c r="X680" s="370">
        <f t="shared" si="185"/>
        <v>0</v>
      </c>
    </row>
    <row r="681" spans="1:24" ht="14.25">
      <c r="A681" s="47"/>
      <c r="B681" s="17">
        <f t="shared" si="180"/>
        <v>27</v>
      </c>
      <c r="C681" s="1" t="s">
        <v>219</v>
      </c>
      <c r="D681" s="1" t="s">
        <v>220</v>
      </c>
      <c r="E681" s="17"/>
      <c r="F681" s="118">
        <f>' WP II-I-1.4'!L681</f>
        <v>2203195.3900000001</v>
      </c>
      <c r="G681" s="17" t="s">
        <v>805</v>
      </c>
      <c r="H681" s="47" t="s">
        <v>320</v>
      </c>
      <c r="I681" s="17"/>
      <c r="J681" s="435">
        <f>'II-I-DIST'!J681+'II-I-MET'!J681+'II-I-TBILLTDCS'!J681</f>
        <v>1147638.7507721493</v>
      </c>
      <c r="K681" s="435">
        <f>'II-I-DIST'!K681+'II-I-MET'!K681+'II-I-TBILLTDCS'!K681</f>
        <v>30767.389792912272</v>
      </c>
      <c r="L681" s="435">
        <f>'II-I-DIST'!L681+'II-I-MET'!L681+'II-I-TBILLTDCS'!L681</f>
        <v>735376.18330477236</v>
      </c>
      <c r="M681" s="435">
        <f>'II-I-DIST'!M681+'II-I-MET'!M681+'II-I-TBILLTDCS'!M681</f>
        <v>466.3543945501952</v>
      </c>
      <c r="N681" s="435">
        <f>'II-I-DIST'!N681+'II-I-MET'!N681+'II-I-TBILLTDCS'!N681</f>
        <v>140622.45829227485</v>
      </c>
      <c r="O681" s="435">
        <f>'II-I-DIST'!O681+'II-I-MET'!O681+'II-I-TBILLTDCS'!O681</f>
        <v>3840.5792595065768</v>
      </c>
      <c r="P681" s="435">
        <f>'II-I-DIST'!P681+'II-I-MET'!P681+'II-I-TBILLTDCS'!P681</f>
        <v>573.83570576634429</v>
      </c>
      <c r="Q681" s="435">
        <f>'II-I-DIST'!Q681+'II-I-MET'!Q681+'II-I-TBILLTDCS'!Q681</f>
        <v>135949.2787565359</v>
      </c>
      <c r="R681" s="435">
        <f>'II-I-DIST'!R681+'II-I-MET'!R681+'II-I-TBILLTDCS'!R681</f>
        <v>459.86764452891845</v>
      </c>
      <c r="S681" s="435">
        <f>'II-I-DIST'!S681+'II-I-MET'!S681+'II-I-TBILLTDCS'!S681</f>
        <v>7500.6920770028337</v>
      </c>
      <c r="T681" s="17"/>
      <c r="U681" s="118">
        <f t="shared" si="184"/>
        <v>2203195.3899999997</v>
      </c>
      <c r="V681" s="67"/>
      <c r="X681" s="370">
        <f t="shared" si="185"/>
        <v>0</v>
      </c>
    </row>
    <row r="682" spans="1:24" ht="15">
      <c r="A682" s="47"/>
      <c r="B682" s="17">
        <f t="shared" si="180"/>
        <v>28</v>
      </c>
      <c r="C682" s="8"/>
      <c r="D682" s="297" t="s">
        <v>634</v>
      </c>
      <c r="E682" s="20"/>
      <c r="F682" s="22">
        <f>SUM(F673:F681)</f>
        <v>184103234.33999997</v>
      </c>
      <c r="G682" s="20"/>
      <c r="H682" s="20"/>
      <c r="I682" s="20"/>
      <c r="J682" s="896">
        <f t="shared" si="186" ref="J682:Q682">SUM(J673:J681)</f>
        <v>96429597.947658777</v>
      </c>
      <c r="K682" s="896">
        <f t="shared" si="186"/>
        <v>3628726.5701329866</v>
      </c>
      <c r="L682" s="896">
        <f t="shared" si="186"/>
        <v>60435857.745454393</v>
      </c>
      <c r="M682" s="896">
        <f t="shared" si="186"/>
        <v>90565.555109440756</v>
      </c>
      <c r="N682" s="896">
        <f t="shared" si="186"/>
        <v>11953436.629883731</v>
      </c>
      <c r="O682" s="896">
        <f>SUM(O673:O681)</f>
        <v>334297.3104008435</v>
      </c>
      <c r="P682" s="896">
        <f t="shared" si="186"/>
        <v>129048.82059470979</v>
      </c>
      <c r="Q682" s="896">
        <f t="shared" si="186"/>
        <v>10474640.708046509</v>
      </c>
      <c r="R682" s="896">
        <f>SUM(R673:R681)</f>
        <v>39858.586319721944</v>
      </c>
      <c r="S682" s="896">
        <f>SUM(S673:S681)</f>
        <v>587204.4663988906</v>
      </c>
      <c r="T682" s="20"/>
      <c r="U682" s="299">
        <f t="shared" si="184"/>
        <v>184103234.33999997</v>
      </c>
      <c r="V682" s="67"/>
      <c r="W682" s="1300" t="b">
        <f>' WP II-I-1.4'!$L$682=U682</f>
        <v>1</v>
      </c>
      <c r="X682" s="370">
        <f t="shared" si="185"/>
        <v>0</v>
      </c>
    </row>
    <row r="683" spans="1:24" ht="14.25">
      <c r="A683" s="47"/>
      <c r="B683" s="17">
        <f t="shared" si="180"/>
        <v>29</v>
      </c>
      <c r="C683" s="1"/>
      <c r="D683" s="1"/>
      <c r="E683" s="17"/>
      <c r="F683" s="19"/>
      <c r="G683" s="17"/>
      <c r="H683" s="17"/>
      <c r="I683" s="17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7"/>
      <c r="U683" s="1"/>
      <c r="V683" s="67"/>
      <c r="X683" s="370">
        <f t="shared" si="185"/>
        <v>0</v>
      </c>
    </row>
    <row r="684" spans="1:24" ht="15">
      <c r="A684" s="47"/>
      <c r="B684" s="17">
        <f t="shared" si="180"/>
        <v>30</v>
      </c>
      <c r="C684" s="8"/>
      <c r="D684" s="297" t="s">
        <v>635</v>
      </c>
      <c r="E684" s="20"/>
      <c r="F684" s="22">
        <f>SUM(F674:F680)</f>
        <v>179066605.29999998</v>
      </c>
      <c r="G684" s="20"/>
      <c r="H684" s="20"/>
      <c r="I684" s="20"/>
      <c r="J684" s="22">
        <f t="shared" si="187" ref="J684:Q684">SUM(J674:J680)</f>
        <v>93780930.709456146</v>
      </c>
      <c r="K684" s="22">
        <f t="shared" si="187"/>
        <v>3508363.1151523436</v>
      </c>
      <c r="L684" s="22">
        <f t="shared" si="187"/>
        <v>58802685.263384223</v>
      </c>
      <c r="M684" s="22">
        <f t="shared" si="187"/>
        <v>87059.135378357401</v>
      </c>
      <c r="N684" s="22">
        <f t="shared" si="187"/>
        <v>11622376.216070123</v>
      </c>
      <c r="O684" s="22">
        <f>SUM(O674:O680)</f>
        <v>324885.12320024701</v>
      </c>
      <c r="P684" s="22">
        <f t="shared" si="187"/>
        <v>123901.35896189492</v>
      </c>
      <c r="Q684" s="22">
        <f t="shared" si="187"/>
        <v>10205735.892482748</v>
      </c>
      <c r="R684" s="22">
        <f>SUM(R674:R680)</f>
        <v>38739.614093118871</v>
      </c>
      <c r="S684" s="22">
        <f>SUM(S674:S680)</f>
        <v>571928.87182079151</v>
      </c>
      <c r="T684" s="20"/>
      <c r="U684" s="299">
        <f>SUM(I684:T684)</f>
        <v>179066605.29999998</v>
      </c>
      <c r="V684" s="67"/>
      <c r="W684" s="1300" t="b">
        <f>' WP II-I-1.4'!$L$684=U684</f>
        <v>1</v>
      </c>
      <c r="X684" s="370">
        <f t="shared" si="185"/>
        <v>0</v>
      </c>
    </row>
    <row r="685" spans="1:24" ht="15" thickBot="1">
      <c r="A685" s="47"/>
      <c r="B685" s="17">
        <f t="shared" si="180"/>
        <v>31</v>
      </c>
      <c r="C685" s="1"/>
      <c r="D685" s="1"/>
      <c r="E685" s="17"/>
      <c r="F685" s="19"/>
      <c r="G685" s="17"/>
      <c r="H685" s="17"/>
      <c r="I685" s="17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7"/>
      <c r="U685" s="1"/>
      <c r="V685" s="67"/>
      <c r="X685" s="370">
        <f t="shared" si="185"/>
        <v>0</v>
      </c>
    </row>
    <row r="686" spans="1:24" ht="15.75" thickBot="1">
      <c r="A686" s="47"/>
      <c r="B686" s="17">
        <f t="shared" si="180"/>
        <v>32</v>
      </c>
      <c r="C686" s="870" t="s">
        <v>636</v>
      </c>
      <c r="D686" s="1017"/>
      <c r="E686" s="1013" t="s">
        <v>160</v>
      </c>
      <c r="F686" s="1014">
        <f>+F682+F667</f>
        <v>364533510.34000003</v>
      </c>
      <c r="G686" s="1013"/>
      <c r="H686" s="1013"/>
      <c r="I686" s="1016"/>
      <c r="J686" s="1014">
        <f t="shared" si="188" ref="J686:Q686">+J682+J667</f>
        <v>194833381.84250629</v>
      </c>
      <c r="K686" s="1014">
        <f t="shared" si="188"/>
        <v>8830708.5993066672</v>
      </c>
      <c r="L686" s="1014">
        <f t="shared" si="188"/>
        <v>120164554.91424233</v>
      </c>
      <c r="M686" s="1014">
        <f t="shared" si="188"/>
        <v>259367.1429486975</v>
      </c>
      <c r="N686" s="1014">
        <f t="shared" si="188"/>
        <v>25438815.827944823</v>
      </c>
      <c r="O686" s="1014">
        <f>+O682+O667</f>
        <v>1907242.6661294261</v>
      </c>
      <c r="P686" s="1014">
        <f t="shared" si="188"/>
        <v>352653.55691990699</v>
      </c>
      <c r="Q686" s="1014">
        <f t="shared" si="188"/>
        <v>11341347.952749796</v>
      </c>
      <c r="R686" s="1014">
        <f>+R682+R667</f>
        <v>226058.00087213059</v>
      </c>
      <c r="S686" s="1014">
        <f>+S682+S667</f>
        <v>1179379.8363799332</v>
      </c>
      <c r="T686" s="1016"/>
      <c r="U686" s="1015">
        <f>SUM(I686:T686)</f>
        <v>364533510.33999997</v>
      </c>
      <c r="V686" s="67"/>
      <c r="W686" s="1300">
        <f>' WP II-I-1.4'!$L$686-U686</f>
        <v>0</v>
      </c>
      <c r="X686" s="370">
        <f t="shared" si="185"/>
        <v>0</v>
      </c>
    </row>
    <row r="687" spans="1:24" ht="15">
      <c r="A687" s="47"/>
      <c r="B687" s="17"/>
      <c r="C687" s="1"/>
      <c r="D687" s="8"/>
      <c r="E687" s="20"/>
      <c r="F687" s="2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1"/>
      <c r="V687" s="67"/>
      <c r="X687" s="370">
        <f t="shared" si="185"/>
        <v>0</v>
      </c>
    </row>
    <row r="688" spans="1:24" ht="15.75" thickBot="1">
      <c r="A688" s="47"/>
      <c r="B688" s="17"/>
      <c r="C688" s="1"/>
      <c r="D688" s="8"/>
      <c r="E688" s="20"/>
      <c r="F688" s="22"/>
      <c r="G688" s="20"/>
      <c r="H688" s="13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134"/>
      <c r="V688" s="134"/>
      <c r="X688" s="370"/>
    </row>
    <row r="689" spans="1:24" ht="15">
      <c r="A689" s="47"/>
      <c r="B689" s="920" t="str">
        <f>+$B$4</f>
        <v>2022 RATE CASE</v>
      </c>
      <c r="C689" s="935"/>
      <c r="D689" s="969"/>
      <c r="F689" s="332"/>
      <c r="U689" s="134"/>
      <c r="X689" s="370">
        <f t="shared" si="185"/>
        <v>0</v>
      </c>
    </row>
    <row r="690" spans="1:24" ht="15">
      <c r="A690" s="47"/>
      <c r="B690" s="917" t="str">
        <f>+$B$5</f>
        <v>ONCOR ELECTRIC DELIVERY COMPANY LLC</v>
      </c>
      <c r="C690" s="8"/>
      <c r="D690" s="970"/>
      <c r="F690" s="332"/>
      <c r="U690" s="134"/>
      <c r="V690" s="67"/>
      <c r="X690" s="370">
        <f t="shared" si="185"/>
        <v>0</v>
      </c>
    </row>
    <row r="691" spans="1:24" ht="15">
      <c r="A691" s="47"/>
      <c r="B691" s="917" t="str">
        <f>+$B$6</f>
        <v>II-I-1-TOT:  CLASS REVENUE REQUIREMENT</v>
      </c>
      <c r="C691" s="85"/>
      <c r="D691" s="970"/>
      <c r="F691" s="332"/>
      <c r="U691" s="332"/>
      <c r="V691" s="67"/>
      <c r="X691" s="370">
        <f t="shared" si="185"/>
        <v>0</v>
      </c>
    </row>
    <row r="692" spans="1:24" ht="15">
      <c r="A692" s="47"/>
      <c r="B692" s="406" t="str">
        <f>+$B$7</f>
        <v>TEST YEAR ENDING 12/31/2021</v>
      </c>
      <c r="C692" s="85"/>
      <c r="D692" s="970"/>
      <c r="F692" s="332"/>
      <c r="U692" s="332"/>
      <c r="V692" s="67"/>
      <c r="X692" s="370">
        <f t="shared" si="185"/>
        <v>0</v>
      </c>
    </row>
    <row r="693" spans="1:24" ht="15">
      <c r="A693" s="47"/>
      <c r="B693" s="406" t="str">
        <f>+$B$8</f>
        <v>SPONSOR:  MATTHEW A. TROXLE</v>
      </c>
      <c r="C693" s="85"/>
      <c r="D693" s="970"/>
      <c r="F693" s="332"/>
      <c r="U693" s="332"/>
      <c r="V693" s="67"/>
      <c r="X693" s="370">
        <f t="shared" si="185"/>
        <v>0</v>
      </c>
    </row>
    <row r="694" spans="1:24" ht="15.75" thickBot="1">
      <c r="A694" s="47"/>
      <c r="B694" s="410"/>
      <c r="C694" s="934"/>
      <c r="D694" s="936"/>
      <c r="F694" s="332"/>
      <c r="U694" s="332"/>
      <c r="V694" s="67"/>
      <c r="X694" s="370">
        <f t="shared" si="185"/>
        <v>0</v>
      </c>
    </row>
    <row r="695" spans="1:24" ht="15" thickBot="1">
      <c r="A695" s="47"/>
      <c r="B695" s="13"/>
      <c r="C695" s="14"/>
      <c r="D695" s="14"/>
      <c r="E695" s="14"/>
      <c r="F695" s="13"/>
      <c r="G695" s="14"/>
      <c r="H695" s="14"/>
      <c r="I695" s="14"/>
      <c r="J695" s="238"/>
      <c r="K695" s="238"/>
      <c r="L695" s="14"/>
      <c r="M695" s="238"/>
      <c r="N695" s="238"/>
      <c r="O695" s="238"/>
      <c r="P695" s="238"/>
      <c r="Q695" s="14"/>
      <c r="R695" s="393" t="str">
        <f>R$10</f>
        <v xml:space="preserve"> </v>
      </c>
      <c r="S695" s="394"/>
      <c r="T695" s="238"/>
      <c r="U695" s="13"/>
      <c r="V695" s="67"/>
      <c r="X695" s="370">
        <f t="shared" si="185"/>
        <v>0</v>
      </c>
    </row>
    <row r="696" spans="1:24" ht="15">
      <c r="A696" s="47"/>
      <c r="B696" s="15" t="s">
        <v>2</v>
      </c>
      <c r="C696" s="15" t="s">
        <v>370</v>
      </c>
      <c r="D696" s="287" t="s">
        <v>637</v>
      </c>
      <c r="E696" s="15" t="s">
        <v>371</v>
      </c>
      <c r="F696" s="287" t="str">
        <f>F$11</f>
        <v>TOTAL</v>
      </c>
      <c r="G696" s="242" t="s">
        <v>741</v>
      </c>
      <c r="H696" s="242" t="s">
        <v>376</v>
      </c>
      <c r="I696" s="15"/>
      <c r="J696" s="242" t="s">
        <v>730</v>
      </c>
      <c r="K696" s="242" t="s">
        <v>409</v>
      </c>
      <c r="L696" s="15" t="s">
        <v>409</v>
      </c>
      <c r="M696" s="242" t="s">
        <v>410</v>
      </c>
      <c r="N696" s="242" t="s">
        <v>410</v>
      </c>
      <c r="O696" s="242" t="s">
        <v>410</v>
      </c>
      <c r="P696" s="242" t="s">
        <v>411</v>
      </c>
      <c r="Q696" s="15" t="s">
        <v>412</v>
      </c>
      <c r="R696" s="396" t="str">
        <f>R$11</f>
        <v>Wholesale</v>
      </c>
      <c r="S696" s="13" t="str">
        <f>S$11</f>
        <v>Wholesale</v>
      </c>
      <c r="T696" s="242"/>
      <c r="U696" s="15" t="s">
        <v>10</v>
      </c>
      <c r="V696" s="67"/>
      <c r="X696" s="370"/>
    </row>
    <row r="697" spans="1:24" ht="14.25">
      <c r="A697" s="47"/>
      <c r="B697" s="15"/>
      <c r="C697" s="15"/>
      <c r="D697" s="15"/>
      <c r="E697" s="15"/>
      <c r="F697" s="15" t="str">
        <f>F$12</f>
        <v>(Dist+Met+Cust)</v>
      </c>
      <c r="G697" s="242" t="s">
        <v>742</v>
      </c>
      <c r="H697" s="242" t="s">
        <v>743</v>
      </c>
      <c r="I697" s="15"/>
      <c r="J697" s="242"/>
      <c r="K697" s="242" t="s">
        <v>731</v>
      </c>
      <c r="L697" s="15" t="s">
        <v>732</v>
      </c>
      <c r="M697" s="242" t="s">
        <v>731</v>
      </c>
      <c r="N697" s="242" t="s">
        <v>732</v>
      </c>
      <c r="O697" s="242" t="s">
        <v>414</v>
      </c>
      <c r="P697" s="242"/>
      <c r="Q697" s="15"/>
      <c r="R697" s="235" t="str">
        <f>R$12</f>
        <v>XFMR</v>
      </c>
      <c r="S697" s="15" t="str">
        <f>S$12</f>
        <v>DLS</v>
      </c>
      <c r="T697" s="242"/>
      <c r="U697" s="15"/>
      <c r="V697" s="67"/>
      <c r="X697" s="370"/>
    </row>
    <row r="698" spans="1:24" ht="15" thickBot="1">
      <c r="A698" s="47"/>
      <c r="B698" s="16"/>
      <c r="C698" s="16"/>
      <c r="D698" s="16"/>
      <c r="E698" s="16"/>
      <c r="F698" s="16" t="s">
        <v>13</v>
      </c>
      <c r="G698" s="16" t="s">
        <v>14</v>
      </c>
      <c r="H698" s="16" t="s">
        <v>15</v>
      </c>
      <c r="I698" s="16"/>
      <c r="J698" s="243" t="str">
        <f t="shared" si="189" ref="J698:Q698">J$13</f>
        <v>(d)</v>
      </c>
      <c r="K698" s="243" t="str">
        <f t="shared" si="189"/>
        <v>(e)</v>
      </c>
      <c r="L698" s="16" t="str">
        <f t="shared" si="189"/>
        <v>(f)</v>
      </c>
      <c r="M698" s="243" t="str">
        <f t="shared" si="189"/>
        <v>(g)</v>
      </c>
      <c r="N698" s="243" t="str">
        <f t="shared" si="189"/>
        <v>(h)</v>
      </c>
      <c r="O698" s="243" t="str">
        <f>O$13</f>
        <v>(i)</v>
      </c>
      <c r="P698" s="243" t="str">
        <f t="shared" si="189"/>
        <v>(j)</v>
      </c>
      <c r="Q698" s="243" t="str">
        <f t="shared" si="189"/>
        <v>(k)</v>
      </c>
      <c r="R698" s="243" t="str">
        <f>R$13</f>
        <v>(l)</v>
      </c>
      <c r="S698" s="16" t="str">
        <f>S$13</f>
        <v>(m)</v>
      </c>
      <c r="T698" s="16"/>
      <c r="U698" s="16" t="s">
        <v>734</v>
      </c>
      <c r="V698" s="67"/>
      <c r="X698" s="370"/>
    </row>
    <row r="699" spans="1:24" ht="14.25">
      <c r="A699" s="47"/>
      <c r="B699" s="47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43"/>
      <c r="V699" s="67"/>
      <c r="X699" s="370">
        <f t="shared" si="185"/>
        <v>0</v>
      </c>
    </row>
    <row r="700" spans="1:24" ht="15">
      <c r="A700" s="47"/>
      <c r="B700" s="17">
        <f>B687+1</f>
        <v>1</v>
      </c>
      <c r="C700" s="8"/>
      <c r="D700" s="366" t="s">
        <v>638</v>
      </c>
      <c r="E700" s="20" t="s">
        <v>160</v>
      </c>
      <c r="F700" s="8"/>
      <c r="G700" s="20"/>
      <c r="H700" s="20"/>
      <c r="I700" s="20"/>
      <c r="J700" s="1059"/>
      <c r="K700" s="1059"/>
      <c r="L700" s="1059"/>
      <c r="M700" s="1059"/>
      <c r="N700" s="1059"/>
      <c r="O700" s="1059"/>
      <c r="P700" s="1059"/>
      <c r="Q700" s="1059"/>
      <c r="R700" s="1059"/>
      <c r="S700" s="1059"/>
      <c r="T700" s="20"/>
      <c r="U700" s="8"/>
      <c r="V700" s="67"/>
      <c r="X700" s="370">
        <f t="shared" si="185"/>
        <v>0</v>
      </c>
    </row>
    <row r="701" spans="1:24" ht="14.25">
      <c r="A701" s="47"/>
      <c r="B701" s="17">
        <f t="shared" si="190" ref="B701:B715">B700+1</f>
        <v>2</v>
      </c>
      <c r="C701" s="1" t="s">
        <v>222</v>
      </c>
      <c r="D701" s="1" t="s">
        <v>223</v>
      </c>
      <c r="E701" s="17"/>
      <c r="F701" s="118">
        <f>' WP II-I-1.4'!L701</f>
        <v>15778.77</v>
      </c>
      <c r="G701" s="17" t="s">
        <v>805</v>
      </c>
      <c r="H701" s="47" t="s">
        <v>320</v>
      </c>
      <c r="I701" s="17"/>
      <c r="J701" s="434">
        <f>'II-I-DIST'!J701+'II-I-MET'!J701+'II-I-TBILLTDCS'!J701</f>
        <v>8796.7402455905594</v>
      </c>
      <c r="K701" s="434">
        <f>'II-I-DIST'!K701+'II-I-MET'!K701+'II-I-TBILLTDCS'!K701</f>
        <v>1356.2308050066906</v>
      </c>
      <c r="L701" s="434">
        <f>'II-I-DIST'!L701+'II-I-MET'!L701+'II-I-TBILLTDCS'!L701</f>
        <v>4183.3408344739591</v>
      </c>
      <c r="M701" s="434">
        <f>'II-I-DIST'!M701+'II-I-MET'!M701+'II-I-TBILLTDCS'!M701</f>
        <v>58.740457088486288</v>
      </c>
      <c r="N701" s="434">
        <f>'II-I-DIST'!N701+'II-I-MET'!N701+'II-I-TBILLTDCS'!N701</f>
        <v>1225.7551044910488</v>
      </c>
      <c r="O701" s="434">
        <f>'II-I-DIST'!O701+'II-I-MET'!O701+'II-I-TBILLTDCS'!O701</f>
        <v>41.88773646536476</v>
      </c>
      <c r="P701" s="434">
        <f>'II-I-DIST'!P701+'II-I-MET'!P701+'II-I-TBILLTDCS'!P701</f>
        <v>91.18638015152483</v>
      </c>
      <c r="Q701" s="434">
        <f>'II-I-DIST'!Q701+'II-I-MET'!Q701+'II-I-TBILLTDCS'!Q701</f>
        <v>8.7687850464164079</v>
      </c>
      <c r="R701" s="434">
        <f>'II-I-DIST'!R701+'II-I-MET'!R701+'II-I-TBILLTDCS'!R701</f>
        <v>4.8332003613882417</v>
      </c>
      <c r="S701" s="434">
        <f>'II-I-DIST'!S701+'II-I-MET'!S701+'II-I-TBILLTDCS'!S701</f>
        <v>11.286451324566714</v>
      </c>
      <c r="T701" s="17"/>
      <c r="U701" s="118">
        <f t="shared" si="191" ref="U701:U706">SUM(I701:T701)</f>
        <v>15778.770000000006</v>
      </c>
      <c r="V701" s="67"/>
      <c r="X701" s="370">
        <f t="shared" si="185"/>
        <v>0</v>
      </c>
    </row>
    <row r="702" spans="1:24" ht="14.25">
      <c r="A702" s="47"/>
      <c r="B702" s="17">
        <f t="shared" si="190"/>
        <v>3</v>
      </c>
      <c r="C702" s="1" t="s">
        <v>224</v>
      </c>
      <c r="D702" s="1" t="s">
        <v>225</v>
      </c>
      <c r="E702" s="17"/>
      <c r="F702" s="118">
        <f>' WP II-I-1.4'!L702</f>
        <v>71275.660000000003</v>
      </c>
      <c r="G702" s="17" t="s">
        <v>805</v>
      </c>
      <c r="H702" s="47" t="s">
        <v>320</v>
      </c>
      <c r="I702" s="17"/>
      <c r="J702" s="434">
        <f>'II-I-DIST'!J702+'II-I-MET'!J702+'II-I-TBILLTDCS'!J702</f>
        <v>39736.523623389468</v>
      </c>
      <c r="K702" s="434">
        <f>'II-I-DIST'!K702+'II-I-MET'!K702+'II-I-TBILLTDCS'!K702</f>
        <v>6126.3486152078476</v>
      </c>
      <c r="L702" s="434">
        <f>'II-I-DIST'!L702+'II-I-MET'!L702+'II-I-TBILLTDCS'!L702</f>
        <v>18896.934233915708</v>
      </c>
      <c r="M702" s="434">
        <f>'II-I-DIST'!M702+'II-I-MET'!M702+'II-I-TBILLTDCS'!M702</f>
        <v>265.34164879033904</v>
      </c>
      <c r="N702" s="434">
        <f>'II-I-DIST'!N702+'II-I-MET'!N702+'II-I-TBILLTDCS'!N702</f>
        <v>5536.9654333619446</v>
      </c>
      <c r="O702" s="434">
        <f>'II-I-DIST'!O702+'II-I-MET'!O702+'II-I-TBILLTDCS'!O702</f>
        <v>189.2147526375592</v>
      </c>
      <c r="P702" s="434">
        <f>'II-I-DIST'!P702+'II-I-MET'!P702+'II-I-TBILLTDCS'!P702</f>
        <v>411.90596151099425</v>
      </c>
      <c r="Q702" s="434">
        <f>'II-I-DIST'!Q702+'II-I-MET'!Q702+'II-I-TBILLTDCS'!Q702</f>
        <v>39.610244751743004</v>
      </c>
      <c r="R702" s="434">
        <f>'II-I-DIST'!R702+'II-I-MET'!R702+'II-I-TBILLTDCS'!R702</f>
        <v>21.83247145817991</v>
      </c>
      <c r="S702" s="434">
        <f>'II-I-DIST'!S702+'II-I-MET'!S702+'II-I-TBILLTDCS'!S702</f>
        <v>50.983014976222272</v>
      </c>
      <c r="T702" s="17"/>
      <c r="U702" s="118">
        <f t="shared" si="191"/>
        <v>71275.660000000018</v>
      </c>
      <c r="V702" s="67"/>
      <c r="X702" s="370">
        <f t="shared" si="185"/>
        <v>0</v>
      </c>
    </row>
    <row r="703" spans="1:24" ht="14.25">
      <c r="A703" s="47"/>
      <c r="B703" s="17">
        <f t="shared" si="190"/>
        <v>4</v>
      </c>
      <c r="C703" s="1" t="s">
        <v>226</v>
      </c>
      <c r="D703" s="1" t="s">
        <v>227</v>
      </c>
      <c r="E703" s="17"/>
      <c r="F703" s="118">
        <f>' WP II-I-1.4'!L703</f>
        <v>19790930.550000001</v>
      </c>
      <c r="G703" s="17" t="s">
        <v>805</v>
      </c>
      <c r="H703" s="47" t="s">
        <v>320</v>
      </c>
      <c r="I703" s="17"/>
      <c r="J703" s="434">
        <f>'II-I-DIST'!J703+'II-I-MET'!J703+'II-I-TBILLTDCS'!J703</f>
        <v>11033539.069703955</v>
      </c>
      <c r="K703" s="434">
        <f>'II-I-DIST'!K703+'II-I-MET'!K703+'II-I-TBILLTDCS'!K703</f>
        <v>1701087.579808692</v>
      </c>
      <c r="L703" s="434">
        <f>'II-I-DIST'!L703+'II-I-MET'!L703+'II-I-TBILLTDCS'!L703</f>
        <v>5247063.4860672392</v>
      </c>
      <c r="M703" s="434">
        <f>'II-I-DIST'!M703+'II-I-MET'!M703+'II-I-TBILLTDCS'!M703</f>
        <v>73676.738219359759</v>
      </c>
      <c r="N703" s="434">
        <f>'II-I-DIST'!N703+'II-I-MET'!N703+'II-I-TBILLTDCS'!N703</f>
        <v>1537435.0563630965</v>
      </c>
      <c r="O703" s="434">
        <f>'II-I-DIST'!O703+'II-I-MET'!O703+'II-I-TBILLTDCS'!O703</f>
        <v>52538.777311712911</v>
      </c>
      <c r="P703" s="434">
        <f>'II-I-DIST'!P703+'II-I-MET'!P703+'II-I-TBILLTDCS'!P703</f>
        <v>114372.87676319041</v>
      </c>
      <c r="Q703" s="434">
        <f>'II-I-DIST'!Q703+'II-I-MET'!Q703+'II-I-TBILLTDCS'!Q703</f>
        <v>10998.475537795761</v>
      </c>
      <c r="R703" s="434">
        <f>'II-I-DIST'!R703+'II-I-MET'!R703+'II-I-TBILLTDCS'!R703</f>
        <v>6062.1666128899524</v>
      </c>
      <c r="S703" s="434">
        <f>'II-I-DIST'!S703+'II-I-MET'!S703+'II-I-TBILLTDCS'!S703</f>
        <v>14156.323612072129</v>
      </c>
      <c r="T703" s="17"/>
      <c r="U703" s="118">
        <f t="shared" si="191"/>
        <v>19790930.550000001</v>
      </c>
      <c r="V703" s="67"/>
      <c r="X703" s="370">
        <f t="shared" si="185"/>
        <v>0</v>
      </c>
    </row>
    <row r="704" spans="1:24" ht="14.25">
      <c r="A704" s="47"/>
      <c r="B704" s="17">
        <f t="shared" si="190"/>
        <v>5</v>
      </c>
      <c r="C704" s="1" t="s">
        <v>228</v>
      </c>
      <c r="D704" s="1" t="s">
        <v>229</v>
      </c>
      <c r="E704" s="17"/>
      <c r="F704" s="118">
        <f>' WP II-I-1.4'!L704</f>
        <v>1683598.47</v>
      </c>
      <c r="G704" s="17" t="s">
        <v>805</v>
      </c>
      <c r="H704" s="47" t="s">
        <v>320</v>
      </c>
      <c r="I704" s="17"/>
      <c r="J704" s="434">
        <f>'II-I-DIST'!J704+'II-I-MET'!J704+'II-I-TBILLTDCS'!J704</f>
        <v>809962.83408220869</v>
      </c>
      <c r="K704" s="434">
        <f>'II-I-DIST'!K704+'II-I-MET'!K704+'II-I-TBILLTDCS'!K704</f>
        <v>40288.499523467814</v>
      </c>
      <c r="L704" s="434">
        <f>'II-I-DIST'!L704+'II-I-MET'!L704+'II-I-TBILLTDCS'!L704</f>
        <v>630856.75261834485</v>
      </c>
      <c r="M704" s="434">
        <f>'II-I-DIST'!M704+'II-I-MET'!M704+'II-I-TBILLTDCS'!M704</f>
        <v>519.55188627086579</v>
      </c>
      <c r="N704" s="434">
        <f>'II-I-DIST'!N704+'II-I-MET'!N704+'II-I-TBILLTDCS'!N704</f>
        <v>114882.40167074677</v>
      </c>
      <c r="O704" s="434">
        <f>'II-I-DIST'!O704+'II-I-MET'!O704+'II-I-TBILLTDCS'!O704</f>
        <v>13309.865794124209</v>
      </c>
      <c r="P704" s="434">
        <f>'II-I-DIST'!P704+'II-I-MET'!P704+'II-I-TBILLTDCS'!P704</f>
        <v>48323.651603223792</v>
      </c>
      <c r="Q704" s="434">
        <f>'II-I-DIST'!Q704+'II-I-MET'!Q704+'II-I-TBILLTDCS'!Q704</f>
        <v>25454.912821612979</v>
      </c>
      <c r="R704" s="434">
        <f>'II-I-DIST'!R704+'II-I-MET'!R704+'II-I-TBILLTDCS'!R704</f>
        <v>0</v>
      </c>
      <c r="S704" s="434">
        <f>'II-I-DIST'!S704+'II-I-MET'!S704+'II-I-TBILLTDCS'!S704</f>
        <v>0</v>
      </c>
      <c r="T704" s="17"/>
      <c r="U704" s="118">
        <f t="shared" si="191"/>
        <v>1683598.47</v>
      </c>
      <c r="V704" s="67"/>
      <c r="X704" s="370">
        <f t="shared" si="185"/>
        <v>0</v>
      </c>
    </row>
    <row r="705" spans="1:24" ht="14.25">
      <c r="A705" s="47"/>
      <c r="B705" s="17">
        <f t="shared" si="190"/>
        <v>6</v>
      </c>
      <c r="C705" s="1" t="s">
        <v>230</v>
      </c>
      <c r="D705" s="31" t="s">
        <v>231</v>
      </c>
      <c r="E705" s="17"/>
      <c r="F705" s="118">
        <f>' WP II-I-1.4'!L705</f>
        <v>0</v>
      </c>
      <c r="G705" s="17" t="s">
        <v>805</v>
      </c>
      <c r="H705" s="47" t="s">
        <v>320</v>
      </c>
      <c r="I705" s="17"/>
      <c r="J705" s="435">
        <f>'II-I-DIST'!J705+'II-I-MET'!J705+'II-I-TBILLTDCS'!J705</f>
        <v>0</v>
      </c>
      <c r="K705" s="435">
        <f>'II-I-DIST'!K705+'II-I-MET'!K705+'II-I-TBILLTDCS'!K705</f>
        <v>0</v>
      </c>
      <c r="L705" s="435">
        <f>'II-I-DIST'!L705+'II-I-MET'!L705+'II-I-TBILLTDCS'!L705</f>
        <v>0</v>
      </c>
      <c r="M705" s="435">
        <f>'II-I-DIST'!M705+'II-I-MET'!M705+'II-I-TBILLTDCS'!M705</f>
        <v>0</v>
      </c>
      <c r="N705" s="435">
        <f>'II-I-DIST'!N705+'II-I-MET'!N705+'II-I-TBILLTDCS'!N705</f>
        <v>0</v>
      </c>
      <c r="O705" s="435">
        <f>'II-I-DIST'!O705+'II-I-MET'!O705+'II-I-TBILLTDCS'!O705</f>
        <v>0</v>
      </c>
      <c r="P705" s="435">
        <f>'II-I-DIST'!P705+'II-I-MET'!P705+'II-I-TBILLTDCS'!P705</f>
        <v>0</v>
      </c>
      <c r="Q705" s="435">
        <f>'II-I-DIST'!Q705+'II-I-MET'!Q705+'II-I-TBILLTDCS'!Q705</f>
        <v>0</v>
      </c>
      <c r="R705" s="435">
        <f>'II-I-DIST'!R705+'II-I-MET'!R705+'II-I-TBILLTDCS'!R705</f>
        <v>0</v>
      </c>
      <c r="S705" s="435">
        <f>'II-I-DIST'!S705+'II-I-MET'!S705+'II-I-TBILLTDCS'!S705</f>
        <v>0</v>
      </c>
      <c r="T705" s="17"/>
      <c r="U705" s="118">
        <f t="shared" si="191"/>
        <v>0</v>
      </c>
      <c r="V705" s="67"/>
      <c r="X705" s="370">
        <f t="shared" si="185"/>
        <v>0</v>
      </c>
    </row>
    <row r="706" spans="1:24" ht="15">
      <c r="A706" s="47"/>
      <c r="B706" s="17">
        <f t="shared" si="190"/>
        <v>7</v>
      </c>
      <c r="C706" s="8"/>
      <c r="D706" s="297" t="s">
        <v>639</v>
      </c>
      <c r="E706" s="20"/>
      <c r="F706" s="22">
        <f>SUM(F701:F705)</f>
        <v>21561583.449999999</v>
      </c>
      <c r="G706" s="20"/>
      <c r="H706" s="20"/>
      <c r="I706" s="20"/>
      <c r="J706" s="896">
        <f t="shared" si="192" ref="J706:Q706">SUM(J701:J705)</f>
        <v>11892035.167655144</v>
      </c>
      <c r="K706" s="896">
        <f t="shared" si="192"/>
        <v>1748858.6587523744</v>
      </c>
      <c r="L706" s="896">
        <f t="shared" si="192"/>
        <v>5901000.5137539729</v>
      </c>
      <c r="M706" s="896">
        <f t="shared" si="192"/>
        <v>74520.372211509457</v>
      </c>
      <c r="N706" s="896">
        <f t="shared" si="192"/>
        <v>1659080.1785716962</v>
      </c>
      <c r="O706" s="896">
        <f>SUM(O701:O705)</f>
        <v>66079.745594940046</v>
      </c>
      <c r="P706" s="896">
        <f t="shared" si="192"/>
        <v>163199.62070807672</v>
      </c>
      <c r="Q706" s="896">
        <f t="shared" si="192"/>
        <v>36501.7673892069</v>
      </c>
      <c r="R706" s="896">
        <f>SUM(R701:R705)</f>
        <v>6088.8322847095205</v>
      </c>
      <c r="S706" s="896">
        <f>SUM(S701:S705)</f>
        <v>14218.593078372918</v>
      </c>
      <c r="T706" s="1009"/>
      <c r="U706" s="299">
        <f t="shared" si="191"/>
        <v>21561583.450000007</v>
      </c>
      <c r="V706" s="67"/>
      <c r="W706" s="1300" t="b">
        <f>' WP II-I-1.4'!$L$706=U706</f>
        <v>1</v>
      </c>
      <c r="X706" s="370">
        <f t="shared" si="185"/>
        <v>0</v>
      </c>
    </row>
    <row r="707" spans="1:24" ht="14.25">
      <c r="A707" s="47"/>
      <c r="B707" s="17">
        <f t="shared" si="190"/>
        <v>8</v>
      </c>
      <c r="C707" s="1"/>
      <c r="D707" s="1"/>
      <c r="E707" s="17"/>
      <c r="F707" s="19"/>
      <c r="G707" s="17"/>
      <c r="H707" s="17"/>
      <c r="I707" s="17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7"/>
      <c r="U707" s="1"/>
      <c r="V707" s="67"/>
      <c r="X707" s="370">
        <f t="shared" si="185"/>
        <v>0</v>
      </c>
    </row>
    <row r="708" spans="1:24" ht="15">
      <c r="A708" s="47"/>
      <c r="B708" s="17">
        <f t="shared" si="190"/>
        <v>9</v>
      </c>
      <c r="C708" s="8"/>
      <c r="D708" s="297" t="s">
        <v>649</v>
      </c>
      <c r="E708" s="20"/>
      <c r="F708" s="22">
        <f>SUM(F702:F703)</f>
        <v>19862206.210000001</v>
      </c>
      <c r="G708" s="20"/>
      <c r="H708" s="20"/>
      <c r="I708" s="20"/>
      <c r="J708" s="896">
        <f t="shared" si="193" ref="J708:Q708">SUM(J702:J703)</f>
        <v>11073275.593327345</v>
      </c>
      <c r="K708" s="896">
        <f t="shared" si="193"/>
        <v>1707213.9284238999</v>
      </c>
      <c r="L708" s="896">
        <f t="shared" si="193"/>
        <v>5265960.4203011552</v>
      </c>
      <c r="M708" s="896">
        <f t="shared" si="193"/>
        <v>73942.079868150104</v>
      </c>
      <c r="N708" s="896">
        <f t="shared" si="193"/>
        <v>1542972.0217964584</v>
      </c>
      <c r="O708" s="896">
        <f>SUM(O702:O703)</f>
        <v>52727.992064350467</v>
      </c>
      <c r="P708" s="896">
        <f t="shared" si="193"/>
        <v>114784.78272470139</v>
      </c>
      <c r="Q708" s="896">
        <f t="shared" si="193"/>
        <v>11038.085782547503</v>
      </c>
      <c r="R708" s="896">
        <f>SUM(R702:R703)</f>
        <v>6083.9990843481319</v>
      </c>
      <c r="S708" s="896">
        <f>SUM(S702:S703)</f>
        <v>14207.306627048351</v>
      </c>
      <c r="T708" s="1009"/>
      <c r="U708" s="299">
        <f>SUM(I708:T708)</f>
        <v>19862206.210000005</v>
      </c>
      <c r="V708" s="67"/>
      <c r="W708" s="1300" t="b">
        <f>' WP II-I-1.4'!$L$708=U708</f>
        <v>1</v>
      </c>
      <c r="X708" s="370">
        <f t="shared" si="185"/>
        <v>0</v>
      </c>
    </row>
    <row r="709" spans="1:24" ht="14.25">
      <c r="A709" s="47"/>
      <c r="B709" s="17">
        <f t="shared" si="190"/>
        <v>10</v>
      </c>
      <c r="C709" s="1"/>
      <c r="D709" s="1"/>
      <c r="E709" s="17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"/>
      <c r="V709" s="67"/>
      <c r="X709" s="370">
        <f t="shared" si="185"/>
        <v>0</v>
      </c>
    </row>
    <row r="710" spans="1:24" ht="15">
      <c r="A710" s="47"/>
      <c r="B710" s="17">
        <f t="shared" si="190"/>
        <v>11</v>
      </c>
      <c r="C710" s="8"/>
      <c r="D710" s="366" t="s">
        <v>650</v>
      </c>
      <c r="E710" s="20" t="s">
        <v>160</v>
      </c>
      <c r="F710" s="22"/>
      <c r="G710" s="20"/>
      <c r="H710" s="20"/>
      <c r="I710" s="20"/>
      <c r="J710" s="1059"/>
      <c r="K710" s="1059"/>
      <c r="L710" s="1059"/>
      <c r="M710" s="1059"/>
      <c r="N710" s="1059"/>
      <c r="O710" s="1059"/>
      <c r="P710" s="1059"/>
      <c r="Q710" s="1059"/>
      <c r="R710" s="1059"/>
      <c r="S710" s="1059"/>
      <c r="T710" s="1009"/>
      <c r="U710" s="8"/>
      <c r="V710" s="67"/>
      <c r="X710" s="370">
        <f t="shared" si="185"/>
        <v>0</v>
      </c>
    </row>
    <row r="711" spans="1:24" ht="14.25">
      <c r="A711" s="47"/>
      <c r="B711" s="17">
        <f t="shared" si="190"/>
        <v>12</v>
      </c>
      <c r="C711" s="1" t="s">
        <v>233</v>
      </c>
      <c r="D711" s="1" t="s">
        <v>234</v>
      </c>
      <c r="E711" s="17"/>
      <c r="F711" s="118">
        <f>' WP II-I-1.4'!L711</f>
        <v>0</v>
      </c>
      <c r="G711" s="17" t="s">
        <v>805</v>
      </c>
      <c r="H711" s="1" t="s">
        <v>320</v>
      </c>
      <c r="I711" s="17"/>
      <c r="J711" s="434">
        <f>'II-I-DIST'!J711+'II-I-MET'!J711+'II-I-TBILLTDCS'!J711</f>
        <v>0</v>
      </c>
      <c r="K711" s="434">
        <f>'II-I-DIST'!K711+'II-I-MET'!K711+'II-I-TBILLTDCS'!K711</f>
        <v>0</v>
      </c>
      <c r="L711" s="434">
        <f>'II-I-DIST'!L711+'II-I-MET'!L711+'II-I-TBILLTDCS'!L711</f>
        <v>0</v>
      </c>
      <c r="M711" s="434">
        <f>'II-I-DIST'!M711+'II-I-MET'!M711+'II-I-TBILLTDCS'!M711</f>
        <v>0</v>
      </c>
      <c r="N711" s="434">
        <f>'II-I-DIST'!N711+'II-I-MET'!N711+'II-I-TBILLTDCS'!N711</f>
        <v>0</v>
      </c>
      <c r="O711" s="434">
        <f>'II-I-DIST'!O711+'II-I-MET'!O711+'II-I-TBILLTDCS'!O711</f>
        <v>0</v>
      </c>
      <c r="P711" s="434">
        <f>'II-I-DIST'!P711+'II-I-MET'!P711+'II-I-TBILLTDCS'!P711</f>
        <v>0</v>
      </c>
      <c r="Q711" s="434">
        <f>'II-I-DIST'!Q711+'II-I-MET'!Q711+'II-I-TBILLTDCS'!Q711</f>
        <v>0</v>
      </c>
      <c r="R711" s="434">
        <f>'II-I-DIST'!R711+'II-I-MET'!R711+'II-I-TBILLTDCS'!R711</f>
        <v>0</v>
      </c>
      <c r="S711" s="434">
        <f>'II-I-DIST'!S711+'II-I-MET'!S711+'II-I-TBILLTDCS'!S711</f>
        <v>0</v>
      </c>
      <c r="T711" s="17"/>
      <c r="U711" s="118">
        <f t="shared" si="194" ref="U711:U716">SUM(I711:T711)</f>
        <v>0</v>
      </c>
      <c r="V711" s="67"/>
      <c r="X711" s="370">
        <f t="shared" si="185"/>
        <v>0</v>
      </c>
    </row>
    <row r="712" spans="1:24" ht="14.25">
      <c r="A712" s="47"/>
      <c r="B712" s="17">
        <f t="shared" si="190"/>
        <v>13</v>
      </c>
      <c r="C712" s="1" t="s">
        <v>235</v>
      </c>
      <c r="D712" s="1" t="s">
        <v>223</v>
      </c>
      <c r="E712" s="17"/>
      <c r="F712" s="118">
        <f>' WP II-I-1.4'!L712</f>
        <v>0</v>
      </c>
      <c r="G712" s="17" t="s">
        <v>805</v>
      </c>
      <c r="H712" s="1" t="s">
        <v>320</v>
      </c>
      <c r="I712" s="17"/>
      <c r="J712" s="434">
        <f>'II-I-DIST'!J712+'II-I-MET'!J712+'II-I-TBILLTDCS'!J712</f>
        <v>0</v>
      </c>
      <c r="K712" s="434">
        <f>'II-I-DIST'!K712+'II-I-MET'!K712+'II-I-TBILLTDCS'!K712</f>
        <v>0</v>
      </c>
      <c r="L712" s="434">
        <f>'II-I-DIST'!L712+'II-I-MET'!L712+'II-I-TBILLTDCS'!L712</f>
        <v>0</v>
      </c>
      <c r="M712" s="434">
        <f>'II-I-DIST'!M712+'II-I-MET'!M712+'II-I-TBILLTDCS'!M712</f>
        <v>0</v>
      </c>
      <c r="N712" s="434">
        <f>'II-I-DIST'!N712+'II-I-MET'!N712+'II-I-TBILLTDCS'!N712</f>
        <v>0</v>
      </c>
      <c r="O712" s="434">
        <f>'II-I-DIST'!O712+'II-I-MET'!O712+'II-I-TBILLTDCS'!O712</f>
        <v>0</v>
      </c>
      <c r="P712" s="434">
        <f>'II-I-DIST'!P712+'II-I-MET'!P712+'II-I-TBILLTDCS'!P712</f>
        <v>0</v>
      </c>
      <c r="Q712" s="434">
        <f>'II-I-DIST'!Q712+'II-I-MET'!Q712+'II-I-TBILLTDCS'!Q712</f>
        <v>0</v>
      </c>
      <c r="R712" s="434">
        <f>'II-I-DIST'!R712+'II-I-MET'!R712+'II-I-TBILLTDCS'!R712</f>
        <v>0</v>
      </c>
      <c r="S712" s="434">
        <f>'II-I-DIST'!S712+'II-I-MET'!S712+'II-I-TBILLTDCS'!S712</f>
        <v>0</v>
      </c>
      <c r="T712" s="17"/>
      <c r="U712" s="118">
        <f t="shared" si="194"/>
        <v>0</v>
      </c>
      <c r="V712" s="67"/>
      <c r="X712" s="370">
        <f t="shared" si="185"/>
        <v>0</v>
      </c>
    </row>
    <row r="713" spans="1:24" ht="15">
      <c r="A713" s="47"/>
      <c r="B713" s="17">
        <f t="shared" si="190"/>
        <v>14</v>
      </c>
      <c r="C713" s="1" t="s">
        <v>236</v>
      </c>
      <c r="D713" s="1" t="s">
        <v>237</v>
      </c>
      <c r="E713" s="20"/>
      <c r="F713" s="118">
        <f>' WP II-I-1.4'!L713</f>
        <v>592773.08999999915</v>
      </c>
      <c r="G713" s="17" t="s">
        <v>805</v>
      </c>
      <c r="H713" s="1" t="s">
        <v>320</v>
      </c>
      <c r="I713" s="1009"/>
      <c r="J713" s="434">
        <f>'II-I-DIST'!J713+'II-I-MET'!J713+'II-I-TBILLTDCS'!J713</f>
        <v>503992.56467084738</v>
      </c>
      <c r="K713" s="434">
        <f>'II-I-DIST'!K713+'II-I-MET'!K713+'II-I-TBILLTDCS'!K713</f>
        <v>47089.358555639912</v>
      </c>
      <c r="L713" s="434">
        <f>'II-I-DIST'!L713+'II-I-MET'!L713+'II-I-TBILLTDCS'!L713</f>
        <v>31491.076206765494</v>
      </c>
      <c r="M713" s="434">
        <f>'II-I-DIST'!M713+'II-I-MET'!M713+'II-I-TBILLTDCS'!M713</f>
        <v>479.66396505285081</v>
      </c>
      <c r="N713" s="434">
        <f>'II-I-DIST'!N713+'II-I-MET'!N713+'II-I-TBILLTDCS'!N713</f>
        <v>1107.2024062716241</v>
      </c>
      <c r="O713" s="434">
        <f>'II-I-DIST'!O713+'II-I-MET'!O713+'II-I-TBILLTDCS'!O713</f>
        <v>20.108453871935055</v>
      </c>
      <c r="P713" s="434">
        <f>'II-I-DIST'!P713+'II-I-MET'!P713+'II-I-TBILLTDCS'!P713</f>
        <v>43.774557275058619</v>
      </c>
      <c r="Q713" s="434">
        <f>'II-I-DIST'!Q713+'II-I-MET'!Q713+'II-I-TBILLTDCS'!Q713</f>
        <v>8539.5963181676198</v>
      </c>
      <c r="R713" s="434">
        <f>'II-I-DIST'!R713+'II-I-MET'!R713+'II-I-TBILLTDCS'!R713</f>
        <v>2.3202062159925063</v>
      </c>
      <c r="S713" s="434">
        <f>'II-I-DIST'!S713+'II-I-MET'!S713+'II-I-TBILLTDCS'!S713</f>
        <v>7.4246598911760202</v>
      </c>
      <c r="T713" s="1009"/>
      <c r="U713" s="118">
        <f t="shared" si="194"/>
        <v>592773.08999999892</v>
      </c>
      <c r="V713" s="67"/>
      <c r="X713" s="370">
        <f t="shared" si="185"/>
        <v>0</v>
      </c>
    </row>
    <row r="714" spans="1:24" ht="14.25">
      <c r="A714" s="47"/>
      <c r="B714" s="17">
        <f t="shared" si="190"/>
        <v>15</v>
      </c>
      <c r="C714" s="1" t="s">
        <v>238</v>
      </c>
      <c r="D714" s="1" t="s">
        <v>239</v>
      </c>
      <c r="E714" s="17"/>
      <c r="F714" s="118">
        <f>' WP II-I-1.4'!L714</f>
        <v>0</v>
      </c>
      <c r="G714" s="17" t="s">
        <v>805</v>
      </c>
      <c r="H714" s="1" t="s">
        <v>320</v>
      </c>
      <c r="I714" s="17"/>
      <c r="J714" s="434">
        <f>'II-I-DIST'!J714+'II-I-MET'!J714+'II-I-TBILLTDCS'!J714</f>
        <v>0</v>
      </c>
      <c r="K714" s="434">
        <f>'II-I-DIST'!K714+'II-I-MET'!K714+'II-I-TBILLTDCS'!K714</f>
        <v>0</v>
      </c>
      <c r="L714" s="434">
        <f>'II-I-DIST'!L714+'II-I-MET'!L714+'II-I-TBILLTDCS'!L714</f>
        <v>0</v>
      </c>
      <c r="M714" s="434">
        <f>'II-I-DIST'!M714+'II-I-MET'!M714+'II-I-TBILLTDCS'!M714</f>
        <v>0</v>
      </c>
      <c r="N714" s="434">
        <f>'II-I-DIST'!N714+'II-I-MET'!N714+'II-I-TBILLTDCS'!N714</f>
        <v>0</v>
      </c>
      <c r="O714" s="434">
        <f>'II-I-DIST'!O714+'II-I-MET'!O714+'II-I-TBILLTDCS'!O714</f>
        <v>0</v>
      </c>
      <c r="P714" s="434">
        <f>'II-I-DIST'!P714+'II-I-MET'!P714+'II-I-TBILLTDCS'!P714</f>
        <v>0</v>
      </c>
      <c r="Q714" s="434">
        <f>'II-I-DIST'!Q714+'II-I-MET'!Q714+'II-I-TBILLTDCS'!Q714</f>
        <v>0</v>
      </c>
      <c r="R714" s="434">
        <f>'II-I-DIST'!R714+'II-I-MET'!R714+'II-I-TBILLTDCS'!R714</f>
        <v>0</v>
      </c>
      <c r="S714" s="434">
        <f>'II-I-DIST'!S714+'II-I-MET'!S714+'II-I-TBILLTDCS'!S714</f>
        <v>0</v>
      </c>
      <c r="T714" s="17"/>
      <c r="U714" s="118">
        <f t="shared" si="194"/>
        <v>0</v>
      </c>
      <c r="V714" s="67"/>
      <c r="X714" s="370">
        <f t="shared" si="185"/>
        <v>0</v>
      </c>
    </row>
    <row r="715" spans="1:24" ht="14.25">
      <c r="A715" s="47"/>
      <c r="B715" s="17">
        <f t="shared" si="190"/>
        <v>16</v>
      </c>
      <c r="C715" s="1" t="s">
        <v>240</v>
      </c>
      <c r="D715" s="1" t="s">
        <v>241</v>
      </c>
      <c r="E715" s="17"/>
      <c r="F715" s="118">
        <f>' WP II-I-1.4'!L715</f>
        <v>0</v>
      </c>
      <c r="G715" s="17" t="s">
        <v>805</v>
      </c>
      <c r="H715" s="1" t="s">
        <v>320</v>
      </c>
      <c r="I715" s="17"/>
      <c r="J715" s="435">
        <f>'II-I-DIST'!J715+'II-I-MET'!J715+'II-I-TBILLTDCS'!J715</f>
        <v>0</v>
      </c>
      <c r="K715" s="435">
        <f>'II-I-DIST'!K715+'II-I-MET'!K715+'II-I-TBILLTDCS'!K715</f>
        <v>0</v>
      </c>
      <c r="L715" s="435">
        <f>'II-I-DIST'!L715+'II-I-MET'!L715+'II-I-TBILLTDCS'!L715</f>
        <v>0</v>
      </c>
      <c r="M715" s="435">
        <f>'II-I-DIST'!M715+'II-I-MET'!M715+'II-I-TBILLTDCS'!M715</f>
        <v>0</v>
      </c>
      <c r="N715" s="435">
        <f>'II-I-DIST'!N715+'II-I-MET'!N715+'II-I-TBILLTDCS'!N715</f>
        <v>0</v>
      </c>
      <c r="O715" s="435">
        <f>'II-I-DIST'!O715+'II-I-MET'!O715+'II-I-TBILLTDCS'!O715</f>
        <v>0</v>
      </c>
      <c r="P715" s="435">
        <f>'II-I-DIST'!P715+'II-I-MET'!P715+'II-I-TBILLTDCS'!P715</f>
        <v>0</v>
      </c>
      <c r="Q715" s="435">
        <f>'II-I-DIST'!Q715+'II-I-MET'!Q715+'II-I-TBILLTDCS'!Q715</f>
        <v>0</v>
      </c>
      <c r="R715" s="435">
        <f>'II-I-DIST'!R715+'II-I-MET'!R715+'II-I-TBILLTDCS'!R715</f>
        <v>0</v>
      </c>
      <c r="S715" s="435">
        <f>'II-I-DIST'!S715+'II-I-MET'!S715+'II-I-TBILLTDCS'!S715</f>
        <v>0</v>
      </c>
      <c r="T715" s="17"/>
      <c r="U715" s="118">
        <f t="shared" si="194"/>
        <v>0</v>
      </c>
      <c r="V715" s="67"/>
      <c r="X715" s="370">
        <f t="shared" si="185"/>
        <v>0</v>
      </c>
    </row>
    <row r="716" spans="1:24" ht="15">
      <c r="A716" s="47"/>
      <c r="B716" s="17">
        <f>B715+1</f>
        <v>17</v>
      </c>
      <c r="C716" s="8"/>
      <c r="D716" s="297" t="s">
        <v>651</v>
      </c>
      <c r="E716" s="20"/>
      <c r="F716" s="22">
        <f>SUM(F711:F715)</f>
        <v>592773.08999999915</v>
      </c>
      <c r="G716" s="20"/>
      <c r="H716" s="1009"/>
      <c r="I716" s="1009"/>
      <c r="J716" s="896">
        <f t="shared" si="195" ref="J716:Q716">SUM(J711:J715)</f>
        <v>503992.56467084738</v>
      </c>
      <c r="K716" s="896">
        <f t="shared" si="195"/>
        <v>47089.358555639912</v>
      </c>
      <c r="L716" s="896">
        <f t="shared" si="195"/>
        <v>31491.076206765494</v>
      </c>
      <c r="M716" s="896">
        <f t="shared" si="195"/>
        <v>479.66396505285081</v>
      </c>
      <c r="N716" s="896">
        <f t="shared" si="195"/>
        <v>1107.2024062716241</v>
      </c>
      <c r="O716" s="896">
        <f>SUM(O711:O715)</f>
        <v>20.108453871935055</v>
      </c>
      <c r="P716" s="896">
        <f t="shared" si="195"/>
        <v>43.774557275058619</v>
      </c>
      <c r="Q716" s="896">
        <f t="shared" si="195"/>
        <v>8539.5963181676198</v>
      </c>
      <c r="R716" s="896">
        <f>SUM(R711:R715)</f>
        <v>2.3202062159925063</v>
      </c>
      <c r="S716" s="896">
        <f>SUM(S711:S715)</f>
        <v>7.4246598911760202</v>
      </c>
      <c r="T716" s="1009"/>
      <c r="U716" s="299">
        <f t="shared" si="194"/>
        <v>592773.08999999892</v>
      </c>
      <c r="V716" s="67"/>
      <c r="W716" s="1300" t="b">
        <f>' WP II-I-1.4'!$L$716=U716</f>
        <v>1</v>
      </c>
      <c r="X716" s="370">
        <f t="shared" si="185"/>
        <v>0</v>
      </c>
    </row>
    <row r="717" spans="1:24" ht="15">
      <c r="A717" s="47"/>
      <c r="B717" s="17">
        <f t="shared" si="196" ref="B717:B731">B716+1</f>
        <v>18</v>
      </c>
      <c r="C717" s="8"/>
      <c r="D717" s="297"/>
      <c r="E717" s="20"/>
      <c r="F717" s="22"/>
      <c r="G717" s="20"/>
      <c r="H717" s="20"/>
      <c r="I717" s="20"/>
      <c r="J717" s="896"/>
      <c r="K717" s="896"/>
      <c r="L717" s="896"/>
      <c r="M717" s="896"/>
      <c r="N717" s="896"/>
      <c r="O717" s="896"/>
      <c r="P717" s="896"/>
      <c r="Q717" s="896"/>
      <c r="R717" s="896"/>
      <c r="S717" s="896"/>
      <c r="T717" s="1009"/>
      <c r="U717" s="299"/>
      <c r="V717" s="67"/>
      <c r="X717" s="370">
        <f t="shared" si="185"/>
        <v>0</v>
      </c>
    </row>
    <row r="718" spans="1:24" ht="15">
      <c r="A718" s="47"/>
      <c r="B718" s="17">
        <f t="shared" si="196"/>
        <v>19</v>
      </c>
      <c r="C718" s="8"/>
      <c r="D718" s="297" t="s">
        <v>652</v>
      </c>
      <c r="E718" s="20"/>
      <c r="F718" s="22">
        <f>F711+F713+F714</f>
        <v>592773.08999999915</v>
      </c>
      <c r="G718" s="20"/>
      <c r="H718" s="20"/>
      <c r="I718" s="20"/>
      <c r="J718" s="896">
        <f t="shared" si="197" ref="J718:Q718">J711+J713+J714</f>
        <v>503992.56467084738</v>
      </c>
      <c r="K718" s="896">
        <f t="shared" si="197"/>
        <v>47089.358555639912</v>
      </c>
      <c r="L718" s="896">
        <f t="shared" si="197"/>
        <v>31491.076206765494</v>
      </c>
      <c r="M718" s="896">
        <f t="shared" si="197"/>
        <v>479.66396505285081</v>
      </c>
      <c r="N718" s="896">
        <f t="shared" si="197"/>
        <v>1107.2024062716241</v>
      </c>
      <c r="O718" s="896">
        <f>O711+O713+O714</f>
        <v>20.108453871935055</v>
      </c>
      <c r="P718" s="896">
        <f t="shared" si="197"/>
        <v>43.774557275058619</v>
      </c>
      <c r="Q718" s="896">
        <f t="shared" si="197"/>
        <v>8539.5963181676198</v>
      </c>
      <c r="R718" s="896">
        <f>R711+R713+R714</f>
        <v>2.3202062159925063</v>
      </c>
      <c r="S718" s="896">
        <f>S711+S713+S714</f>
        <v>7.4246598911760202</v>
      </c>
      <c r="T718" s="1009"/>
      <c r="U718" s="299">
        <f>SUM(I718:T718)</f>
        <v>592773.08999999892</v>
      </c>
      <c r="V718" s="67"/>
      <c r="W718" s="1300" t="b">
        <f>' WP II-I-1.4'!$L$718=U718</f>
        <v>1</v>
      </c>
      <c r="X718" s="370">
        <f t="shared" si="185"/>
        <v>0</v>
      </c>
    </row>
    <row r="719" spans="1:24" ht="14.25">
      <c r="A719" s="47"/>
      <c r="B719" s="17">
        <f t="shared" si="196"/>
        <v>20</v>
      </c>
      <c r="C719" s="1"/>
      <c r="D719" s="1"/>
      <c r="E719" s="17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"/>
      <c r="V719" s="67"/>
      <c r="X719" s="370">
        <f t="shared" si="185"/>
        <v>0</v>
      </c>
    </row>
    <row r="720" spans="1:24" ht="15">
      <c r="A720" s="47"/>
      <c r="B720" s="17">
        <f t="shared" si="196"/>
        <v>21</v>
      </c>
      <c r="C720" s="8"/>
      <c r="D720" s="368" t="s">
        <v>242</v>
      </c>
      <c r="E720" s="20" t="s">
        <v>160</v>
      </c>
      <c r="F720" s="22"/>
      <c r="G720" s="20"/>
      <c r="H720" s="20"/>
      <c r="I720" s="20"/>
      <c r="J720" s="1059"/>
      <c r="K720" s="1059"/>
      <c r="L720" s="1059"/>
      <c r="M720" s="1059"/>
      <c r="N720" s="1059"/>
      <c r="O720" s="1059"/>
      <c r="P720" s="1059"/>
      <c r="Q720" s="1059"/>
      <c r="R720" s="1059"/>
      <c r="S720" s="1059"/>
      <c r="T720" s="1009"/>
      <c r="U720" s="8"/>
      <c r="V720" s="67"/>
      <c r="X720" s="370">
        <f t="shared" si="185"/>
        <v>0</v>
      </c>
    </row>
    <row r="721" spans="1:24" ht="14.25">
      <c r="A721" s="47"/>
      <c r="B721" s="17">
        <f t="shared" si="196"/>
        <v>22</v>
      </c>
      <c r="C721" s="1" t="s">
        <v>243</v>
      </c>
      <c r="D721" s="51" t="s">
        <v>223</v>
      </c>
      <c r="E721" s="17"/>
      <c r="F721" s="118">
        <f>' WP II-I-1.4'!L721</f>
        <v>0</v>
      </c>
      <c r="G721" s="17" t="s">
        <v>805</v>
      </c>
      <c r="H721" s="47" t="s">
        <v>320</v>
      </c>
      <c r="I721" s="17"/>
      <c r="J721" s="434">
        <f>'II-I-DIST'!J721+'II-I-MET'!J721+'II-I-TBILLTDCS'!J721</f>
        <v>0</v>
      </c>
      <c r="K721" s="434">
        <f>'II-I-DIST'!K721+'II-I-MET'!K721+'II-I-TBILLTDCS'!K721</f>
        <v>0</v>
      </c>
      <c r="L721" s="434">
        <f>'II-I-DIST'!L721+'II-I-MET'!L721+'II-I-TBILLTDCS'!L721</f>
        <v>0</v>
      </c>
      <c r="M721" s="434">
        <f>'II-I-DIST'!M721+'II-I-MET'!M721+'II-I-TBILLTDCS'!M721</f>
        <v>0</v>
      </c>
      <c r="N721" s="434">
        <f>'II-I-DIST'!N721+'II-I-MET'!N721+'II-I-TBILLTDCS'!N721</f>
        <v>0</v>
      </c>
      <c r="O721" s="434">
        <f>'II-I-DIST'!O721+'II-I-MET'!O721+'II-I-TBILLTDCS'!O721</f>
        <v>0</v>
      </c>
      <c r="P721" s="434">
        <f>'II-I-DIST'!P721+'II-I-MET'!P721+'II-I-TBILLTDCS'!P721</f>
        <v>0</v>
      </c>
      <c r="Q721" s="434">
        <f>'II-I-DIST'!Q721+'II-I-MET'!Q721+'II-I-TBILLTDCS'!Q721</f>
        <v>0</v>
      </c>
      <c r="R721" s="434">
        <f>'II-I-DIST'!R721+'II-I-MET'!R721+'II-I-TBILLTDCS'!R721</f>
        <v>0</v>
      </c>
      <c r="S721" s="434">
        <f>'II-I-DIST'!S721+'II-I-MET'!S721+'II-I-TBILLTDCS'!S721</f>
        <v>0</v>
      </c>
      <c r="T721" s="17"/>
      <c r="U721" s="118">
        <f t="shared" si="198" ref="U721:U726">SUM(I721:T721)</f>
        <v>0</v>
      </c>
      <c r="V721" s="67"/>
      <c r="X721" s="370">
        <f t="shared" si="185"/>
        <v>0</v>
      </c>
    </row>
    <row r="722" spans="1:24" ht="14.25">
      <c r="A722" s="47"/>
      <c r="B722" s="17">
        <f t="shared" si="196"/>
        <v>23</v>
      </c>
      <c r="C722" s="1" t="s">
        <v>244</v>
      </c>
      <c r="D722" s="51" t="s">
        <v>245</v>
      </c>
      <c r="E722" s="17"/>
      <c r="F722" s="118">
        <f>' WP II-I-1.4'!L722</f>
        <v>0</v>
      </c>
      <c r="G722" s="17" t="s">
        <v>805</v>
      </c>
      <c r="H722" s="47" t="s">
        <v>320</v>
      </c>
      <c r="I722" s="17"/>
      <c r="J722" s="434">
        <f>'II-I-DIST'!J722+'II-I-MET'!J722+'II-I-TBILLTDCS'!J722</f>
        <v>0</v>
      </c>
      <c r="K722" s="434">
        <f>'II-I-DIST'!K722+'II-I-MET'!K722+'II-I-TBILLTDCS'!K722</f>
        <v>0</v>
      </c>
      <c r="L722" s="434">
        <f>'II-I-DIST'!L722+'II-I-MET'!L722+'II-I-TBILLTDCS'!L722</f>
        <v>0</v>
      </c>
      <c r="M722" s="434">
        <f>'II-I-DIST'!M722+'II-I-MET'!M722+'II-I-TBILLTDCS'!M722</f>
        <v>0</v>
      </c>
      <c r="N722" s="434">
        <f>'II-I-DIST'!N722+'II-I-MET'!N722+'II-I-TBILLTDCS'!N722</f>
        <v>0</v>
      </c>
      <c r="O722" s="434">
        <f>'II-I-DIST'!O722+'II-I-MET'!O722+'II-I-TBILLTDCS'!O722</f>
        <v>0</v>
      </c>
      <c r="P722" s="434">
        <f>'II-I-DIST'!P722+'II-I-MET'!P722+'II-I-TBILLTDCS'!P722</f>
        <v>0</v>
      </c>
      <c r="Q722" s="434">
        <f>'II-I-DIST'!Q722+'II-I-MET'!Q722+'II-I-TBILLTDCS'!Q722</f>
        <v>0</v>
      </c>
      <c r="R722" s="434">
        <f>'II-I-DIST'!R722+'II-I-MET'!R722+'II-I-TBILLTDCS'!R722</f>
        <v>0</v>
      </c>
      <c r="S722" s="434">
        <f>'II-I-DIST'!S722+'II-I-MET'!S722+'II-I-TBILLTDCS'!S722</f>
        <v>0</v>
      </c>
      <c r="T722" s="17"/>
      <c r="U722" s="118">
        <f t="shared" si="198"/>
        <v>0</v>
      </c>
      <c r="V722" s="67"/>
      <c r="X722" s="370">
        <f t="shared" si="185"/>
        <v>0</v>
      </c>
    </row>
    <row r="723" spans="1:24" ht="14.25">
      <c r="A723" s="47"/>
      <c r="B723" s="17">
        <f t="shared" si="196"/>
        <v>24</v>
      </c>
      <c r="C723" s="1" t="s">
        <v>246</v>
      </c>
      <c r="D723" s="51" t="s">
        <v>247</v>
      </c>
      <c r="E723" s="17"/>
      <c r="F723" s="118">
        <f>' WP II-I-1.4'!L723</f>
        <v>0</v>
      </c>
      <c r="G723" s="17" t="s">
        <v>805</v>
      </c>
      <c r="H723" s="47" t="s">
        <v>320</v>
      </c>
      <c r="I723" s="17"/>
      <c r="J723" s="434">
        <f>'II-I-DIST'!J723+'II-I-MET'!J723+'II-I-TBILLTDCS'!J723</f>
        <v>0</v>
      </c>
      <c r="K723" s="434">
        <f>'II-I-DIST'!K723+'II-I-MET'!K723+'II-I-TBILLTDCS'!K723</f>
        <v>0</v>
      </c>
      <c r="L723" s="434">
        <f>'II-I-DIST'!L723+'II-I-MET'!L723+'II-I-TBILLTDCS'!L723</f>
        <v>0</v>
      </c>
      <c r="M723" s="434">
        <f>'II-I-DIST'!M723+'II-I-MET'!M723+'II-I-TBILLTDCS'!M723</f>
        <v>0</v>
      </c>
      <c r="N723" s="434">
        <f>'II-I-DIST'!N723+'II-I-MET'!N723+'II-I-TBILLTDCS'!N723</f>
        <v>0</v>
      </c>
      <c r="O723" s="434">
        <f>'II-I-DIST'!O723+'II-I-MET'!O723+'II-I-TBILLTDCS'!O723</f>
        <v>0</v>
      </c>
      <c r="P723" s="434">
        <f>'II-I-DIST'!P723+'II-I-MET'!P723+'II-I-TBILLTDCS'!P723</f>
        <v>0</v>
      </c>
      <c r="Q723" s="434">
        <f>'II-I-DIST'!Q723+'II-I-MET'!Q723+'II-I-TBILLTDCS'!Q723</f>
        <v>0</v>
      </c>
      <c r="R723" s="434">
        <f>'II-I-DIST'!R723+'II-I-MET'!R723+'II-I-TBILLTDCS'!R723</f>
        <v>0</v>
      </c>
      <c r="S723" s="434">
        <f>'II-I-DIST'!S723+'II-I-MET'!S723+'II-I-TBILLTDCS'!S723</f>
        <v>0</v>
      </c>
      <c r="T723" s="17"/>
      <c r="U723" s="118">
        <f t="shared" si="198"/>
        <v>0</v>
      </c>
      <c r="V723" s="67"/>
      <c r="X723" s="370">
        <f t="shared" si="185"/>
        <v>0</v>
      </c>
    </row>
    <row r="724" spans="1:24" ht="14.25">
      <c r="A724" s="47"/>
      <c r="B724" s="17">
        <f t="shared" si="196"/>
        <v>25</v>
      </c>
      <c r="C724" s="1" t="s">
        <v>248</v>
      </c>
      <c r="D724" s="51" t="s">
        <v>249</v>
      </c>
      <c r="E724" s="17"/>
      <c r="F724" s="118">
        <f>' WP II-I-1.4'!L724</f>
        <v>0</v>
      </c>
      <c r="G724" s="17" t="s">
        <v>805</v>
      </c>
      <c r="H724" s="47" t="s">
        <v>320</v>
      </c>
      <c r="I724" s="17"/>
      <c r="J724" s="434">
        <f>'II-I-DIST'!J724+'II-I-MET'!J724+'II-I-TBILLTDCS'!J724</f>
        <v>0</v>
      </c>
      <c r="K724" s="434">
        <f>'II-I-DIST'!K724+'II-I-MET'!K724+'II-I-TBILLTDCS'!K724</f>
        <v>0</v>
      </c>
      <c r="L724" s="434">
        <f>'II-I-DIST'!L724+'II-I-MET'!L724+'II-I-TBILLTDCS'!L724</f>
        <v>0</v>
      </c>
      <c r="M724" s="434">
        <f>'II-I-DIST'!M724+'II-I-MET'!M724+'II-I-TBILLTDCS'!M724</f>
        <v>0</v>
      </c>
      <c r="N724" s="434">
        <f>'II-I-DIST'!N724+'II-I-MET'!N724+'II-I-TBILLTDCS'!N724</f>
        <v>0</v>
      </c>
      <c r="O724" s="434">
        <f>'II-I-DIST'!O724+'II-I-MET'!O724+'II-I-TBILLTDCS'!O724</f>
        <v>0</v>
      </c>
      <c r="P724" s="434">
        <f>'II-I-DIST'!P724+'II-I-MET'!P724+'II-I-TBILLTDCS'!P724</f>
        <v>0</v>
      </c>
      <c r="Q724" s="434">
        <f>'II-I-DIST'!Q724+'II-I-MET'!Q724+'II-I-TBILLTDCS'!Q724</f>
        <v>0</v>
      </c>
      <c r="R724" s="434">
        <f>'II-I-DIST'!R724+'II-I-MET'!R724+'II-I-TBILLTDCS'!R724</f>
        <v>0</v>
      </c>
      <c r="S724" s="434">
        <f>'II-I-DIST'!S724+'II-I-MET'!S724+'II-I-TBILLTDCS'!S724</f>
        <v>0</v>
      </c>
      <c r="T724" s="17"/>
      <c r="U724" s="118">
        <f t="shared" si="198"/>
        <v>0</v>
      </c>
      <c r="V724" s="67"/>
      <c r="X724" s="370">
        <f t="shared" si="185"/>
        <v>0</v>
      </c>
    </row>
    <row r="725" spans="1:24" ht="14.25">
      <c r="A725" s="47"/>
      <c r="B725" s="17">
        <f t="shared" si="196"/>
        <v>26</v>
      </c>
      <c r="C725" s="1" t="s">
        <v>250</v>
      </c>
      <c r="D725" s="51" t="s">
        <v>251</v>
      </c>
      <c r="E725" s="17"/>
      <c r="F725" s="118">
        <f>' WP II-I-1.4'!L725</f>
        <v>0</v>
      </c>
      <c r="G725" s="17" t="s">
        <v>805</v>
      </c>
      <c r="H725" s="47" t="s">
        <v>320</v>
      </c>
      <c r="I725" s="17"/>
      <c r="J725" s="434">
        <f>'II-I-DIST'!J725+'II-I-MET'!J725+'II-I-TBILLTDCS'!J725</f>
        <v>0</v>
      </c>
      <c r="K725" s="434">
        <f>'II-I-DIST'!K725+'II-I-MET'!K725+'II-I-TBILLTDCS'!K725</f>
        <v>0</v>
      </c>
      <c r="L725" s="434">
        <f>'II-I-DIST'!L725+'II-I-MET'!L725+'II-I-TBILLTDCS'!L725</f>
        <v>0</v>
      </c>
      <c r="M725" s="434">
        <f>'II-I-DIST'!M725+'II-I-MET'!M725+'II-I-TBILLTDCS'!M725</f>
        <v>0</v>
      </c>
      <c r="N725" s="434">
        <f>'II-I-DIST'!N725+'II-I-MET'!N725+'II-I-TBILLTDCS'!N725</f>
        <v>0</v>
      </c>
      <c r="O725" s="434">
        <f>'II-I-DIST'!O725+'II-I-MET'!O725+'II-I-TBILLTDCS'!O725</f>
        <v>0</v>
      </c>
      <c r="P725" s="434">
        <f>'II-I-DIST'!P725+'II-I-MET'!P725+'II-I-TBILLTDCS'!P725</f>
        <v>0</v>
      </c>
      <c r="Q725" s="434">
        <f>'II-I-DIST'!Q725+'II-I-MET'!Q725+'II-I-TBILLTDCS'!Q725</f>
        <v>0</v>
      </c>
      <c r="R725" s="434">
        <f>'II-I-DIST'!R725+'II-I-MET'!R725+'II-I-TBILLTDCS'!R725</f>
        <v>0</v>
      </c>
      <c r="S725" s="434">
        <f>'II-I-DIST'!S725+'II-I-MET'!S725+'II-I-TBILLTDCS'!S725</f>
        <v>0</v>
      </c>
      <c r="T725" s="17"/>
      <c r="U725" s="118">
        <f t="shared" si="198"/>
        <v>0</v>
      </c>
      <c r="V725" s="67"/>
      <c r="X725" s="370">
        <f t="shared" si="185"/>
        <v>0</v>
      </c>
    </row>
    <row r="726" spans="1:24" ht="15">
      <c r="A726" s="47"/>
      <c r="B726" s="17">
        <f t="shared" si="196"/>
        <v>27</v>
      </c>
      <c r="C726" s="8"/>
      <c r="D726" s="297" t="s">
        <v>653</v>
      </c>
      <c r="E726" s="20"/>
      <c r="F726" s="22">
        <f>SUM(F721:F725)</f>
        <v>0</v>
      </c>
      <c r="G726" s="20"/>
      <c r="H726" s="20"/>
      <c r="I726" s="1009"/>
      <c r="J726" s="896">
        <f t="shared" si="199" ref="J726:Q726">SUM(J721:J725)</f>
        <v>0</v>
      </c>
      <c r="K726" s="896">
        <f t="shared" si="199"/>
        <v>0</v>
      </c>
      <c r="L726" s="896">
        <f t="shared" si="199"/>
        <v>0</v>
      </c>
      <c r="M726" s="896">
        <f t="shared" si="199"/>
        <v>0</v>
      </c>
      <c r="N726" s="896">
        <f t="shared" si="199"/>
        <v>0</v>
      </c>
      <c r="O726" s="896">
        <f>SUM(O721:O725)</f>
        <v>0</v>
      </c>
      <c r="P726" s="896">
        <f t="shared" si="199"/>
        <v>0</v>
      </c>
      <c r="Q726" s="896">
        <f t="shared" si="199"/>
        <v>0</v>
      </c>
      <c r="R726" s="896">
        <f>SUM(R721:R725)</f>
        <v>0</v>
      </c>
      <c r="S726" s="896">
        <f>SUM(S721:S725)</f>
        <v>0</v>
      </c>
      <c r="T726" s="1009"/>
      <c r="U726" s="299">
        <f t="shared" si="198"/>
        <v>0</v>
      </c>
      <c r="V726" s="67"/>
      <c r="X726" s="370">
        <f t="shared" si="185"/>
        <v>0</v>
      </c>
    </row>
    <row r="727" spans="1:24" ht="15">
      <c r="A727" s="47"/>
      <c r="B727" s="17">
        <f t="shared" si="196"/>
        <v>28</v>
      </c>
      <c r="C727" s="8"/>
      <c r="D727" s="369"/>
      <c r="E727" s="20"/>
      <c r="F727" s="22"/>
      <c r="G727" s="20"/>
      <c r="H727" s="20"/>
      <c r="I727" s="20"/>
      <c r="J727" s="896"/>
      <c r="K727" s="896"/>
      <c r="L727" s="896"/>
      <c r="M727" s="896"/>
      <c r="N727" s="896"/>
      <c r="O727" s="896"/>
      <c r="P727" s="896"/>
      <c r="Q727" s="896"/>
      <c r="R727" s="896"/>
      <c r="S727" s="896"/>
      <c r="T727" s="20"/>
      <c r="U727" s="8"/>
      <c r="V727" s="67"/>
      <c r="X727" s="370">
        <f t="shared" si="185"/>
        <v>0</v>
      </c>
    </row>
    <row r="728" spans="1:24" ht="15">
      <c r="A728" s="47"/>
      <c r="B728" s="17">
        <f t="shared" si="196"/>
        <v>29</v>
      </c>
      <c r="C728" s="8"/>
      <c r="D728" s="297" t="s">
        <v>654</v>
      </c>
      <c r="E728" s="20"/>
      <c r="F728" s="22">
        <f>SUM(F722:F725)</f>
        <v>0</v>
      </c>
      <c r="G728" s="20"/>
      <c r="H728" s="20"/>
      <c r="I728" s="20"/>
      <c r="J728" s="896">
        <f t="shared" si="200" ref="J728:Q728">SUM(J722:J725)</f>
        <v>0</v>
      </c>
      <c r="K728" s="896">
        <f t="shared" si="200"/>
        <v>0</v>
      </c>
      <c r="L728" s="896">
        <f t="shared" si="200"/>
        <v>0</v>
      </c>
      <c r="M728" s="896">
        <f t="shared" si="200"/>
        <v>0</v>
      </c>
      <c r="N728" s="896">
        <f t="shared" si="200"/>
        <v>0</v>
      </c>
      <c r="O728" s="896">
        <f>SUM(O722:O725)</f>
        <v>0</v>
      </c>
      <c r="P728" s="896">
        <f t="shared" si="200"/>
        <v>0</v>
      </c>
      <c r="Q728" s="896">
        <f t="shared" si="200"/>
        <v>0</v>
      </c>
      <c r="R728" s="896">
        <f>SUM(R722:R725)</f>
        <v>0</v>
      </c>
      <c r="S728" s="896">
        <f>SUM(S722:S725)</f>
        <v>0</v>
      </c>
      <c r="T728" s="20"/>
      <c r="U728" s="299">
        <f>SUM(I728:T728)</f>
        <v>0</v>
      </c>
      <c r="V728" s="67"/>
      <c r="X728" s="370">
        <f t="shared" si="185"/>
        <v>0</v>
      </c>
    </row>
    <row r="729" spans="1:24" ht="15.75" thickBot="1">
      <c r="A729" s="47"/>
      <c r="B729" s="17">
        <f t="shared" si="196"/>
        <v>30</v>
      </c>
      <c r="C729" s="8"/>
      <c r="D729" s="369"/>
      <c r="E729" s="20"/>
      <c r="F729" s="22"/>
      <c r="G729" s="20"/>
      <c r="H729" s="20"/>
      <c r="I729" s="20"/>
      <c r="J729" s="896"/>
      <c r="K729" s="896"/>
      <c r="L729" s="896"/>
      <c r="M729" s="896"/>
      <c r="N729" s="896"/>
      <c r="O729" s="896"/>
      <c r="P729" s="896"/>
      <c r="Q729" s="896"/>
      <c r="R729" s="896"/>
      <c r="S729" s="896"/>
      <c r="T729" s="20"/>
      <c r="U729" s="8"/>
      <c r="V729" s="67"/>
      <c r="X729" s="370">
        <f t="shared" si="185"/>
        <v>0</v>
      </c>
    </row>
    <row r="730" spans="1:24" ht="15">
      <c r="A730" s="47"/>
      <c r="B730" s="17">
        <f t="shared" si="196"/>
        <v>31</v>
      </c>
      <c r="C730" s="319" t="s">
        <v>655</v>
      </c>
      <c r="D730" s="304"/>
      <c r="E730" s="305" t="s">
        <v>160</v>
      </c>
      <c r="F730" s="306">
        <f>+F726+F716+F706+F686+F638</f>
        <v>2040357869.77</v>
      </c>
      <c r="G730" s="305"/>
      <c r="H730" s="437"/>
      <c r="I730" s="857"/>
      <c r="J730" s="439">
        <f t="shared" si="201" ref="J730:Q730">+J726+J716+J706+J686+J638</f>
        <v>966021831.12554932</v>
      </c>
      <c r="K730" s="908">
        <f t="shared" si="201"/>
        <v>31834028.728883862</v>
      </c>
      <c r="L730" s="908">
        <f t="shared" si="201"/>
        <v>677661543.56700599</v>
      </c>
      <c r="M730" s="908">
        <f t="shared" si="201"/>
        <v>553783.15212493343</v>
      </c>
      <c r="N730" s="908">
        <f t="shared" si="201"/>
        <v>165762631.18165177</v>
      </c>
      <c r="O730" s="908">
        <f>+O726+O716+O706+O686+O638</f>
        <v>47391315.55377093</v>
      </c>
      <c r="P730" s="908">
        <f t="shared" si="201"/>
        <v>138307580.25196806</v>
      </c>
      <c r="Q730" s="908">
        <f t="shared" si="201"/>
        <v>11390313.27712152</v>
      </c>
      <c r="R730" s="908">
        <f>+R726+R716+R706+R686+R638</f>
        <v>236183.98848159704</v>
      </c>
      <c r="S730" s="641">
        <f>+S726+S716+S706+S686+S638</f>
        <v>1198658.9434418429</v>
      </c>
      <c r="T730" s="437"/>
      <c r="U730" s="307">
        <f>SUM(I730:T730)</f>
        <v>2040357869.77</v>
      </c>
      <c r="V730" s="67"/>
      <c r="W730" s="1300" t="b">
        <f>' WP II-I-1.4'!$L$730=U730</f>
        <v>1</v>
      </c>
      <c r="X730" s="370">
        <f t="shared" si="185"/>
        <v>0</v>
      </c>
    </row>
    <row r="731" spans="1:24" ht="15.75" thickBot="1">
      <c r="A731" s="47"/>
      <c r="B731" s="17">
        <f t="shared" si="196"/>
        <v>32</v>
      </c>
      <c r="C731" s="326" t="s">
        <v>656</v>
      </c>
      <c r="D731" s="310"/>
      <c r="E731" s="311" t="s">
        <v>160</v>
      </c>
      <c r="F731" s="312">
        <f>F730-F622</f>
        <v>387835848.33000016</v>
      </c>
      <c r="G731" s="311"/>
      <c r="H731" s="440"/>
      <c r="I731" s="1062"/>
      <c r="J731" s="442">
        <f t="shared" si="202" ref="J731:Q731">J730-J622</f>
        <v>207833618.59710121</v>
      </c>
      <c r="K731" s="312">
        <f t="shared" si="202"/>
        <v>10641411.531257797</v>
      </c>
      <c r="L731" s="312">
        <f t="shared" si="202"/>
        <v>126486079.97868407</v>
      </c>
      <c r="M731" s="312">
        <f t="shared" si="202"/>
        <v>334587.11578387936</v>
      </c>
      <c r="N731" s="312">
        <f t="shared" si="202"/>
        <v>27192091.475661099</v>
      </c>
      <c r="O731" s="312">
        <f>O730-O622</f>
        <v>2007006.4702817574</v>
      </c>
      <c r="P731" s="312">
        <f t="shared" si="202"/>
        <v>515896.95218527317</v>
      </c>
      <c r="Q731" s="312">
        <f t="shared" si="202"/>
        <v>11390313.27712152</v>
      </c>
      <c r="R731" s="312">
        <f>R730-R622</f>
        <v>236183.98848159704</v>
      </c>
      <c r="S731" s="443">
        <f>S730-S622</f>
        <v>1198658.9434418429</v>
      </c>
      <c r="T731" s="440"/>
      <c r="U731" s="313">
        <f>SUM(I731:T731)</f>
        <v>387835848.3300001</v>
      </c>
      <c r="V731" s="67"/>
      <c r="W731" s="1300">
        <f>' WP II-I-1.4'!$L$731-U731</f>
        <v>0</v>
      </c>
      <c r="X731" s="370">
        <f t="shared" si="185"/>
        <v>0</v>
      </c>
    </row>
    <row r="732" spans="1:24" ht="15">
      <c r="A732" s="47"/>
      <c r="B732" s="17"/>
      <c r="C732" s="8"/>
      <c r="D732" s="8"/>
      <c r="E732" s="20"/>
      <c r="F732" s="22"/>
      <c r="G732" s="20"/>
      <c r="H732" s="13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134"/>
      <c r="V732" s="134"/>
      <c r="X732" s="370"/>
    </row>
    <row r="733" spans="1:24" ht="15.75" thickBot="1">
      <c r="A733" s="47"/>
      <c r="B733" s="17"/>
      <c r="C733" s="8"/>
      <c r="D733" s="8"/>
      <c r="E733" s="20"/>
      <c r="F733" s="2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52"/>
      <c r="V733" s="67"/>
      <c r="X733" s="370">
        <f t="shared" si="185"/>
        <v>0</v>
      </c>
    </row>
    <row r="734" spans="1:24" ht="15">
      <c r="A734" s="47"/>
      <c r="B734" s="920" t="str">
        <f>+$B$4</f>
        <v>2022 RATE CASE</v>
      </c>
      <c r="C734" s="935"/>
      <c r="D734" s="969"/>
      <c r="F734" s="332"/>
      <c r="U734" s="134"/>
      <c r="X734" s="370">
        <f t="shared" si="185"/>
        <v>0</v>
      </c>
    </row>
    <row r="735" spans="1:24" ht="15">
      <c r="A735" s="47"/>
      <c r="B735" s="917" t="str">
        <f>+$B$5</f>
        <v>ONCOR ELECTRIC DELIVERY COMPANY LLC</v>
      </c>
      <c r="C735" s="8"/>
      <c r="D735" s="970"/>
      <c r="F735" s="371"/>
      <c r="U735" s="134"/>
      <c r="V735" s="67"/>
      <c r="X735" s="370">
        <f t="shared" si="185"/>
        <v>0</v>
      </c>
    </row>
    <row r="736" spans="1:24" ht="15">
      <c r="A736" s="47"/>
      <c r="B736" s="917" t="str">
        <f>+$B$6</f>
        <v>II-I-1-TOT:  CLASS REVENUE REQUIREMENT</v>
      </c>
      <c r="C736" s="85"/>
      <c r="D736" s="970"/>
      <c r="F736" s="371"/>
      <c r="U736" s="332"/>
      <c r="V736" s="67"/>
      <c r="X736" s="370">
        <f t="shared" si="185"/>
        <v>0</v>
      </c>
    </row>
    <row r="737" spans="1:24" ht="15">
      <c r="A737" s="47"/>
      <c r="B737" s="406" t="str">
        <f>+$B$7</f>
        <v>TEST YEAR ENDING 12/31/2021</v>
      </c>
      <c r="C737" s="85"/>
      <c r="D737" s="970"/>
      <c r="F737" s="371"/>
      <c r="U737" s="332"/>
      <c r="V737" s="67"/>
      <c r="X737" s="370">
        <f t="shared" si="185"/>
        <v>0</v>
      </c>
    </row>
    <row r="738" spans="1:24" ht="15">
      <c r="A738" s="47"/>
      <c r="B738" s="406" t="str">
        <f>+$B$8</f>
        <v>SPONSOR:  MATTHEW A. TROXLE</v>
      </c>
      <c r="C738" s="85"/>
      <c r="D738" s="970"/>
      <c r="F738" s="371"/>
      <c r="U738" s="332"/>
      <c r="V738" s="67"/>
      <c r="X738" s="370">
        <f t="shared" si="185"/>
        <v>0</v>
      </c>
    </row>
    <row r="739" spans="1:24" ht="15.75" thickBot="1">
      <c r="A739" s="47"/>
      <c r="B739" s="410"/>
      <c r="C739" s="934"/>
      <c r="D739" s="936"/>
      <c r="F739" s="371"/>
      <c r="U739" s="332"/>
      <c r="V739" s="67"/>
      <c r="X739" s="370">
        <f t="shared" si="185"/>
        <v>0</v>
      </c>
    </row>
    <row r="740" spans="1:24" ht="15" thickBot="1">
      <c r="A740" s="47"/>
      <c r="B740" s="13"/>
      <c r="C740" s="14"/>
      <c r="D740" s="14"/>
      <c r="E740" s="14"/>
      <c r="F740" s="13"/>
      <c r="G740" s="14"/>
      <c r="H740" s="14"/>
      <c r="I740" s="14"/>
      <c r="J740" s="238"/>
      <c r="K740" s="238"/>
      <c r="L740" s="14"/>
      <c r="M740" s="238"/>
      <c r="N740" s="238"/>
      <c r="O740" s="238"/>
      <c r="P740" s="238"/>
      <c r="Q740" s="14"/>
      <c r="R740" s="393" t="str">
        <f>R$10</f>
        <v xml:space="preserve"> </v>
      </c>
      <c r="S740" s="394"/>
      <c r="T740" s="238"/>
      <c r="U740" s="13"/>
      <c r="V740" s="67"/>
      <c r="X740" s="370">
        <f t="shared" si="185"/>
        <v>0</v>
      </c>
    </row>
    <row r="741" spans="1:24" ht="15">
      <c r="A741" s="47"/>
      <c r="B741" s="15" t="s">
        <v>2</v>
      </c>
      <c r="C741" s="15" t="s">
        <v>370</v>
      </c>
      <c r="D741" s="287" t="s">
        <v>252</v>
      </c>
      <c r="E741" s="15" t="s">
        <v>371</v>
      </c>
      <c r="F741" s="287" t="str">
        <f>F$11</f>
        <v>TOTAL</v>
      </c>
      <c r="G741" s="242" t="s">
        <v>741</v>
      </c>
      <c r="H741" s="242" t="s">
        <v>376</v>
      </c>
      <c r="I741" s="15"/>
      <c r="J741" s="242" t="s">
        <v>730</v>
      </c>
      <c r="K741" s="242" t="s">
        <v>409</v>
      </c>
      <c r="L741" s="15" t="s">
        <v>409</v>
      </c>
      <c r="M741" s="242" t="s">
        <v>410</v>
      </c>
      <c r="N741" s="242" t="s">
        <v>410</v>
      </c>
      <c r="O741" s="242" t="s">
        <v>410</v>
      </c>
      <c r="P741" s="242" t="s">
        <v>411</v>
      </c>
      <c r="Q741" s="15" t="s">
        <v>412</v>
      </c>
      <c r="R741" s="396" t="str">
        <f>R$11</f>
        <v>Wholesale</v>
      </c>
      <c r="S741" s="13" t="str">
        <f>S$11</f>
        <v>Wholesale</v>
      </c>
      <c r="T741" s="242"/>
      <c r="U741" s="15" t="s">
        <v>10</v>
      </c>
      <c r="V741" s="67"/>
      <c r="X741" s="370"/>
    </row>
    <row r="742" spans="1:24" ht="14.25">
      <c r="A742" s="47"/>
      <c r="B742" s="15"/>
      <c r="C742" s="15"/>
      <c r="D742" s="15"/>
      <c r="E742" s="15"/>
      <c r="F742" s="15" t="str">
        <f>F$12</f>
        <v>(Dist+Met+Cust)</v>
      </c>
      <c r="G742" s="242" t="s">
        <v>742</v>
      </c>
      <c r="H742" s="242" t="s">
        <v>743</v>
      </c>
      <c r="I742" s="15"/>
      <c r="J742" s="242"/>
      <c r="K742" s="242" t="s">
        <v>731</v>
      </c>
      <c r="L742" s="15" t="s">
        <v>732</v>
      </c>
      <c r="M742" s="242" t="s">
        <v>731</v>
      </c>
      <c r="N742" s="242" t="s">
        <v>732</v>
      </c>
      <c r="O742" s="242" t="s">
        <v>414</v>
      </c>
      <c r="P742" s="242"/>
      <c r="Q742" s="15"/>
      <c r="R742" s="235" t="str">
        <f>R$12</f>
        <v>XFMR</v>
      </c>
      <c r="S742" s="15" t="str">
        <f>S$12</f>
        <v>DLS</v>
      </c>
      <c r="T742" s="242"/>
      <c r="U742" s="15"/>
      <c r="V742" s="67"/>
      <c r="X742" s="370"/>
    </row>
    <row r="743" spans="1:24" ht="15" thickBot="1">
      <c r="A743" s="47"/>
      <c r="B743" s="16"/>
      <c r="C743" s="16"/>
      <c r="D743" s="16"/>
      <c r="E743" s="16"/>
      <c r="F743" s="16" t="s">
        <v>13</v>
      </c>
      <c r="G743" s="16" t="s">
        <v>14</v>
      </c>
      <c r="H743" s="16" t="s">
        <v>15</v>
      </c>
      <c r="I743" s="16"/>
      <c r="J743" s="243" t="str">
        <f t="shared" si="203" ref="J743:Q743">J$13</f>
        <v>(d)</v>
      </c>
      <c r="K743" s="243" t="str">
        <f t="shared" si="203"/>
        <v>(e)</v>
      </c>
      <c r="L743" s="16" t="str">
        <f t="shared" si="203"/>
        <v>(f)</v>
      </c>
      <c r="M743" s="243" t="str">
        <f t="shared" si="203"/>
        <v>(g)</v>
      </c>
      <c r="N743" s="243" t="str">
        <f t="shared" si="203"/>
        <v>(h)</v>
      </c>
      <c r="O743" s="243" t="str">
        <f>O$13</f>
        <v>(i)</v>
      </c>
      <c r="P743" s="243" t="str">
        <f t="shared" si="203"/>
        <v>(j)</v>
      </c>
      <c r="Q743" s="243" t="str">
        <f t="shared" si="203"/>
        <v>(k)</v>
      </c>
      <c r="R743" s="243" t="str">
        <f>R$13</f>
        <v>(l)</v>
      </c>
      <c r="S743" s="16" t="str">
        <f>S$13</f>
        <v>(m)</v>
      </c>
      <c r="T743" s="16"/>
      <c r="U743" s="16" t="s">
        <v>734</v>
      </c>
      <c r="V743" s="67"/>
      <c r="X743" s="370"/>
    </row>
    <row r="744" spans="1:24" ht="14.25">
      <c r="A744" s="47"/>
      <c r="B744" s="67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43"/>
      <c r="V744" s="67"/>
      <c r="X744" s="370">
        <f t="shared" si="204" ref="X744:X805">U744-F744</f>
        <v>0</v>
      </c>
    </row>
    <row r="745" spans="1:24" ht="15">
      <c r="A745" s="47"/>
      <c r="B745" s="17">
        <f t="shared" si="205" ref="B745:B764">B744+1</f>
        <v>1</v>
      </c>
      <c r="C745" s="8" t="s">
        <v>252</v>
      </c>
      <c r="D745" s="8"/>
      <c r="E745" s="20" t="s">
        <v>253</v>
      </c>
      <c r="F745" s="8"/>
      <c r="G745" s="20"/>
      <c r="H745" s="20"/>
      <c r="I745" s="20"/>
      <c r="J745" s="1059"/>
      <c r="K745" s="1059"/>
      <c r="L745" s="1059"/>
      <c r="M745" s="1059"/>
      <c r="N745" s="1059"/>
      <c r="O745" s="1059"/>
      <c r="P745" s="1059"/>
      <c r="Q745" s="1059"/>
      <c r="R745" s="1059"/>
      <c r="S745" s="1059"/>
      <c r="T745" s="20"/>
      <c r="U745" s="8"/>
      <c r="V745" s="67"/>
      <c r="X745" s="370">
        <f t="shared" si="204"/>
        <v>0</v>
      </c>
    </row>
    <row r="746" spans="1:24" ht="14.25">
      <c r="A746" s="47"/>
      <c r="B746" s="17">
        <f t="shared" si="205"/>
        <v>2</v>
      </c>
      <c r="C746" s="1" t="s">
        <v>254</v>
      </c>
      <c r="D746" s="1" t="s">
        <v>255</v>
      </c>
      <c r="E746" s="17"/>
      <c r="F746" s="118">
        <f>' WP II-I-1.4'!L746</f>
        <v>79182205.890000001</v>
      </c>
      <c r="G746" s="17" t="s">
        <v>805</v>
      </c>
      <c r="H746" s="47" t="s">
        <v>320</v>
      </c>
      <c r="I746" s="17"/>
      <c r="J746" s="434">
        <f>'II-I-DIST'!J746+'II-I-MET'!J746+'II-I-TBILLTDCS'!J746</f>
        <v>42565953.811813079</v>
      </c>
      <c r="K746" s="434">
        <f>'II-I-DIST'!K746+'II-I-MET'!K746+'II-I-TBILLTDCS'!K746</f>
        <v>3170280.1551296711</v>
      </c>
      <c r="L746" s="434">
        <f>'II-I-DIST'!L746+'II-I-MET'!L746+'II-I-TBILLTDCS'!L746</f>
        <v>24668254.42742458</v>
      </c>
      <c r="M746" s="434">
        <f>'II-I-DIST'!M746+'II-I-MET'!M746+'II-I-TBILLTDCS'!M746</f>
        <v>115771.2606149613</v>
      </c>
      <c r="N746" s="434">
        <f>'II-I-DIST'!N746+'II-I-MET'!N746+'II-I-TBILLTDCS'!N746</f>
        <v>5629866.0945118228</v>
      </c>
      <c r="O746" s="434">
        <f>'II-I-DIST'!O746+'II-I-MET'!O746+'II-I-TBILLTDCS'!O746</f>
        <v>368546.06050321372</v>
      </c>
      <c r="P746" s="434">
        <f>'II-I-DIST'!P746+'II-I-MET'!P746+'II-I-TBILLTDCS'!P746</f>
        <v>235047.55876579101</v>
      </c>
      <c r="Q746" s="434">
        <f>'II-I-DIST'!Q746+'II-I-MET'!Q746+'II-I-TBILLTDCS'!Q746</f>
        <v>2191255.7142052571</v>
      </c>
      <c r="R746" s="434">
        <f>'II-I-DIST'!R746+'II-I-MET'!R746+'II-I-TBILLTDCS'!R746</f>
        <v>41413.616374005724</v>
      </c>
      <c r="S746" s="434">
        <f>'II-I-DIST'!S746+'II-I-MET'!S746+'II-I-TBILLTDCS'!S746</f>
        <v>195817.19065760283</v>
      </c>
      <c r="T746" s="17"/>
      <c r="U746" s="118">
        <f t="shared" si="206" ref="U746:U758">SUM(I746:T746)</f>
        <v>79182205.889999971</v>
      </c>
      <c r="V746" s="67"/>
      <c r="X746" s="370">
        <f t="shared" si="204"/>
        <v>0</v>
      </c>
    </row>
    <row r="747" spans="1:24" ht="14.25">
      <c r="A747" s="47"/>
      <c r="B747" s="17">
        <f t="shared" si="205"/>
        <v>3</v>
      </c>
      <c r="C747" s="1" t="s">
        <v>256</v>
      </c>
      <c r="D747" s="1" t="s">
        <v>257</v>
      </c>
      <c r="E747" s="17"/>
      <c r="F747" s="118">
        <f>' WP II-I-1.4'!L747</f>
        <v>7770362.3700000001</v>
      </c>
      <c r="G747" s="17" t="s">
        <v>805</v>
      </c>
      <c r="H747" s="47" t="s">
        <v>320</v>
      </c>
      <c r="I747" s="17"/>
      <c r="J747" s="434">
        <f>'II-I-DIST'!J747+'II-I-MET'!J747+'II-I-TBILLTDCS'!J747</f>
        <v>4173932.9057968538</v>
      </c>
      <c r="K747" s="434">
        <f>'II-I-DIST'!K747+'II-I-MET'!K747+'II-I-TBILLTDCS'!K747</f>
        <v>303660.26640763629</v>
      </c>
      <c r="L747" s="434">
        <f>'II-I-DIST'!L747+'II-I-MET'!L747+'II-I-TBILLTDCS'!L747</f>
        <v>2428423.3200307675</v>
      </c>
      <c r="M747" s="434">
        <f>'II-I-DIST'!M747+'II-I-MET'!M747+'II-I-TBILLTDCS'!M747</f>
        <v>10995.580766759837</v>
      </c>
      <c r="N747" s="434">
        <f>'II-I-DIST'!N747+'II-I-MET'!N747+'II-I-TBILLTDCS'!N747</f>
        <v>551454.42657134612</v>
      </c>
      <c r="O747" s="434">
        <f>'II-I-DIST'!O747+'II-I-MET'!O747+'II-I-TBILLTDCS'!O747</f>
        <v>36490.879310186981</v>
      </c>
      <c r="P747" s="434">
        <f>'II-I-DIST'!P747+'II-I-MET'!P747+'II-I-TBILLTDCS'!P747</f>
        <v>22585.125566603128</v>
      </c>
      <c r="Q747" s="434">
        <f>'II-I-DIST'!Q747+'II-I-MET'!Q747+'II-I-TBILLTDCS'!Q747</f>
        <v>219214.04459581958</v>
      </c>
      <c r="R747" s="434">
        <f>'II-I-DIST'!R747+'II-I-MET'!R747+'II-I-TBILLTDCS'!R747</f>
        <v>4100.0939565999115</v>
      </c>
      <c r="S747" s="434">
        <f>'II-I-DIST'!S747+'II-I-MET'!S747+'II-I-TBILLTDCS'!S747</f>
        <v>19505.726997424121</v>
      </c>
      <c r="T747" s="17"/>
      <c r="U747" s="118">
        <f t="shared" si="206"/>
        <v>7770362.3699999964</v>
      </c>
      <c r="V747" s="67"/>
      <c r="X747" s="370">
        <f t="shared" si="204"/>
        <v>0</v>
      </c>
    </row>
    <row r="748" spans="1:24" ht="14.25">
      <c r="A748" s="47"/>
      <c r="B748" s="17">
        <f t="shared" si="205"/>
        <v>4</v>
      </c>
      <c r="C748" s="1" t="s">
        <v>258</v>
      </c>
      <c r="D748" s="1" t="s">
        <v>259</v>
      </c>
      <c r="E748" s="17"/>
      <c r="F748" s="118">
        <f>' WP II-I-1.4'!L748</f>
        <v>0</v>
      </c>
      <c r="G748" s="17" t="s">
        <v>805</v>
      </c>
      <c r="H748" s="47" t="s">
        <v>320</v>
      </c>
      <c r="I748" s="17"/>
      <c r="J748" s="434">
        <f>'II-I-DIST'!J748+'II-I-MET'!J748+'II-I-TBILLTDCS'!J748</f>
        <v>0</v>
      </c>
      <c r="K748" s="434">
        <f>'II-I-DIST'!K748+'II-I-MET'!K748+'II-I-TBILLTDCS'!K748</f>
        <v>0</v>
      </c>
      <c r="L748" s="434">
        <f>'II-I-DIST'!L748+'II-I-MET'!L748+'II-I-TBILLTDCS'!L748</f>
        <v>0</v>
      </c>
      <c r="M748" s="434">
        <f>'II-I-DIST'!M748+'II-I-MET'!M748+'II-I-TBILLTDCS'!M748</f>
        <v>0</v>
      </c>
      <c r="N748" s="434">
        <f>'II-I-DIST'!N748+'II-I-MET'!N748+'II-I-TBILLTDCS'!N748</f>
        <v>0</v>
      </c>
      <c r="O748" s="434">
        <f>'II-I-DIST'!O748+'II-I-MET'!O748+'II-I-TBILLTDCS'!O748</f>
        <v>0</v>
      </c>
      <c r="P748" s="434">
        <f>'II-I-DIST'!P748+'II-I-MET'!P748+'II-I-TBILLTDCS'!P748</f>
        <v>0</v>
      </c>
      <c r="Q748" s="434">
        <f>'II-I-DIST'!Q748+'II-I-MET'!Q748+'II-I-TBILLTDCS'!Q748</f>
        <v>0</v>
      </c>
      <c r="R748" s="434">
        <f>'II-I-DIST'!R748+'II-I-MET'!R748+'II-I-TBILLTDCS'!R748</f>
        <v>0</v>
      </c>
      <c r="S748" s="434">
        <f>'II-I-DIST'!S748+'II-I-MET'!S748+'II-I-TBILLTDCS'!S748</f>
        <v>0</v>
      </c>
      <c r="T748" s="17"/>
      <c r="U748" s="118">
        <f t="shared" si="206"/>
        <v>0</v>
      </c>
      <c r="V748" s="67"/>
      <c r="X748" s="370">
        <f t="shared" si="204"/>
        <v>0</v>
      </c>
    </row>
    <row r="749" spans="1:24" ht="14.25">
      <c r="A749" s="47"/>
      <c r="B749" s="17">
        <f t="shared" si="205"/>
        <v>5</v>
      </c>
      <c r="C749" s="1" t="s">
        <v>260</v>
      </c>
      <c r="D749" s="31" t="s">
        <v>261</v>
      </c>
      <c r="E749" s="17"/>
      <c r="F749" s="118">
        <f>' WP II-I-1.4'!L749</f>
        <v>88437504.950000003</v>
      </c>
      <c r="G749" s="17" t="s">
        <v>805</v>
      </c>
      <c r="H749" s="47" t="s">
        <v>320</v>
      </c>
      <c r="I749" s="17"/>
      <c r="J749" s="434">
        <f>'II-I-DIST'!J749+'II-I-MET'!J749+'II-I-TBILLTDCS'!J749</f>
        <v>47488887.207424283</v>
      </c>
      <c r="K749" s="434">
        <f>'II-I-DIST'!K749+'II-I-MET'!K749+'II-I-TBILLTDCS'!K749</f>
        <v>2728319.8126076125</v>
      </c>
      <c r="L749" s="434">
        <f>'II-I-DIST'!L749+'II-I-MET'!L749+'II-I-TBILLTDCS'!L749</f>
        <v>28517862.667379357</v>
      </c>
      <c r="M749" s="434">
        <f>'II-I-DIST'!M749+'II-I-MET'!M749+'II-I-TBILLTDCS'!M749</f>
        <v>90937.905024452426</v>
      </c>
      <c r="N749" s="434">
        <f>'II-I-DIST'!N749+'II-I-MET'!N749+'II-I-TBILLTDCS'!N749</f>
        <v>6235511.712037337</v>
      </c>
      <c r="O749" s="434">
        <f>'II-I-DIST'!O749+'II-I-MET'!O749+'II-I-TBILLTDCS'!O749</f>
        <v>444752.40095328528</v>
      </c>
      <c r="P749" s="434">
        <f>'II-I-DIST'!P749+'II-I-MET'!P749+'II-I-TBILLTDCS'!P749</f>
        <v>144235.96604372154</v>
      </c>
      <c r="Q749" s="434">
        <f>'II-I-DIST'!Q749+'II-I-MET'!Q749+'II-I-TBILLTDCS'!Q749</f>
        <v>2474327.0551390634</v>
      </c>
      <c r="R749" s="434">
        <f>'II-I-DIST'!R749+'II-I-MET'!R749+'II-I-TBILLTDCS'!R749</f>
        <v>52180.017162969183</v>
      </c>
      <c r="S749" s="434">
        <f>'II-I-DIST'!S749+'II-I-MET'!S749+'II-I-TBILLTDCS'!S749</f>
        <v>260490.20622788661</v>
      </c>
      <c r="T749" s="17"/>
      <c r="U749" s="118">
        <f t="shared" si="206"/>
        <v>88437504.949999958</v>
      </c>
      <c r="V749" s="67"/>
      <c r="X749" s="370">
        <f t="shared" si="204"/>
        <v>0</v>
      </c>
    </row>
    <row r="750" spans="1:24" ht="14.25">
      <c r="A750" s="47"/>
      <c r="B750" s="17">
        <f t="shared" si="205"/>
        <v>6</v>
      </c>
      <c r="C750" s="1" t="s">
        <v>262</v>
      </c>
      <c r="D750" s="1" t="s">
        <v>263</v>
      </c>
      <c r="E750" s="17"/>
      <c r="F750" s="118">
        <f>' WP II-I-1.4'!L750</f>
        <v>226756416.41</v>
      </c>
      <c r="G750" s="17" t="s">
        <v>805</v>
      </c>
      <c r="H750" s="47" t="s">
        <v>320</v>
      </c>
      <c r="I750" s="17"/>
      <c r="J750" s="434">
        <f>'II-I-DIST'!J750+'II-I-MET'!J750+'II-I-TBILLTDCS'!J750</f>
        <v>123528986.64893089</v>
      </c>
      <c r="K750" s="434">
        <f>'II-I-DIST'!K750+'II-I-MET'!K750+'II-I-TBILLTDCS'!K750</f>
        <v>4994664.7041362356</v>
      </c>
      <c r="L750" s="434">
        <f>'II-I-DIST'!L750+'II-I-MET'!L750+'II-I-TBILLTDCS'!L750</f>
        <v>76970963.458894894</v>
      </c>
      <c r="M750" s="434">
        <f>'II-I-DIST'!M750+'II-I-MET'!M750+'II-I-TBILLTDCS'!M750</f>
        <v>26636.931641572279</v>
      </c>
      <c r="N750" s="434">
        <f>'II-I-DIST'!N750+'II-I-MET'!N750+'II-I-TBILLTDCS'!N750</f>
        <v>11274090.519078631</v>
      </c>
      <c r="O750" s="434">
        <f>'II-I-DIST'!O750+'II-I-MET'!O750+'II-I-TBILLTDCS'!O750</f>
        <v>1032371.9390178402</v>
      </c>
      <c r="P750" s="434">
        <f>'II-I-DIST'!P750+'II-I-MET'!P750+'II-I-TBILLTDCS'!P750</f>
        <v>204335.93110937864</v>
      </c>
      <c r="Q750" s="434">
        <f>'II-I-DIST'!Q750+'II-I-MET'!Q750+'II-I-TBILLTDCS'!Q750</f>
        <v>7988641.1337396605</v>
      </c>
      <c r="R750" s="434">
        <f>'II-I-DIST'!R750+'II-I-MET'!R750+'II-I-TBILLTDCS'!R750</f>
        <v>123736.23838367542</v>
      </c>
      <c r="S750" s="434">
        <f>'II-I-DIST'!S750+'II-I-MET'!S750+'II-I-TBILLTDCS'!S750</f>
        <v>611988.90506716073</v>
      </c>
      <c r="T750" s="17"/>
      <c r="U750" s="118">
        <f t="shared" si="206"/>
        <v>226756416.40999991</v>
      </c>
      <c r="V750" s="67"/>
      <c r="X750" s="370">
        <f t="shared" si="204"/>
        <v>0</v>
      </c>
    </row>
    <row r="751" spans="1:24" ht="14.25">
      <c r="A751" s="47"/>
      <c r="B751" s="17">
        <f t="shared" si="205"/>
        <v>7</v>
      </c>
      <c r="C751" s="1" t="s">
        <v>264</v>
      </c>
      <c r="D751" s="1" t="s">
        <v>265</v>
      </c>
      <c r="E751" s="17"/>
      <c r="F751" s="118">
        <f>' WP II-I-1.4'!L751</f>
        <v>16115667.280000001</v>
      </c>
      <c r="G751" s="17" t="s">
        <v>805</v>
      </c>
      <c r="H751" s="47" t="s">
        <v>320</v>
      </c>
      <c r="I751" s="17"/>
      <c r="J751" s="434">
        <f>'II-I-DIST'!J751+'II-I-MET'!J751+'II-I-TBILLTDCS'!J751</f>
        <v>8567742.226541115</v>
      </c>
      <c r="K751" s="434">
        <f>'II-I-DIST'!K751+'II-I-MET'!K751+'II-I-TBILLTDCS'!K751</f>
        <v>232507.42128247229</v>
      </c>
      <c r="L751" s="434">
        <f>'II-I-DIST'!L751+'II-I-MET'!L751+'II-I-TBILLTDCS'!L751</f>
        <v>5480907.0972631481</v>
      </c>
      <c r="M751" s="434">
        <f>'II-I-DIST'!M751+'II-I-MET'!M751+'II-I-TBILLTDCS'!M751</f>
        <v>3724.5975692670772</v>
      </c>
      <c r="N751" s="434">
        <f>'II-I-DIST'!N751+'II-I-MET'!N751+'II-I-TBILLTDCS'!N751</f>
        <v>1105434.430770745</v>
      </c>
      <c r="O751" s="434">
        <f>'II-I-DIST'!O751+'II-I-MET'!O751+'II-I-TBILLTDCS'!O751</f>
        <v>92368.094186639195</v>
      </c>
      <c r="P751" s="434">
        <f>'II-I-DIST'!P751+'II-I-MET'!P751+'II-I-TBILLTDCS'!P751</f>
        <v>3171.8519712112266</v>
      </c>
      <c r="Q751" s="434">
        <f>'II-I-DIST'!Q751+'II-I-MET'!Q751+'II-I-TBILLTDCS'!Q751</f>
        <v>560144.92747397081</v>
      </c>
      <c r="R751" s="434">
        <f>'II-I-DIST'!R751+'II-I-MET'!R751+'II-I-TBILLTDCS'!R751</f>
        <v>10972.509739000016</v>
      </c>
      <c r="S751" s="434">
        <f>'II-I-DIST'!S751+'II-I-MET'!S751+'II-I-TBILLTDCS'!S751</f>
        <v>58694.123202426323</v>
      </c>
      <c r="T751" s="17"/>
      <c r="U751" s="118">
        <f t="shared" si="206"/>
        <v>16115667.279999996</v>
      </c>
      <c r="V751" s="67"/>
      <c r="X751" s="370">
        <f t="shared" si="204"/>
        <v>0</v>
      </c>
    </row>
    <row r="752" spans="1:24" ht="14.25">
      <c r="A752" s="47"/>
      <c r="B752" s="17">
        <f t="shared" si="205"/>
        <v>8</v>
      </c>
      <c r="C752" s="1" t="s">
        <v>266</v>
      </c>
      <c r="D752" s="1" t="s">
        <v>267</v>
      </c>
      <c r="E752" s="17"/>
      <c r="F752" s="118">
        <f>' WP II-I-1.4'!L752</f>
        <v>70562688.280000016</v>
      </c>
      <c r="G752" s="17" t="s">
        <v>805</v>
      </c>
      <c r="H752" s="47" t="s">
        <v>320</v>
      </c>
      <c r="I752" s="17"/>
      <c r="J752" s="434">
        <f>'II-I-DIST'!J752+'II-I-MET'!J752+'II-I-TBILLTDCS'!J752</f>
        <v>38454591.263690457</v>
      </c>
      <c r="K752" s="434">
        <f>'II-I-DIST'!K752+'II-I-MET'!K752+'II-I-TBILLTDCS'!K752</f>
        <v>2742030.3865593299</v>
      </c>
      <c r="L752" s="434">
        <f>'II-I-DIST'!L752+'II-I-MET'!L752+'II-I-TBILLTDCS'!L752</f>
        <v>22434378.985509764</v>
      </c>
      <c r="M752" s="434">
        <f>'II-I-DIST'!M752+'II-I-MET'!M752+'II-I-TBILLTDCS'!M752</f>
        <v>99520.595313060679</v>
      </c>
      <c r="N752" s="434">
        <f>'II-I-DIST'!N752+'II-I-MET'!N752+'II-I-TBILLTDCS'!N752</f>
        <v>5129860.7738087419</v>
      </c>
      <c r="O752" s="434">
        <f>'II-I-DIST'!O752+'II-I-MET'!O752+'II-I-TBILLTDCS'!O752</f>
        <v>432607.95781083178</v>
      </c>
      <c r="P752" s="434">
        <f>'II-I-DIST'!P752+'II-I-MET'!P752+'II-I-TBILLTDCS'!P752</f>
        <v>173845.49791134358</v>
      </c>
      <c r="Q752" s="434">
        <f>'II-I-DIST'!Q752+'II-I-MET'!Q752+'II-I-TBILLTDCS'!Q752</f>
        <v>857573.31586188939</v>
      </c>
      <c r="R752" s="434">
        <f>'II-I-DIST'!R752+'II-I-MET'!R752+'II-I-TBILLTDCS'!R752</f>
        <v>50324.799870536335</v>
      </c>
      <c r="S752" s="434">
        <f>'II-I-DIST'!S752+'II-I-MET'!S752+'II-I-TBILLTDCS'!S752</f>
        <v>187954.70366405658</v>
      </c>
      <c r="T752" s="17"/>
      <c r="U752" s="118">
        <f t="shared" si="206"/>
        <v>70562688.280000016</v>
      </c>
      <c r="V752" s="67"/>
      <c r="X752" s="370">
        <f t="shared" si="204"/>
        <v>0</v>
      </c>
    </row>
    <row r="753" spans="1:24" ht="14.25">
      <c r="A753" s="47"/>
      <c r="B753" s="17">
        <f t="shared" si="205"/>
        <v>9</v>
      </c>
      <c r="C753" s="1" t="s">
        <v>268</v>
      </c>
      <c r="D753" s="1" t="s">
        <v>269</v>
      </c>
      <c r="E753" s="17"/>
      <c r="F753" s="118">
        <f>' WP II-I-1.4'!L753</f>
        <v>2278103.79</v>
      </c>
      <c r="G753" s="17" t="s">
        <v>805</v>
      </c>
      <c r="H753" s="47" t="s">
        <v>320</v>
      </c>
      <c r="I753" s="17"/>
      <c r="J753" s="434">
        <f>'II-I-DIST'!J753+'II-I-MET'!J753+'II-I-TBILLTDCS'!J753</f>
        <v>1140712.7763116993</v>
      </c>
      <c r="K753" s="434">
        <f>'II-I-DIST'!K753+'II-I-MET'!K753+'II-I-TBILLTDCS'!K753</f>
        <v>47037.214761784162</v>
      </c>
      <c r="L753" s="434">
        <f>'II-I-DIST'!L753+'II-I-MET'!L753+'II-I-TBILLTDCS'!L753</f>
        <v>775605.80397827388</v>
      </c>
      <c r="M753" s="434">
        <f>'II-I-DIST'!M753+'II-I-MET'!M753+'II-I-TBILLTDCS'!M753</f>
        <v>861.0820485452499</v>
      </c>
      <c r="N753" s="434">
        <f>'II-I-DIST'!N753+'II-I-MET'!N753+'II-I-TBILLTDCS'!N753</f>
        <v>157814.77800365095</v>
      </c>
      <c r="O753" s="434">
        <f>'II-I-DIST'!O753+'II-I-MET'!O753+'II-I-TBILLTDCS'!O753</f>
        <v>31670.358235586045</v>
      </c>
      <c r="P753" s="434">
        <f>'II-I-DIST'!P753+'II-I-MET'!P753+'II-I-TBILLTDCS'!P753</f>
        <v>87277.569462448475</v>
      </c>
      <c r="Q753" s="434">
        <f>'II-I-DIST'!Q753+'II-I-MET'!Q753+'II-I-TBILLTDCS'!Q753</f>
        <v>32708.210638404089</v>
      </c>
      <c r="R753" s="434">
        <f>'II-I-DIST'!R753+'II-I-MET'!R753+'II-I-TBILLTDCS'!R753</f>
        <v>833.37141550212232</v>
      </c>
      <c r="S753" s="434">
        <f>'II-I-DIST'!S753+'II-I-MET'!S753+'II-I-TBILLTDCS'!S753</f>
        <v>3582.6251441057489</v>
      </c>
      <c r="T753" s="17"/>
      <c r="U753" s="118">
        <f t="shared" si="206"/>
        <v>2278103.7899999996</v>
      </c>
      <c r="V753" s="67"/>
      <c r="X753" s="370">
        <f t="shared" si="204"/>
        <v>0</v>
      </c>
    </row>
    <row r="754" spans="1:24" ht="14.25">
      <c r="A754" s="47"/>
      <c r="B754" s="17">
        <f t="shared" si="205"/>
        <v>10</v>
      </c>
      <c r="C754" s="28" t="s">
        <v>270</v>
      </c>
      <c r="D754" s="1" t="s">
        <v>271</v>
      </c>
      <c r="E754" s="17"/>
      <c r="F754" s="118">
        <f>' WP II-I-1.4'!L754</f>
        <v>151079.01000000001</v>
      </c>
      <c r="G754" s="17" t="s">
        <v>805</v>
      </c>
      <c r="H754" s="47" t="s">
        <v>320</v>
      </c>
      <c r="I754" s="17"/>
      <c r="J754" s="434">
        <f>'II-I-DIST'!J754+'II-I-MET'!J754+'II-I-TBILLTDCS'!J754</f>
        <v>128453.78909290298</v>
      </c>
      <c r="K754" s="434">
        <f>'II-I-DIST'!K754+'II-I-MET'!K754+'II-I-TBILLTDCS'!K754</f>
        <v>12001.777320617164</v>
      </c>
      <c r="L754" s="434">
        <f>'II-I-DIST'!L754+'II-I-MET'!L754+'II-I-TBILLTDCS'!L754</f>
        <v>8026.2058310606944</v>
      </c>
      <c r="M754" s="434">
        <f>'II-I-DIST'!M754+'II-I-MET'!M754+'II-I-TBILLTDCS'!M754</f>
        <v>122.25310078255698</v>
      </c>
      <c r="N754" s="434">
        <f>'II-I-DIST'!N754+'II-I-MET'!N754+'II-I-TBILLTDCS'!N754</f>
        <v>282.19532260610862</v>
      </c>
      <c r="O754" s="434">
        <f>'II-I-DIST'!O754+'II-I-MET'!O754+'II-I-TBILLTDCS'!O754</f>
        <v>5.1250896813068065</v>
      </c>
      <c r="P754" s="434">
        <f>'II-I-DIST'!P754+'II-I-MET'!P754+'II-I-TBILLTDCS'!P754</f>
        <v>11.156925998537126</v>
      </c>
      <c r="Q754" s="434">
        <f>'II-I-DIST'!Q754+'II-I-MET'!Q754+'II-I-TBILLTDCS'!Q754</f>
        <v>2176.5073163506631</v>
      </c>
      <c r="R754" s="434">
        <f>'II-I-DIST'!R754+'II-I-MET'!R754+'II-I-TBILLTDCS'!R754</f>
        <v>0</v>
      </c>
      <c r="S754" s="434">
        <f>'II-I-DIST'!S754+'II-I-MET'!S754+'II-I-TBILLTDCS'!S754</f>
        <v>0</v>
      </c>
      <c r="T754" s="17"/>
      <c r="U754" s="118">
        <f t="shared" si="206"/>
        <v>151079.00999999998</v>
      </c>
      <c r="V754" s="67"/>
      <c r="X754" s="370">
        <f t="shared" si="204"/>
        <v>0</v>
      </c>
    </row>
    <row r="755" spans="1:24" ht="14.25">
      <c r="A755" s="47"/>
      <c r="B755" s="17">
        <f t="shared" si="205"/>
        <v>11</v>
      </c>
      <c r="C755" s="1" t="s">
        <v>272</v>
      </c>
      <c r="D755" s="1" t="s">
        <v>273</v>
      </c>
      <c r="E755" s="17"/>
      <c r="F755" s="118">
        <f>' WP II-I-1.4'!L755</f>
        <v>15097380.67</v>
      </c>
      <c r="G755" s="17" t="s">
        <v>805</v>
      </c>
      <c r="H755" s="47" t="s">
        <v>320</v>
      </c>
      <c r="I755" s="17"/>
      <c r="J755" s="434">
        <f>'II-I-DIST'!J755+'II-I-MET'!J755+'II-I-TBILLTDCS'!J755</f>
        <v>8112410.2735440377</v>
      </c>
      <c r="K755" s="434">
        <f>'II-I-DIST'!K755+'II-I-MET'!K755+'II-I-TBILLTDCS'!K755</f>
        <v>658849.46655978146</v>
      </c>
      <c r="L755" s="434">
        <f>'II-I-DIST'!L755+'II-I-MET'!L755+'II-I-TBILLTDCS'!L755</f>
        <v>4635634.5163265094</v>
      </c>
      <c r="M755" s="434">
        <f>'II-I-DIST'!M755+'II-I-MET'!M755+'II-I-TBILLTDCS'!M755</f>
        <v>24606.056978262961</v>
      </c>
      <c r="N755" s="434">
        <f>'II-I-DIST'!N755+'II-I-MET'!N755+'II-I-TBILLTDCS'!N755</f>
        <v>1075536.2143335792</v>
      </c>
      <c r="O755" s="434">
        <f>'II-I-DIST'!O755+'II-I-MET'!O755+'II-I-TBILLTDCS'!O755</f>
        <v>68105.890989743915</v>
      </c>
      <c r="P755" s="434">
        <f>'II-I-DIST'!P755+'II-I-MET'!P755+'II-I-TBILLTDCS'!P755</f>
        <v>54297.282107945131</v>
      </c>
      <c r="Q755" s="434">
        <f>'II-I-DIST'!Q755+'II-I-MET'!Q755+'II-I-TBILLTDCS'!Q755</f>
        <v>426191.71709591418</v>
      </c>
      <c r="R755" s="434">
        <f>'II-I-DIST'!R755+'II-I-MET'!R755+'II-I-TBILLTDCS'!R755</f>
        <v>7452.2443233535014</v>
      </c>
      <c r="S755" s="434">
        <f>'II-I-DIST'!S755+'II-I-MET'!S755+'II-I-TBILLTDCS'!S755</f>
        <v>34297.007740868365</v>
      </c>
      <c r="T755" s="17"/>
      <c r="U755" s="118">
        <f t="shared" si="206"/>
        <v>15097380.669999994</v>
      </c>
      <c r="V755" s="67"/>
      <c r="X755" s="370">
        <f t="shared" si="204"/>
        <v>0</v>
      </c>
    </row>
    <row r="756" spans="1:24" ht="14.25">
      <c r="A756" s="47"/>
      <c r="B756" s="17">
        <f t="shared" si="205"/>
        <v>12</v>
      </c>
      <c r="C756" s="1" t="s">
        <v>274</v>
      </c>
      <c r="D756" s="1" t="s">
        <v>206</v>
      </c>
      <c r="E756" s="17"/>
      <c r="F756" s="118">
        <f>' WP II-I-1.4'!L756</f>
        <v>1367274.1899999999</v>
      </c>
      <c r="G756" s="17" t="s">
        <v>805</v>
      </c>
      <c r="H756" s="47" t="s">
        <v>320</v>
      </c>
      <c r="I756" s="17"/>
      <c r="J756" s="434">
        <f>'II-I-DIST'!J756+'II-I-MET'!J756+'II-I-TBILLTDCS'!J756</f>
        <v>733371.74232403236</v>
      </c>
      <c r="K756" s="434">
        <f>'II-I-DIST'!K756+'II-I-MET'!K756+'II-I-TBILLTDCS'!K756</f>
        <v>42780.82157856015</v>
      </c>
      <c r="L756" s="434">
        <f>'II-I-DIST'!L756+'II-I-MET'!L756+'II-I-TBILLTDCS'!L756</f>
        <v>439800.61194257753</v>
      </c>
      <c r="M756" s="434">
        <f>'II-I-DIST'!M756+'II-I-MET'!M756+'II-I-TBILLTDCS'!M756</f>
        <v>1429.8916404446266</v>
      </c>
      <c r="N756" s="434">
        <f>'II-I-DIST'!N756+'II-I-MET'!N756+'II-I-TBILLTDCS'!N756</f>
        <v>96269.715578837626</v>
      </c>
      <c r="O756" s="434">
        <f>'II-I-DIST'!O756+'II-I-MET'!O756+'II-I-TBILLTDCS'!O756</f>
        <v>6858.2009832270105</v>
      </c>
      <c r="P756" s="434">
        <f>'II-I-DIST'!P756+'II-I-MET'!P756+'II-I-TBILLTDCS'!P756</f>
        <v>2510.0175552700157</v>
      </c>
      <c r="Q756" s="434">
        <f>'II-I-DIST'!Q756+'II-I-MET'!Q756+'II-I-TBILLTDCS'!Q756</f>
        <v>39490.07321121842</v>
      </c>
      <c r="R756" s="434">
        <f>'II-I-DIST'!R756+'II-I-MET'!R756+'II-I-TBILLTDCS'!R756</f>
        <v>796.51611073271624</v>
      </c>
      <c r="S756" s="434">
        <f>'II-I-DIST'!S756+'II-I-MET'!S756+'II-I-TBILLTDCS'!S756</f>
        <v>3966.5990750991837</v>
      </c>
      <c r="T756" s="17"/>
      <c r="U756" s="118">
        <f t="shared" si="206"/>
        <v>1367274.1899999995</v>
      </c>
      <c r="V756" s="67"/>
      <c r="X756" s="370">
        <f t="shared" si="204"/>
        <v>0</v>
      </c>
    </row>
    <row r="757" spans="1:24" ht="14.25">
      <c r="A757" s="47"/>
      <c r="B757" s="17">
        <f t="shared" si="205"/>
        <v>13</v>
      </c>
      <c r="C757" s="1" t="s">
        <v>275</v>
      </c>
      <c r="D757" s="1" t="s">
        <v>276</v>
      </c>
      <c r="E757" s="17"/>
      <c r="F757" s="118">
        <f>' WP II-I-1.4'!L757</f>
        <v>2254744.8600000003</v>
      </c>
      <c r="G757" s="17" t="s">
        <v>805</v>
      </c>
      <c r="H757" s="47" t="s">
        <v>320</v>
      </c>
      <c r="I757" s="17"/>
      <c r="J757" s="434">
        <f>'II-I-DIST'!J757+'II-I-MET'!J757+'II-I-TBILLTDCS'!J757</f>
        <v>1254993.5576955904</v>
      </c>
      <c r="K757" s="434">
        <f>'II-I-DIST'!K757+'II-I-MET'!K757+'II-I-TBILLTDCS'!K757</f>
        <v>42378.230546801111</v>
      </c>
      <c r="L757" s="434">
        <f>'II-I-DIST'!L757+'II-I-MET'!L757+'II-I-TBILLTDCS'!L757</f>
        <v>792838.19342077035</v>
      </c>
      <c r="M757" s="434">
        <f>'II-I-DIST'!M757+'II-I-MET'!M757+'II-I-TBILLTDCS'!M757</f>
        <v>322.559693729895</v>
      </c>
      <c r="N757" s="434">
        <f>'II-I-DIST'!N757+'II-I-MET'!N757+'II-I-TBILLTDCS'!N757</f>
        <v>121875.95614089257</v>
      </c>
      <c r="O757" s="434">
        <f>'II-I-DIST'!O757+'II-I-MET'!O757+'II-I-TBILLTDCS'!O757</f>
        <v>12032.438837114483</v>
      </c>
      <c r="P757" s="434">
        <f>'II-I-DIST'!P757+'II-I-MET'!P757+'II-I-TBILLTDCS'!P757</f>
        <v>2329.9815244823108</v>
      </c>
      <c r="Q757" s="434">
        <f>'II-I-DIST'!Q757+'II-I-MET'!Q757+'II-I-TBILLTDCS'!Q757</f>
        <v>19950.369665062306</v>
      </c>
      <c r="R757" s="434">
        <f>'II-I-DIST'!R757+'II-I-MET'!R757+'II-I-TBILLTDCS'!R757</f>
        <v>1442.0470283554087</v>
      </c>
      <c r="S757" s="434">
        <f>'II-I-DIST'!S757+'II-I-MET'!S757+'II-I-TBILLTDCS'!S757</f>
        <v>6581.5254472018141</v>
      </c>
      <c r="T757" s="17"/>
      <c r="U757" s="118">
        <f t="shared" si="206"/>
        <v>2254744.8600000008</v>
      </c>
      <c r="V757" s="67"/>
      <c r="X757" s="370">
        <f t="shared" si="204"/>
        <v>0</v>
      </c>
    </row>
    <row r="758" spans="1:24" ht="14.25">
      <c r="A758" s="47"/>
      <c r="B758" s="17">
        <f t="shared" si="205"/>
        <v>14</v>
      </c>
      <c r="C758" s="1" t="s">
        <v>277</v>
      </c>
      <c r="D758" s="1" t="s">
        <v>276</v>
      </c>
      <c r="E758" s="17"/>
      <c r="F758" s="118">
        <f>' WP II-I-1.4'!L758</f>
        <v>-9888.7500000000018</v>
      </c>
      <c r="G758" s="17" t="s">
        <v>805</v>
      </c>
      <c r="H758" s="47" t="s">
        <v>320</v>
      </c>
      <c r="I758" s="17"/>
      <c r="J758" s="434">
        <f>'II-I-DIST'!J758+'II-I-MET'!J758+'II-I-TBILLTDCS'!J758</f>
        <v>-5503.6709808009364</v>
      </c>
      <c r="K758" s="434">
        <f>'II-I-DIST'!K758+'II-I-MET'!K758+'II-I-TBILLTDCS'!K758</f>
        <v>-154.38447272420348</v>
      </c>
      <c r="L758" s="434">
        <f>'II-I-DIST'!L758+'II-I-MET'!L758+'II-I-TBILLTDCS'!L758</f>
        <v>-3517.7387721616474</v>
      </c>
      <c r="M758" s="434">
        <f>'II-I-DIST'!M758+'II-I-MET'!M758+'II-I-TBILLTDCS'!M758</f>
        <v>0.26309409819960283</v>
      </c>
      <c r="N758" s="434">
        <f>'II-I-DIST'!N758+'II-I-MET'!N758+'II-I-TBILLTDCS'!N758</f>
        <v>-523.44266169708919</v>
      </c>
      <c r="O758" s="434">
        <f>'II-I-DIST'!O758+'II-I-MET'!O758+'II-I-TBILLTDCS'!O758</f>
        <v>-54.028263691145511</v>
      </c>
      <c r="P758" s="434">
        <f>'II-I-DIST'!P758+'II-I-MET'!P758+'II-I-TBILLTDCS'!P758</f>
        <v>-7.9944792697825715</v>
      </c>
      <c r="Q758" s="434">
        <f>'II-I-DIST'!Q758+'II-I-MET'!Q758+'II-I-TBILLTDCS'!Q758</f>
        <v>-91.375011654220387</v>
      </c>
      <c r="R758" s="434">
        <f>'II-I-DIST'!R758+'II-I-MET'!R758+'II-I-TBILLTDCS'!R758</f>
        <v>-6.4806560715642352</v>
      </c>
      <c r="S758" s="434">
        <f>'II-I-DIST'!S758+'II-I-MET'!S758+'II-I-TBILLTDCS'!S758</f>
        <v>-29.897796027613474</v>
      </c>
      <c r="T758" s="17"/>
      <c r="U758" s="118">
        <f t="shared" si="206"/>
        <v>-9888.75</v>
      </c>
      <c r="V758" s="67"/>
      <c r="X758" s="370">
        <f t="shared" si="204"/>
        <v>0</v>
      </c>
    </row>
    <row r="759" spans="1:24" ht="15" thickBot="1">
      <c r="A759" s="47"/>
      <c r="B759" s="17">
        <f t="shared" si="205"/>
        <v>15</v>
      </c>
      <c r="C759" s="1"/>
      <c r="D759" s="1"/>
      <c r="E759" s="17"/>
      <c r="F759" s="18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4"/>
      <c r="V759" s="67"/>
      <c r="X759" s="370">
        <f t="shared" si="204"/>
        <v>0</v>
      </c>
    </row>
    <row r="760" spans="1:24" ht="15.75" thickBot="1">
      <c r="A760" s="47"/>
      <c r="B760" s="17">
        <f t="shared" si="205"/>
        <v>16</v>
      </c>
      <c r="C760" s="284" t="s">
        <v>657</v>
      </c>
      <c r="D760" s="372"/>
      <c r="E760" s="316"/>
      <c r="F760" s="255">
        <f>SUM(F746:F758)</f>
        <v>509963538.95000005</v>
      </c>
      <c r="G760" s="316"/>
      <c r="H760" s="316"/>
      <c r="I760" s="445"/>
      <c r="J760" s="903">
        <f t="shared" si="207" ref="J760:Q760">SUM(J746:J758)</f>
        <v>276144532.53218412</v>
      </c>
      <c r="K760" s="903">
        <f t="shared" si="207"/>
        <v>14974355.872417778</v>
      </c>
      <c r="L760" s="903">
        <f t="shared" si="207"/>
        <v>167149177.54922953</v>
      </c>
      <c r="M760" s="903">
        <f t="shared" si="207"/>
        <v>374928.97748593712</v>
      </c>
      <c r="N760" s="903">
        <f t="shared" si="207"/>
        <v>31377473.373496491</v>
      </c>
      <c r="O760" s="903">
        <f>SUM(O746:O758)</f>
        <v>2525755.3176536588</v>
      </c>
      <c r="P760" s="903">
        <f t="shared" si="207"/>
        <v>929639.9444649237</v>
      </c>
      <c r="Q760" s="903">
        <f t="shared" si="207"/>
        <v>14811581.693930956</v>
      </c>
      <c r="R760" s="903">
        <f>SUM(R746:R758)</f>
        <v>293244.97370865877</v>
      </c>
      <c r="S760" s="903">
        <f>SUM(S746:S758)</f>
        <v>1382848.7154278045</v>
      </c>
      <c r="T760" s="445"/>
      <c r="U760" s="256">
        <f>SUM(I760:T760)</f>
        <v>509963538.94999987</v>
      </c>
      <c r="V760" s="67"/>
      <c r="W760" s="1300" t="b">
        <f>' WP II-I-1.4'!$L$760=U760</f>
        <v>1</v>
      </c>
      <c r="X760" s="370">
        <f t="shared" si="204"/>
        <v>0</v>
      </c>
    </row>
    <row r="761" spans="1:24" ht="15.75" thickBot="1">
      <c r="A761" s="47"/>
      <c r="B761" s="17">
        <f t="shared" si="205"/>
        <v>17</v>
      </c>
      <c r="C761" s="284" t="s">
        <v>1386</v>
      </c>
      <c r="D761" s="372"/>
      <c r="E761" s="316"/>
      <c r="F761" s="255">
        <f>F760-('II-I-DIST'!$F$753*(0.727923))</f>
        <v>508316913.17596447</v>
      </c>
      <c r="G761" s="316"/>
      <c r="H761" s="316"/>
      <c r="I761" s="445"/>
      <c r="J761" s="903">
        <f>J760-('II-I-DIST'!$J$753*(0.727923))</f>
        <v>275319786.30882341</v>
      </c>
      <c r="K761" s="903">
        <f>K760-('II-I-DIST'!K753*(0.727923))</f>
        <v>14940395.193384225</v>
      </c>
      <c r="L761" s="903">
        <f>L760-('II-I-DIST'!L753*(0.727923))</f>
        <v>166588961.69649804</v>
      </c>
      <c r="M761" s="903">
        <f>M760-('II-I-DIST'!M753*(0.727923))</f>
        <v>374305.77129288501</v>
      </c>
      <c r="N761" s="903">
        <f>N760-('II-I-DIST'!N753*(0.727923))</f>
        <v>31263391.338897623</v>
      </c>
      <c r="O761" s="903">
        <f>O760-('II-I-DIST'!O753*(0.727923))</f>
        <v>2502793.8381053829</v>
      </c>
      <c r="P761" s="903">
        <f>P760-('II-I-DIST'!P753*(0.727923))</f>
        <v>866442.98797792965</v>
      </c>
      <c r="Q761" s="903">
        <f>Q760-('II-I-DIST'!Q753*(0.727923))</f>
        <v>14787948.779975515</v>
      </c>
      <c r="R761" s="903">
        <f>R760-('II-I-DIST'!R753*(0.727923))</f>
        <v>292640.11838786927</v>
      </c>
      <c r="S761" s="903">
        <f>S760-('II-I-DIST'!S753*(0.727923))</f>
        <v>1380247.1426214182</v>
      </c>
      <c r="T761" s="445"/>
      <c r="U761" s="256">
        <f>SUM(I761:T761)</f>
        <v>508316913.1759643</v>
      </c>
      <c r="V761" s="67"/>
      <c r="W761" s="1300">
        <f>' WP II-I-1.4'!$L$761-U761</f>
        <v>0</v>
      </c>
      <c r="X761" s="370">
        <f t="shared" si="204"/>
        <v>0</v>
      </c>
    </row>
    <row r="762" spans="1:24" ht="15.75" thickBot="1">
      <c r="A762" s="47"/>
      <c r="B762" s="17">
        <f t="shared" si="205"/>
        <v>18</v>
      </c>
      <c r="C762" s="284" t="s">
        <v>658</v>
      </c>
      <c r="D762" s="372"/>
      <c r="E762" s="316"/>
      <c r="F762" s="255">
        <f>+F760+F730</f>
        <v>2550321408.7200003</v>
      </c>
      <c r="G762" s="316"/>
      <c r="H762" s="316"/>
      <c r="I762" s="445"/>
      <c r="J762" s="312">
        <f t="shared" si="208" ref="J762:Q762">+J760+J730</f>
        <v>1242166363.6577334</v>
      </c>
      <c r="K762" s="312">
        <f t="shared" si="208"/>
        <v>46808384.60130164</v>
      </c>
      <c r="L762" s="312">
        <f t="shared" si="208"/>
        <v>844810721.11623549</v>
      </c>
      <c r="M762" s="312">
        <f t="shared" si="208"/>
        <v>928712.1296108705</v>
      </c>
      <c r="N762" s="312">
        <f t="shared" si="208"/>
        <v>197140104.55514827</v>
      </c>
      <c r="O762" s="312">
        <f>+O760+O730</f>
        <v>49917070.871424586</v>
      </c>
      <c r="P762" s="312">
        <f t="shared" si="208"/>
        <v>139237220.19643298</v>
      </c>
      <c r="Q762" s="312">
        <f t="shared" si="208"/>
        <v>26201894.971052475</v>
      </c>
      <c r="R762" s="312">
        <f>+R760+R730</f>
        <v>529428.96219025576</v>
      </c>
      <c r="S762" s="312">
        <f>+S760+S730</f>
        <v>2581507.6588696474</v>
      </c>
      <c r="T762" s="445"/>
      <c r="U762" s="256">
        <f>SUM(I762:T762)</f>
        <v>2550321408.7199998</v>
      </c>
      <c r="V762" s="67"/>
      <c r="W762" s="1300" t="b">
        <f>' WP II-I-1.4'!$L$762=U762</f>
        <v>1</v>
      </c>
      <c r="X762" s="370">
        <f t="shared" si="204"/>
        <v>0</v>
      </c>
    </row>
    <row r="763" spans="1:24" ht="15.75" thickBot="1">
      <c r="A763" s="47"/>
      <c r="B763" s="17">
        <f t="shared" si="205"/>
        <v>19</v>
      </c>
      <c r="C763" s="8"/>
      <c r="D763" s="8"/>
      <c r="E763" s="20"/>
      <c r="F763" s="22"/>
      <c r="G763" s="20"/>
      <c r="H763" s="20"/>
      <c r="I763" s="1463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0"/>
      <c r="U763" s="8"/>
      <c r="V763" s="67"/>
      <c r="X763" s="370">
        <f t="shared" si="204"/>
        <v>0</v>
      </c>
    </row>
    <row r="764" spans="1:24" ht="15.75" thickBot="1">
      <c r="A764" s="47"/>
      <c r="B764" s="17">
        <f t="shared" si="205"/>
        <v>20</v>
      </c>
      <c r="C764" s="284" t="s">
        <v>1387</v>
      </c>
      <c r="D764" s="372"/>
      <c r="E764" s="316"/>
      <c r="F764" s="255">
        <f>F762-F622-('II-I-DIST'!$F$753*(0.727923))</f>
        <v>896152761.50596488</v>
      </c>
      <c r="G764" s="316"/>
      <c r="H764" s="316"/>
      <c r="I764" s="445"/>
      <c r="J764" s="903">
        <f>J762-J622-('II-I-DIST'!$J$753*(0.727923))</f>
        <v>483153404.90592462</v>
      </c>
      <c r="K764" s="903">
        <f>K762-K622-('II-I-DIST'!K$753*(0.727923))</f>
        <v>25581806.724642023</v>
      </c>
      <c r="L764" s="903">
        <f>L762-L622-('II-I-DIST'!L$753*(0.727923))</f>
        <v>293075041.6751821</v>
      </c>
      <c r="M764" s="903">
        <f>M762-M622-('II-I-DIST'!M$753*(0.727923))</f>
        <v>708892.88707676425</v>
      </c>
      <c r="N764" s="903">
        <f>N762-N622-('II-I-DIST'!N$753*(0.727923))</f>
        <v>58455482.81455873</v>
      </c>
      <c r="O764" s="903">
        <f>O762-O622-('II-I-DIST'!O$753*(0.727923))</f>
        <v>4509800.3083871379</v>
      </c>
      <c r="P764" s="903">
        <f>P762-P622-('II-I-DIST'!P$753*(0.727923))</f>
        <v>1382339.9401632012</v>
      </c>
      <c r="Q764" s="903">
        <f>Q762-Q622-('II-I-DIST'!Q$753*(0.727923))</f>
        <v>26178262.057097033</v>
      </c>
      <c r="R764" s="903">
        <f>R762-R622-('II-I-DIST'!R$753*(0.727923))</f>
        <v>528824.10686946625</v>
      </c>
      <c r="S764" s="903">
        <f>S762-S622-('II-I-DIST'!S$753*(0.727923))</f>
        <v>2578906.0860632611</v>
      </c>
      <c r="T764" s="445"/>
      <c r="U764" s="256">
        <f>SUM(I764:T764)</f>
        <v>896152761.5059644</v>
      </c>
      <c r="V764" s="67"/>
      <c r="W764" s="1300">
        <f>' WP II-I-1.4'!$L$764-U764</f>
        <v>0</v>
      </c>
      <c r="X764" s="370">
        <f t="shared" si="204"/>
        <v>0</v>
      </c>
    </row>
    <row r="765" spans="1:24" ht="15" thickBot="1">
      <c r="A765" s="47"/>
      <c r="B765" s="67"/>
      <c r="C765" s="67"/>
      <c r="D765" s="67"/>
      <c r="E765" s="67"/>
      <c r="F765" s="67"/>
      <c r="G765" s="67"/>
      <c r="H765" s="67"/>
      <c r="I765" s="1464"/>
      <c r="J765" s="67"/>
      <c r="K765" s="67"/>
      <c r="L765" s="67"/>
      <c r="M765" s="67"/>
      <c r="N765" s="67"/>
      <c r="O765" s="664" t="s">
        <v>1401</v>
      </c>
      <c r="P765" s="67"/>
      <c r="Q765" s="67"/>
      <c r="R765" s="67"/>
      <c r="S765" s="67"/>
      <c r="T765" s="67"/>
      <c r="U765" s="67"/>
      <c r="V765" s="67"/>
      <c r="X765" s="370">
        <f t="shared" si="204"/>
        <v>0</v>
      </c>
    </row>
    <row r="766" spans="1:24" ht="14.25">
      <c r="A766" s="47"/>
      <c r="B766" s="67"/>
      <c r="C766" s="67"/>
      <c r="D766" s="67"/>
      <c r="E766" s="67"/>
      <c r="F766" s="67"/>
      <c r="G766" s="67"/>
      <c r="H766" s="134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134"/>
      <c r="V766" s="134"/>
      <c r="X766" s="370"/>
    </row>
    <row r="767" spans="1:24" ht="15" thickBot="1">
      <c r="A767" s="47"/>
      <c r="B767" s="67"/>
      <c r="C767" s="67"/>
      <c r="D767" s="67"/>
      <c r="E767" s="67"/>
      <c r="F767" s="118"/>
      <c r="G767" s="67"/>
      <c r="H767" s="67"/>
      <c r="I767" s="67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67"/>
      <c r="U767" s="67"/>
      <c r="V767" s="67"/>
      <c r="X767" s="370">
        <f t="shared" si="204"/>
        <v>0</v>
      </c>
    </row>
    <row r="768" spans="1:24" ht="15">
      <c r="A768" s="47"/>
      <c r="B768" s="920" t="str">
        <f>+$B$4</f>
        <v>2022 RATE CASE</v>
      </c>
      <c r="C768" s="935"/>
      <c r="D768" s="620"/>
      <c r="F768" s="12"/>
      <c r="U768" s="134"/>
      <c r="X768" s="370">
        <f t="shared" si="204"/>
        <v>0</v>
      </c>
    </row>
    <row r="769" spans="1:24" ht="15">
      <c r="A769" s="47"/>
      <c r="B769" s="917" t="str">
        <f>+$B$5</f>
        <v>ONCOR ELECTRIC DELIVERY COMPANY LLC</v>
      </c>
      <c r="C769" s="8"/>
      <c r="D769" s="621"/>
      <c r="F769" s="12"/>
      <c r="H769" s="370"/>
      <c r="U769" s="134"/>
      <c r="V769" s="67"/>
      <c r="X769" s="370">
        <f t="shared" si="204"/>
        <v>0</v>
      </c>
    </row>
    <row r="770" spans="1:24" ht="15">
      <c r="A770" s="47"/>
      <c r="B770" s="917" t="str">
        <f>+$B$6</f>
        <v>II-I-1-TOT:  CLASS REVENUE REQUIREMENT</v>
      </c>
      <c r="C770" s="85"/>
      <c r="D770" s="621"/>
      <c r="F770" s="121"/>
      <c r="U770" s="12"/>
      <c r="V770" s="67"/>
      <c r="X770" s="370">
        <f t="shared" si="204"/>
        <v>0</v>
      </c>
    </row>
    <row r="771" spans="1:24" ht="15">
      <c r="A771" s="47"/>
      <c r="B771" s="406" t="str">
        <f>+$B$7</f>
        <v>TEST YEAR ENDING 12/31/2021</v>
      </c>
      <c r="C771" s="85"/>
      <c r="D771" s="621"/>
      <c r="F771" s="12"/>
      <c r="U771" s="12"/>
      <c r="V771" s="67"/>
      <c r="X771" s="370">
        <f t="shared" si="204"/>
        <v>0</v>
      </c>
    </row>
    <row r="772" spans="1:24" ht="15">
      <c r="A772" s="47"/>
      <c r="B772" s="406" t="str">
        <f>+$B$8</f>
        <v>SPONSOR:  MATTHEW A. TROXLE</v>
      </c>
      <c r="C772" s="85"/>
      <c r="D772" s="621"/>
      <c r="F772" s="12"/>
      <c r="U772" s="12"/>
      <c r="V772" s="67"/>
      <c r="X772" s="370">
        <f t="shared" si="204"/>
        <v>0</v>
      </c>
    </row>
    <row r="773" spans="1:24" ht="15.75" thickBot="1">
      <c r="A773" s="47"/>
      <c r="B773" s="410"/>
      <c r="C773" s="934"/>
      <c r="D773" s="622"/>
      <c r="F773" s="12"/>
      <c r="U773" s="12"/>
      <c r="V773" s="67"/>
      <c r="X773" s="370">
        <f t="shared" si="204"/>
        <v>0</v>
      </c>
    </row>
    <row r="774" spans="1:24" ht="15" thickBot="1">
      <c r="A774" s="47"/>
      <c r="B774" s="13"/>
      <c r="C774" s="14"/>
      <c r="D774" s="14"/>
      <c r="E774" s="14"/>
      <c r="F774" s="13"/>
      <c r="G774" s="14"/>
      <c r="H774" s="14"/>
      <c r="I774" s="14"/>
      <c r="J774" s="238"/>
      <c r="K774" s="238"/>
      <c r="L774" s="14"/>
      <c r="M774" s="238"/>
      <c r="N774" s="238"/>
      <c r="O774" s="238"/>
      <c r="P774" s="238"/>
      <c r="Q774" s="14"/>
      <c r="R774" s="393" t="str">
        <f>R$10</f>
        <v xml:space="preserve"> </v>
      </c>
      <c r="S774" s="394"/>
      <c r="T774" s="238"/>
      <c r="U774" s="13"/>
      <c r="V774" s="67"/>
      <c r="X774" s="370">
        <f t="shared" si="204"/>
        <v>0</v>
      </c>
    </row>
    <row r="775" spans="1:24" ht="15">
      <c r="A775" s="47"/>
      <c r="B775" s="15" t="s">
        <v>2</v>
      </c>
      <c r="C775" s="15" t="s">
        <v>370</v>
      </c>
      <c r="D775" s="287" t="s">
        <v>659</v>
      </c>
      <c r="E775" s="15" t="s">
        <v>371</v>
      </c>
      <c r="F775" s="287" t="str">
        <f>F$11</f>
        <v>TOTAL</v>
      </c>
      <c r="G775" s="242" t="s">
        <v>741</v>
      </c>
      <c r="H775" s="242" t="s">
        <v>376</v>
      </c>
      <c r="I775" s="15"/>
      <c r="J775" s="242" t="s">
        <v>730</v>
      </c>
      <c r="K775" s="242" t="s">
        <v>409</v>
      </c>
      <c r="L775" s="15" t="s">
        <v>409</v>
      </c>
      <c r="M775" s="242" t="s">
        <v>410</v>
      </c>
      <c r="N775" s="242" t="s">
        <v>410</v>
      </c>
      <c r="O775" s="242" t="s">
        <v>410</v>
      </c>
      <c r="P775" s="242" t="s">
        <v>411</v>
      </c>
      <c r="Q775" s="15" t="s">
        <v>412</v>
      </c>
      <c r="R775" s="396" t="str">
        <f>R$11</f>
        <v>Wholesale</v>
      </c>
      <c r="S775" s="13" t="str">
        <f>S$11</f>
        <v>Wholesale</v>
      </c>
      <c r="T775" s="242"/>
      <c r="U775" s="15" t="s">
        <v>10</v>
      </c>
      <c r="V775" s="67"/>
      <c r="X775" s="370"/>
    </row>
    <row r="776" spans="1:24" ht="14.25">
      <c r="A776" s="47"/>
      <c r="B776" s="15"/>
      <c r="C776" s="15"/>
      <c r="D776" s="15"/>
      <c r="E776" s="15"/>
      <c r="F776" s="15" t="str">
        <f>F$12</f>
        <v>(Dist+Met+Cust)</v>
      </c>
      <c r="G776" s="242" t="s">
        <v>742</v>
      </c>
      <c r="H776" s="242" t="s">
        <v>743</v>
      </c>
      <c r="I776" s="15"/>
      <c r="J776" s="242"/>
      <c r="K776" s="242" t="s">
        <v>731</v>
      </c>
      <c r="L776" s="15" t="s">
        <v>732</v>
      </c>
      <c r="M776" s="242" t="s">
        <v>731</v>
      </c>
      <c r="N776" s="242" t="s">
        <v>732</v>
      </c>
      <c r="O776" s="242" t="s">
        <v>414</v>
      </c>
      <c r="P776" s="242"/>
      <c r="Q776" s="15"/>
      <c r="R776" s="235" t="str">
        <f>R$12</f>
        <v>XFMR</v>
      </c>
      <c r="S776" s="15" t="str">
        <f>S$12</f>
        <v>DLS</v>
      </c>
      <c r="T776" s="242"/>
      <c r="U776" s="15"/>
      <c r="V776" s="67"/>
      <c r="X776" s="370"/>
    </row>
    <row r="777" spans="1:24" ht="15" thickBot="1">
      <c r="A777" s="47"/>
      <c r="B777" s="16"/>
      <c r="C777" s="16"/>
      <c r="D777" s="16"/>
      <c r="E777" s="16"/>
      <c r="F777" s="16" t="s">
        <v>13</v>
      </c>
      <c r="G777" s="16" t="s">
        <v>14</v>
      </c>
      <c r="H777" s="16" t="s">
        <v>15</v>
      </c>
      <c r="I777" s="16"/>
      <c r="J777" s="243" t="str">
        <f t="shared" si="209" ref="J777:Q777">J$13</f>
        <v>(d)</v>
      </c>
      <c r="K777" s="243" t="str">
        <f t="shared" si="209"/>
        <v>(e)</v>
      </c>
      <c r="L777" s="16" t="str">
        <f t="shared" si="209"/>
        <v>(f)</v>
      </c>
      <c r="M777" s="243" t="str">
        <f t="shared" si="209"/>
        <v>(g)</v>
      </c>
      <c r="N777" s="243" t="str">
        <f t="shared" si="209"/>
        <v>(h)</v>
      </c>
      <c r="O777" s="243" t="str">
        <f>O$13</f>
        <v>(i)</v>
      </c>
      <c r="P777" s="243" t="str">
        <f t="shared" si="209"/>
        <v>(j)</v>
      </c>
      <c r="Q777" s="243" t="str">
        <f t="shared" si="209"/>
        <v>(k)</v>
      </c>
      <c r="R777" s="243" t="str">
        <f>R$13</f>
        <v>(l)</v>
      </c>
      <c r="S777" s="16" t="str">
        <f>S$13</f>
        <v>(m)</v>
      </c>
      <c r="T777" s="16"/>
      <c r="U777" s="16" t="s">
        <v>734</v>
      </c>
      <c r="V777" s="67"/>
      <c r="X777" s="370"/>
    </row>
    <row r="778" spans="1:24" ht="14.25">
      <c r="A778" s="47"/>
      <c r="B778" s="67"/>
      <c r="C778" s="100"/>
      <c r="D778" s="100"/>
      <c r="E778" s="315"/>
      <c r="F778" s="373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1"/>
      <c r="V778" s="67"/>
      <c r="X778" s="370">
        <f t="shared" si="204"/>
        <v>0</v>
      </c>
    </row>
    <row r="779" spans="1:24" ht="15">
      <c r="A779" s="47"/>
      <c r="B779" s="17">
        <f t="shared" si="210" ref="B779:B803">B778+1</f>
        <v>1</v>
      </c>
      <c r="C779" s="8" t="s">
        <v>659</v>
      </c>
      <c r="D779" s="1"/>
      <c r="E779" s="20"/>
      <c r="F779" s="1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1"/>
      <c r="V779" s="67"/>
      <c r="X779" s="370">
        <f t="shared" si="204"/>
        <v>0</v>
      </c>
    </row>
    <row r="780" spans="1:24" ht="15">
      <c r="A780" s="47"/>
      <c r="B780" s="17">
        <f t="shared" si="210"/>
        <v>2</v>
      </c>
      <c r="C780" s="8"/>
      <c r="D780" s="366" t="s">
        <v>660</v>
      </c>
      <c r="E780" s="20" t="s">
        <v>279</v>
      </c>
      <c r="F780" s="22"/>
      <c r="G780" s="20"/>
      <c r="H780" s="20"/>
      <c r="I780" s="20"/>
      <c r="J780" s="1059"/>
      <c r="K780" s="1059"/>
      <c r="L780" s="1059"/>
      <c r="M780" s="1059"/>
      <c r="N780" s="1059"/>
      <c r="O780" s="1059"/>
      <c r="P780" s="1059"/>
      <c r="Q780" s="1059"/>
      <c r="R780" s="1059"/>
      <c r="S780" s="1059"/>
      <c r="T780" s="1009"/>
      <c r="U780" s="8"/>
      <c r="V780" s="67"/>
      <c r="X780" s="370">
        <f t="shared" si="204"/>
        <v>0</v>
      </c>
    </row>
    <row r="781" spans="1:24" ht="14.25">
      <c r="A781" s="47"/>
      <c r="B781" s="17">
        <f t="shared" si="210"/>
        <v>3</v>
      </c>
      <c r="C781" s="1" t="s">
        <v>161</v>
      </c>
      <c r="D781" s="1" t="s">
        <v>162</v>
      </c>
      <c r="E781" s="17"/>
      <c r="F781" s="118">
        <f>' WP II-I-1.4'!L781</f>
        <v>48772.730000000003</v>
      </c>
      <c r="G781" s="17" t="s">
        <v>805</v>
      </c>
      <c r="H781" s="1" t="s">
        <v>320</v>
      </c>
      <c r="I781" s="17"/>
      <c r="J781" s="434">
        <f>'II-I-DIST'!J781+'II-I-MET'!J781+'II-I-TBILLTDCS'!J781</f>
        <v>25670.208788376909</v>
      </c>
      <c r="K781" s="434">
        <f>'II-I-DIST'!K781+'II-I-MET'!K781+'II-I-TBILLTDCS'!K781</f>
        <v>626.87203531183081</v>
      </c>
      <c r="L781" s="434">
        <f>'II-I-DIST'!L781+'II-I-MET'!L781+'II-I-TBILLTDCS'!L781</f>
        <v>16528.337293103137</v>
      </c>
      <c r="M781" s="434">
        <f>'II-I-DIST'!M781+'II-I-MET'!M781+'II-I-TBILLTDCS'!M781</f>
        <v>9.3441503501241119</v>
      </c>
      <c r="N781" s="434">
        <f>'II-I-DIST'!N781+'II-I-MET'!N781+'II-I-TBILLTDCS'!N781</f>
        <v>3954.9148636461086</v>
      </c>
      <c r="O781" s="434">
        <f>'II-I-DIST'!O781+'II-I-MET'!O781+'II-I-TBILLTDCS'!O781</f>
        <v>1430.2345644456943</v>
      </c>
      <c r="P781" s="434">
        <f>'II-I-DIST'!P781+'II-I-MET'!P781+'II-I-TBILLTDCS'!P781</f>
        <v>0</v>
      </c>
      <c r="Q781" s="434">
        <f>'II-I-DIST'!Q781+'II-I-MET'!Q781+'II-I-TBILLTDCS'!Q781</f>
        <v>166.71199174243787</v>
      </c>
      <c r="R781" s="434">
        <f>'II-I-DIST'!R781+'II-I-MET'!R781+'II-I-TBILLTDCS'!R781</f>
        <v>171.4225642157505</v>
      </c>
      <c r="S781" s="434">
        <f>'II-I-DIST'!S781+'II-I-MET'!S781+'II-I-TBILLTDCS'!S781</f>
        <v>214.68374880800803</v>
      </c>
      <c r="T781" s="17"/>
      <c r="U781" s="118">
        <f t="shared" si="211" ref="U781:U789">SUM(I781:T781)</f>
        <v>48772.729999999989</v>
      </c>
      <c r="V781" s="67"/>
      <c r="X781" s="370">
        <f t="shared" si="204"/>
        <v>0</v>
      </c>
    </row>
    <row r="782" spans="1:24" ht="14.25">
      <c r="A782" s="47"/>
      <c r="B782" s="17">
        <f t="shared" si="210"/>
        <v>4</v>
      </c>
      <c r="C782" s="1" t="s">
        <v>163</v>
      </c>
      <c r="D782" s="1" t="s">
        <v>164</v>
      </c>
      <c r="E782" s="17"/>
      <c r="F782" s="290">
        <f>' WP II-I-1.4'!L782</f>
        <v>0</v>
      </c>
      <c r="G782" s="17" t="s">
        <v>805</v>
      </c>
      <c r="H782" s="1" t="s">
        <v>320</v>
      </c>
      <c r="I782" s="17"/>
      <c r="J782" s="434">
        <f>'II-I-DIST'!J782+'II-I-MET'!J782+'II-I-TBILLTDCS'!J782</f>
        <v>0</v>
      </c>
      <c r="K782" s="434">
        <f>'II-I-DIST'!K782+'II-I-MET'!K782+'II-I-TBILLTDCS'!K782</f>
        <v>0</v>
      </c>
      <c r="L782" s="434">
        <f>'II-I-DIST'!L782+'II-I-MET'!L782+'II-I-TBILLTDCS'!L782</f>
        <v>0</v>
      </c>
      <c r="M782" s="434">
        <f>'II-I-DIST'!M782+'II-I-MET'!M782+'II-I-TBILLTDCS'!M782</f>
        <v>0</v>
      </c>
      <c r="N782" s="434">
        <f>'II-I-DIST'!N782+'II-I-MET'!N782+'II-I-TBILLTDCS'!N782</f>
        <v>0</v>
      </c>
      <c r="O782" s="434">
        <f>'II-I-DIST'!O782+'II-I-MET'!O782+'II-I-TBILLTDCS'!O782</f>
        <v>0</v>
      </c>
      <c r="P782" s="434">
        <f>'II-I-DIST'!P782+'II-I-MET'!P782+'II-I-TBILLTDCS'!P782</f>
        <v>0</v>
      </c>
      <c r="Q782" s="434">
        <f>'II-I-DIST'!Q782+'II-I-MET'!Q782+'II-I-TBILLTDCS'!Q782</f>
        <v>0</v>
      </c>
      <c r="R782" s="434">
        <f>'II-I-DIST'!R782+'II-I-MET'!R782+'II-I-TBILLTDCS'!R782</f>
        <v>0</v>
      </c>
      <c r="S782" s="434">
        <f>'II-I-DIST'!S782+'II-I-MET'!S782+'II-I-TBILLTDCS'!S782</f>
        <v>0</v>
      </c>
      <c r="T782" s="17"/>
      <c r="U782" s="118">
        <f t="shared" si="211"/>
        <v>0</v>
      </c>
      <c r="V782" s="67"/>
      <c r="X782" s="370">
        <f t="shared" si="204"/>
        <v>0</v>
      </c>
    </row>
    <row r="783" spans="1:24" ht="14.25">
      <c r="A783" s="47"/>
      <c r="B783" s="17">
        <f t="shared" si="210"/>
        <v>5</v>
      </c>
      <c r="C783" s="1" t="s">
        <v>165</v>
      </c>
      <c r="D783" s="1" t="s">
        <v>166</v>
      </c>
      <c r="E783" s="17"/>
      <c r="F783" s="290">
        <f>' WP II-I-1.4'!L783</f>
        <v>428931.78000000003</v>
      </c>
      <c r="G783" s="17" t="s">
        <v>805</v>
      </c>
      <c r="H783" s="1" t="s">
        <v>320</v>
      </c>
      <c r="I783" s="17"/>
      <c r="J783" s="434">
        <f>'II-I-DIST'!J783+'II-I-MET'!J783+'II-I-TBILLTDCS'!J783</f>
        <v>225756.65435521348</v>
      </c>
      <c r="K783" s="434">
        <f>'II-I-DIST'!K783+'II-I-MET'!K783+'II-I-TBILLTDCS'!K783</f>
        <v>5513.0261918602146</v>
      </c>
      <c r="L783" s="434">
        <f>'II-I-DIST'!L783+'II-I-MET'!L783+'II-I-TBILLTDCS'!L783</f>
        <v>145358.46436258766</v>
      </c>
      <c r="M783" s="434">
        <f>'II-I-DIST'!M783+'II-I-MET'!M783+'II-I-TBILLTDCS'!M783</f>
        <v>82.177131406553585</v>
      </c>
      <c r="N783" s="434">
        <f>'II-I-DIST'!N783+'II-I-MET'!N783+'II-I-TBILLTDCS'!N783</f>
        <v>34781.499256083931</v>
      </c>
      <c r="O783" s="434">
        <f>'II-I-DIST'!O783+'II-I-MET'!O783+'II-I-TBILLTDCS'!O783</f>
        <v>12578.198053404356</v>
      </c>
      <c r="P783" s="434">
        <f>'II-I-DIST'!P783+'II-I-MET'!P783+'II-I-TBILLTDCS'!P783</f>
        <v>0</v>
      </c>
      <c r="Q783" s="434">
        <f>'II-I-DIST'!Q783+'II-I-MET'!Q783+'II-I-TBILLTDCS'!Q783</f>
        <v>1466.1486319389787</v>
      </c>
      <c r="R783" s="434">
        <f>'II-I-DIST'!R783+'II-I-MET'!R783+'II-I-TBILLTDCS'!R783</f>
        <v>1507.5757621364676</v>
      </c>
      <c r="S783" s="434">
        <f>'II-I-DIST'!S783+'II-I-MET'!S783+'II-I-TBILLTDCS'!S783</f>
        <v>1888.0362553683533</v>
      </c>
      <c r="T783" s="17"/>
      <c r="U783" s="118">
        <f t="shared" si="211"/>
        <v>428931.78000000003</v>
      </c>
      <c r="V783" s="67"/>
      <c r="X783" s="370">
        <f t="shared" si="204"/>
        <v>0</v>
      </c>
    </row>
    <row r="784" spans="1:24" ht="14.25">
      <c r="A784" s="47"/>
      <c r="B784" s="17">
        <f t="shared" si="210"/>
        <v>6</v>
      </c>
      <c r="C784" s="1" t="s">
        <v>167</v>
      </c>
      <c r="D784" s="1" t="s">
        <v>168</v>
      </c>
      <c r="E784" s="17"/>
      <c r="F784" s="290">
        <f>' WP II-I-1.4'!L784</f>
        <v>0</v>
      </c>
      <c r="G784" s="17" t="s">
        <v>805</v>
      </c>
      <c r="H784" s="1" t="s">
        <v>320</v>
      </c>
      <c r="I784" s="17"/>
      <c r="J784" s="434">
        <f>'II-I-DIST'!J784+'II-I-MET'!J784+'II-I-TBILLTDCS'!J784</f>
        <v>0</v>
      </c>
      <c r="K784" s="434">
        <f>'II-I-DIST'!K784+'II-I-MET'!K784+'II-I-TBILLTDCS'!K784</f>
        <v>0</v>
      </c>
      <c r="L784" s="434">
        <f>'II-I-DIST'!L784+'II-I-MET'!L784+'II-I-TBILLTDCS'!L784</f>
        <v>0</v>
      </c>
      <c r="M784" s="434">
        <f>'II-I-DIST'!M784+'II-I-MET'!M784+'II-I-TBILLTDCS'!M784</f>
        <v>0</v>
      </c>
      <c r="N784" s="434">
        <f>'II-I-DIST'!N784+'II-I-MET'!N784+'II-I-TBILLTDCS'!N784</f>
        <v>0</v>
      </c>
      <c r="O784" s="434">
        <f>'II-I-DIST'!O784+'II-I-MET'!O784+'II-I-TBILLTDCS'!O784</f>
        <v>0</v>
      </c>
      <c r="P784" s="434">
        <f>'II-I-DIST'!P784+'II-I-MET'!P784+'II-I-TBILLTDCS'!P784</f>
        <v>0</v>
      </c>
      <c r="Q784" s="434">
        <f>'II-I-DIST'!Q784+'II-I-MET'!Q784+'II-I-TBILLTDCS'!Q784</f>
        <v>0</v>
      </c>
      <c r="R784" s="434">
        <f>'II-I-DIST'!R784+'II-I-MET'!R784+'II-I-TBILLTDCS'!R784</f>
        <v>0</v>
      </c>
      <c r="S784" s="434">
        <f>'II-I-DIST'!S784+'II-I-MET'!S784+'II-I-TBILLTDCS'!S784</f>
        <v>0</v>
      </c>
      <c r="T784" s="17"/>
      <c r="U784" s="118">
        <f t="shared" si="211"/>
        <v>0</v>
      </c>
      <c r="V784" s="67"/>
      <c r="X784" s="370">
        <f t="shared" si="204"/>
        <v>0</v>
      </c>
    </row>
    <row r="785" spans="1:24" ht="14.25">
      <c r="A785" s="47"/>
      <c r="B785" s="17">
        <f t="shared" si="210"/>
        <v>7</v>
      </c>
      <c r="C785" s="1" t="s">
        <v>169</v>
      </c>
      <c r="D785" s="1" t="s">
        <v>170</v>
      </c>
      <c r="E785" s="17"/>
      <c r="F785" s="290">
        <f>' WP II-I-1.4'!L785</f>
        <v>0</v>
      </c>
      <c r="G785" s="17" t="s">
        <v>805</v>
      </c>
      <c r="H785" s="1" t="s">
        <v>320</v>
      </c>
      <c r="I785" s="17"/>
      <c r="J785" s="434">
        <f>'II-I-DIST'!J785+'II-I-MET'!J785+'II-I-TBILLTDCS'!J785</f>
        <v>0</v>
      </c>
      <c r="K785" s="434">
        <f>'II-I-DIST'!K785+'II-I-MET'!K785+'II-I-TBILLTDCS'!K785</f>
        <v>0</v>
      </c>
      <c r="L785" s="434">
        <f>'II-I-DIST'!L785+'II-I-MET'!L785+'II-I-TBILLTDCS'!L785</f>
        <v>0</v>
      </c>
      <c r="M785" s="434">
        <f>'II-I-DIST'!M785+'II-I-MET'!M785+'II-I-TBILLTDCS'!M785</f>
        <v>0</v>
      </c>
      <c r="N785" s="434">
        <f>'II-I-DIST'!N785+'II-I-MET'!N785+'II-I-TBILLTDCS'!N785</f>
        <v>0</v>
      </c>
      <c r="O785" s="434">
        <f>'II-I-DIST'!O785+'II-I-MET'!O785+'II-I-TBILLTDCS'!O785</f>
        <v>0</v>
      </c>
      <c r="P785" s="434">
        <f>'II-I-DIST'!P785+'II-I-MET'!P785+'II-I-TBILLTDCS'!P785</f>
        <v>0</v>
      </c>
      <c r="Q785" s="434">
        <f>'II-I-DIST'!Q785+'II-I-MET'!Q785+'II-I-TBILLTDCS'!Q785</f>
        <v>0</v>
      </c>
      <c r="R785" s="434">
        <f>'II-I-DIST'!R785+'II-I-MET'!R785+'II-I-TBILLTDCS'!R785</f>
        <v>0</v>
      </c>
      <c r="S785" s="434">
        <f>'II-I-DIST'!S785+'II-I-MET'!S785+'II-I-TBILLTDCS'!S785</f>
        <v>0</v>
      </c>
      <c r="T785" s="17"/>
      <c r="U785" s="118">
        <f t="shared" si="211"/>
        <v>0</v>
      </c>
      <c r="V785" s="67"/>
      <c r="X785" s="370">
        <f t="shared" si="204"/>
        <v>0</v>
      </c>
    </row>
    <row r="786" spans="1:24" ht="15">
      <c r="A786" s="147"/>
      <c r="B786" s="17">
        <f t="shared" si="210"/>
        <v>8</v>
      </c>
      <c r="C786" s="1" t="s">
        <v>171</v>
      </c>
      <c r="D786" s="31" t="s">
        <v>172</v>
      </c>
      <c r="E786" s="20"/>
      <c r="F786" s="290">
        <f>' WP II-I-1.4'!L786</f>
        <v>0</v>
      </c>
      <c r="G786" s="17" t="s">
        <v>805</v>
      </c>
      <c r="H786" s="1" t="s">
        <v>320</v>
      </c>
      <c r="I786" s="1009"/>
      <c r="J786" s="434">
        <f>'II-I-DIST'!J786+'II-I-MET'!J786+'II-I-TBILLTDCS'!J786</f>
        <v>0</v>
      </c>
      <c r="K786" s="434">
        <f>'II-I-DIST'!K786+'II-I-MET'!K786+'II-I-TBILLTDCS'!K786</f>
        <v>0</v>
      </c>
      <c r="L786" s="434">
        <f>'II-I-DIST'!L786+'II-I-MET'!L786+'II-I-TBILLTDCS'!L786</f>
        <v>0</v>
      </c>
      <c r="M786" s="434">
        <f>'II-I-DIST'!M786+'II-I-MET'!M786+'II-I-TBILLTDCS'!M786</f>
        <v>0</v>
      </c>
      <c r="N786" s="434">
        <f>'II-I-DIST'!N786+'II-I-MET'!N786+'II-I-TBILLTDCS'!N786</f>
        <v>0</v>
      </c>
      <c r="O786" s="434">
        <f>'II-I-DIST'!O786+'II-I-MET'!O786+'II-I-TBILLTDCS'!O786</f>
        <v>0</v>
      </c>
      <c r="P786" s="434">
        <f>'II-I-DIST'!P786+'II-I-MET'!P786+'II-I-TBILLTDCS'!P786</f>
        <v>0</v>
      </c>
      <c r="Q786" s="434">
        <f>'II-I-DIST'!Q786+'II-I-MET'!Q786+'II-I-TBILLTDCS'!Q786</f>
        <v>0</v>
      </c>
      <c r="R786" s="434">
        <f>'II-I-DIST'!R786+'II-I-MET'!R786+'II-I-TBILLTDCS'!R786</f>
        <v>0</v>
      </c>
      <c r="S786" s="434">
        <f>'II-I-DIST'!S786+'II-I-MET'!S786+'II-I-TBILLTDCS'!S786</f>
        <v>0</v>
      </c>
      <c r="T786" s="1009"/>
      <c r="U786" s="299">
        <f t="shared" si="211"/>
        <v>0</v>
      </c>
      <c r="V786" s="133"/>
      <c r="W786" s="345"/>
      <c r="X786" s="370">
        <f t="shared" si="204"/>
        <v>0</v>
      </c>
    </row>
    <row r="787" spans="1:24" ht="14.25">
      <c r="A787" s="47"/>
      <c r="B787" s="17">
        <f t="shared" si="210"/>
        <v>9</v>
      </c>
      <c r="C787" s="1" t="s">
        <v>173</v>
      </c>
      <c r="D787" s="31" t="s">
        <v>174</v>
      </c>
      <c r="E787" s="17"/>
      <c r="F787" s="290">
        <f>' WP II-I-1.4'!L787</f>
        <v>152607.32000000001</v>
      </c>
      <c r="G787" s="17" t="s">
        <v>805</v>
      </c>
      <c r="H787" s="1" t="s">
        <v>320</v>
      </c>
      <c r="I787" s="17"/>
      <c r="J787" s="434">
        <f>'II-I-DIST'!J787+'II-I-MET'!J787+'II-I-TBILLTDCS'!J787</f>
        <v>80320.740033101436</v>
      </c>
      <c r="K787" s="434">
        <f>'II-I-DIST'!K787+'II-I-MET'!K787+'II-I-TBILLTDCS'!K787</f>
        <v>1961.4497956518708</v>
      </c>
      <c r="L787" s="434">
        <f>'II-I-DIST'!L787+'II-I-MET'!L787+'II-I-TBILLTDCS'!L787</f>
        <v>51716.302498476594</v>
      </c>
      <c r="M787" s="434">
        <f>'II-I-DIST'!M787+'II-I-MET'!M787+'II-I-TBILLTDCS'!M787</f>
        <v>29.237357486642683</v>
      </c>
      <c r="N787" s="434">
        <f>'II-I-DIST'!N787+'II-I-MET'!N787+'II-I-TBILLTDCS'!N787</f>
        <v>12374.721656327172</v>
      </c>
      <c r="O787" s="434">
        <f>'II-I-DIST'!O787+'II-I-MET'!O787+'II-I-TBILLTDCS'!O787</f>
        <v>4475.129111112391</v>
      </c>
      <c r="P787" s="434">
        <f>'II-I-DIST'!P787+'II-I-MET'!P787+'II-I-TBILLTDCS'!P787</f>
        <v>0</v>
      </c>
      <c r="Q787" s="434">
        <f>'II-I-DIST'!Q787+'II-I-MET'!Q787+'II-I-TBILLTDCS'!Q787</f>
        <v>521.63309848916754</v>
      </c>
      <c r="R787" s="434">
        <f>'II-I-DIST'!R787+'II-I-MET'!R787+'II-I-TBILLTDCS'!R787</f>
        <v>536.37223326423566</v>
      </c>
      <c r="S787" s="434">
        <f>'II-I-DIST'!S787+'II-I-MET'!S787+'II-I-TBILLTDCS'!S787</f>
        <v>671.73421609049342</v>
      </c>
      <c r="T787" s="17"/>
      <c r="U787" s="118">
        <f t="shared" si="211"/>
        <v>152607.32000000001</v>
      </c>
      <c r="V787" s="67"/>
      <c r="X787" s="370">
        <f t="shared" si="204"/>
        <v>0</v>
      </c>
    </row>
    <row r="788" spans="1:24" ht="14.25">
      <c r="A788" s="47"/>
      <c r="B788" s="17">
        <f t="shared" si="210"/>
        <v>10</v>
      </c>
      <c r="C788" s="1" t="s">
        <v>175</v>
      </c>
      <c r="D788" s="1" t="s">
        <v>176</v>
      </c>
      <c r="E788" s="17"/>
      <c r="F788" s="290">
        <f>' WP II-I-1.4'!L788</f>
        <v>0</v>
      </c>
      <c r="G788" s="17" t="s">
        <v>805</v>
      </c>
      <c r="H788" s="1" t="s">
        <v>320</v>
      </c>
      <c r="I788" s="17"/>
      <c r="J788" s="435">
        <f>'II-I-DIST'!J788+'II-I-MET'!J788+'II-I-TBILLTDCS'!J788</f>
        <v>0</v>
      </c>
      <c r="K788" s="435">
        <f>'II-I-DIST'!K788+'II-I-MET'!K788+'II-I-TBILLTDCS'!K788</f>
        <v>0</v>
      </c>
      <c r="L788" s="435">
        <f>'II-I-DIST'!L788+'II-I-MET'!L788+'II-I-TBILLTDCS'!L788</f>
        <v>0</v>
      </c>
      <c r="M788" s="435">
        <f>'II-I-DIST'!M788+'II-I-MET'!M788+'II-I-TBILLTDCS'!M788</f>
        <v>0</v>
      </c>
      <c r="N788" s="435">
        <f>'II-I-DIST'!N788+'II-I-MET'!N788+'II-I-TBILLTDCS'!N788</f>
        <v>0</v>
      </c>
      <c r="O788" s="435">
        <f>'II-I-DIST'!O788+'II-I-MET'!O788+'II-I-TBILLTDCS'!O788</f>
        <v>0</v>
      </c>
      <c r="P788" s="435">
        <f>'II-I-DIST'!P788+'II-I-MET'!P788+'II-I-TBILLTDCS'!P788</f>
        <v>0</v>
      </c>
      <c r="Q788" s="435">
        <f>'II-I-DIST'!Q788+'II-I-MET'!Q788+'II-I-TBILLTDCS'!Q788</f>
        <v>0</v>
      </c>
      <c r="R788" s="435">
        <f>'II-I-DIST'!R788+'II-I-MET'!R788+'II-I-TBILLTDCS'!R788</f>
        <v>0</v>
      </c>
      <c r="S788" s="435">
        <f>'II-I-DIST'!S788+'II-I-MET'!S788+'II-I-TBILLTDCS'!S788</f>
        <v>0</v>
      </c>
      <c r="T788" s="17"/>
      <c r="U788" s="118">
        <f t="shared" si="211"/>
        <v>0</v>
      </c>
      <c r="V788" s="67"/>
      <c r="X788" s="370">
        <f t="shared" si="204"/>
        <v>0</v>
      </c>
    </row>
    <row r="789" spans="1:24" ht="15">
      <c r="A789" s="47"/>
      <c r="B789" s="17">
        <f t="shared" si="210"/>
        <v>11</v>
      </c>
      <c r="C789" s="8"/>
      <c r="D789" s="26" t="s">
        <v>491</v>
      </c>
      <c r="E789" s="20"/>
      <c r="F789" s="22">
        <f>SUM(F781:F788)</f>
        <v>630311.83000000007</v>
      </c>
      <c r="G789" s="20"/>
      <c r="H789" s="20"/>
      <c r="I789" s="20"/>
      <c r="J789" s="896">
        <f t="shared" si="212" ref="J789:Q789">SUM(J781:J788)</f>
        <v>331747.6031766918</v>
      </c>
      <c r="K789" s="896">
        <f t="shared" si="212"/>
        <v>8101.3480228239159</v>
      </c>
      <c r="L789" s="896">
        <f t="shared" si="212"/>
        <v>213603.10415416741</v>
      </c>
      <c r="M789" s="896">
        <f t="shared" si="212"/>
        <v>120.75863924332037</v>
      </c>
      <c r="N789" s="896">
        <f t="shared" si="212"/>
        <v>51111.135776057214</v>
      </c>
      <c r="O789" s="896">
        <f>SUM(O781:O788)</f>
        <v>18483.561728962442</v>
      </c>
      <c r="P789" s="896">
        <f t="shared" si="212"/>
        <v>0</v>
      </c>
      <c r="Q789" s="896">
        <f t="shared" si="212"/>
        <v>2154.4937221705841</v>
      </c>
      <c r="R789" s="896">
        <f>SUM(R781:R788)</f>
        <v>2215.3705596164536</v>
      </c>
      <c r="S789" s="896">
        <f>SUM(S781:S788)</f>
        <v>2774.4542202668545</v>
      </c>
      <c r="T789" s="1009"/>
      <c r="U789" s="299">
        <f t="shared" si="211"/>
        <v>630311.83000000019</v>
      </c>
      <c r="V789" s="67"/>
      <c r="W789" s="1300" t="b">
        <f>' WP II-I-1.4'!$L$789=U789</f>
        <v>1</v>
      </c>
      <c r="X789" s="370">
        <f t="shared" si="204"/>
        <v>0</v>
      </c>
    </row>
    <row r="790" spans="1:24" ht="14.25">
      <c r="A790" s="47"/>
      <c r="B790" s="17">
        <f t="shared" si="210"/>
        <v>12</v>
      </c>
      <c r="C790" s="1"/>
      <c r="D790" s="1"/>
      <c r="E790" s="17"/>
      <c r="F790" s="19"/>
      <c r="G790" s="17"/>
      <c r="H790" s="17"/>
      <c r="I790" s="17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7"/>
      <c r="U790" s="1"/>
      <c r="V790" s="67"/>
      <c r="X790" s="370">
        <f t="shared" si="204"/>
        <v>0</v>
      </c>
    </row>
    <row r="791" spans="1:24" ht="15">
      <c r="A791" s="47"/>
      <c r="B791" s="17">
        <f t="shared" si="210"/>
        <v>13</v>
      </c>
      <c r="C791" s="8"/>
      <c r="D791" s="26" t="s">
        <v>661</v>
      </c>
      <c r="E791" s="20"/>
      <c r="F791" s="22">
        <f>SUM(F782:F788)</f>
        <v>581539.10000000009</v>
      </c>
      <c r="G791" s="20"/>
      <c r="H791" s="20"/>
      <c r="I791" s="20"/>
      <c r="J791" s="896">
        <f t="shared" si="213" ref="J791:Q791">SUM(J782:J788)</f>
        <v>306077.39438831492</v>
      </c>
      <c r="K791" s="896">
        <f t="shared" si="213"/>
        <v>7474.4759875120853</v>
      </c>
      <c r="L791" s="896">
        <f t="shared" si="213"/>
        <v>197074.76686106424</v>
      </c>
      <c r="M791" s="896">
        <f t="shared" si="213"/>
        <v>111.41448889319626</v>
      </c>
      <c r="N791" s="896">
        <f t="shared" si="213"/>
        <v>47156.220912411103</v>
      </c>
      <c r="O791" s="896">
        <f>SUM(O782:O788)</f>
        <v>17053.327164516748</v>
      </c>
      <c r="P791" s="896">
        <f t="shared" si="213"/>
        <v>0</v>
      </c>
      <c r="Q791" s="896">
        <f t="shared" si="213"/>
        <v>1987.7817304281462</v>
      </c>
      <c r="R791" s="896">
        <f>SUM(R782:R788)</f>
        <v>2043.9479954007034</v>
      </c>
      <c r="S791" s="896">
        <f>SUM(S782:S788)</f>
        <v>2559.7704714588467</v>
      </c>
      <c r="T791" s="1009"/>
      <c r="U791" s="299">
        <f>SUM(I791:T791)</f>
        <v>581539.09999999998</v>
      </c>
      <c r="V791" s="67"/>
      <c r="W791" s="1300" t="b">
        <f>' WP II-I-1.4'!$L$791=U791</f>
        <v>1</v>
      </c>
      <c r="X791" s="370">
        <f t="shared" si="204"/>
        <v>0</v>
      </c>
    </row>
    <row r="792" spans="1:24" ht="14.25">
      <c r="A792" s="47"/>
      <c r="B792" s="17">
        <f t="shared" si="210"/>
        <v>14</v>
      </c>
      <c r="C792" s="1"/>
      <c r="D792" s="1"/>
      <c r="E792" s="17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"/>
      <c r="V792" s="67"/>
      <c r="X792" s="370">
        <f t="shared" si="204"/>
        <v>0</v>
      </c>
    </row>
    <row r="793" spans="1:24" ht="15">
      <c r="A793" s="47"/>
      <c r="B793" s="17">
        <f t="shared" si="210"/>
        <v>15</v>
      </c>
      <c r="C793" s="8"/>
      <c r="D793" s="366" t="s">
        <v>662</v>
      </c>
      <c r="E793" s="20" t="s">
        <v>279</v>
      </c>
      <c r="F793" s="22"/>
      <c r="G793" s="20"/>
      <c r="H793" s="20"/>
      <c r="I793" s="20"/>
      <c r="J793" s="1059"/>
      <c r="K793" s="1059"/>
      <c r="L793" s="1059"/>
      <c r="M793" s="1059"/>
      <c r="N793" s="1059"/>
      <c r="O793" s="1059"/>
      <c r="P793" s="1059"/>
      <c r="Q793" s="1059"/>
      <c r="R793" s="1059"/>
      <c r="S793" s="1059"/>
      <c r="T793" s="1009"/>
      <c r="U793" s="8"/>
      <c r="V793" s="67"/>
      <c r="X793" s="370">
        <f t="shared" si="204"/>
        <v>0</v>
      </c>
    </row>
    <row r="794" spans="1:24" ht="14.25">
      <c r="A794" s="47"/>
      <c r="B794" s="17">
        <f t="shared" si="210"/>
        <v>16</v>
      </c>
      <c r="C794" s="1" t="s">
        <v>178</v>
      </c>
      <c r="D794" s="1" t="s">
        <v>179</v>
      </c>
      <c r="E794" s="17"/>
      <c r="F794" s="290">
        <f>' WP II-I-1.4'!L794</f>
        <v>85793.720000000001</v>
      </c>
      <c r="G794" s="17" t="s">
        <v>805</v>
      </c>
      <c r="H794" s="47" t="s">
        <v>320</v>
      </c>
      <c r="I794" s="17"/>
      <c r="J794" s="434">
        <f>'II-I-DIST'!J794+'II-I-MET'!J794+'II-I-TBILLTDCS'!J794</f>
        <v>45155.206713496409</v>
      </c>
      <c r="K794" s="434">
        <f>'II-I-DIST'!K794+'II-I-MET'!K794+'II-I-TBILLTDCS'!K794</f>
        <v>1102.6998872807269</v>
      </c>
      <c r="L794" s="434">
        <f>'II-I-DIST'!L794+'II-I-MET'!L794+'II-I-TBILLTDCS'!L794</f>
        <v>29074.188420251412</v>
      </c>
      <c r="M794" s="434">
        <f>'II-I-DIST'!M794+'II-I-MET'!M794+'II-I-TBILLTDCS'!M794</f>
        <v>16.436837117308176</v>
      </c>
      <c r="N794" s="434">
        <f>'II-I-DIST'!N794+'II-I-MET'!N794+'II-I-TBILLTDCS'!N794</f>
        <v>6956.8969880400855</v>
      </c>
      <c r="O794" s="434">
        <f>'II-I-DIST'!O794+'II-I-MET'!O794+'II-I-TBILLTDCS'!O794</f>
        <v>2515.8555560940677</v>
      </c>
      <c r="P794" s="434">
        <f>'II-I-DIST'!P794+'II-I-MET'!P794+'II-I-TBILLTDCS'!P794</f>
        <v>0</v>
      </c>
      <c r="Q794" s="434">
        <f>'II-I-DIST'!Q794+'II-I-MET'!Q794+'II-I-TBILLTDCS'!Q794</f>
        <v>293.25489756659158</v>
      </c>
      <c r="R794" s="434">
        <f>'II-I-DIST'!R794+'II-I-MET'!R794+'II-I-TBILLTDCS'!R794</f>
        <v>301.5410348366417</v>
      </c>
      <c r="S794" s="434">
        <f>'II-I-DIST'!S794+'II-I-MET'!S794+'II-I-TBILLTDCS'!S794</f>
        <v>377.63966531675732</v>
      </c>
      <c r="T794" s="17"/>
      <c r="U794" s="118">
        <f t="shared" si="214" ref="U794:U800">SUM(I794:T794)</f>
        <v>85793.719999999987</v>
      </c>
      <c r="V794" s="67"/>
      <c r="X794" s="370">
        <f t="shared" si="204"/>
        <v>0</v>
      </c>
    </row>
    <row r="795" spans="1:24" ht="14.25">
      <c r="A795" s="47"/>
      <c r="B795" s="17">
        <f t="shared" si="210"/>
        <v>17</v>
      </c>
      <c r="C795" s="1" t="s">
        <v>180</v>
      </c>
      <c r="D795" s="31" t="s">
        <v>181</v>
      </c>
      <c r="E795" s="17"/>
      <c r="F795" s="290">
        <f>' WP II-I-1.4'!L795</f>
        <v>0</v>
      </c>
      <c r="G795" s="17" t="s">
        <v>805</v>
      </c>
      <c r="H795" s="47" t="s">
        <v>320</v>
      </c>
      <c r="I795" s="17"/>
      <c r="J795" s="434">
        <f>'II-I-DIST'!J795+'II-I-MET'!J795+'II-I-TBILLTDCS'!J795</f>
        <v>0</v>
      </c>
      <c r="K795" s="434">
        <f>'II-I-DIST'!K795+'II-I-MET'!K795+'II-I-TBILLTDCS'!K795</f>
        <v>0</v>
      </c>
      <c r="L795" s="434">
        <f>'II-I-DIST'!L795+'II-I-MET'!L795+'II-I-TBILLTDCS'!L795</f>
        <v>0</v>
      </c>
      <c r="M795" s="434">
        <f>'II-I-DIST'!M795+'II-I-MET'!M795+'II-I-TBILLTDCS'!M795</f>
        <v>0</v>
      </c>
      <c r="N795" s="434">
        <f>'II-I-DIST'!N795+'II-I-MET'!N795+'II-I-TBILLTDCS'!N795</f>
        <v>0</v>
      </c>
      <c r="O795" s="434">
        <f>'II-I-DIST'!O795+'II-I-MET'!O795+'II-I-TBILLTDCS'!O795</f>
        <v>0</v>
      </c>
      <c r="P795" s="434">
        <f>'II-I-DIST'!P795+'II-I-MET'!P795+'II-I-TBILLTDCS'!P795</f>
        <v>0</v>
      </c>
      <c r="Q795" s="434">
        <f>'II-I-DIST'!Q795+'II-I-MET'!Q795+'II-I-TBILLTDCS'!Q795</f>
        <v>0</v>
      </c>
      <c r="R795" s="434">
        <f>'II-I-DIST'!R795+'II-I-MET'!R795+'II-I-TBILLTDCS'!R795</f>
        <v>0</v>
      </c>
      <c r="S795" s="434">
        <f>'II-I-DIST'!S795+'II-I-MET'!S795+'II-I-TBILLTDCS'!S795</f>
        <v>0</v>
      </c>
      <c r="T795" s="17"/>
      <c r="U795" s="118">
        <f t="shared" si="214"/>
        <v>0</v>
      </c>
      <c r="V795" s="67"/>
      <c r="X795" s="370">
        <f t="shared" si="204"/>
        <v>0</v>
      </c>
    </row>
    <row r="796" spans="1:24" ht="14.25">
      <c r="A796" s="47"/>
      <c r="B796" s="17">
        <f t="shared" si="210"/>
        <v>18</v>
      </c>
      <c r="C796" s="1" t="s">
        <v>182</v>
      </c>
      <c r="D796" s="1" t="s">
        <v>183</v>
      </c>
      <c r="E796" s="17"/>
      <c r="F796" s="290">
        <f>' WP II-I-1.4'!L796</f>
        <v>70648.929999999993</v>
      </c>
      <c r="G796" s="17" t="s">
        <v>805</v>
      </c>
      <c r="H796" s="47" t="s">
        <v>320</v>
      </c>
      <c r="I796" s="17"/>
      <c r="J796" s="434">
        <f>'II-I-DIST'!J796+'II-I-MET'!J796+'II-I-TBILLTDCS'!J796</f>
        <v>37184.155649589942</v>
      </c>
      <c r="K796" s="434">
        <f>'II-I-DIST'!K796+'II-I-MET'!K796+'II-I-TBILLTDCS'!K796</f>
        <v>908.04510105755935</v>
      </c>
      <c r="L796" s="434">
        <f>'II-I-DIST'!L796+'II-I-MET'!L796+'II-I-TBILLTDCS'!L796</f>
        <v>23941.849152935112</v>
      </c>
      <c r="M796" s="434">
        <f>'II-I-DIST'!M796+'II-I-MET'!M796+'II-I-TBILLTDCS'!M796</f>
        <v>13.535314180596282</v>
      </c>
      <c r="N796" s="434">
        <f>'II-I-DIST'!N796+'II-I-MET'!N796+'II-I-TBILLTDCS'!N796</f>
        <v>5728.8264027396735</v>
      </c>
      <c r="O796" s="434">
        <f>'II-I-DIST'!O796+'II-I-MET'!O796+'II-I-TBILLTDCS'!O796</f>
        <v>2071.7425829373155</v>
      </c>
      <c r="P796" s="434">
        <f>'II-I-DIST'!P796+'II-I-MET'!P796+'II-I-TBILLTDCS'!P796</f>
        <v>0</v>
      </c>
      <c r="Q796" s="434">
        <f>'II-I-DIST'!Q796+'II-I-MET'!Q796+'II-I-TBILLTDCS'!Q796</f>
        <v>241.48789363999248</v>
      </c>
      <c r="R796" s="434">
        <f>'II-I-DIST'!R796+'II-I-MET'!R796+'II-I-TBILLTDCS'!R796</f>
        <v>248.31131535386803</v>
      </c>
      <c r="S796" s="434">
        <f>'II-I-DIST'!S796+'II-I-MET'!S796+'II-I-TBILLTDCS'!S796</f>
        <v>310.97658756593154</v>
      </c>
      <c r="T796" s="17"/>
      <c r="U796" s="118">
        <f t="shared" si="214"/>
        <v>70648.929999999993</v>
      </c>
      <c r="V796" s="67"/>
      <c r="X796" s="370">
        <f t="shared" si="204"/>
        <v>0</v>
      </c>
    </row>
    <row r="797" spans="1:24" ht="14.25">
      <c r="A797" s="47"/>
      <c r="B797" s="17">
        <f t="shared" si="210"/>
        <v>19</v>
      </c>
      <c r="C797" s="1" t="s">
        <v>184</v>
      </c>
      <c r="D797" s="1" t="s">
        <v>185</v>
      </c>
      <c r="E797" s="17"/>
      <c r="F797" s="290">
        <f>' WP II-I-1.4'!L797</f>
        <v>4236.9099999999999</v>
      </c>
      <c r="G797" s="17" t="s">
        <v>805</v>
      </c>
      <c r="H797" s="47" t="s">
        <v>320</v>
      </c>
      <c r="I797" s="17"/>
      <c r="J797" s="434">
        <f>'II-I-DIST'!J797+'II-I-MET'!J797+'II-I-TBILLTDCS'!J797</f>
        <v>2229.9831138745362</v>
      </c>
      <c r="K797" s="434">
        <f>'II-I-DIST'!K797+'II-I-MET'!K797+'II-I-TBILLTDCS'!K797</f>
        <v>54.456668616520929</v>
      </c>
      <c r="L797" s="434">
        <f>'II-I-DIST'!L797+'II-I-MET'!L797+'II-I-TBILLTDCS'!L797</f>
        <v>1435.8244363299248</v>
      </c>
      <c r="M797" s="434">
        <f>'II-I-DIST'!M797+'II-I-MET'!M797+'II-I-TBILLTDCS'!M797</f>
        <v>0.81173073682659025</v>
      </c>
      <c r="N797" s="434">
        <f>'II-I-DIST'!N797+'II-I-MET'!N797+'II-I-TBILLTDCS'!N797</f>
        <v>343.56531477591739</v>
      </c>
      <c r="O797" s="434">
        <f>'II-I-DIST'!O797+'II-I-MET'!O797+'II-I-TBILLTDCS'!O797</f>
        <v>124.24514946047934</v>
      </c>
      <c r="P797" s="434">
        <f>'II-I-DIST'!P797+'II-I-MET'!P797+'II-I-TBILLTDCS'!P797</f>
        <v>0</v>
      </c>
      <c r="Q797" s="434">
        <f>'II-I-DIST'!Q797+'II-I-MET'!Q797+'II-I-TBILLTDCS'!Q797</f>
        <v>14.482349151533089</v>
      </c>
      <c r="R797" s="434">
        <f>'II-I-DIST'!R797+'II-I-MET'!R797+'II-I-TBILLTDCS'!R797</f>
        <v>14.891558798356281</v>
      </c>
      <c r="S797" s="434">
        <f>'II-I-DIST'!S797+'II-I-MET'!S797+'II-I-TBILLTDCS'!S797</f>
        <v>18.649678255905236</v>
      </c>
      <c r="T797" s="17"/>
      <c r="U797" s="118">
        <f t="shared" si="214"/>
        <v>4236.9100000000008</v>
      </c>
      <c r="V797" s="67"/>
      <c r="X797" s="370">
        <f t="shared" si="204"/>
        <v>0</v>
      </c>
    </row>
    <row r="798" spans="1:24" ht="14.25">
      <c r="A798" s="47"/>
      <c r="B798" s="17">
        <f t="shared" si="210"/>
        <v>20</v>
      </c>
      <c r="C798" s="1" t="s">
        <v>186</v>
      </c>
      <c r="D798" s="31" t="s">
        <v>187</v>
      </c>
      <c r="E798" s="17"/>
      <c r="F798" s="290">
        <f>' WP II-I-1.4'!L798</f>
        <v>0</v>
      </c>
      <c r="G798" s="17" t="s">
        <v>805</v>
      </c>
      <c r="H798" s="47" t="s">
        <v>320</v>
      </c>
      <c r="I798" s="17"/>
      <c r="J798" s="434">
        <f>'II-I-DIST'!J798+'II-I-MET'!J798+'II-I-TBILLTDCS'!J798</f>
        <v>0</v>
      </c>
      <c r="K798" s="434">
        <f>'II-I-DIST'!K798+'II-I-MET'!K798+'II-I-TBILLTDCS'!K798</f>
        <v>0</v>
      </c>
      <c r="L798" s="434">
        <f>'II-I-DIST'!L798+'II-I-MET'!L798+'II-I-TBILLTDCS'!L798</f>
        <v>0</v>
      </c>
      <c r="M798" s="434">
        <f>'II-I-DIST'!M798+'II-I-MET'!M798+'II-I-TBILLTDCS'!M798</f>
        <v>0</v>
      </c>
      <c r="N798" s="434">
        <f>'II-I-DIST'!N798+'II-I-MET'!N798+'II-I-TBILLTDCS'!N798</f>
        <v>0</v>
      </c>
      <c r="O798" s="434">
        <f>'II-I-DIST'!O798+'II-I-MET'!O798+'II-I-TBILLTDCS'!O798</f>
        <v>0</v>
      </c>
      <c r="P798" s="434">
        <f>'II-I-DIST'!P798+'II-I-MET'!P798+'II-I-TBILLTDCS'!P798</f>
        <v>0</v>
      </c>
      <c r="Q798" s="434">
        <f>'II-I-DIST'!Q798+'II-I-MET'!Q798+'II-I-TBILLTDCS'!Q798</f>
        <v>0</v>
      </c>
      <c r="R798" s="434">
        <f>'II-I-DIST'!R798+'II-I-MET'!R798+'II-I-TBILLTDCS'!R798</f>
        <v>0</v>
      </c>
      <c r="S798" s="434">
        <f>'II-I-DIST'!S798+'II-I-MET'!S798+'II-I-TBILLTDCS'!S798</f>
        <v>0</v>
      </c>
      <c r="T798" s="17"/>
      <c r="U798" s="118">
        <f t="shared" si="214"/>
        <v>0</v>
      </c>
      <c r="V798" s="67"/>
      <c r="X798" s="370">
        <f t="shared" si="204"/>
        <v>0</v>
      </c>
    </row>
    <row r="799" spans="1:24" ht="14.25">
      <c r="A799" s="47"/>
      <c r="B799" s="17">
        <f t="shared" si="210"/>
        <v>21</v>
      </c>
      <c r="C799" s="1" t="s">
        <v>188</v>
      </c>
      <c r="D799" s="31" t="s">
        <v>189</v>
      </c>
      <c r="E799" s="17"/>
      <c r="F799" s="290">
        <f>' WP II-I-1.4'!L799</f>
        <v>1299.9400000000001</v>
      </c>
      <c r="G799" s="17" t="s">
        <v>805</v>
      </c>
      <c r="H799" s="47" t="s">
        <v>320</v>
      </c>
      <c r="I799" s="17"/>
      <c r="J799" s="435">
        <f>'II-I-DIST'!J799+'II-I-MET'!J799+'II-I-TBILLTDCS'!J799</f>
        <v>684.188299739684</v>
      </c>
      <c r="K799" s="435">
        <f>'II-I-DIST'!K799+'II-I-MET'!K799+'II-I-TBILLTDCS'!K799</f>
        <v>16.708025849347809</v>
      </c>
      <c r="L799" s="435">
        <f>'II-I-DIST'!L799+'II-I-MET'!L799+'II-I-TBILLTDCS'!L799</f>
        <v>440.52991868194567</v>
      </c>
      <c r="M799" s="435">
        <f>'II-I-DIST'!M799+'II-I-MET'!M799+'II-I-TBILLTDCS'!M799</f>
        <v>0.24904972114827972</v>
      </c>
      <c r="N799" s="435">
        <f>'II-I-DIST'!N799+'II-I-MET'!N799+'II-I-TBILLTDCS'!N799</f>
        <v>105.41038051075101</v>
      </c>
      <c r="O799" s="435">
        <f>'II-I-DIST'!O799+'II-I-MET'!O799+'II-I-TBILLTDCS'!O799</f>
        <v>38.120054376811289</v>
      </c>
      <c r="P799" s="435">
        <f>'II-I-DIST'!P799+'II-I-MET'!P799+'II-I-TBILLTDCS'!P799</f>
        <v>0</v>
      </c>
      <c r="Q799" s="435">
        <f>'II-I-DIST'!Q799+'II-I-MET'!Q799+'II-I-TBILLTDCS'!Q799</f>
        <v>4.4433761765163586</v>
      </c>
      <c r="R799" s="435">
        <f>'II-I-DIST'!R799+'II-I-MET'!R799+'II-I-TBILLTDCS'!R799</f>
        <v>4.5689271059180543</v>
      </c>
      <c r="S799" s="435">
        <f>'II-I-DIST'!S799+'II-I-MET'!S799+'II-I-TBILLTDCS'!S799</f>
        <v>5.7219678378774752</v>
      </c>
      <c r="T799" s="17"/>
      <c r="U799" s="118">
        <f t="shared" si="214"/>
        <v>1299.9399999999998</v>
      </c>
      <c r="V799" s="67"/>
      <c r="X799" s="370">
        <f t="shared" si="204"/>
        <v>0</v>
      </c>
    </row>
    <row r="800" spans="1:24" ht="15">
      <c r="A800" s="47"/>
      <c r="B800" s="17">
        <f t="shared" si="210"/>
        <v>22</v>
      </c>
      <c r="C800" s="8"/>
      <c r="D800" s="26" t="s">
        <v>491</v>
      </c>
      <c r="E800" s="20"/>
      <c r="F800" s="22">
        <f>SUM(F794:F799)</f>
        <v>161979.5</v>
      </c>
      <c r="G800" s="20"/>
      <c r="H800" s="20"/>
      <c r="I800" s="20"/>
      <c r="J800" s="896">
        <f t="shared" si="215" ref="J800:Q800">SUM(J794:J799)</f>
        <v>85253.533776700569</v>
      </c>
      <c r="K800" s="896">
        <f t="shared" si="215"/>
        <v>2081.9096828041552</v>
      </c>
      <c r="L800" s="896">
        <f t="shared" si="215"/>
        <v>54892.391928198391</v>
      </c>
      <c r="M800" s="896">
        <f t="shared" si="215"/>
        <v>31.032931755879329</v>
      </c>
      <c r="N800" s="896">
        <f t="shared" si="215"/>
        <v>13134.699086066428</v>
      </c>
      <c r="O800" s="896">
        <f>SUM(O794:O799)</f>
        <v>4749.963342868673</v>
      </c>
      <c r="P800" s="896">
        <f t="shared" si="215"/>
        <v>0</v>
      </c>
      <c r="Q800" s="896">
        <f t="shared" si="215"/>
        <v>553.66851653463357</v>
      </c>
      <c r="R800" s="896">
        <f>SUM(R794:R799)</f>
        <v>569.31283609478407</v>
      </c>
      <c r="S800" s="896">
        <f>SUM(S794:S799)</f>
        <v>712.98789897647157</v>
      </c>
      <c r="T800" s="1009"/>
      <c r="U800" s="299">
        <f t="shared" si="214"/>
        <v>161979.5</v>
      </c>
      <c r="V800" s="67"/>
      <c r="W800" s="1300" t="b">
        <f>' WP II-I-1.4'!$L$800=U800</f>
        <v>1</v>
      </c>
      <c r="X800" s="370">
        <f t="shared" si="204"/>
        <v>0</v>
      </c>
    </row>
    <row r="801" spans="1:24" ht="14.25">
      <c r="A801" s="47"/>
      <c r="B801" s="17">
        <f t="shared" si="210"/>
        <v>23</v>
      </c>
      <c r="C801" s="1"/>
      <c r="D801" s="1"/>
      <c r="E801" s="17"/>
      <c r="F801" s="19"/>
      <c r="G801" s="17"/>
      <c r="H801" s="17"/>
      <c r="I801" s="17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7"/>
      <c r="U801" s="1"/>
      <c r="V801" s="67"/>
      <c r="X801" s="370">
        <f t="shared" si="204"/>
        <v>0</v>
      </c>
    </row>
    <row r="802" spans="1:24" ht="15">
      <c r="A802" s="47"/>
      <c r="B802" s="17">
        <f t="shared" si="210"/>
        <v>24</v>
      </c>
      <c r="C802" s="8"/>
      <c r="D802" s="26" t="s">
        <v>663</v>
      </c>
      <c r="E802" s="20"/>
      <c r="F802" s="22">
        <f>SUM(F795:F799)</f>
        <v>76185.779999999999</v>
      </c>
      <c r="G802" s="20"/>
      <c r="H802" s="20"/>
      <c r="I802" s="20"/>
      <c r="J802" s="22">
        <f t="shared" si="216" ref="J802:Q802">SUM(J795:J799)</f>
        <v>40098.32706320416</v>
      </c>
      <c r="K802" s="22">
        <f t="shared" si="216"/>
        <v>979.20979552342806</v>
      </c>
      <c r="L802" s="22">
        <f t="shared" si="216"/>
        <v>25818.203507946982</v>
      </c>
      <c r="M802" s="22">
        <f t="shared" si="216"/>
        <v>14.596094638571152</v>
      </c>
      <c r="N802" s="22">
        <f t="shared" si="216"/>
        <v>6177.8020980263418</v>
      </c>
      <c r="O802" s="22">
        <f>SUM(O795:O799)</f>
        <v>2234.1077867746062</v>
      </c>
      <c r="P802" s="22">
        <f t="shared" si="216"/>
        <v>0</v>
      </c>
      <c r="Q802" s="22">
        <f t="shared" si="216"/>
        <v>260.41361896804193</v>
      </c>
      <c r="R802" s="22">
        <f>SUM(R795:R799)</f>
        <v>267.77180125814238</v>
      </c>
      <c r="S802" s="22">
        <f>SUM(S795:S799)</f>
        <v>335.34823365971425</v>
      </c>
      <c r="T802" s="20"/>
      <c r="U802" s="299">
        <f>SUM(I802:T802)</f>
        <v>76185.779999999984</v>
      </c>
      <c r="V802" s="67"/>
      <c r="W802" s="1300" t="b">
        <f>' WP II-I-1.4'!$L$802=U802</f>
        <v>1</v>
      </c>
      <c r="X802" s="370">
        <f t="shared" si="204"/>
        <v>0</v>
      </c>
    </row>
    <row r="803" spans="1:24" ht="15" thickBot="1">
      <c r="A803" s="47"/>
      <c r="B803" s="17">
        <f t="shared" si="210"/>
        <v>25</v>
      </c>
      <c r="C803" s="1"/>
      <c r="D803" s="1"/>
      <c r="E803" s="17"/>
      <c r="F803" s="19"/>
      <c r="G803" s="17"/>
      <c r="H803" s="17"/>
      <c r="I803" s="17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7"/>
      <c r="U803" s="1"/>
      <c r="V803" s="67"/>
      <c r="X803" s="370">
        <f t="shared" si="204"/>
        <v>0</v>
      </c>
    </row>
    <row r="804" spans="1:24" ht="15.75" thickBot="1">
      <c r="A804" s="47"/>
      <c r="B804" s="17">
        <f>B801+1</f>
        <v>24</v>
      </c>
      <c r="C804" s="870" t="s">
        <v>664</v>
      </c>
      <c r="D804" s="1012"/>
      <c r="E804" s="1013"/>
      <c r="F804" s="1014">
        <f>+F800+F789</f>
        <v>792291.33000000007</v>
      </c>
      <c r="G804" s="1013"/>
      <c r="H804" s="1013"/>
      <c r="I804" s="1016"/>
      <c r="J804" s="1014">
        <f t="shared" si="217" ref="J804:Q804">+J800+J789</f>
        <v>417001.13695339236</v>
      </c>
      <c r="K804" s="1014">
        <f t="shared" si="217"/>
        <v>10183.257705628072</v>
      </c>
      <c r="L804" s="1014">
        <f t="shared" si="217"/>
        <v>268495.4960823658</v>
      </c>
      <c r="M804" s="1014">
        <f t="shared" si="217"/>
        <v>151.79157099919971</v>
      </c>
      <c r="N804" s="1014">
        <f t="shared" si="217"/>
        <v>64245.834862123644</v>
      </c>
      <c r="O804" s="1014">
        <f>+O800+O789</f>
        <v>23233.525071831114</v>
      </c>
      <c r="P804" s="1014">
        <f t="shared" si="217"/>
        <v>0</v>
      </c>
      <c r="Q804" s="1014">
        <f t="shared" si="217"/>
        <v>2708.1622387052175</v>
      </c>
      <c r="R804" s="1014">
        <f>+R800+R789</f>
        <v>2784.6833957112376</v>
      </c>
      <c r="S804" s="1014">
        <f>+S800+S789</f>
        <v>3487.442119243326</v>
      </c>
      <c r="T804" s="1016"/>
      <c r="U804" s="1015">
        <f>SUM(I804:T804)</f>
        <v>792291.32999999984</v>
      </c>
      <c r="V804" s="67"/>
      <c r="W804" s="1300" t="b">
        <f>' WP II-I-1.4'!$L$804=U804</f>
        <v>1</v>
      </c>
      <c r="X804" s="370">
        <f t="shared" si="204"/>
        <v>0</v>
      </c>
    </row>
    <row r="805" spans="1:24" ht="14.25">
      <c r="A805" s="47"/>
      <c r="B805" s="17"/>
      <c r="C805" s="1"/>
      <c r="D805" s="1"/>
      <c r="E805" s="17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"/>
      <c r="V805" s="67"/>
      <c r="X805" s="370">
        <f t="shared" si="204"/>
        <v>0</v>
      </c>
    </row>
    <row r="806" spans="1:24" ht="14.25">
      <c r="A806" s="47"/>
      <c r="B806" s="17"/>
      <c r="C806" s="1"/>
      <c r="D806" s="1"/>
      <c r="E806" s="17"/>
      <c r="F806" s="19"/>
      <c r="G806" s="17"/>
      <c r="H806" s="13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34"/>
      <c r="V806" s="134"/>
      <c r="X806" s="370"/>
    </row>
    <row r="807" spans="1:24" ht="15" thickBot="1">
      <c r="A807" s="47"/>
      <c r="B807" s="17"/>
      <c r="C807" s="1"/>
      <c r="D807" s="1"/>
      <c r="E807" s="17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"/>
      <c r="V807" s="67"/>
      <c r="X807" s="370">
        <f t="shared" si="218" ref="X807:X869">U807-F807</f>
        <v>0</v>
      </c>
    </row>
    <row r="808" spans="1:24" ht="15">
      <c r="A808" s="47"/>
      <c r="B808" s="920" t="str">
        <f>+$B$4</f>
        <v>2022 RATE CASE</v>
      </c>
      <c r="C808" s="935"/>
      <c r="D808" s="620"/>
      <c r="F808" s="12"/>
      <c r="U808" s="134"/>
      <c r="X808" s="370">
        <f t="shared" si="218"/>
        <v>0</v>
      </c>
    </row>
    <row r="809" spans="1:24" ht="15">
      <c r="A809" s="47"/>
      <c r="B809" s="917" t="str">
        <f>+$B$5</f>
        <v>ONCOR ELECTRIC DELIVERY COMPANY LLC</v>
      </c>
      <c r="C809" s="8"/>
      <c r="D809" s="621"/>
      <c r="F809" s="12"/>
      <c r="U809" s="134"/>
      <c r="V809" s="67"/>
      <c r="X809" s="370">
        <f t="shared" si="218"/>
        <v>0</v>
      </c>
    </row>
    <row r="810" spans="1:24" ht="15">
      <c r="A810" s="47"/>
      <c r="B810" s="917" t="str">
        <f>+$B$6</f>
        <v>II-I-1-TOT:  CLASS REVENUE REQUIREMENT</v>
      </c>
      <c r="C810" s="85"/>
      <c r="D810" s="621"/>
      <c r="F810" s="12"/>
      <c r="U810" s="12"/>
      <c r="V810" s="67"/>
      <c r="X810" s="370">
        <f t="shared" si="218"/>
        <v>0</v>
      </c>
    </row>
    <row r="811" spans="1:24" ht="15">
      <c r="A811" s="47"/>
      <c r="B811" s="406" t="str">
        <f>+$B$7</f>
        <v>TEST YEAR ENDING 12/31/2021</v>
      </c>
      <c r="C811" s="85"/>
      <c r="D811" s="621"/>
      <c r="F811" s="12"/>
      <c r="U811" s="12"/>
      <c r="V811" s="67"/>
      <c r="X811" s="370">
        <f t="shared" si="218"/>
        <v>0</v>
      </c>
    </row>
    <row r="812" spans="1:24" ht="15">
      <c r="A812" s="47"/>
      <c r="B812" s="406" t="str">
        <f>+$B$8</f>
        <v>SPONSOR:  MATTHEW A. TROXLE</v>
      </c>
      <c r="C812" s="85"/>
      <c r="D812" s="621"/>
      <c r="F812" s="12"/>
      <c r="U812" s="12"/>
      <c r="V812" s="67"/>
      <c r="X812" s="370">
        <f t="shared" si="218"/>
        <v>0</v>
      </c>
    </row>
    <row r="813" spans="1:24" ht="15.75" thickBot="1">
      <c r="A813" s="47"/>
      <c r="B813" s="410"/>
      <c r="C813" s="934"/>
      <c r="D813" s="622"/>
      <c r="F813" s="12"/>
      <c r="U813" s="12"/>
      <c r="V813" s="67"/>
      <c r="X813" s="370">
        <f t="shared" si="218"/>
        <v>0</v>
      </c>
    </row>
    <row r="814" spans="1:24" ht="15" thickBot="1">
      <c r="A814" s="47"/>
      <c r="B814" s="13"/>
      <c r="C814" s="14"/>
      <c r="D814" s="14"/>
      <c r="E814" s="14"/>
      <c r="F814" s="13"/>
      <c r="G814" s="14"/>
      <c r="H814" s="14"/>
      <c r="I814" s="14"/>
      <c r="J814" s="238"/>
      <c r="K814" s="238"/>
      <c r="L814" s="14"/>
      <c r="M814" s="238"/>
      <c r="N814" s="238"/>
      <c r="O814" s="238"/>
      <c r="P814" s="238"/>
      <c r="Q814" s="14"/>
      <c r="R814" s="393" t="str">
        <f>R$10</f>
        <v xml:space="preserve"> </v>
      </c>
      <c r="S814" s="394"/>
      <c r="T814" s="238"/>
      <c r="U814" s="13"/>
      <c r="V814" s="67"/>
      <c r="X814" s="370">
        <f t="shared" si="218"/>
        <v>0</v>
      </c>
    </row>
    <row r="815" spans="1:24" ht="15">
      <c r="A815" s="47"/>
      <c r="B815" s="15" t="s">
        <v>2</v>
      </c>
      <c r="C815" s="15" t="s">
        <v>370</v>
      </c>
      <c r="D815" s="287" t="s">
        <v>665</v>
      </c>
      <c r="E815" s="15" t="s">
        <v>371</v>
      </c>
      <c r="F815" s="287" t="str">
        <f>F$11</f>
        <v>TOTAL</v>
      </c>
      <c r="G815" s="242" t="s">
        <v>741</v>
      </c>
      <c r="H815" s="242" t="s">
        <v>376</v>
      </c>
      <c r="I815" s="15"/>
      <c r="J815" s="242" t="s">
        <v>730</v>
      </c>
      <c r="K815" s="242" t="s">
        <v>409</v>
      </c>
      <c r="L815" s="15" t="s">
        <v>409</v>
      </c>
      <c r="M815" s="242" t="s">
        <v>410</v>
      </c>
      <c r="N815" s="242" t="s">
        <v>410</v>
      </c>
      <c r="O815" s="242" t="s">
        <v>410</v>
      </c>
      <c r="P815" s="242" t="s">
        <v>411</v>
      </c>
      <c r="Q815" s="15" t="s">
        <v>412</v>
      </c>
      <c r="R815" s="396" t="str">
        <f>R$11</f>
        <v>Wholesale</v>
      </c>
      <c r="S815" s="13" t="str">
        <f>S$11</f>
        <v>Wholesale</v>
      </c>
      <c r="T815" s="242"/>
      <c r="U815" s="15" t="s">
        <v>10</v>
      </c>
      <c r="V815" s="67"/>
      <c r="X815" s="370"/>
    </row>
    <row r="816" spans="1:24" ht="14.25">
      <c r="A816" s="47"/>
      <c r="B816" s="15"/>
      <c r="C816" s="15"/>
      <c r="D816" s="15"/>
      <c r="E816" s="15"/>
      <c r="F816" s="15" t="str">
        <f>F$12</f>
        <v>(Dist+Met+Cust)</v>
      </c>
      <c r="G816" s="242" t="s">
        <v>742</v>
      </c>
      <c r="H816" s="242" t="s">
        <v>743</v>
      </c>
      <c r="I816" s="15"/>
      <c r="J816" s="242"/>
      <c r="K816" s="242" t="s">
        <v>731</v>
      </c>
      <c r="L816" s="15" t="s">
        <v>732</v>
      </c>
      <c r="M816" s="242" t="s">
        <v>731</v>
      </c>
      <c r="N816" s="242" t="s">
        <v>732</v>
      </c>
      <c r="O816" s="242" t="s">
        <v>414</v>
      </c>
      <c r="P816" s="242"/>
      <c r="Q816" s="15"/>
      <c r="R816" s="235" t="str">
        <f>R$12</f>
        <v>XFMR</v>
      </c>
      <c r="S816" s="15" t="str">
        <f>S$12</f>
        <v>DLS</v>
      </c>
      <c r="T816" s="242"/>
      <c r="U816" s="15"/>
      <c r="V816" s="67"/>
      <c r="X816" s="370"/>
    </row>
    <row r="817" spans="1:24" ht="15" thickBot="1">
      <c r="A817" s="47"/>
      <c r="B817" s="16"/>
      <c r="C817" s="16"/>
      <c r="D817" s="16"/>
      <c r="E817" s="16"/>
      <c r="F817" s="16" t="s">
        <v>13</v>
      </c>
      <c r="G817" s="16" t="s">
        <v>14</v>
      </c>
      <c r="H817" s="16" t="s">
        <v>15</v>
      </c>
      <c r="I817" s="16"/>
      <c r="J817" s="243" t="str">
        <f t="shared" si="219" ref="J817:Q817">J$13</f>
        <v>(d)</v>
      </c>
      <c r="K817" s="243" t="str">
        <f t="shared" si="219"/>
        <v>(e)</v>
      </c>
      <c r="L817" s="16" t="str">
        <f t="shared" si="219"/>
        <v>(f)</v>
      </c>
      <c r="M817" s="243" t="str">
        <f t="shared" si="219"/>
        <v>(g)</v>
      </c>
      <c r="N817" s="243" t="str">
        <f t="shared" si="219"/>
        <v>(h)</v>
      </c>
      <c r="O817" s="243" t="str">
        <f>O$13</f>
        <v>(i)</v>
      </c>
      <c r="P817" s="243" t="str">
        <f t="shared" si="219"/>
        <v>(j)</v>
      </c>
      <c r="Q817" s="243" t="str">
        <f t="shared" si="219"/>
        <v>(k)</v>
      </c>
      <c r="R817" s="243" t="str">
        <f>R$13</f>
        <v>(l)</v>
      </c>
      <c r="S817" s="16" t="str">
        <f>S$13</f>
        <v>(m)</v>
      </c>
      <c r="T817" s="16"/>
      <c r="U817" s="16" t="s">
        <v>734</v>
      </c>
      <c r="V817" s="67"/>
      <c r="X817" s="370"/>
    </row>
    <row r="818" spans="1:24" ht="14.25">
      <c r="A818" s="47"/>
      <c r="B818" s="67"/>
      <c r="C818" s="100"/>
      <c r="D818" s="100"/>
      <c r="E818" s="315"/>
      <c r="F818" s="373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1"/>
      <c r="V818" s="67"/>
      <c r="X818" s="370">
        <f t="shared" si="218"/>
        <v>0</v>
      </c>
    </row>
    <row r="819" spans="1:24" ht="15">
      <c r="A819" s="47"/>
      <c r="B819" s="17">
        <f>B805+1</f>
        <v>1</v>
      </c>
      <c r="C819" s="8" t="s">
        <v>665</v>
      </c>
      <c r="D819" s="8"/>
      <c r="E819" s="20"/>
      <c r="F819" s="22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8"/>
      <c r="V819" s="67"/>
      <c r="X819" s="370">
        <f t="shared" si="218"/>
        <v>0</v>
      </c>
    </row>
    <row r="820" spans="1:24" ht="15">
      <c r="A820" s="47"/>
      <c r="B820" s="17">
        <f t="shared" si="220" ref="B820:B851">B819+1</f>
        <v>2</v>
      </c>
      <c r="C820" s="8"/>
      <c r="D820" s="366" t="s">
        <v>660</v>
      </c>
      <c r="E820" s="20" t="s">
        <v>279</v>
      </c>
      <c r="F820" s="22"/>
      <c r="G820" s="20"/>
      <c r="H820" s="20"/>
      <c r="I820" s="20"/>
      <c r="J820" s="1059"/>
      <c r="K820" s="1059"/>
      <c r="L820" s="1059"/>
      <c r="M820" s="1059"/>
      <c r="N820" s="1059"/>
      <c r="O820" s="1059"/>
      <c r="P820" s="1059"/>
      <c r="Q820" s="1059"/>
      <c r="R820" s="1059"/>
      <c r="S820" s="1059"/>
      <c r="T820" s="20"/>
      <c r="U820" s="8"/>
      <c r="V820" s="67"/>
      <c r="X820" s="370">
        <f t="shared" si="218"/>
        <v>0</v>
      </c>
    </row>
    <row r="821" spans="1:24" ht="14.25">
      <c r="A821" s="47"/>
      <c r="B821" s="17">
        <f t="shared" si="220"/>
        <v>3</v>
      </c>
      <c r="C821" s="1" t="s">
        <v>192</v>
      </c>
      <c r="D821" s="1" t="s">
        <v>193</v>
      </c>
      <c r="E821" s="17"/>
      <c r="F821" s="290">
        <f>' WP II-I-1.4'!L821</f>
        <v>9544431.3300000001</v>
      </c>
      <c r="G821" s="17" t="s">
        <v>805</v>
      </c>
      <c r="H821" s="47" t="s">
        <v>320</v>
      </c>
      <c r="I821" s="17"/>
      <c r="J821" s="434">
        <f>'II-I-DIST'!J821+'II-I-MET'!J821+'II-I-TBILLTDCS'!J821</f>
        <v>5023453.5775919436</v>
      </c>
      <c r="K821" s="434">
        <f>'II-I-DIST'!K821+'II-I-MET'!K821+'II-I-TBILLTDCS'!K821</f>
        <v>122673.81985242787</v>
      </c>
      <c r="L821" s="434">
        <f>'II-I-DIST'!L821+'II-I-MET'!L821+'II-I-TBILLTDCS'!L821</f>
        <v>3234462.7887981865</v>
      </c>
      <c r="M821" s="434">
        <f>'II-I-DIST'!M821+'II-I-MET'!M821+'II-I-TBILLTDCS'!M821</f>
        <v>1828.575135202705</v>
      </c>
      <c r="N821" s="434">
        <f>'II-I-DIST'!N821+'II-I-MET'!N821+'II-I-TBILLTDCS'!N821</f>
        <v>773945.05765960994</v>
      </c>
      <c r="O821" s="434">
        <f>'II-I-DIST'!O821+'II-I-MET'!O821+'II-I-TBILLTDCS'!O821</f>
        <v>279885.41109231295</v>
      </c>
      <c r="P821" s="434">
        <f>'II-I-DIST'!P821+'II-I-MET'!P821+'II-I-TBILLTDCS'!P821</f>
        <v>0</v>
      </c>
      <c r="Q821" s="434">
        <f>'II-I-DIST'!Q821+'II-I-MET'!Q821+'II-I-TBILLTDCS'!Q821</f>
        <v>32624.197109188379</v>
      </c>
      <c r="R821" s="434">
        <f>'II-I-DIST'!R821+'II-I-MET'!R821+'II-I-TBILLTDCS'!R821</f>
        <v>33546.018288698331</v>
      </c>
      <c r="S821" s="434">
        <f>'II-I-DIST'!S821+'II-I-MET'!S821+'II-I-TBILLTDCS'!S821</f>
        <v>42011.8844724296</v>
      </c>
      <c r="T821" s="17"/>
      <c r="U821" s="118">
        <f t="shared" si="221" ref="U821:U830">SUM(I821:T821)</f>
        <v>9544431.3300000001</v>
      </c>
      <c r="V821" s="67"/>
      <c r="X821" s="370">
        <f t="shared" si="218"/>
        <v>0</v>
      </c>
    </row>
    <row r="822" spans="1:24" ht="14.25">
      <c r="A822" s="47"/>
      <c r="B822" s="17">
        <f t="shared" si="220"/>
        <v>4</v>
      </c>
      <c r="C822" s="1" t="s">
        <v>194</v>
      </c>
      <c r="D822" s="1" t="s">
        <v>166</v>
      </c>
      <c r="E822" s="17"/>
      <c r="F822" s="118">
        <f>' WP II-I-1.4'!L822</f>
        <v>2814413.9500000002</v>
      </c>
      <c r="G822" s="17" t="s">
        <v>805</v>
      </c>
      <c r="H822" s="47" t="s">
        <v>320</v>
      </c>
      <c r="I822" s="17"/>
      <c r="J822" s="434">
        <f>'II-I-DIST'!J822+'II-I-MET'!J822+'II-I-TBILLTDCS'!J822</f>
        <v>1481290.748199262</v>
      </c>
      <c r="K822" s="434">
        <f>'II-I-DIST'!K822+'II-I-MET'!K822+'II-I-TBILLTDCS'!K822</f>
        <v>36173.43956441457</v>
      </c>
      <c r="L822" s="434">
        <f>'II-I-DIST'!L822+'II-I-MET'!L822+'II-I-TBILLTDCS'!L822</f>
        <v>953762.1340452896</v>
      </c>
      <c r="M822" s="434">
        <f>'II-I-DIST'!M822+'II-I-MET'!M822+'II-I-TBILLTDCS'!M822</f>
        <v>539.20104731243646</v>
      </c>
      <c r="N822" s="434">
        <f>'II-I-DIST'!N822+'II-I-MET'!N822+'II-I-TBILLTDCS'!N822</f>
        <v>228217.02954310647</v>
      </c>
      <c r="O822" s="434">
        <f>'II-I-DIST'!O822+'II-I-MET'!O822+'II-I-TBILLTDCS'!O822</f>
        <v>82531.203603901929</v>
      </c>
      <c r="P822" s="434">
        <f>'II-I-DIST'!P822+'II-I-MET'!P822+'II-I-TBILLTDCS'!P822</f>
        <v>0</v>
      </c>
      <c r="Q822" s="434">
        <f>'II-I-DIST'!Q822+'II-I-MET'!Q822+'II-I-TBILLTDCS'!Q822</f>
        <v>9620.0593075721226</v>
      </c>
      <c r="R822" s="434">
        <f>'II-I-DIST'!R822+'II-I-MET'!R822+'II-I-TBILLTDCS'!R822</f>
        <v>9891.8813048516877</v>
      </c>
      <c r="S822" s="434">
        <f>'II-I-DIST'!S822+'II-I-MET'!S822+'II-I-TBILLTDCS'!S822</f>
        <v>12388.253384289821</v>
      </c>
      <c r="T822" s="17"/>
      <c r="U822" s="118">
        <f t="shared" si="221"/>
        <v>2814413.9500000002</v>
      </c>
      <c r="V822" s="67"/>
      <c r="X822" s="370">
        <f t="shared" si="218"/>
        <v>0</v>
      </c>
    </row>
    <row r="823" spans="1:24" ht="14.25">
      <c r="A823" s="47"/>
      <c r="B823" s="17">
        <f t="shared" si="220"/>
        <v>5</v>
      </c>
      <c r="C823" s="1" t="s">
        <v>195</v>
      </c>
      <c r="D823" s="1" t="s">
        <v>168</v>
      </c>
      <c r="E823" s="17"/>
      <c r="F823" s="118">
        <f>' WP II-I-1.4'!L823</f>
        <v>1858780.6699999999</v>
      </c>
      <c r="G823" s="17" t="s">
        <v>805</v>
      </c>
      <c r="H823" s="47" t="s">
        <v>320</v>
      </c>
      <c r="I823" s="17"/>
      <c r="J823" s="434">
        <f>'II-I-DIST'!J823+'II-I-MET'!J823+'II-I-TBILLTDCS'!J823</f>
        <v>1026827.6912777131</v>
      </c>
      <c r="K823" s="434">
        <f>'II-I-DIST'!K823+'II-I-MET'!K823+'II-I-TBILLTDCS'!K823</f>
        <v>31680.753322906698</v>
      </c>
      <c r="L823" s="434">
        <f>'II-I-DIST'!L823+'II-I-MET'!L823+'II-I-TBILLTDCS'!L823</f>
        <v>652577.43963933503</v>
      </c>
      <c r="M823" s="434">
        <f>'II-I-DIST'!M823+'II-I-MET'!M823+'II-I-TBILLTDCS'!M823</f>
        <v>637.34308905807302</v>
      </c>
      <c r="N823" s="434">
        <f>'II-I-DIST'!N823+'II-I-MET'!N823+'II-I-TBILLTDCS'!N823</f>
        <v>132972.2628297628</v>
      </c>
      <c r="O823" s="434">
        <f>'II-I-DIST'!O823+'II-I-MET'!O823+'II-I-TBILLTDCS'!O823</f>
        <v>242.40599809667532</v>
      </c>
      <c r="P823" s="434">
        <f>'II-I-DIST'!P823+'II-I-MET'!P823+'II-I-TBILLTDCS'!P823</f>
        <v>527.69921124122391</v>
      </c>
      <c r="Q823" s="434">
        <f>'II-I-DIST'!Q823+'II-I-MET'!Q823+'II-I-TBILLTDCS'!Q823</f>
        <v>6388.7408126236733</v>
      </c>
      <c r="R823" s="434">
        <f>'II-I-DIST'!R823+'II-I-MET'!R823+'II-I-TBILLTDCS'!R823</f>
        <v>27.969922857308692</v>
      </c>
      <c r="S823" s="434">
        <f>'II-I-DIST'!S823+'II-I-MET'!S823+'II-I-TBILLTDCS'!S823</f>
        <v>6898.3638964055717</v>
      </c>
      <c r="T823" s="17"/>
      <c r="U823" s="118">
        <f t="shared" si="221"/>
        <v>1858780.6700000002</v>
      </c>
      <c r="V823" s="67"/>
      <c r="X823" s="370">
        <f t="shared" si="218"/>
        <v>0</v>
      </c>
    </row>
    <row r="824" spans="1:24" ht="14.25">
      <c r="A824" s="47"/>
      <c r="B824" s="17">
        <f t="shared" si="220"/>
        <v>6</v>
      </c>
      <c r="C824" s="1" t="s">
        <v>196</v>
      </c>
      <c r="D824" s="1" t="s">
        <v>170</v>
      </c>
      <c r="E824" s="17"/>
      <c r="F824" s="118">
        <f>' WP II-I-1.4'!L824</f>
        <v>2324067.5999999996</v>
      </c>
      <c r="G824" s="17" t="s">
        <v>805</v>
      </c>
      <c r="H824" s="47" t="s">
        <v>320</v>
      </c>
      <c r="I824" s="17"/>
      <c r="J824" s="434">
        <f>'II-I-DIST'!J824+'II-I-MET'!J824+'II-I-TBILLTDCS'!J824</f>
        <v>1287967.3791233953</v>
      </c>
      <c r="K824" s="434">
        <f>'II-I-DIST'!K824+'II-I-MET'!K824+'II-I-TBILLTDCS'!K824</f>
        <v>31975.756691877137</v>
      </c>
      <c r="L824" s="434">
        <f>'II-I-DIST'!L824+'II-I-MET'!L824+'II-I-TBILLTDCS'!L824</f>
        <v>828607.72155371367</v>
      </c>
      <c r="M824" s="434">
        <f>'II-I-DIST'!M824+'II-I-MET'!M824+'II-I-TBILLTDCS'!M824</f>
        <v>399.26485572075768</v>
      </c>
      <c r="N824" s="434">
        <f>'II-I-DIST'!N824+'II-I-MET'!N824+'II-I-TBILLTDCS'!N824</f>
        <v>158152.2655240499</v>
      </c>
      <c r="O824" s="434">
        <f>'II-I-DIST'!O824+'II-I-MET'!O824+'II-I-TBILLTDCS'!O824</f>
        <v>19.204714714894099</v>
      </c>
      <c r="P824" s="434">
        <f>'II-I-DIST'!P824+'II-I-MET'!P824+'II-I-TBILLTDCS'!P824</f>
        <v>41.807186648577151</v>
      </c>
      <c r="Q824" s="434">
        <f>'II-I-DIST'!Q824+'II-I-MET'!Q824+'II-I-TBILLTDCS'!Q824</f>
        <v>8342.3722535741708</v>
      </c>
      <c r="R824" s="434">
        <f>'II-I-DIST'!R824+'II-I-MET'!R824+'II-I-TBILLTDCS'!R824</f>
        <v>2.2159286209493194</v>
      </c>
      <c r="S824" s="434">
        <f>'II-I-DIST'!S824+'II-I-MET'!S824+'II-I-TBILLTDCS'!S824</f>
        <v>8559.6121676851544</v>
      </c>
      <c r="T824" s="17"/>
      <c r="U824" s="118">
        <f t="shared" si="221"/>
        <v>2324067.6000000006</v>
      </c>
      <c r="V824" s="67"/>
      <c r="X824" s="370">
        <f t="shared" si="218"/>
        <v>0</v>
      </c>
    </row>
    <row r="825" spans="1:24" ht="14.25">
      <c r="A825" s="47"/>
      <c r="B825" s="17">
        <f t="shared" si="220"/>
        <v>7</v>
      </c>
      <c r="C825" s="1" t="s">
        <v>197</v>
      </c>
      <c r="D825" s="1" t="s">
        <v>198</v>
      </c>
      <c r="E825" s="17"/>
      <c r="F825" s="118">
        <f>' WP II-I-1.4'!L825</f>
        <v>0</v>
      </c>
      <c r="G825" s="17" t="s">
        <v>805</v>
      </c>
      <c r="H825" s="47" t="s">
        <v>320</v>
      </c>
      <c r="I825" s="17"/>
      <c r="J825" s="434">
        <f>'II-I-DIST'!J825+'II-I-MET'!J825+'II-I-TBILLTDCS'!J825</f>
        <v>0</v>
      </c>
      <c r="K825" s="434">
        <f>'II-I-DIST'!K825+'II-I-MET'!K825+'II-I-TBILLTDCS'!K825</f>
        <v>0</v>
      </c>
      <c r="L825" s="434">
        <f>'II-I-DIST'!L825+'II-I-MET'!L825+'II-I-TBILLTDCS'!L825</f>
        <v>0</v>
      </c>
      <c r="M825" s="434">
        <f>'II-I-DIST'!M825+'II-I-MET'!M825+'II-I-TBILLTDCS'!M825</f>
        <v>0</v>
      </c>
      <c r="N825" s="434">
        <f>'II-I-DIST'!N825+'II-I-MET'!N825+'II-I-TBILLTDCS'!N825</f>
        <v>0</v>
      </c>
      <c r="O825" s="434">
        <f>'II-I-DIST'!O825+'II-I-MET'!O825+'II-I-TBILLTDCS'!O825</f>
        <v>0</v>
      </c>
      <c r="P825" s="434">
        <f>'II-I-DIST'!P825+'II-I-MET'!P825+'II-I-TBILLTDCS'!P825</f>
        <v>0</v>
      </c>
      <c r="Q825" s="434">
        <f>'II-I-DIST'!Q825+'II-I-MET'!Q825+'II-I-TBILLTDCS'!Q825</f>
        <v>0</v>
      </c>
      <c r="R825" s="434">
        <f>'II-I-DIST'!R825+'II-I-MET'!R825+'II-I-TBILLTDCS'!R825</f>
        <v>0</v>
      </c>
      <c r="S825" s="434">
        <f>'II-I-DIST'!S825+'II-I-MET'!S825+'II-I-TBILLTDCS'!S825</f>
        <v>0</v>
      </c>
      <c r="T825" s="17"/>
      <c r="U825" s="118">
        <f t="shared" si="221"/>
        <v>0</v>
      </c>
      <c r="V825" s="67"/>
      <c r="X825" s="370">
        <f t="shared" si="218"/>
        <v>0</v>
      </c>
    </row>
    <row r="826" spans="1:24" ht="14.25">
      <c r="A826" s="47"/>
      <c r="B826" s="17">
        <f t="shared" si="220"/>
        <v>8</v>
      </c>
      <c r="C826" s="1" t="s">
        <v>199</v>
      </c>
      <c r="D826" s="1" t="s">
        <v>200</v>
      </c>
      <c r="E826" s="17"/>
      <c r="F826" s="118">
        <f>' WP II-I-1.4'!L826</f>
        <v>7470971.8799999999</v>
      </c>
      <c r="G826" s="17" t="s">
        <v>805</v>
      </c>
      <c r="H826" s="47" t="s">
        <v>320</v>
      </c>
      <c r="I826" s="17"/>
      <c r="J826" s="434">
        <f>'II-I-DIST'!J826+'II-I-MET'!J826+'II-I-TBILLTDCS'!J826</f>
        <v>4165102.7938471339</v>
      </c>
      <c r="K826" s="434">
        <f>'II-I-DIST'!K826+'II-I-MET'!K826+'II-I-TBILLTDCS'!K826</f>
        <v>642151.58767094929</v>
      </c>
      <c r="L826" s="434">
        <f>'II-I-DIST'!L826+'II-I-MET'!L826+'II-I-TBILLTDCS'!L826</f>
        <v>1980738.7862812297</v>
      </c>
      <c r="M826" s="434">
        <f>'II-I-DIST'!M826+'II-I-MET'!M826+'II-I-TBILLTDCS'!M826</f>
        <v>27812.580012664337</v>
      </c>
      <c r="N826" s="434">
        <f>'II-I-DIST'!N826+'II-I-MET'!N826+'II-I-TBILLTDCS'!N826</f>
        <v>580373.62338249967</v>
      </c>
      <c r="O826" s="434">
        <f>'II-I-DIST'!O826+'II-I-MET'!O826+'II-I-TBILLTDCS'!O826</f>
        <v>19833.111278609846</v>
      </c>
      <c r="P826" s="434">
        <f>'II-I-DIST'!P826+'II-I-MET'!P826+'II-I-TBILLTDCS'!P826</f>
        <v>43175.157629589121</v>
      </c>
      <c r="Q826" s="434">
        <f>'II-I-DIST'!Q826+'II-I-MET'!Q826+'II-I-TBILLTDCS'!Q826</f>
        <v>4151.8664955216063</v>
      </c>
      <c r="R826" s="434">
        <f>'II-I-DIST'!R826+'II-I-MET'!R826+'II-I-TBILLTDCS'!R826</f>
        <v>2288.4359167626744</v>
      </c>
      <c r="S826" s="434">
        <f>'II-I-DIST'!S826+'II-I-MET'!S826+'II-I-TBILLTDCS'!S826</f>
        <v>5343.9374850401309</v>
      </c>
      <c r="T826" s="17"/>
      <c r="U826" s="118">
        <f t="shared" si="221"/>
        <v>7470971.8800000008</v>
      </c>
      <c r="V826" s="67"/>
      <c r="X826" s="370">
        <f t="shared" si="218"/>
        <v>0</v>
      </c>
    </row>
    <row r="827" spans="1:24" ht="14.25">
      <c r="A827" s="47"/>
      <c r="B827" s="17">
        <f t="shared" si="220"/>
        <v>9</v>
      </c>
      <c r="C827" s="1" t="s">
        <v>201</v>
      </c>
      <c r="D827" s="1" t="s">
        <v>202</v>
      </c>
      <c r="E827" s="17"/>
      <c r="F827" s="118">
        <f>' WP II-I-1.4'!L827</f>
        <v>1273256.5399999998</v>
      </c>
      <c r="G827" s="17" t="s">
        <v>805</v>
      </c>
      <c r="H827" s="47" t="s">
        <v>320</v>
      </c>
      <c r="I827" s="17"/>
      <c r="J827" s="434">
        <f>'II-I-DIST'!J827+'II-I-MET'!J827+'II-I-TBILLTDCS'!J827</f>
        <v>710572.57509853819</v>
      </c>
      <c r="K827" s="434">
        <f>'II-I-DIST'!K827+'II-I-MET'!K827+'II-I-TBILLTDCS'!K827</f>
        <v>109551.99183295545</v>
      </c>
      <c r="L827" s="434">
        <f>'II-I-DIST'!L827+'II-I-MET'!L827+'II-I-TBILLTDCS'!L827</f>
        <v>337916.90856815444</v>
      </c>
      <c r="M827" s="434">
        <f>'II-I-DIST'!M827+'II-I-MET'!M827+'II-I-TBILLTDCS'!M827</f>
        <v>4744.8664721858877</v>
      </c>
      <c r="N827" s="434">
        <f>'II-I-DIST'!N827+'II-I-MET'!N827+'II-I-TBILLTDCS'!N827</f>
        <v>99012.581561104118</v>
      </c>
      <c r="O827" s="434">
        <f>'II-I-DIST'!O827+'II-I-MET'!O827+'II-I-TBILLTDCS'!O827</f>
        <v>3383.5575377098103</v>
      </c>
      <c r="P827" s="434">
        <f>'II-I-DIST'!P827+'II-I-MET'!P827+'II-I-TBILLTDCS'!P827</f>
        <v>7365.74448593751</v>
      </c>
      <c r="Q827" s="434">
        <f>'II-I-DIST'!Q827+'II-I-MET'!Q827+'II-I-TBILLTDCS'!Q827</f>
        <v>708.3144434145288</v>
      </c>
      <c r="R827" s="434">
        <f>'II-I-DIST'!R827+'II-I-MET'!R827+'II-I-TBILLTDCS'!R827</f>
        <v>0</v>
      </c>
      <c r="S827" s="434">
        <f>'II-I-DIST'!S827+'II-I-MET'!S827+'II-I-TBILLTDCS'!S827</f>
        <v>0</v>
      </c>
      <c r="T827" s="17"/>
      <c r="U827" s="118">
        <f t="shared" si="221"/>
        <v>1273256.54</v>
      </c>
      <c r="V827" s="67"/>
      <c r="X827" s="370">
        <f t="shared" si="218"/>
        <v>0</v>
      </c>
    </row>
    <row r="828" spans="1:24" ht="14.25">
      <c r="A828" s="47"/>
      <c r="B828" s="17">
        <f t="shared" si="220"/>
        <v>10</v>
      </c>
      <c r="C828" s="1" t="s">
        <v>203</v>
      </c>
      <c r="D828" s="1" t="s">
        <v>204</v>
      </c>
      <c r="E828" s="17"/>
      <c r="F828" s="118">
        <f>' WP II-I-1.4'!L828</f>
        <v>43523912.739999995</v>
      </c>
      <c r="G828" s="17" t="s">
        <v>805</v>
      </c>
      <c r="H828" s="47" t="s">
        <v>320</v>
      </c>
      <c r="I828" s="17"/>
      <c r="J828" s="434">
        <f>'II-I-DIST'!J828+'II-I-MET'!J828+'II-I-TBILLTDCS'!J828</f>
        <v>23695765.494836535</v>
      </c>
      <c r="K828" s="434">
        <f>'II-I-DIST'!K828+'II-I-MET'!K828+'II-I-TBILLTDCS'!K828</f>
        <v>812823.60826515674</v>
      </c>
      <c r="L828" s="434">
        <f>'II-I-DIST'!L828+'II-I-MET'!L828+'II-I-TBILLTDCS'!L828</f>
        <v>14953285.981313091</v>
      </c>
      <c r="M828" s="434">
        <f>'II-I-DIST'!M828+'II-I-MET'!M828+'II-I-TBILLTDCS'!M828</f>
        <v>19105.515949694636</v>
      </c>
      <c r="N828" s="434">
        <f>'II-I-DIST'!N828+'II-I-MET'!N828+'II-I-TBILLTDCS'!N828</f>
        <v>3237309.6592819327</v>
      </c>
      <c r="O828" s="434">
        <f>'II-I-DIST'!O828+'II-I-MET'!O828+'II-I-TBILLTDCS'!O828</f>
        <v>427489.3404988863</v>
      </c>
      <c r="P828" s="434">
        <f>'II-I-DIST'!P828+'II-I-MET'!P828+'II-I-TBILLTDCS'!P828</f>
        <v>18707.455292173836</v>
      </c>
      <c r="Q828" s="434">
        <f>'II-I-DIST'!Q828+'II-I-MET'!Q828+'II-I-TBILLTDCS'!Q828</f>
        <v>145607.06376249692</v>
      </c>
      <c r="R828" s="434">
        <f>'II-I-DIST'!R828+'II-I-MET'!R828+'II-I-TBILLTDCS'!R828</f>
        <v>50666.553150401473</v>
      </c>
      <c r="S828" s="434">
        <f>'II-I-DIST'!S828+'II-I-MET'!S828+'II-I-TBILLTDCS'!S828</f>
        <v>163152.06764963461</v>
      </c>
      <c r="T828" s="17"/>
      <c r="U828" s="118">
        <f t="shared" si="221"/>
        <v>43523912.739999995</v>
      </c>
      <c r="V828" s="67"/>
      <c r="X828" s="370">
        <f t="shared" si="218"/>
        <v>0</v>
      </c>
    </row>
    <row r="829" spans="1:24" ht="14.25">
      <c r="A829" s="47"/>
      <c r="B829" s="17">
        <f t="shared" si="220"/>
        <v>11</v>
      </c>
      <c r="C829" s="1" t="s">
        <v>205</v>
      </c>
      <c r="D829" s="1" t="s">
        <v>206</v>
      </c>
      <c r="E829" s="17"/>
      <c r="F829" s="118">
        <f>' WP II-I-1.4'!L829</f>
        <v>0</v>
      </c>
      <c r="G829" s="17" t="s">
        <v>805</v>
      </c>
      <c r="H829" s="47" t="s">
        <v>320</v>
      </c>
      <c r="I829" s="17"/>
      <c r="J829" s="435">
        <f>'II-I-DIST'!J829+'II-I-MET'!J829+'II-I-TBILLTDCS'!J829</f>
        <v>0</v>
      </c>
      <c r="K829" s="435">
        <f>'II-I-DIST'!K829+'II-I-MET'!K829+'II-I-TBILLTDCS'!K829</f>
        <v>0</v>
      </c>
      <c r="L829" s="435">
        <f>'II-I-DIST'!L829+'II-I-MET'!L829+'II-I-TBILLTDCS'!L829</f>
        <v>0</v>
      </c>
      <c r="M829" s="435">
        <f>'II-I-DIST'!M829+'II-I-MET'!M829+'II-I-TBILLTDCS'!M829</f>
        <v>0</v>
      </c>
      <c r="N829" s="435">
        <f>'II-I-DIST'!N829+'II-I-MET'!N829+'II-I-TBILLTDCS'!N829</f>
        <v>0</v>
      </c>
      <c r="O829" s="435">
        <f>'II-I-DIST'!O829+'II-I-MET'!O829+'II-I-TBILLTDCS'!O829</f>
        <v>0</v>
      </c>
      <c r="P829" s="435">
        <f>'II-I-DIST'!P829+'II-I-MET'!P829+'II-I-TBILLTDCS'!P829</f>
        <v>0</v>
      </c>
      <c r="Q829" s="435">
        <f>'II-I-DIST'!Q829+'II-I-MET'!Q829+'II-I-TBILLTDCS'!Q829</f>
        <v>0</v>
      </c>
      <c r="R829" s="435">
        <f>'II-I-DIST'!R829+'II-I-MET'!R829+'II-I-TBILLTDCS'!R829</f>
        <v>0</v>
      </c>
      <c r="S829" s="435">
        <f>'II-I-DIST'!S829+'II-I-MET'!S829+'II-I-TBILLTDCS'!S829</f>
        <v>0</v>
      </c>
      <c r="T829" s="17"/>
      <c r="U829" s="118">
        <f t="shared" si="221"/>
        <v>0</v>
      </c>
      <c r="V829" s="67"/>
      <c r="X829" s="370">
        <f t="shared" si="218"/>
        <v>0</v>
      </c>
    </row>
    <row r="830" spans="1:24" ht="15">
      <c r="A830" s="47"/>
      <c r="B830" s="17">
        <f t="shared" si="220"/>
        <v>12</v>
      </c>
      <c r="C830" s="8"/>
      <c r="D830" s="26" t="s">
        <v>666</v>
      </c>
      <c r="E830" s="20"/>
      <c r="F830" s="22">
        <f>SUM(F821:F829)</f>
        <v>68809834.709999993</v>
      </c>
      <c r="G830" s="20"/>
      <c r="H830" s="20"/>
      <c r="I830" s="1009"/>
      <c r="J830" s="896">
        <f t="shared" si="222" ref="J830:Q830">SUM(J821:J829)</f>
        <v>37390980.259974524</v>
      </c>
      <c r="K830" s="896">
        <f t="shared" si="222"/>
        <v>1787030.9572006878</v>
      </c>
      <c r="L830" s="896">
        <f t="shared" si="222"/>
        <v>22941351.760198999</v>
      </c>
      <c r="M830" s="896">
        <f t="shared" si="222"/>
        <v>55067.346561838836</v>
      </c>
      <c r="N830" s="896">
        <f t="shared" si="222"/>
        <v>5209982.4797820654</v>
      </c>
      <c r="O830" s="896">
        <f>SUM(O821:O829)</f>
        <v>813384.23472423246</v>
      </c>
      <c r="P830" s="896">
        <f t="shared" si="222"/>
        <v>69817.86380559027</v>
      </c>
      <c r="Q830" s="896">
        <f t="shared" si="222"/>
        <v>207442.61418439139</v>
      </c>
      <c r="R830" s="896">
        <f>SUM(R821:R829)</f>
        <v>96423.074512192426</v>
      </c>
      <c r="S830" s="896">
        <f>SUM(S821:S829)</f>
        <v>238354.11905548489</v>
      </c>
      <c r="T830" s="20"/>
      <c r="U830" s="299">
        <f t="shared" si="221"/>
        <v>68809834.710000023</v>
      </c>
      <c r="V830" s="67"/>
      <c r="W830" s="1300" t="b">
        <f>' WP II-I-1.4'!$L$830=U830</f>
        <v>1</v>
      </c>
      <c r="X830" s="370">
        <f t="shared" si="218"/>
        <v>0</v>
      </c>
    </row>
    <row r="831" spans="1:24" ht="15">
      <c r="A831" s="47"/>
      <c r="B831" s="17">
        <f t="shared" si="220"/>
        <v>13</v>
      </c>
      <c r="C831" s="1"/>
      <c r="D831" s="366"/>
      <c r="E831" s="17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"/>
      <c r="V831" s="67"/>
      <c r="X831" s="370">
        <f t="shared" si="218"/>
        <v>0</v>
      </c>
    </row>
    <row r="832" spans="1:24" ht="14.25">
      <c r="A832" s="47"/>
      <c r="B832" s="17">
        <f t="shared" si="220"/>
        <v>14</v>
      </c>
      <c r="C832" s="1" t="s">
        <v>191</v>
      </c>
      <c r="D832" s="31" t="s">
        <v>162</v>
      </c>
      <c r="E832" s="17"/>
      <c r="F832" s="118">
        <f>' WP II-I-1.4'!L832</f>
        <v>6037753.8799999999</v>
      </c>
      <c r="G832" s="17">
        <v>2</v>
      </c>
      <c r="H832" s="47" t="s">
        <v>805</v>
      </c>
      <c r="I832" s="17"/>
      <c r="J832" s="434">
        <f>'II-I-DIST'!J832+'II-I-MET'!J832+'II-I-TBILLTDCS'!J832</f>
        <v>3276840.3643293278</v>
      </c>
      <c r="K832" s="434">
        <f>'II-I-DIST'!K832+'II-I-MET'!K832+'II-I-TBILLTDCS'!K832</f>
        <v>139424.83646349644</v>
      </c>
      <c r="L832" s="434">
        <f>'II-I-DIST'!L832+'II-I-MET'!L832+'II-I-TBILLTDCS'!L832</f>
        <v>2032808.5751309025</v>
      </c>
      <c r="M832" s="434">
        <f>'II-I-DIST'!M832+'II-I-MET'!M832+'II-I-TBILLTDCS'!M832</f>
        <v>3985.1317308616767</v>
      </c>
      <c r="N832" s="434">
        <f>'II-I-DIST'!N832+'II-I-MET'!N832+'II-I-TBILLTDCS'!N832</f>
        <v>456587.56427936244</v>
      </c>
      <c r="O832" s="434">
        <f>'II-I-DIST'!O832+'II-I-MET'!O832+'II-I-TBILLTDCS'!O832</f>
        <v>74027.670184735558</v>
      </c>
      <c r="P832" s="434">
        <f>'II-I-DIST'!P832+'II-I-MET'!P832+'II-I-TBILLTDCS'!P832</f>
        <v>4745.7051895121022</v>
      </c>
      <c r="Q832" s="434">
        <f>'II-I-DIST'!Q832+'II-I-MET'!Q832+'II-I-TBILLTDCS'!Q832</f>
        <v>18844.690237509989</v>
      </c>
      <c r="R832" s="434">
        <f>'II-I-DIST'!R832+'II-I-MET'!R832+'II-I-TBILLTDCS'!R832</f>
        <v>8778.0943133962701</v>
      </c>
      <c r="S832" s="434">
        <f>'II-I-DIST'!S832+'II-I-MET'!S832+'II-I-TBILLTDCS'!S832</f>
        <v>21711.248140895543</v>
      </c>
      <c r="T832" s="17"/>
      <c r="U832" s="118">
        <f>SUM(I832:T832)</f>
        <v>6037753.8800000008</v>
      </c>
      <c r="V832" s="67"/>
      <c r="W832" s="1300" t="b">
        <f>' WP II-I-1.4'!$L$832=U832</f>
        <v>1</v>
      </c>
      <c r="X832" s="370">
        <f t="shared" si="218"/>
        <v>0</v>
      </c>
    </row>
    <row r="833" spans="1:24" ht="15">
      <c r="A833" s="47"/>
      <c r="B833" s="17">
        <f t="shared" si="220"/>
        <v>15</v>
      </c>
      <c r="C833" s="1"/>
      <c r="D833" s="366"/>
      <c r="E833" s="17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"/>
      <c r="V833" s="67"/>
      <c r="X833" s="370">
        <f t="shared" si="218"/>
        <v>0</v>
      </c>
    </row>
    <row r="834" spans="1:24" ht="15">
      <c r="A834" s="47"/>
      <c r="B834" s="17">
        <f t="shared" si="220"/>
        <v>16</v>
      </c>
      <c r="C834" s="1"/>
      <c r="D834" s="366" t="s">
        <v>667</v>
      </c>
      <c r="E834" s="20" t="s">
        <v>279</v>
      </c>
      <c r="F834" s="22">
        <f>F830+F832</f>
        <v>74847588.589999989</v>
      </c>
      <c r="G834" s="20"/>
      <c r="H834" s="20"/>
      <c r="I834" s="1009"/>
      <c r="J834" s="896">
        <f t="shared" si="223" ref="J834:Q834">J830+J832</f>
        <v>40667820.624303855</v>
      </c>
      <c r="K834" s="896">
        <f t="shared" si="223"/>
        <v>1926455.7936641844</v>
      </c>
      <c r="L834" s="896">
        <f t="shared" si="223"/>
        <v>24974160.335329901</v>
      </c>
      <c r="M834" s="896">
        <f t="shared" si="223"/>
        <v>59052.478292700514</v>
      </c>
      <c r="N834" s="896">
        <f t="shared" si="223"/>
        <v>5666570.0440614279</v>
      </c>
      <c r="O834" s="896">
        <f>O830+O832</f>
        <v>887411.90490896802</v>
      </c>
      <c r="P834" s="896">
        <f t="shared" si="223"/>
        <v>74563.568995102367</v>
      </c>
      <c r="Q834" s="896">
        <f t="shared" si="223"/>
        <v>226287.30442190138</v>
      </c>
      <c r="R834" s="896">
        <f>R830+R832</f>
        <v>105201.1688255887</v>
      </c>
      <c r="S834" s="896">
        <f>S830+S832</f>
        <v>260065.36719638042</v>
      </c>
      <c r="T834" s="1009"/>
      <c r="U834" s="299">
        <f>SUM(I834:T834)</f>
        <v>74847588.590000004</v>
      </c>
      <c r="V834" s="67"/>
      <c r="W834" s="1300" t="b">
        <f>' WP II-I-1.4'!$L$834=U834</f>
        <v>1</v>
      </c>
      <c r="X834" s="370">
        <f t="shared" si="218"/>
        <v>0</v>
      </c>
    </row>
    <row r="835" spans="1:24" ht="15">
      <c r="A835" s="47"/>
      <c r="B835" s="17">
        <f t="shared" si="220"/>
        <v>17</v>
      </c>
      <c r="C835" s="1"/>
      <c r="D835" s="366"/>
      <c r="E835" s="17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"/>
      <c r="V835" s="67"/>
      <c r="X835" s="370">
        <f t="shared" si="218"/>
        <v>0</v>
      </c>
    </row>
    <row r="836" spans="1:24" ht="15">
      <c r="A836" s="47"/>
      <c r="B836" s="17">
        <f t="shared" si="220"/>
        <v>18</v>
      </c>
      <c r="C836" s="8"/>
      <c r="D836" s="366" t="s">
        <v>662</v>
      </c>
      <c r="E836" s="20" t="s">
        <v>279</v>
      </c>
      <c r="F836" s="22"/>
      <c r="G836" s="20"/>
      <c r="H836" s="20"/>
      <c r="I836" s="1009"/>
      <c r="J836" s="1059"/>
      <c r="K836" s="1059"/>
      <c r="L836" s="1059"/>
      <c r="M836" s="1059"/>
      <c r="N836" s="1059"/>
      <c r="O836" s="1059"/>
      <c r="P836" s="1059"/>
      <c r="Q836" s="1059"/>
      <c r="R836" s="1059"/>
      <c r="S836" s="1059"/>
      <c r="T836" s="1009"/>
      <c r="U836" s="8"/>
      <c r="V836" s="67"/>
      <c r="X836" s="370">
        <f t="shared" si="218"/>
        <v>0</v>
      </c>
    </row>
    <row r="837" spans="1:24" ht="14.25">
      <c r="A837" s="47"/>
      <c r="B837" s="17">
        <f t="shared" si="220"/>
        <v>19</v>
      </c>
      <c r="C837" s="1" t="s">
        <v>209</v>
      </c>
      <c r="D837" s="1" t="s">
        <v>181</v>
      </c>
      <c r="E837" s="17"/>
      <c r="F837" s="118">
        <f>' WP II-I-1.4'!L837</f>
        <v>0</v>
      </c>
      <c r="G837" s="17" t="s">
        <v>805</v>
      </c>
      <c r="H837" s="47" t="s">
        <v>320</v>
      </c>
      <c r="I837" s="17"/>
      <c r="J837" s="434">
        <f>'II-I-DIST'!J837+'II-I-MET'!J837+'II-I-TBILLTDCS'!J837</f>
        <v>0</v>
      </c>
      <c r="K837" s="434">
        <f>'II-I-DIST'!K837+'II-I-MET'!K837+'II-I-TBILLTDCS'!K837</f>
        <v>0</v>
      </c>
      <c r="L837" s="434">
        <f>'II-I-DIST'!L837+'II-I-MET'!L837+'II-I-TBILLTDCS'!L837</f>
        <v>0</v>
      </c>
      <c r="M837" s="434">
        <f>'II-I-DIST'!M837+'II-I-MET'!M837+'II-I-TBILLTDCS'!M837</f>
        <v>0</v>
      </c>
      <c r="N837" s="434">
        <f>'II-I-DIST'!N837+'II-I-MET'!N837+'II-I-TBILLTDCS'!N837</f>
        <v>0</v>
      </c>
      <c r="O837" s="434">
        <f>'II-I-DIST'!O837+'II-I-MET'!O837+'II-I-TBILLTDCS'!O837</f>
        <v>0</v>
      </c>
      <c r="P837" s="434">
        <f>'II-I-DIST'!P837+'II-I-MET'!P837+'II-I-TBILLTDCS'!P837</f>
        <v>0</v>
      </c>
      <c r="Q837" s="434">
        <f>'II-I-DIST'!Q837+'II-I-MET'!Q837+'II-I-TBILLTDCS'!Q837</f>
        <v>0</v>
      </c>
      <c r="R837" s="434">
        <f>'II-I-DIST'!R837+'II-I-MET'!R837+'II-I-TBILLTDCS'!R837</f>
        <v>0</v>
      </c>
      <c r="S837" s="434">
        <f>'II-I-DIST'!S837+'II-I-MET'!S837+'II-I-TBILLTDCS'!S837</f>
        <v>0</v>
      </c>
      <c r="T837" s="17"/>
      <c r="U837" s="118">
        <f t="shared" si="224" ref="U837:U845">SUM(I837:T837)</f>
        <v>0</v>
      </c>
      <c r="V837" s="67"/>
      <c r="X837" s="370">
        <f t="shared" si="218"/>
        <v>0</v>
      </c>
    </row>
    <row r="838" spans="1:24" ht="14.25">
      <c r="A838" s="47"/>
      <c r="B838" s="17">
        <f t="shared" si="220"/>
        <v>20</v>
      </c>
      <c r="C838" s="1" t="s">
        <v>210</v>
      </c>
      <c r="D838" s="31" t="s">
        <v>183</v>
      </c>
      <c r="E838" s="17"/>
      <c r="F838" s="118">
        <f>' WP II-I-1.4'!L838</f>
        <v>6147661.1799999997</v>
      </c>
      <c r="G838" s="17" t="s">
        <v>805</v>
      </c>
      <c r="H838" s="47" t="s">
        <v>320</v>
      </c>
      <c r="I838" s="17"/>
      <c r="J838" s="434">
        <f>'II-I-DIST'!J838+'II-I-MET'!J838+'II-I-TBILLTDCS'!J838</f>
        <v>3235655.3764941921</v>
      </c>
      <c r="K838" s="434">
        <f>'II-I-DIST'!K838+'II-I-MET'!K838+'II-I-TBILLTDCS'!K838</f>
        <v>79015.402178925215</v>
      </c>
      <c r="L838" s="434">
        <f>'II-I-DIST'!L838+'II-I-MET'!L838+'II-I-TBILLTDCS'!L838</f>
        <v>2083348.9851143549</v>
      </c>
      <c r="M838" s="434">
        <f>'II-I-DIST'!M838+'II-I-MET'!M838+'II-I-TBILLTDCS'!M838</f>
        <v>1177.8030544433623</v>
      </c>
      <c r="N838" s="434">
        <f>'II-I-DIST'!N838+'II-I-MET'!N838+'II-I-TBILLTDCS'!N838</f>
        <v>498505.5496676559</v>
      </c>
      <c r="O838" s="434">
        <f>'II-I-DIST'!O838+'II-I-MET'!O838+'II-I-TBILLTDCS'!O838</f>
        <v>180276.91929766903</v>
      </c>
      <c r="P838" s="434">
        <f>'II-I-DIST'!P838+'II-I-MET'!P838+'II-I-TBILLTDCS'!P838</f>
        <v>0</v>
      </c>
      <c r="Q838" s="434">
        <f>'II-I-DIST'!Q838+'II-I-MET'!Q838+'II-I-TBILLTDCS'!Q838</f>
        <v>21013.563109456165</v>
      </c>
      <c r="R838" s="434">
        <f>'II-I-DIST'!R838+'II-I-MET'!R838+'II-I-TBILLTDCS'!R838</f>
        <v>21607.317109483647</v>
      </c>
      <c r="S838" s="434">
        <f>'II-I-DIST'!S838+'II-I-MET'!S838+'II-I-TBILLTDCS'!S838</f>
        <v>27060.263973820249</v>
      </c>
      <c r="T838" s="17"/>
      <c r="U838" s="118">
        <f t="shared" si="224"/>
        <v>6147661.1799999997</v>
      </c>
      <c r="V838" s="67"/>
      <c r="X838" s="370">
        <f t="shared" si="218"/>
        <v>0</v>
      </c>
    </row>
    <row r="839" spans="1:24" ht="14.25">
      <c r="A839" s="47"/>
      <c r="B839" s="17">
        <f t="shared" si="220"/>
        <v>21</v>
      </c>
      <c r="C839" s="1" t="s">
        <v>211</v>
      </c>
      <c r="D839" s="1" t="s">
        <v>185</v>
      </c>
      <c r="E839" s="17"/>
      <c r="F839" s="118">
        <f>' WP II-I-1.4'!L839</f>
        <v>36228448.189999998</v>
      </c>
      <c r="G839" s="17" t="s">
        <v>805</v>
      </c>
      <c r="H839" s="47" t="s">
        <v>320</v>
      </c>
      <c r="I839" s="17"/>
      <c r="J839" s="434">
        <f>'II-I-DIST'!J839+'II-I-MET'!J839+'II-I-TBILLTDCS'!J839</f>
        <v>20027417.376609087</v>
      </c>
      <c r="K839" s="434">
        <f>'II-I-DIST'!K839+'II-I-MET'!K839+'II-I-TBILLTDCS'!K839</f>
        <v>493308.59534118645</v>
      </c>
      <c r="L839" s="434">
        <f>'II-I-DIST'!L839+'II-I-MET'!L839+'II-I-TBILLTDCS'!L839</f>
        <v>12889606.710073158</v>
      </c>
      <c r="M839" s="434">
        <f>'II-I-DIST'!M839+'II-I-MET'!M839+'II-I-TBILLTDCS'!M839</f>
        <v>6216.941713695307</v>
      </c>
      <c r="N839" s="434">
        <f>'II-I-DIST'!N839+'II-I-MET'!N839+'II-I-TBILLTDCS'!N839</f>
        <v>2543630.4287703237</v>
      </c>
      <c r="O839" s="434">
        <f>'II-I-DIST'!O839+'II-I-MET'!O839+'II-I-TBILLTDCS'!O839</f>
        <v>155.40728070619696</v>
      </c>
      <c r="P839" s="434">
        <f>'II-I-DIST'!P839+'II-I-MET'!P839+'II-I-TBILLTDCS'!P839</f>
        <v>338.30969569118264</v>
      </c>
      <c r="Q839" s="434">
        <f>'II-I-DIST'!Q839+'II-I-MET'!Q839+'II-I-TBILLTDCS'!Q839</f>
        <v>129886.15975228536</v>
      </c>
      <c r="R839" s="434">
        <f>'II-I-DIST'!R839+'II-I-MET'!R839+'II-I-TBILLTDCS'!R839</f>
        <v>17.931609312253496</v>
      </c>
      <c r="S839" s="434">
        <f>'II-I-DIST'!S839+'II-I-MET'!S839+'II-I-TBILLTDCS'!S839</f>
        <v>137870.32915454835</v>
      </c>
      <c r="T839" s="17"/>
      <c r="U839" s="118">
        <f t="shared" si="224"/>
        <v>36228448.189999998</v>
      </c>
      <c r="V839" s="67"/>
      <c r="X839" s="370">
        <f t="shared" si="218"/>
        <v>0</v>
      </c>
    </row>
    <row r="840" spans="1:24" ht="14.25">
      <c r="A840" s="47"/>
      <c r="B840" s="17">
        <f t="shared" si="220"/>
        <v>22</v>
      </c>
      <c r="C840" s="1" t="s">
        <v>212</v>
      </c>
      <c r="D840" s="1" t="s">
        <v>187</v>
      </c>
      <c r="E840" s="17"/>
      <c r="F840" s="118">
        <f>' WP II-I-1.4'!L840</f>
        <v>9243035.1899999995</v>
      </c>
      <c r="G840" s="17" t="s">
        <v>805</v>
      </c>
      <c r="H840" s="47" t="s">
        <v>320</v>
      </c>
      <c r="I840" s="17"/>
      <c r="J840" s="434">
        <f>'II-I-DIST'!J840+'II-I-MET'!J840+'II-I-TBILLTDCS'!J840</f>
        <v>5151978.785013359</v>
      </c>
      <c r="K840" s="434">
        <f>'II-I-DIST'!K840+'II-I-MET'!K840+'II-I-TBILLTDCS'!K840</f>
        <v>126507.49831331334</v>
      </c>
      <c r="L840" s="434">
        <f>'II-I-DIST'!L840+'II-I-MET'!L840+'II-I-TBILLTDCS'!L840</f>
        <v>3316314.9778690469</v>
      </c>
      <c r="M840" s="434">
        <f>'II-I-DIST'!M840+'II-I-MET'!M840+'II-I-TBILLTDCS'!M840</f>
        <v>1408.5258542650299</v>
      </c>
      <c r="N840" s="434">
        <f>'II-I-DIST'!N840+'II-I-MET'!N840+'II-I-TBILLTDCS'!N840</f>
        <v>581765.7705850791</v>
      </c>
      <c r="O840" s="434">
        <f>'II-I-DIST'!O840+'II-I-MET'!O840+'II-I-TBILLTDCS'!O840</f>
        <v>25.507611474457249</v>
      </c>
      <c r="P840" s="434">
        <f>'II-I-DIST'!P840+'II-I-MET'!P840+'II-I-TBILLTDCS'!P840</f>
        <v>55.528108055933856</v>
      </c>
      <c r="Q840" s="434">
        <f>'II-I-DIST'!Q840+'II-I-MET'!Q840+'II-I-TBILLTDCS'!Q840</f>
        <v>33429.438905231596</v>
      </c>
      <c r="R840" s="434">
        <f>'II-I-DIST'!R840+'II-I-MET'!R840+'II-I-TBILLTDCS'!R840</f>
        <v>2.9431859393604523</v>
      </c>
      <c r="S840" s="434">
        <f>'II-I-DIST'!S840+'II-I-MET'!S840+'II-I-TBILLTDCS'!S840</f>
        <v>31546.214554234877</v>
      </c>
      <c r="T840" s="17"/>
      <c r="U840" s="118">
        <f t="shared" si="224"/>
        <v>9243035.1899999995</v>
      </c>
      <c r="V840" s="67"/>
      <c r="X840" s="370">
        <f t="shared" si="218"/>
        <v>0</v>
      </c>
    </row>
    <row r="841" spans="1:24" ht="14.25">
      <c r="A841" s="47"/>
      <c r="B841" s="17">
        <f t="shared" si="220"/>
        <v>23</v>
      </c>
      <c r="C841" s="1" t="s">
        <v>213</v>
      </c>
      <c r="D841" s="1" t="s">
        <v>214</v>
      </c>
      <c r="E841" s="17"/>
      <c r="F841" s="118">
        <f>' WP II-I-1.4'!L841</f>
        <v>2162902.4199999999</v>
      </c>
      <c r="G841" s="17" t="s">
        <v>805</v>
      </c>
      <c r="H841" s="47" t="s">
        <v>320</v>
      </c>
      <c r="I841" s="17"/>
      <c r="J841" s="434">
        <f>'II-I-DIST'!J841+'II-I-MET'!J841+'II-I-TBILLTDCS'!J841</f>
        <v>1269456.0325952987</v>
      </c>
      <c r="K841" s="434">
        <f>'II-I-DIST'!K841+'II-I-MET'!K841+'II-I-TBILLTDCS'!K841</f>
        <v>31015.433633520803</v>
      </c>
      <c r="L841" s="434">
        <f>'II-I-DIST'!L841+'II-I-MET'!L841+'II-I-TBILLTDCS'!L841</f>
        <v>817348.10650466441</v>
      </c>
      <c r="M841" s="434">
        <f>'II-I-DIST'!M841+'II-I-MET'!M841+'II-I-TBILLTDCS'!M841</f>
        <v>48.727764750821571</v>
      </c>
      <c r="N841" s="434">
        <f>'II-I-DIST'!N841+'II-I-MET'!N841+'II-I-TBILLTDCS'!N841</f>
        <v>20312.524901390112</v>
      </c>
      <c r="O841" s="434">
        <f>'II-I-DIST'!O841+'II-I-MET'!O841+'II-I-TBILLTDCS'!O841</f>
        <v>3484.7402426541921</v>
      </c>
      <c r="P841" s="434">
        <f>'II-I-DIST'!P841+'II-I-MET'!P841+'II-I-TBILLTDCS'!P841</f>
        <v>11473.609293191259</v>
      </c>
      <c r="Q841" s="434">
        <f>'II-I-DIST'!Q841+'II-I-MET'!Q841+'II-I-TBILLTDCS'!Q841</f>
        <v>8243.687603355449</v>
      </c>
      <c r="R841" s="434">
        <f>'II-I-DIST'!R841+'II-I-MET'!R841+'II-I-TBILLTDCS'!R841</f>
        <v>417.66545999728811</v>
      </c>
      <c r="S841" s="434">
        <f>'II-I-DIST'!S841+'II-I-MET'!S841+'II-I-TBILLTDCS'!S841</f>
        <v>1101.8920011773075</v>
      </c>
      <c r="T841" s="17"/>
      <c r="U841" s="118">
        <f t="shared" si="224"/>
        <v>2162902.4199999999</v>
      </c>
      <c r="V841" s="67"/>
      <c r="X841" s="370">
        <f t="shared" si="218"/>
        <v>0</v>
      </c>
    </row>
    <row r="842" spans="1:24" ht="14.25">
      <c r="A842" s="47"/>
      <c r="B842" s="17">
        <f t="shared" si="220"/>
        <v>24</v>
      </c>
      <c r="C842" s="1" t="s">
        <v>215</v>
      </c>
      <c r="D842" s="1" t="s">
        <v>216</v>
      </c>
      <c r="E842" s="17"/>
      <c r="F842" s="118">
        <f>' WP II-I-1.4'!L842</f>
        <v>260035.49000000002</v>
      </c>
      <c r="G842" s="17" t="s">
        <v>805</v>
      </c>
      <c r="H842" s="47" t="s">
        <v>320</v>
      </c>
      <c r="I842" s="17"/>
      <c r="J842" s="434">
        <f>'II-I-DIST'!J842+'II-I-MET'!J842+'II-I-TBILLTDCS'!J842</f>
        <v>0</v>
      </c>
      <c r="K842" s="434">
        <f>'II-I-DIST'!K842+'II-I-MET'!K842+'II-I-TBILLTDCS'!K842</f>
        <v>0</v>
      </c>
      <c r="L842" s="434">
        <f>'II-I-DIST'!L842+'II-I-MET'!L842+'II-I-TBILLTDCS'!L842</f>
        <v>0</v>
      </c>
      <c r="M842" s="434">
        <f>'II-I-DIST'!M842+'II-I-MET'!M842+'II-I-TBILLTDCS'!M842</f>
        <v>0</v>
      </c>
      <c r="N842" s="434">
        <f>'II-I-DIST'!N842+'II-I-MET'!N842+'II-I-TBILLTDCS'!N842</f>
        <v>0</v>
      </c>
      <c r="O842" s="434">
        <f>'II-I-DIST'!O842+'II-I-MET'!O842+'II-I-TBILLTDCS'!O842</f>
        <v>0</v>
      </c>
      <c r="P842" s="434">
        <f>'II-I-DIST'!P842+'II-I-MET'!P842+'II-I-TBILLTDCS'!P842</f>
        <v>0</v>
      </c>
      <c r="Q842" s="434">
        <f>'II-I-DIST'!Q842+'II-I-MET'!Q842+'II-I-TBILLTDCS'!Q842</f>
        <v>260035.49000000002</v>
      </c>
      <c r="R842" s="434">
        <f>'II-I-DIST'!R842+'II-I-MET'!R842+'II-I-TBILLTDCS'!R842</f>
        <v>0</v>
      </c>
      <c r="S842" s="434">
        <f>'II-I-DIST'!S842+'II-I-MET'!S842+'II-I-TBILLTDCS'!S842</f>
        <v>0</v>
      </c>
      <c r="T842" s="17"/>
      <c r="U842" s="118">
        <f t="shared" si="224"/>
        <v>260035.49000000002</v>
      </c>
      <c r="V842" s="67"/>
      <c r="X842" s="370">
        <f t="shared" si="218"/>
        <v>0</v>
      </c>
    </row>
    <row r="843" spans="1:24" ht="14.25">
      <c r="A843" s="47"/>
      <c r="B843" s="17">
        <f t="shared" si="220"/>
        <v>25</v>
      </c>
      <c r="C843" s="1" t="s">
        <v>217</v>
      </c>
      <c r="D843" s="1" t="s">
        <v>218</v>
      </c>
      <c r="E843" s="17"/>
      <c r="F843" s="118">
        <f>' WP II-I-1.4'!L843</f>
        <v>12685192.529999999</v>
      </c>
      <c r="G843" s="17" t="s">
        <v>805</v>
      </c>
      <c r="H843" s="47" t="s">
        <v>320</v>
      </c>
      <c r="I843" s="17"/>
      <c r="J843" s="434">
        <f>'II-I-DIST'!J843+'II-I-MET'!J843+'II-I-TBILLTDCS'!J843</f>
        <v>7072055.9113109382</v>
      </c>
      <c r="K843" s="434">
        <f>'II-I-DIST'!K843+'II-I-MET'!K843+'II-I-TBILLTDCS'!K843</f>
        <v>1090328.8961450574</v>
      </c>
      <c r="L843" s="434">
        <f>'II-I-DIST'!L843+'II-I-MET'!L843+'II-I-TBILLTDCS'!L843</f>
        <v>3363157.198179137</v>
      </c>
      <c r="M843" s="434">
        <f>'II-I-DIST'!M843+'II-I-MET'!M843+'II-I-TBILLTDCS'!M843</f>
        <v>47223.833509687487</v>
      </c>
      <c r="N843" s="434">
        <f>'II-I-DIST'!N843+'II-I-MET'!N843+'II-I-TBILLTDCS'!N843</f>
        <v>985434.1938629701</v>
      </c>
      <c r="O843" s="434">
        <f>'II-I-DIST'!O843+'II-I-MET'!O843+'II-I-TBILLTDCS'!O843</f>
        <v>33675.248559238367</v>
      </c>
      <c r="P843" s="434">
        <f>'II-I-DIST'!P843+'II-I-MET'!P843+'II-I-TBILLTDCS'!P843</f>
        <v>73308.425709726595</v>
      </c>
      <c r="Q843" s="434">
        <f>'II-I-DIST'!Q843+'II-I-MET'!Q843+'II-I-TBILLTDCS'!Q843</f>
        <v>7049.5815940011216</v>
      </c>
      <c r="R843" s="434">
        <f>'II-I-DIST'!R843+'II-I-MET'!R843+'II-I-TBILLTDCS'!R843</f>
        <v>3885.6056029890424</v>
      </c>
      <c r="S843" s="434">
        <f>'II-I-DIST'!S843+'II-I-MET'!S843+'II-I-TBILLTDCS'!S843</f>
        <v>9073.635526254724</v>
      </c>
      <c r="T843" s="17"/>
      <c r="U843" s="118">
        <f t="shared" si="224"/>
        <v>12685192.530000001</v>
      </c>
      <c r="V843" s="67"/>
      <c r="X843" s="370">
        <f t="shared" si="218"/>
        <v>0</v>
      </c>
    </row>
    <row r="844" spans="1:24" ht="14.25">
      <c r="A844" s="47"/>
      <c r="B844" s="17">
        <f t="shared" si="220"/>
        <v>26</v>
      </c>
      <c r="C844" s="1" t="s">
        <v>219</v>
      </c>
      <c r="D844" s="1" t="s">
        <v>220</v>
      </c>
      <c r="E844" s="17"/>
      <c r="F844" s="118">
        <f>' WP II-I-1.4'!L844</f>
        <v>87974.830000000002</v>
      </c>
      <c r="G844" s="17" t="s">
        <v>805</v>
      </c>
      <c r="H844" s="47" t="s">
        <v>320</v>
      </c>
      <c r="I844" s="17"/>
      <c r="J844" s="435">
        <f>'II-I-DIST'!J844+'II-I-MET'!J844+'II-I-TBILLTDCS'!J844</f>
        <v>45770.02344534349</v>
      </c>
      <c r="K844" s="435">
        <f>'II-I-DIST'!K844+'II-I-MET'!K844+'II-I-TBILLTDCS'!K844</f>
        <v>1117.2705896036291</v>
      </c>
      <c r="L844" s="435">
        <f>'II-I-DIST'!L844+'II-I-MET'!L844+'II-I-TBILLTDCS'!L844</f>
        <v>29470.626894359888</v>
      </c>
      <c r="M844" s="435">
        <f>'II-I-DIST'!M844+'II-I-MET'!M844+'II-I-TBILLTDCS'!M844</f>
        <v>13.193208641512031</v>
      </c>
      <c r="N844" s="435">
        <f>'II-I-DIST'!N844+'II-I-MET'!N844+'II-I-TBILLTDCS'!N844</f>
        <v>5593.8013850293828</v>
      </c>
      <c r="O844" s="435">
        <f>'II-I-DIST'!O844+'II-I-MET'!O844+'II-I-TBILLTDCS'!O844</f>
        <v>151.94966910997772</v>
      </c>
      <c r="P844" s="435">
        <f>'II-I-DIST'!P844+'II-I-MET'!P844+'II-I-TBILLTDCS'!P844</f>
        <v>14.38100916917983</v>
      </c>
      <c r="Q844" s="435">
        <f>'II-I-DIST'!Q844+'II-I-MET'!Q844+'II-I-TBILLTDCS'!Q844</f>
        <v>5521.7017064317179</v>
      </c>
      <c r="R844" s="435">
        <f>'II-I-DIST'!R844+'II-I-MET'!R844+'II-I-TBILLTDCS'!R844</f>
        <v>18.212196310977319</v>
      </c>
      <c r="S844" s="435">
        <f>'II-I-DIST'!S844+'II-I-MET'!S844+'II-I-TBILLTDCS'!S844</f>
        <v>303.66989600022259</v>
      </c>
      <c r="T844" s="17"/>
      <c r="U844" s="118">
        <f t="shared" si="224"/>
        <v>87974.829999999987</v>
      </c>
      <c r="V844" s="67"/>
      <c r="X844" s="370">
        <f t="shared" si="218"/>
        <v>0</v>
      </c>
    </row>
    <row r="845" spans="1:24" ht="15">
      <c r="A845" s="47"/>
      <c r="B845" s="17">
        <f t="shared" si="220"/>
        <v>27</v>
      </c>
      <c r="C845" s="8"/>
      <c r="D845" s="26" t="s">
        <v>668</v>
      </c>
      <c r="E845" s="20"/>
      <c r="F845" s="22">
        <f>SUM(F837:F844)</f>
        <v>66815249.829999998</v>
      </c>
      <c r="G845" s="20"/>
      <c r="H845" s="20"/>
      <c r="I845" s="20"/>
      <c r="J845" s="896">
        <f t="shared" si="225" ref="J845:Q845">SUM(J837:J844)</f>
        <v>36802333.50546822</v>
      </c>
      <c r="K845" s="896">
        <f t="shared" si="225"/>
        <v>1821293.0962016068</v>
      </c>
      <c r="L845" s="896">
        <f t="shared" si="225"/>
        <v>22499246.604634717</v>
      </c>
      <c r="M845" s="896">
        <f t="shared" si="225"/>
        <v>56089.025105483517</v>
      </c>
      <c r="N845" s="896">
        <f t="shared" si="225"/>
        <v>4635242.2691724487</v>
      </c>
      <c r="O845" s="896">
        <f>SUM(O837:O844)</f>
        <v>217769.77266085221</v>
      </c>
      <c r="P845" s="896">
        <f t="shared" si="225"/>
        <v>85190.253815834149</v>
      </c>
      <c r="Q845" s="896">
        <f t="shared" si="225"/>
        <v>465179.62267076137</v>
      </c>
      <c r="R845" s="896">
        <f>SUM(R837:R844)</f>
        <v>25949.675164032571</v>
      </c>
      <c r="S845" s="896">
        <f>SUM(S837:S844)</f>
        <v>206956.00510603571</v>
      </c>
      <c r="T845" s="20"/>
      <c r="U845" s="299">
        <f t="shared" si="224"/>
        <v>66815249.829999991</v>
      </c>
      <c r="V845" s="67"/>
      <c r="W845" s="1300" t="b">
        <f>' WP II-I-1.4'!$L$845=U845</f>
        <v>1</v>
      </c>
      <c r="X845" s="370">
        <f t="shared" si="218"/>
        <v>0</v>
      </c>
    </row>
    <row r="846" spans="1:24" ht="15">
      <c r="A846" s="47"/>
      <c r="B846" s="17">
        <f t="shared" si="220"/>
        <v>28</v>
      </c>
      <c r="C846" s="1"/>
      <c r="D846" s="366"/>
      <c r="E846" s="17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"/>
      <c r="V846" s="67"/>
      <c r="X846" s="370">
        <f t="shared" si="218"/>
        <v>0</v>
      </c>
    </row>
    <row r="847" spans="1:24" ht="14.25">
      <c r="A847" s="47"/>
      <c r="B847" s="17">
        <f t="shared" si="220"/>
        <v>29</v>
      </c>
      <c r="C847" s="1" t="s">
        <v>208</v>
      </c>
      <c r="D847" s="31" t="s">
        <v>179</v>
      </c>
      <c r="E847" s="17"/>
      <c r="F847" s="118">
        <f>' WP II-I-1.4'!L847</f>
        <v>2625746.9500000002</v>
      </c>
      <c r="G847" s="17" t="s">
        <v>805</v>
      </c>
      <c r="H847" s="47" t="s">
        <v>320</v>
      </c>
      <c r="I847" s="17"/>
      <c r="J847" s="434">
        <f>'II-I-DIST'!J847+'II-I-MET'!J847+'II-I-TBILLTDCS'!J847</f>
        <v>1447962.8386860348</v>
      </c>
      <c r="K847" s="434">
        <f>'II-I-DIST'!K847+'II-I-MET'!K847+'II-I-TBILLTDCS'!K847</f>
        <v>86315.312337638257</v>
      </c>
      <c r="L847" s="434">
        <f>'II-I-DIST'!L847+'II-I-MET'!L847+'II-I-TBILLTDCS'!L847</f>
        <v>866203.57363247848</v>
      </c>
      <c r="M847" s="434">
        <f>'II-I-DIST'!M847+'II-I-MET'!M847+'II-I-TBILLTDCS'!M847</f>
        <v>2928.3566935508857</v>
      </c>
      <c r="N847" s="434">
        <f>'II-I-DIST'!N847+'II-I-MET'!N847+'II-I-TBILLTDCS'!N847</f>
        <v>184245.60803178963</v>
      </c>
      <c r="O847" s="434">
        <f>'II-I-DIST'!O847+'II-I-MET'!O847+'II-I-TBILLTDCS'!O847</f>
        <v>8406.2077154825074</v>
      </c>
      <c r="P847" s="434">
        <f>'II-I-DIST'!P847+'II-I-MET'!P847+'II-I-TBILLTDCS'!P847</f>
        <v>4479.0460211975806</v>
      </c>
      <c r="Q847" s="434">
        <f>'II-I-DIST'!Q847+'II-I-MET'!Q847+'II-I-TBILLTDCS'!Q847</f>
        <v>16672.020949383099</v>
      </c>
      <c r="R847" s="434">
        <f>'II-I-DIST'!R847+'II-I-MET'!R847+'II-I-TBILLTDCS'!R847</f>
        <v>999.17471518092339</v>
      </c>
      <c r="S847" s="434">
        <f>'II-I-DIST'!S847+'II-I-MET'!S847+'II-I-TBILLTDCS'!S847</f>
        <v>7534.8112172641431</v>
      </c>
      <c r="T847" s="17"/>
      <c r="U847" s="118">
        <f>SUM(I847:T847)</f>
        <v>2625746.9500000007</v>
      </c>
      <c r="V847" s="67"/>
      <c r="W847" s="1300" t="b">
        <f>' WP II-I-1.4'!$L$847=U847</f>
        <v>1</v>
      </c>
      <c r="X847" s="370">
        <f t="shared" si="218"/>
        <v>0</v>
      </c>
    </row>
    <row r="848" spans="1:24" ht="15">
      <c r="A848" s="47"/>
      <c r="B848" s="17">
        <f t="shared" si="220"/>
        <v>30</v>
      </c>
      <c r="C848" s="1"/>
      <c r="D848" s="366"/>
      <c r="E848" s="17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"/>
      <c r="V848" s="67"/>
      <c r="X848" s="370">
        <f t="shared" si="218"/>
        <v>0</v>
      </c>
    </row>
    <row r="849" spans="1:24" ht="15">
      <c r="A849" s="47"/>
      <c r="B849" s="17">
        <f t="shared" si="220"/>
        <v>31</v>
      </c>
      <c r="C849" s="1"/>
      <c r="D849" s="366" t="s">
        <v>669</v>
      </c>
      <c r="E849" s="20" t="s">
        <v>279</v>
      </c>
      <c r="F849" s="22">
        <f>F845+F847</f>
        <v>69440996.780000001</v>
      </c>
      <c r="G849" s="20"/>
      <c r="H849" s="20"/>
      <c r="I849" s="20"/>
      <c r="J849" s="22">
        <f t="shared" si="226" ref="J849:Q849">J845+J847</f>
        <v>38250296.344154254</v>
      </c>
      <c r="K849" s="22">
        <f t="shared" si="226"/>
        <v>1907608.4085392451</v>
      </c>
      <c r="L849" s="22">
        <f t="shared" si="226"/>
        <v>23365450.178267196</v>
      </c>
      <c r="M849" s="22">
        <f t="shared" si="226"/>
        <v>59017.381799034403</v>
      </c>
      <c r="N849" s="22">
        <f t="shared" si="226"/>
        <v>4819487.8772042384</v>
      </c>
      <c r="O849" s="22">
        <f>O845+O847</f>
        <v>226175.98037633472</v>
      </c>
      <c r="P849" s="22">
        <f t="shared" si="226"/>
        <v>89669.299837031722</v>
      </c>
      <c r="Q849" s="22">
        <f t="shared" si="226"/>
        <v>481851.64362014446</v>
      </c>
      <c r="R849" s="22">
        <f>R845+R847</f>
        <v>26948.849879213496</v>
      </c>
      <c r="S849" s="22">
        <f>S845+S847</f>
        <v>214490.81632329986</v>
      </c>
      <c r="T849" s="20"/>
      <c r="U849" s="299">
        <f>SUM(I849:T849)</f>
        <v>69440996.780000001</v>
      </c>
      <c r="V849" s="67"/>
      <c r="W849" s="1300" t="b">
        <f>' WP II-I-1.4'!$L$849=U849</f>
        <v>1</v>
      </c>
      <c r="X849" s="370">
        <f t="shared" si="218"/>
        <v>0</v>
      </c>
    </row>
    <row r="850" spans="1:24" ht="15.75" thickBot="1">
      <c r="A850" s="47"/>
      <c r="B850" s="17">
        <f t="shared" si="220"/>
        <v>32</v>
      </c>
      <c r="C850" s="1"/>
      <c r="D850" s="366"/>
      <c r="E850" s="17"/>
      <c r="F850" s="19"/>
      <c r="G850" s="17"/>
      <c r="H850" s="17"/>
      <c r="I850" s="17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7"/>
      <c r="U850" s="1"/>
      <c r="V850" s="67"/>
      <c r="X850" s="370">
        <f t="shared" si="218"/>
        <v>0</v>
      </c>
    </row>
    <row r="851" spans="1:24" ht="15.75" thickBot="1">
      <c r="A851" s="47"/>
      <c r="B851" s="17">
        <f t="shared" si="220"/>
        <v>33</v>
      </c>
      <c r="C851" s="870" t="s">
        <v>670</v>
      </c>
      <c r="D851" s="1017"/>
      <c r="E851" s="1013" t="s">
        <v>279</v>
      </c>
      <c r="F851" s="1014">
        <f>F834+F849</f>
        <v>144288585.37000001</v>
      </c>
      <c r="G851" s="1013"/>
      <c r="H851" s="1013"/>
      <c r="I851" s="1016"/>
      <c r="J851" s="1014">
        <f t="shared" si="227" ref="J851:Q851">J834+J849</f>
        <v>78918116.968458116</v>
      </c>
      <c r="K851" s="1014">
        <f t="shared" si="227"/>
        <v>3834064.2022034293</v>
      </c>
      <c r="L851" s="1014">
        <f t="shared" si="227"/>
        <v>48339610.513597101</v>
      </c>
      <c r="M851" s="1014">
        <f t="shared" si="227"/>
        <v>118069.86009173491</v>
      </c>
      <c r="N851" s="1014">
        <f t="shared" si="227"/>
        <v>10486057.921265665</v>
      </c>
      <c r="O851" s="1014">
        <f>O834+O849</f>
        <v>1113587.8852853028</v>
      </c>
      <c r="P851" s="1014">
        <f t="shared" si="227"/>
        <v>164232.86883213409</v>
      </c>
      <c r="Q851" s="1014">
        <f t="shared" si="227"/>
        <v>708138.94804204581</v>
      </c>
      <c r="R851" s="1014">
        <f>R834+R849</f>
        <v>132150.01870480221</v>
      </c>
      <c r="S851" s="1014">
        <f>S834+S849</f>
        <v>474556.18351968029</v>
      </c>
      <c r="T851" s="1016"/>
      <c r="U851" s="1015">
        <f>SUM(I851:T851)</f>
        <v>144288585.37000001</v>
      </c>
      <c r="V851" s="67"/>
      <c r="W851" s="1300" t="b">
        <f>' WP II-I-1.4'!$L$851=U851</f>
        <v>1</v>
      </c>
      <c r="X851" s="370">
        <f t="shared" si="218"/>
        <v>0</v>
      </c>
    </row>
    <row r="852" spans="1:24" ht="15" thickBot="1">
      <c r="A852" s="47"/>
      <c r="B852" s="17"/>
      <c r="C852" s="1"/>
      <c r="D852" s="1"/>
      <c r="E852" s="17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"/>
      <c r="V852" s="67"/>
      <c r="X852" s="370">
        <f t="shared" si="218"/>
        <v>0</v>
      </c>
    </row>
    <row r="853" spans="1:24" ht="15">
      <c r="A853" s="47"/>
      <c r="B853" s="920" t="str">
        <f>+$B$4</f>
        <v>2022 RATE CASE</v>
      </c>
      <c r="C853" s="935"/>
      <c r="D853" s="620"/>
      <c r="F853" s="12"/>
      <c r="H853" s="134"/>
      <c r="U853" s="134"/>
      <c r="V853" s="134"/>
      <c r="X853" s="370"/>
    </row>
    <row r="854" spans="1:24" ht="15">
      <c r="A854" s="47"/>
      <c r="B854" s="917" t="str">
        <f>+$B$5</f>
        <v>ONCOR ELECTRIC DELIVERY COMPANY LLC</v>
      </c>
      <c r="C854" s="8"/>
      <c r="D854" s="621"/>
      <c r="F854" s="12"/>
      <c r="U854" s="134"/>
      <c r="V854" s="67"/>
      <c r="X854" s="370">
        <f t="shared" si="218"/>
        <v>0</v>
      </c>
    </row>
    <row r="855" spans="1:24" ht="15">
      <c r="A855" s="47"/>
      <c r="B855" s="917" t="str">
        <f>+$B$6</f>
        <v>II-I-1-TOT:  CLASS REVENUE REQUIREMENT</v>
      </c>
      <c r="C855" s="85"/>
      <c r="D855" s="621"/>
      <c r="F855" s="12"/>
      <c r="U855" s="12"/>
      <c r="V855" s="67"/>
      <c r="X855" s="370">
        <f t="shared" si="218"/>
        <v>0</v>
      </c>
    </row>
    <row r="856" spans="1:24" ht="15">
      <c r="A856" s="47"/>
      <c r="B856" s="406" t="str">
        <f>+$B$7</f>
        <v>TEST YEAR ENDING 12/31/2021</v>
      </c>
      <c r="C856" s="85"/>
      <c r="D856" s="621"/>
      <c r="F856" s="12"/>
      <c r="U856" s="12"/>
      <c r="V856" s="67"/>
      <c r="X856" s="370">
        <f t="shared" si="218"/>
        <v>0</v>
      </c>
    </row>
    <row r="857" spans="1:24" ht="15">
      <c r="A857" s="47"/>
      <c r="B857" s="406" t="str">
        <f>+$B$8</f>
        <v>SPONSOR:  MATTHEW A. TROXLE</v>
      </c>
      <c r="C857" s="85"/>
      <c r="D857" s="621"/>
      <c r="F857" s="12"/>
      <c r="U857" s="12"/>
      <c r="V857" s="67"/>
      <c r="X857" s="370">
        <f t="shared" si="218"/>
        <v>0</v>
      </c>
    </row>
    <row r="858" spans="1:24" ht="15.75" thickBot="1">
      <c r="A858" s="47"/>
      <c r="B858" s="410"/>
      <c r="C858" s="934"/>
      <c r="D858" s="622"/>
      <c r="F858" s="12"/>
      <c r="U858" s="12"/>
      <c r="V858" s="67"/>
      <c r="X858" s="370">
        <f t="shared" si="218"/>
        <v>0</v>
      </c>
    </row>
    <row r="859" spans="1:24" ht="15" thickBot="1">
      <c r="A859" s="47"/>
      <c r="B859" s="13"/>
      <c r="C859" s="14"/>
      <c r="D859" s="14"/>
      <c r="E859" s="14"/>
      <c r="F859" s="13"/>
      <c r="G859" s="14"/>
      <c r="H859" s="14"/>
      <c r="I859" s="14"/>
      <c r="J859" s="238"/>
      <c r="K859" s="238"/>
      <c r="L859" s="14"/>
      <c r="M859" s="238"/>
      <c r="N859" s="238"/>
      <c r="O859" s="238"/>
      <c r="P859" s="238"/>
      <c r="Q859" s="14"/>
      <c r="R859" s="393" t="str">
        <f>R$10</f>
        <v xml:space="preserve"> </v>
      </c>
      <c r="S859" s="394"/>
      <c r="T859" s="238"/>
      <c r="U859" s="13"/>
      <c r="V859" s="67"/>
      <c r="X859" s="370">
        <f t="shared" si="218"/>
        <v>0</v>
      </c>
    </row>
    <row r="860" spans="1:24" ht="15">
      <c r="A860" s="47"/>
      <c r="B860" s="15" t="s">
        <v>2</v>
      </c>
      <c r="C860" s="15" t="s">
        <v>370</v>
      </c>
      <c r="D860" s="287" t="s">
        <v>671</v>
      </c>
      <c r="E860" s="15" t="s">
        <v>371</v>
      </c>
      <c r="F860" s="287" t="str">
        <f>F$11</f>
        <v>TOTAL</v>
      </c>
      <c r="G860" s="242" t="s">
        <v>741</v>
      </c>
      <c r="H860" s="242" t="s">
        <v>376</v>
      </c>
      <c r="I860" s="15"/>
      <c r="J860" s="242" t="s">
        <v>730</v>
      </c>
      <c r="K860" s="242" t="s">
        <v>409</v>
      </c>
      <c r="L860" s="15" t="s">
        <v>409</v>
      </c>
      <c r="M860" s="242" t="s">
        <v>410</v>
      </c>
      <c r="N860" s="242" t="s">
        <v>410</v>
      </c>
      <c r="O860" s="242" t="s">
        <v>410</v>
      </c>
      <c r="P860" s="242" t="s">
        <v>411</v>
      </c>
      <c r="Q860" s="15" t="s">
        <v>412</v>
      </c>
      <c r="R860" s="396" t="str">
        <f>R$11</f>
        <v>Wholesale</v>
      </c>
      <c r="S860" s="13" t="str">
        <f>S$11</f>
        <v>Wholesale</v>
      </c>
      <c r="T860" s="242"/>
      <c r="U860" s="15" t="s">
        <v>10</v>
      </c>
      <c r="V860" s="67"/>
      <c r="X860" s="370"/>
    </row>
    <row r="861" spans="1:24" ht="14.25">
      <c r="A861" s="47"/>
      <c r="B861" s="15"/>
      <c r="C861" s="15"/>
      <c r="D861" s="15"/>
      <c r="E861" s="15"/>
      <c r="F861" s="15" t="str">
        <f>F$12</f>
        <v>(Dist+Met+Cust)</v>
      </c>
      <c r="G861" s="242" t="s">
        <v>742</v>
      </c>
      <c r="H861" s="242" t="s">
        <v>743</v>
      </c>
      <c r="I861" s="15"/>
      <c r="J861" s="242"/>
      <c r="K861" s="242" t="s">
        <v>731</v>
      </c>
      <c r="L861" s="15" t="s">
        <v>732</v>
      </c>
      <c r="M861" s="242" t="s">
        <v>731</v>
      </c>
      <c r="N861" s="242" t="s">
        <v>732</v>
      </c>
      <c r="O861" s="242" t="s">
        <v>414</v>
      </c>
      <c r="P861" s="242"/>
      <c r="Q861" s="15"/>
      <c r="R861" s="235" t="str">
        <f>R$12</f>
        <v>XFMR</v>
      </c>
      <c r="S861" s="15" t="str">
        <f>S$12</f>
        <v>DLS</v>
      </c>
      <c r="T861" s="242"/>
      <c r="U861" s="15"/>
      <c r="V861" s="67"/>
      <c r="X861" s="370"/>
    </row>
    <row r="862" spans="1:24" ht="15" thickBot="1">
      <c r="A862" s="47"/>
      <c r="B862" s="16"/>
      <c r="C862" s="16"/>
      <c r="D862" s="16"/>
      <c r="E862" s="16"/>
      <c r="F862" s="16" t="s">
        <v>13</v>
      </c>
      <c r="G862" s="16" t="s">
        <v>14</v>
      </c>
      <c r="H862" s="16" t="s">
        <v>15</v>
      </c>
      <c r="I862" s="16"/>
      <c r="J862" s="243" t="str">
        <f t="shared" si="228" ref="J862:Q862">J$13</f>
        <v>(d)</v>
      </c>
      <c r="K862" s="243" t="str">
        <f t="shared" si="228"/>
        <v>(e)</v>
      </c>
      <c r="L862" s="16" t="str">
        <f t="shared" si="228"/>
        <v>(f)</v>
      </c>
      <c r="M862" s="243" t="str">
        <f t="shared" si="228"/>
        <v>(g)</v>
      </c>
      <c r="N862" s="243" t="str">
        <f t="shared" si="228"/>
        <v>(h)</v>
      </c>
      <c r="O862" s="243" t="str">
        <f>O$13</f>
        <v>(i)</v>
      </c>
      <c r="P862" s="243" t="str">
        <f t="shared" si="228"/>
        <v>(j)</v>
      </c>
      <c r="Q862" s="243" t="str">
        <f t="shared" si="228"/>
        <v>(k)</v>
      </c>
      <c r="R862" s="243" t="str">
        <f>R$13</f>
        <v>(l)</v>
      </c>
      <c r="S862" s="16" t="str">
        <f>S$13</f>
        <v>(m)</v>
      </c>
      <c r="T862" s="16"/>
      <c r="U862" s="16" t="s">
        <v>734</v>
      </c>
      <c r="V862" s="67"/>
      <c r="X862" s="370"/>
    </row>
    <row r="863" spans="1:24" ht="14.25">
      <c r="A863" s="47"/>
      <c r="B863" s="67"/>
      <c r="C863" s="100"/>
      <c r="D863" s="100"/>
      <c r="E863" s="315"/>
      <c r="F863" s="373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1"/>
      <c r="V863" s="67"/>
      <c r="X863" s="370">
        <f t="shared" si="218"/>
        <v>0</v>
      </c>
    </row>
    <row r="864" spans="1:24" ht="15">
      <c r="A864" s="47"/>
      <c r="B864" s="17">
        <f t="shared" si="229" ref="B864:B902">B863+1</f>
        <v>1</v>
      </c>
      <c r="C864" s="8"/>
      <c r="D864" s="366" t="s">
        <v>283</v>
      </c>
      <c r="E864" s="20" t="s">
        <v>279</v>
      </c>
      <c r="F864" s="22"/>
      <c r="G864" s="20"/>
      <c r="H864" s="20"/>
      <c r="I864" s="20"/>
      <c r="J864" s="1059"/>
      <c r="K864" s="1059"/>
      <c r="L864" s="1059"/>
      <c r="M864" s="1059"/>
      <c r="N864" s="1059"/>
      <c r="O864" s="1059"/>
      <c r="P864" s="1059"/>
      <c r="Q864" s="1059"/>
      <c r="R864" s="1059"/>
      <c r="S864" s="1059"/>
      <c r="T864" s="20"/>
      <c r="U864" s="8"/>
      <c r="V864" s="67"/>
      <c r="X864" s="370">
        <f t="shared" si="218"/>
        <v>0</v>
      </c>
    </row>
    <row r="865" spans="1:24" ht="14.25">
      <c r="A865" s="47"/>
      <c r="B865" s="17">
        <f t="shared" si="229"/>
        <v>2</v>
      </c>
      <c r="C865" s="1" t="s">
        <v>224</v>
      </c>
      <c r="D865" s="1" t="s">
        <v>225</v>
      </c>
      <c r="E865" s="17"/>
      <c r="F865" s="118">
        <f>' WP II-I-1.4'!L865</f>
        <v>0</v>
      </c>
      <c r="G865" s="17" t="s">
        <v>805</v>
      </c>
      <c r="H865" s="47" t="s">
        <v>320</v>
      </c>
      <c r="I865" s="17"/>
      <c r="J865" s="434">
        <f>'II-I-DIST'!J865+'II-I-MET'!J865+'II-I-TBILLTDCS'!J865</f>
        <v>0</v>
      </c>
      <c r="K865" s="434">
        <f>'II-I-DIST'!K865+'II-I-MET'!K865+'II-I-TBILLTDCS'!K865</f>
        <v>0</v>
      </c>
      <c r="L865" s="434">
        <f>'II-I-DIST'!L865+'II-I-MET'!L865+'II-I-TBILLTDCS'!L865</f>
        <v>0</v>
      </c>
      <c r="M865" s="434">
        <f>'II-I-DIST'!M865+'II-I-MET'!M865+'II-I-TBILLTDCS'!M865</f>
        <v>0</v>
      </c>
      <c r="N865" s="434">
        <f>'II-I-DIST'!N865+'II-I-MET'!N865+'II-I-TBILLTDCS'!N865</f>
        <v>0</v>
      </c>
      <c r="O865" s="434">
        <f>'II-I-DIST'!O865+'II-I-MET'!O865+'II-I-TBILLTDCS'!O865</f>
        <v>0</v>
      </c>
      <c r="P865" s="434">
        <f>'II-I-DIST'!P865+'II-I-MET'!P865+'II-I-TBILLTDCS'!P865</f>
        <v>0</v>
      </c>
      <c r="Q865" s="434">
        <f>'II-I-DIST'!Q865+'II-I-MET'!Q865+'II-I-TBILLTDCS'!Q865</f>
        <v>0</v>
      </c>
      <c r="R865" s="434">
        <f>'II-I-DIST'!R865+'II-I-MET'!R865+'II-I-TBILLTDCS'!R865</f>
        <v>0</v>
      </c>
      <c r="S865" s="434">
        <f>'II-I-DIST'!S865+'II-I-MET'!S865+'II-I-TBILLTDCS'!S865</f>
        <v>0</v>
      </c>
      <c r="T865" s="17"/>
      <c r="U865" s="118">
        <f>SUM(I865:T865)</f>
        <v>0</v>
      </c>
      <c r="V865" s="67"/>
      <c r="X865" s="370">
        <f t="shared" si="218"/>
        <v>0</v>
      </c>
    </row>
    <row r="866" spans="1:24" ht="14.25">
      <c r="A866" s="47"/>
      <c r="B866" s="17">
        <f t="shared" si="229"/>
        <v>3</v>
      </c>
      <c r="C866" s="1" t="s">
        <v>226</v>
      </c>
      <c r="D866" s="1" t="s">
        <v>227</v>
      </c>
      <c r="E866" s="17"/>
      <c r="F866" s="118">
        <f>' WP II-I-1.4'!L866</f>
        <v>9262498.3000000007</v>
      </c>
      <c r="G866" s="17" t="s">
        <v>805</v>
      </c>
      <c r="H866" s="47" t="s">
        <v>320</v>
      </c>
      <c r="I866" s="17"/>
      <c r="J866" s="435">
        <f>'II-I-DIST'!J866+'II-I-MET'!J866+'II-I-TBILLTDCS'!J866</f>
        <v>5163887.3987214528</v>
      </c>
      <c r="K866" s="435">
        <f>'II-I-DIST'!K866+'II-I-MET'!K866+'II-I-TBILLTDCS'!K866</f>
        <v>796138.45222296123</v>
      </c>
      <c r="L866" s="435">
        <f>'II-I-DIST'!L866+'II-I-MET'!L866+'II-I-TBILLTDCS'!L866</f>
        <v>2455716.5968979597</v>
      </c>
      <c r="M866" s="435">
        <f>'II-I-DIST'!M866+'II-I-MET'!M866+'II-I-TBILLTDCS'!M866</f>
        <v>34481.989655931808</v>
      </c>
      <c r="N866" s="435">
        <f>'II-I-DIST'!N866+'II-I-MET'!N866+'II-I-TBILLTDCS'!N866</f>
        <v>719546.23659288138</v>
      </c>
      <c r="O866" s="435">
        <f>'II-I-DIST'!O866+'II-I-MET'!O866+'II-I-TBILLTDCS'!O866</f>
        <v>24589.05781637536</v>
      </c>
      <c r="P866" s="435">
        <f>'II-I-DIST'!P866+'II-I-MET'!P866+'II-I-TBILLTDCS'!P866</f>
        <v>53528.487400263279</v>
      </c>
      <c r="Q866" s="435">
        <f>'II-I-DIST'!Q866+'II-I-MET'!Q866+'II-I-TBILLTDCS'!Q866</f>
        <v>5147.4770584460875</v>
      </c>
      <c r="R866" s="435">
        <f>'II-I-DIST'!R866+'II-I-MET'!R866+'II-I-TBILLTDCS'!R866</f>
        <v>2837.1989788125416</v>
      </c>
      <c r="S866" s="435">
        <f>'II-I-DIST'!S866+'II-I-MET'!S866+'II-I-TBILLTDCS'!S866</f>
        <v>6625.4046549149225</v>
      </c>
      <c r="T866" s="17"/>
      <c r="U866" s="118">
        <f>SUM(I866:T866)</f>
        <v>9262498.3000000007</v>
      </c>
      <c r="V866" s="67"/>
      <c r="X866" s="370">
        <f t="shared" si="218"/>
        <v>0</v>
      </c>
    </row>
    <row r="867" spans="1:24" ht="15">
      <c r="A867" s="47"/>
      <c r="B867" s="17">
        <f t="shared" si="229"/>
        <v>4</v>
      </c>
      <c r="C867" s="8"/>
      <c r="D867" s="26" t="s">
        <v>649</v>
      </c>
      <c r="E867" s="20"/>
      <c r="F867" s="22">
        <f>+F865+F866</f>
        <v>9262498.3000000007</v>
      </c>
      <c r="G867" s="20"/>
      <c r="H867" s="20"/>
      <c r="I867" s="1009"/>
      <c r="J867" s="896">
        <f t="shared" si="230" ref="J867:Q867">+J865+J866</f>
        <v>5163887.3987214528</v>
      </c>
      <c r="K867" s="896">
        <f t="shared" si="230"/>
        <v>796138.45222296123</v>
      </c>
      <c r="L867" s="896">
        <f t="shared" si="230"/>
        <v>2455716.5968979597</v>
      </c>
      <c r="M867" s="896">
        <f t="shared" si="230"/>
        <v>34481.989655931808</v>
      </c>
      <c r="N867" s="896">
        <f t="shared" si="230"/>
        <v>719546.23659288138</v>
      </c>
      <c r="O867" s="896">
        <f>+O865+O866</f>
        <v>24589.05781637536</v>
      </c>
      <c r="P867" s="896">
        <f t="shared" si="230"/>
        <v>53528.487400263279</v>
      </c>
      <c r="Q867" s="896">
        <f t="shared" si="230"/>
        <v>5147.4770584460875</v>
      </c>
      <c r="R867" s="896">
        <f>+R865+R866</f>
        <v>2837.1989788125416</v>
      </c>
      <c r="S867" s="896">
        <f>+S865+S866</f>
        <v>6625.4046549149225</v>
      </c>
      <c r="T867" s="1009"/>
      <c r="U867" s="299">
        <f>SUM(I867:T867)</f>
        <v>9262498.3000000007</v>
      </c>
      <c r="V867" s="67"/>
      <c r="W867" s="1300" t="b">
        <f>' WP II-I-1.4'!$L$867=U867</f>
        <v>1</v>
      </c>
      <c r="X867" s="370">
        <f t="shared" si="218"/>
        <v>0</v>
      </c>
    </row>
    <row r="868" spans="1:24" ht="15">
      <c r="A868" s="47"/>
      <c r="B868" s="17">
        <f t="shared" si="229"/>
        <v>5</v>
      </c>
      <c r="C868" s="1"/>
      <c r="D868" s="26"/>
      <c r="E868" s="17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"/>
      <c r="V868" s="67"/>
      <c r="X868" s="370">
        <f t="shared" si="218"/>
        <v>0</v>
      </c>
    </row>
    <row r="869" spans="1:24" ht="14.25">
      <c r="A869" s="47"/>
      <c r="B869" s="17">
        <f t="shared" si="229"/>
        <v>6</v>
      </c>
      <c r="C869" s="1" t="s">
        <v>222</v>
      </c>
      <c r="D869" s="1" t="s">
        <v>223</v>
      </c>
      <c r="E869" s="17"/>
      <c r="F869" s="118">
        <f>' WP II-I-1.4'!L869</f>
        <v>11429.000000000002</v>
      </c>
      <c r="G869" s="17" t="s">
        <v>805</v>
      </c>
      <c r="H869" s="47" t="s">
        <v>320</v>
      </c>
      <c r="I869" s="17"/>
      <c r="J869" s="434">
        <f>'II-I-DIST'!J869+'II-I-MET'!J869+'II-I-TBILLTDCS'!J869</f>
        <v>6371.7225276022446</v>
      </c>
      <c r="K869" s="434">
        <f>'II-I-DIST'!K869+'II-I-MET'!K869+'II-I-TBILLTDCS'!K869</f>
        <v>982.35552393636863</v>
      </c>
      <c r="L869" s="434">
        <f>'II-I-DIST'!L869+'II-I-MET'!L869+'II-I-TBILLTDCS'!L869</f>
        <v>3030.1095964516162</v>
      </c>
      <c r="M869" s="434">
        <f>'II-I-DIST'!M869+'II-I-MET'!M869+'II-I-TBILLTDCS'!M869</f>
        <v>42.547339498852537</v>
      </c>
      <c r="N869" s="434">
        <f>'II-I-DIST'!N869+'II-I-MET'!N869+'II-I-TBILLTDCS'!N869</f>
        <v>887.84836138863739</v>
      </c>
      <c r="O869" s="434">
        <f>'II-I-DIST'!O869+'II-I-MET'!O869+'II-I-TBILLTDCS'!O869</f>
        <v>30.340447326544069</v>
      </c>
      <c r="P869" s="434">
        <f>'II-I-DIST'!P869+'II-I-MET'!P869+'II-I-TBILLTDCS'!P869</f>
        <v>66.048819949322848</v>
      </c>
      <c r="Q869" s="434">
        <f>'II-I-DIST'!Q869+'II-I-MET'!Q869+'II-I-TBILLTDCS'!Q869</f>
        <v>6.3514738028054838</v>
      </c>
      <c r="R869" s="434">
        <f>'II-I-DIST'!R869+'II-I-MET'!R869+'II-I-TBILLTDCS'!R869</f>
        <v>3.5008208453704692</v>
      </c>
      <c r="S869" s="434">
        <f>'II-I-DIST'!S869+'II-I-MET'!S869+'II-I-TBILLTDCS'!S869</f>
        <v>8.1750891982374387</v>
      </c>
      <c r="T869" s="17"/>
      <c r="U869" s="118">
        <f>SUM(I869:T869)</f>
        <v>11429.000000000002</v>
      </c>
      <c r="V869" s="67"/>
      <c r="W869" s="1300" t="b">
        <f>' WP II-I-1.4'!$L$869=U869</f>
        <v>1</v>
      </c>
      <c r="X869" s="370">
        <f t="shared" si="218"/>
        <v>0</v>
      </c>
    </row>
    <row r="870" spans="1:24" ht="14.25">
      <c r="A870" s="47"/>
      <c r="B870" s="17">
        <f t="shared" si="229"/>
        <v>7</v>
      </c>
      <c r="C870" s="1" t="s">
        <v>228</v>
      </c>
      <c r="D870" s="1" t="s">
        <v>229</v>
      </c>
      <c r="E870" s="17"/>
      <c r="F870" s="118">
        <f>' WP II-I-1.4'!L870</f>
        <v>0</v>
      </c>
      <c r="G870" s="17" t="s">
        <v>805</v>
      </c>
      <c r="H870" s="47" t="s">
        <v>320</v>
      </c>
      <c r="I870" s="17"/>
      <c r="J870" s="434">
        <f>'II-I-DIST'!J870+'II-I-MET'!J870+'II-I-TBILLTDCS'!J870</f>
        <v>0</v>
      </c>
      <c r="K870" s="434">
        <f>'II-I-DIST'!K870+'II-I-MET'!K870+'II-I-TBILLTDCS'!K870</f>
        <v>0</v>
      </c>
      <c r="L870" s="434">
        <f>'II-I-DIST'!L870+'II-I-MET'!L870+'II-I-TBILLTDCS'!L870</f>
        <v>0</v>
      </c>
      <c r="M870" s="434">
        <f>'II-I-DIST'!M870+'II-I-MET'!M870+'II-I-TBILLTDCS'!M870</f>
        <v>0</v>
      </c>
      <c r="N870" s="434">
        <f>'II-I-DIST'!N870+'II-I-MET'!N870+'II-I-TBILLTDCS'!N870</f>
        <v>0</v>
      </c>
      <c r="O870" s="434">
        <f>'II-I-DIST'!O870+'II-I-MET'!O870+'II-I-TBILLTDCS'!O870</f>
        <v>0</v>
      </c>
      <c r="P870" s="434">
        <f>'II-I-DIST'!P870+'II-I-MET'!P870+'II-I-TBILLTDCS'!P870</f>
        <v>0</v>
      </c>
      <c r="Q870" s="434">
        <f>'II-I-DIST'!Q870+'II-I-MET'!Q870+'II-I-TBILLTDCS'!Q870</f>
        <v>0</v>
      </c>
      <c r="R870" s="434">
        <f>'II-I-DIST'!R870+'II-I-MET'!R870+'II-I-TBILLTDCS'!R870</f>
        <v>0</v>
      </c>
      <c r="S870" s="434">
        <f>'II-I-DIST'!S870+'II-I-MET'!S870+'II-I-TBILLTDCS'!S870</f>
        <v>0</v>
      </c>
      <c r="T870" s="17"/>
      <c r="U870" s="118">
        <f>SUM(I870:T870)</f>
        <v>0</v>
      </c>
      <c r="V870" s="67"/>
      <c r="X870" s="370">
        <f t="shared" si="231" ref="X870:X933">U870-F870</f>
        <v>0</v>
      </c>
    </row>
    <row r="871" spans="1:24" ht="14.25">
      <c r="A871" s="47"/>
      <c r="B871" s="17">
        <f t="shared" si="229"/>
        <v>8</v>
      </c>
      <c r="C871" s="1" t="s">
        <v>230</v>
      </c>
      <c r="D871" s="31" t="s">
        <v>231</v>
      </c>
      <c r="E871" s="17"/>
      <c r="F871" s="118">
        <f>' WP II-I-1.4'!L871</f>
        <v>0</v>
      </c>
      <c r="G871" s="17" t="s">
        <v>805</v>
      </c>
      <c r="H871" s="47" t="s">
        <v>320</v>
      </c>
      <c r="I871" s="17"/>
      <c r="J871" s="435">
        <f>'II-I-DIST'!J871+'II-I-MET'!J871+'II-I-TBILLTDCS'!J871</f>
        <v>0</v>
      </c>
      <c r="K871" s="435">
        <f>'II-I-DIST'!K871+'II-I-MET'!K871+'II-I-TBILLTDCS'!K871</f>
        <v>0</v>
      </c>
      <c r="L871" s="435">
        <f>'II-I-DIST'!L871+'II-I-MET'!L871+'II-I-TBILLTDCS'!L871</f>
        <v>0</v>
      </c>
      <c r="M871" s="435">
        <f>'II-I-DIST'!M871+'II-I-MET'!M871+'II-I-TBILLTDCS'!M871</f>
        <v>0</v>
      </c>
      <c r="N871" s="435">
        <f>'II-I-DIST'!N871+'II-I-MET'!N871+'II-I-TBILLTDCS'!N871</f>
        <v>0</v>
      </c>
      <c r="O871" s="435">
        <f>'II-I-DIST'!O871+'II-I-MET'!O871+'II-I-TBILLTDCS'!O871</f>
        <v>0</v>
      </c>
      <c r="P871" s="435">
        <f>'II-I-DIST'!P871+'II-I-MET'!P871+'II-I-TBILLTDCS'!P871</f>
        <v>0</v>
      </c>
      <c r="Q871" s="435">
        <f>'II-I-DIST'!Q871+'II-I-MET'!Q871+'II-I-TBILLTDCS'!Q871</f>
        <v>0</v>
      </c>
      <c r="R871" s="435">
        <f>'II-I-DIST'!R871+'II-I-MET'!R871+'II-I-TBILLTDCS'!R871</f>
        <v>0</v>
      </c>
      <c r="S871" s="435">
        <f>'II-I-DIST'!S871+'II-I-MET'!S871+'II-I-TBILLTDCS'!S871</f>
        <v>0</v>
      </c>
      <c r="T871" s="17"/>
      <c r="U871" s="118">
        <f>SUM(I871:T871)</f>
        <v>0</v>
      </c>
      <c r="V871" s="67"/>
      <c r="X871" s="370">
        <f t="shared" si="231"/>
        <v>0</v>
      </c>
    </row>
    <row r="872" spans="1:24" ht="15">
      <c r="A872" s="47"/>
      <c r="B872" s="17">
        <f t="shared" si="229"/>
        <v>9</v>
      </c>
      <c r="C872" s="8"/>
      <c r="D872" s="26" t="s">
        <v>672</v>
      </c>
      <c r="E872" s="20"/>
      <c r="F872" s="22">
        <f>SUM(F869:F871)</f>
        <v>11429.000000000002</v>
      </c>
      <c r="G872" s="20"/>
      <c r="H872" s="20"/>
      <c r="I872" s="1009"/>
      <c r="J872" s="896">
        <f t="shared" si="232" ref="J872:Q872">SUM(J869:J871)</f>
        <v>6371.7225276022446</v>
      </c>
      <c r="K872" s="896">
        <f t="shared" si="232"/>
        <v>982.35552393636863</v>
      </c>
      <c r="L872" s="896">
        <f t="shared" si="232"/>
        <v>3030.1095964516162</v>
      </c>
      <c r="M872" s="896">
        <f t="shared" si="232"/>
        <v>42.547339498852537</v>
      </c>
      <c r="N872" s="896">
        <f t="shared" si="232"/>
        <v>887.84836138863739</v>
      </c>
      <c r="O872" s="896">
        <f>SUM(O869:O871)</f>
        <v>30.340447326544069</v>
      </c>
      <c r="P872" s="896">
        <f t="shared" si="232"/>
        <v>66.048819949322848</v>
      </c>
      <c r="Q872" s="896">
        <f t="shared" si="232"/>
        <v>6.3514738028054838</v>
      </c>
      <c r="R872" s="896">
        <f>SUM(R869:R871)</f>
        <v>3.5008208453704692</v>
      </c>
      <c r="S872" s="896">
        <f>SUM(S869:S871)</f>
        <v>8.1750891982374387</v>
      </c>
      <c r="T872" s="1009"/>
      <c r="U872" s="299">
        <f>SUM(I872:T872)</f>
        <v>11429.000000000002</v>
      </c>
      <c r="V872" s="67"/>
      <c r="W872" s="1300" t="b">
        <f>' WP II-I-1.4'!$L$872=U872</f>
        <v>1</v>
      </c>
      <c r="X872" s="370">
        <f t="shared" si="231"/>
        <v>0</v>
      </c>
    </row>
    <row r="873" spans="1:24" ht="15">
      <c r="A873" s="47"/>
      <c r="B873" s="17">
        <f t="shared" si="229"/>
        <v>10</v>
      </c>
      <c r="C873" s="1"/>
      <c r="D873" s="26"/>
      <c r="E873" s="17"/>
      <c r="F873" s="19"/>
      <c r="G873" s="17"/>
      <c r="H873" s="17"/>
      <c r="I873" s="17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7"/>
      <c r="U873" s="1"/>
      <c r="V873" s="67"/>
      <c r="X873" s="370">
        <f t="shared" si="231"/>
        <v>0</v>
      </c>
    </row>
    <row r="874" spans="1:24" ht="15">
      <c r="A874" s="47"/>
      <c r="B874" s="17">
        <f t="shared" si="229"/>
        <v>11</v>
      </c>
      <c r="C874" s="8"/>
      <c r="D874" s="297" t="s">
        <v>673</v>
      </c>
      <c r="E874" s="20"/>
      <c r="F874" s="22">
        <f>+F867+F872</f>
        <v>9273927.3000000007</v>
      </c>
      <c r="G874" s="20"/>
      <c r="H874" s="20"/>
      <c r="I874" s="1009"/>
      <c r="J874" s="896">
        <f t="shared" si="233" ref="J874:Q874">+J867+J872</f>
        <v>5170259.1212490555</v>
      </c>
      <c r="K874" s="896">
        <f t="shared" si="233"/>
        <v>797120.80774689757</v>
      </c>
      <c r="L874" s="896">
        <f t="shared" si="233"/>
        <v>2458746.7064944115</v>
      </c>
      <c r="M874" s="896">
        <f t="shared" si="233"/>
        <v>34524.536995430659</v>
      </c>
      <c r="N874" s="896">
        <f t="shared" si="233"/>
        <v>720434.08495427005</v>
      </c>
      <c r="O874" s="896">
        <f>+O867+O872</f>
        <v>24619.398263701903</v>
      </c>
      <c r="P874" s="896">
        <f t="shared" si="233"/>
        <v>53594.536220212598</v>
      </c>
      <c r="Q874" s="896">
        <f t="shared" si="233"/>
        <v>5153.8285322488928</v>
      </c>
      <c r="R874" s="896">
        <f>+R867+R872</f>
        <v>2840.6997996579121</v>
      </c>
      <c r="S874" s="896">
        <f>+S867+S872</f>
        <v>6633.5797441131599</v>
      </c>
      <c r="T874" s="1009"/>
      <c r="U874" s="299">
        <f>SUM(I874:T874)</f>
        <v>9273927.3000000026</v>
      </c>
      <c r="V874" s="67"/>
      <c r="W874" s="1300" t="b">
        <f>' WP II-I-1.4'!$L$874=U874</f>
        <v>1</v>
      </c>
      <c r="X874" s="370">
        <f t="shared" si="231"/>
        <v>0</v>
      </c>
    </row>
    <row r="875" spans="1:24" ht="14.25">
      <c r="A875" s="47"/>
      <c r="B875" s="17">
        <f t="shared" si="229"/>
        <v>12</v>
      </c>
      <c r="C875" s="1"/>
      <c r="D875" s="1"/>
      <c r="E875" s="17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"/>
      <c r="V875" s="67"/>
      <c r="X875" s="370">
        <f t="shared" si="231"/>
        <v>0</v>
      </c>
    </row>
    <row r="876" spans="1:24" ht="15">
      <c r="A876" s="47"/>
      <c r="B876" s="17">
        <f t="shared" si="229"/>
        <v>13</v>
      </c>
      <c r="C876" s="8"/>
      <c r="D876" s="366" t="s">
        <v>674</v>
      </c>
      <c r="E876" s="20" t="s">
        <v>279</v>
      </c>
      <c r="F876" s="22"/>
      <c r="G876" s="20"/>
      <c r="H876" s="20"/>
      <c r="I876" s="1009"/>
      <c r="J876" s="1059"/>
      <c r="K876" s="1059"/>
      <c r="L876" s="1059"/>
      <c r="M876" s="1059"/>
      <c r="N876" s="1059"/>
      <c r="O876" s="1059"/>
      <c r="P876" s="1059"/>
      <c r="Q876" s="1059"/>
      <c r="R876" s="1059"/>
      <c r="S876" s="1059"/>
      <c r="T876" s="1009"/>
      <c r="U876" s="8"/>
      <c r="V876" s="67"/>
      <c r="X876" s="370">
        <f t="shared" si="231"/>
        <v>0</v>
      </c>
    </row>
    <row r="877" spans="1:24" ht="14.25">
      <c r="A877" s="47"/>
      <c r="B877" s="17">
        <f t="shared" si="229"/>
        <v>14</v>
      </c>
      <c r="C877" s="1" t="s">
        <v>233</v>
      </c>
      <c r="D877" s="1" t="s">
        <v>234</v>
      </c>
      <c r="E877" s="17"/>
      <c r="F877" s="118">
        <f>' WP II-I-1.4'!L877</f>
        <v>0</v>
      </c>
      <c r="G877" s="17" t="s">
        <v>805</v>
      </c>
      <c r="H877" s="47" t="s">
        <v>320</v>
      </c>
      <c r="I877" s="17"/>
      <c r="J877" s="434">
        <f>'II-I-DIST'!J877+'II-I-MET'!J877+'II-I-TBILLTDCS'!J877</f>
        <v>0</v>
      </c>
      <c r="K877" s="434">
        <f>'II-I-DIST'!K877+'II-I-MET'!K877+'II-I-TBILLTDCS'!K877</f>
        <v>0</v>
      </c>
      <c r="L877" s="434">
        <f>'II-I-DIST'!L877+'II-I-MET'!L877+'II-I-TBILLTDCS'!L877</f>
        <v>0</v>
      </c>
      <c r="M877" s="434">
        <f>'II-I-DIST'!M877+'II-I-MET'!M877+'II-I-TBILLTDCS'!M877</f>
        <v>0</v>
      </c>
      <c r="N877" s="434">
        <f>'II-I-DIST'!N877+'II-I-MET'!N877+'II-I-TBILLTDCS'!N877</f>
        <v>0</v>
      </c>
      <c r="O877" s="434">
        <f>'II-I-DIST'!O877+'II-I-MET'!O877+'II-I-TBILLTDCS'!O877</f>
        <v>0</v>
      </c>
      <c r="P877" s="434">
        <f>'II-I-DIST'!P877+'II-I-MET'!P877+'II-I-TBILLTDCS'!P877</f>
        <v>0</v>
      </c>
      <c r="Q877" s="434">
        <f>'II-I-DIST'!Q877+'II-I-MET'!Q877+'II-I-TBILLTDCS'!Q877</f>
        <v>0</v>
      </c>
      <c r="R877" s="434">
        <f>'II-I-DIST'!R877+'II-I-MET'!R877+'II-I-TBILLTDCS'!R877</f>
        <v>0</v>
      </c>
      <c r="S877" s="434">
        <f>'II-I-DIST'!S877+'II-I-MET'!S877+'II-I-TBILLTDCS'!S877</f>
        <v>0</v>
      </c>
      <c r="T877" s="17"/>
      <c r="U877" s="118">
        <f>SUM(I877:T877)</f>
        <v>0</v>
      </c>
      <c r="V877" s="67"/>
      <c r="X877" s="370">
        <f t="shared" si="231"/>
        <v>0</v>
      </c>
    </row>
    <row r="878" spans="1:24" ht="14.25">
      <c r="A878" s="47"/>
      <c r="B878" s="17">
        <f t="shared" si="229"/>
        <v>15</v>
      </c>
      <c r="C878" s="1" t="s">
        <v>236</v>
      </c>
      <c r="D878" s="31" t="s">
        <v>237</v>
      </c>
      <c r="E878" s="17"/>
      <c r="F878" s="118">
        <f>' WP II-I-1.4'!L878</f>
        <v>0</v>
      </c>
      <c r="G878" s="17" t="s">
        <v>805</v>
      </c>
      <c r="H878" s="47" t="s">
        <v>320</v>
      </c>
      <c r="I878" s="17"/>
      <c r="J878" s="434">
        <f>'II-I-DIST'!J878+'II-I-MET'!J878+'II-I-TBILLTDCS'!J878</f>
        <v>0</v>
      </c>
      <c r="K878" s="434">
        <f>'II-I-DIST'!K878+'II-I-MET'!K878+'II-I-TBILLTDCS'!K878</f>
        <v>0</v>
      </c>
      <c r="L878" s="434">
        <f>'II-I-DIST'!L878+'II-I-MET'!L878+'II-I-TBILLTDCS'!L878</f>
        <v>0</v>
      </c>
      <c r="M878" s="434">
        <f>'II-I-DIST'!M878+'II-I-MET'!M878+'II-I-TBILLTDCS'!M878</f>
        <v>0</v>
      </c>
      <c r="N878" s="434">
        <f>'II-I-DIST'!N878+'II-I-MET'!N878+'II-I-TBILLTDCS'!N878</f>
        <v>0</v>
      </c>
      <c r="O878" s="434">
        <f>'II-I-DIST'!O878+'II-I-MET'!O878+'II-I-TBILLTDCS'!O878</f>
        <v>0</v>
      </c>
      <c r="P878" s="434">
        <f>'II-I-DIST'!P878+'II-I-MET'!P878+'II-I-TBILLTDCS'!P878</f>
        <v>0</v>
      </c>
      <c r="Q878" s="434">
        <f>'II-I-DIST'!Q878+'II-I-MET'!Q878+'II-I-TBILLTDCS'!Q878</f>
        <v>0</v>
      </c>
      <c r="R878" s="434">
        <f>'II-I-DIST'!R878+'II-I-MET'!R878+'II-I-TBILLTDCS'!R878</f>
        <v>0</v>
      </c>
      <c r="S878" s="434">
        <f>'II-I-DIST'!S878+'II-I-MET'!S878+'II-I-TBILLTDCS'!S878</f>
        <v>0</v>
      </c>
      <c r="T878" s="17"/>
      <c r="U878" s="118">
        <f>SUM(I878:T878)</f>
        <v>0</v>
      </c>
      <c r="V878" s="67"/>
      <c r="W878" s="1300" t="b">
        <f>' WP II-I-1.4'!$L$878=U878</f>
        <v>1</v>
      </c>
      <c r="X878" s="370">
        <f t="shared" si="231"/>
        <v>0</v>
      </c>
    </row>
    <row r="879" spans="1:24" ht="14.25">
      <c r="A879" s="47"/>
      <c r="B879" s="17">
        <f t="shared" si="229"/>
        <v>16</v>
      </c>
      <c r="C879" s="1" t="s">
        <v>238</v>
      </c>
      <c r="D879" s="1" t="s">
        <v>239</v>
      </c>
      <c r="E879" s="17"/>
      <c r="F879" s="118">
        <f>' WP II-I-1.4'!L879</f>
        <v>0</v>
      </c>
      <c r="G879" s="17" t="s">
        <v>805</v>
      </c>
      <c r="H879" s="47" t="s">
        <v>320</v>
      </c>
      <c r="I879" s="17"/>
      <c r="J879" s="435">
        <f>'II-I-DIST'!J879+'II-I-MET'!J879+'II-I-TBILLTDCS'!J879</f>
        <v>0</v>
      </c>
      <c r="K879" s="435">
        <f>'II-I-DIST'!K879+'II-I-MET'!K879+'II-I-TBILLTDCS'!K879</f>
        <v>0</v>
      </c>
      <c r="L879" s="435">
        <f>'II-I-DIST'!L879+'II-I-MET'!L879+'II-I-TBILLTDCS'!L879</f>
        <v>0</v>
      </c>
      <c r="M879" s="435">
        <f>'II-I-DIST'!M879+'II-I-MET'!M879+'II-I-TBILLTDCS'!M879</f>
        <v>0</v>
      </c>
      <c r="N879" s="435">
        <f>'II-I-DIST'!N879+'II-I-MET'!N879+'II-I-TBILLTDCS'!N879</f>
        <v>0</v>
      </c>
      <c r="O879" s="435">
        <f>'II-I-DIST'!O879+'II-I-MET'!O879+'II-I-TBILLTDCS'!O879</f>
        <v>0</v>
      </c>
      <c r="P879" s="435">
        <f>'II-I-DIST'!P879+'II-I-MET'!P879+'II-I-TBILLTDCS'!P879</f>
        <v>0</v>
      </c>
      <c r="Q879" s="435">
        <f>'II-I-DIST'!Q879+'II-I-MET'!Q879+'II-I-TBILLTDCS'!Q879</f>
        <v>0</v>
      </c>
      <c r="R879" s="435">
        <f>'II-I-DIST'!R879+'II-I-MET'!R879+'II-I-TBILLTDCS'!R879</f>
        <v>0</v>
      </c>
      <c r="S879" s="435">
        <f>'II-I-DIST'!S879+'II-I-MET'!S879+'II-I-TBILLTDCS'!S879</f>
        <v>0</v>
      </c>
      <c r="T879" s="17"/>
      <c r="U879" s="118">
        <f>SUM(I879:T879)</f>
        <v>0</v>
      </c>
      <c r="V879" s="67"/>
      <c r="X879" s="370">
        <f t="shared" si="231"/>
        <v>0</v>
      </c>
    </row>
    <row r="880" spans="1:24" ht="15">
      <c r="A880" s="47"/>
      <c r="B880" s="17">
        <f t="shared" si="229"/>
        <v>17</v>
      </c>
      <c r="C880" s="8"/>
      <c r="D880" s="26" t="s">
        <v>675</v>
      </c>
      <c r="E880" s="20"/>
      <c r="F880" s="22">
        <f>SUM(F877:F879)</f>
        <v>0</v>
      </c>
      <c r="G880" s="20"/>
      <c r="H880" s="20"/>
      <c r="I880" s="1009"/>
      <c r="J880" s="896">
        <f t="shared" si="234" ref="J880:Q880">SUM(J877:J879)</f>
        <v>0</v>
      </c>
      <c r="K880" s="896">
        <f t="shared" si="234"/>
        <v>0</v>
      </c>
      <c r="L880" s="896">
        <f t="shared" si="234"/>
        <v>0</v>
      </c>
      <c r="M880" s="896">
        <f t="shared" si="234"/>
        <v>0</v>
      </c>
      <c r="N880" s="896">
        <f t="shared" si="234"/>
        <v>0</v>
      </c>
      <c r="O880" s="896">
        <f>SUM(O877:O879)</f>
        <v>0</v>
      </c>
      <c r="P880" s="896">
        <f t="shared" si="234"/>
        <v>0</v>
      </c>
      <c r="Q880" s="896">
        <f t="shared" si="234"/>
        <v>0</v>
      </c>
      <c r="R880" s="896">
        <f>SUM(R877:R879)</f>
        <v>0</v>
      </c>
      <c r="S880" s="896">
        <f>SUM(S877:S879)</f>
        <v>0</v>
      </c>
      <c r="T880" s="1009"/>
      <c r="U880" s="299">
        <f>SUM(I880:T880)</f>
        <v>0</v>
      </c>
      <c r="V880" s="67"/>
      <c r="W880" s="1300" t="b">
        <f>' WP II-I-1.4'!$L$880=U880</f>
        <v>1</v>
      </c>
      <c r="X880" s="370">
        <f t="shared" si="231"/>
        <v>0</v>
      </c>
    </row>
    <row r="881" spans="1:24" ht="14.25">
      <c r="A881" s="47"/>
      <c r="B881" s="17">
        <f t="shared" si="229"/>
        <v>18</v>
      </c>
      <c r="C881" s="1"/>
      <c r="D881" s="1"/>
      <c r="E881" s="17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"/>
      <c r="V881" s="67"/>
      <c r="X881" s="370">
        <f t="shared" si="231"/>
        <v>0</v>
      </c>
    </row>
    <row r="882" spans="1:24" ht="14.25">
      <c r="A882" s="47"/>
      <c r="B882" s="17">
        <f t="shared" si="229"/>
        <v>19</v>
      </c>
      <c r="C882" s="1" t="s">
        <v>235</v>
      </c>
      <c r="D882" s="1" t="s">
        <v>223</v>
      </c>
      <c r="E882" s="17"/>
      <c r="F882" s="118">
        <f>' WP II-I-1.4'!L882</f>
        <v>0</v>
      </c>
      <c r="G882" s="17" t="s">
        <v>805</v>
      </c>
      <c r="H882" s="47" t="s">
        <v>320</v>
      </c>
      <c r="I882" s="17"/>
      <c r="J882" s="434">
        <f>'II-I-DIST'!J882+'II-I-MET'!J882+'II-I-TBILLTDCS'!J882</f>
        <v>0</v>
      </c>
      <c r="K882" s="434">
        <f>'II-I-DIST'!K882+'II-I-MET'!K882+'II-I-TBILLTDCS'!K882</f>
        <v>0</v>
      </c>
      <c r="L882" s="434">
        <f>'II-I-DIST'!L882+'II-I-MET'!L882+'II-I-TBILLTDCS'!L882</f>
        <v>0</v>
      </c>
      <c r="M882" s="434">
        <f>'II-I-DIST'!M882+'II-I-MET'!M882+'II-I-TBILLTDCS'!M882</f>
        <v>0</v>
      </c>
      <c r="N882" s="434">
        <f>'II-I-DIST'!N882+'II-I-MET'!N882+'II-I-TBILLTDCS'!N882</f>
        <v>0</v>
      </c>
      <c r="O882" s="434">
        <f>'II-I-DIST'!O882+'II-I-MET'!O882+'II-I-TBILLTDCS'!O882</f>
        <v>0</v>
      </c>
      <c r="P882" s="434">
        <f>'II-I-DIST'!P882+'II-I-MET'!P882+'II-I-TBILLTDCS'!P882</f>
        <v>0</v>
      </c>
      <c r="Q882" s="434">
        <f>'II-I-DIST'!Q882+'II-I-MET'!Q882+'II-I-TBILLTDCS'!Q882</f>
        <v>0</v>
      </c>
      <c r="R882" s="434">
        <f>'II-I-DIST'!R882+'II-I-MET'!R882+'II-I-TBILLTDCS'!R882</f>
        <v>0</v>
      </c>
      <c r="S882" s="434">
        <f>'II-I-DIST'!S882+'II-I-MET'!S882+'II-I-TBILLTDCS'!S882</f>
        <v>0</v>
      </c>
      <c r="T882" s="17"/>
      <c r="U882" s="118">
        <f>SUM(I882:T882)</f>
        <v>0</v>
      </c>
      <c r="V882" s="67"/>
      <c r="X882" s="370">
        <f t="shared" si="231"/>
        <v>0</v>
      </c>
    </row>
    <row r="883" spans="1:24" ht="14.25">
      <c r="A883" s="47"/>
      <c r="B883" s="17">
        <f t="shared" si="229"/>
        <v>20</v>
      </c>
      <c r="C883" s="1" t="s">
        <v>240</v>
      </c>
      <c r="D883" s="1" t="s">
        <v>676</v>
      </c>
      <c r="E883" s="17"/>
      <c r="F883" s="118">
        <f>' WP II-I-1.4'!L883</f>
        <v>0</v>
      </c>
      <c r="G883" s="17" t="s">
        <v>805</v>
      </c>
      <c r="H883" s="47" t="s">
        <v>320</v>
      </c>
      <c r="I883" s="17"/>
      <c r="J883" s="435">
        <f>'II-I-DIST'!J883+'II-I-MET'!J883+'II-I-TBILLTDCS'!J883</f>
        <v>0</v>
      </c>
      <c r="K883" s="435">
        <f>'II-I-DIST'!K883+'II-I-MET'!K883+'II-I-TBILLTDCS'!K883</f>
        <v>0</v>
      </c>
      <c r="L883" s="435">
        <f>'II-I-DIST'!L883+'II-I-MET'!L883+'II-I-TBILLTDCS'!L883</f>
        <v>0</v>
      </c>
      <c r="M883" s="435">
        <f>'II-I-DIST'!M883+'II-I-MET'!M883+'II-I-TBILLTDCS'!M883</f>
        <v>0</v>
      </c>
      <c r="N883" s="435">
        <f>'II-I-DIST'!N883+'II-I-MET'!N883+'II-I-TBILLTDCS'!N883</f>
        <v>0</v>
      </c>
      <c r="O883" s="435">
        <f>'II-I-DIST'!O883+'II-I-MET'!O883+'II-I-TBILLTDCS'!O883</f>
        <v>0</v>
      </c>
      <c r="P883" s="435">
        <f>'II-I-DIST'!P883+'II-I-MET'!P883+'II-I-TBILLTDCS'!P883</f>
        <v>0</v>
      </c>
      <c r="Q883" s="435">
        <f>'II-I-DIST'!Q883+'II-I-MET'!Q883+'II-I-TBILLTDCS'!Q883</f>
        <v>0</v>
      </c>
      <c r="R883" s="435">
        <f>'II-I-DIST'!R883+'II-I-MET'!R883+'II-I-TBILLTDCS'!R883</f>
        <v>0</v>
      </c>
      <c r="S883" s="435">
        <f>'II-I-DIST'!S883+'II-I-MET'!S883+'II-I-TBILLTDCS'!S883</f>
        <v>0</v>
      </c>
      <c r="T883" s="17"/>
      <c r="U883" s="118">
        <f>SUM(I883:T883)</f>
        <v>0</v>
      </c>
      <c r="V883" s="67"/>
      <c r="X883" s="370">
        <f t="shared" si="231"/>
        <v>0</v>
      </c>
    </row>
    <row r="884" spans="1:24" ht="15">
      <c r="A884" s="47"/>
      <c r="B884" s="17">
        <f t="shared" si="229"/>
        <v>21</v>
      </c>
      <c r="C884" s="8"/>
      <c r="D884" s="26" t="s">
        <v>677</v>
      </c>
      <c r="E884" s="20"/>
      <c r="F884" s="22">
        <f>SUM(F882:F883)</f>
        <v>0</v>
      </c>
      <c r="G884" s="20"/>
      <c r="H884" s="20"/>
      <c r="I884" s="1009"/>
      <c r="J884" s="896">
        <f t="shared" si="235" ref="J884:Q884">SUM(J882:J883)</f>
        <v>0</v>
      </c>
      <c r="K884" s="896">
        <f t="shared" si="235"/>
        <v>0</v>
      </c>
      <c r="L884" s="896">
        <f t="shared" si="235"/>
        <v>0</v>
      </c>
      <c r="M884" s="896">
        <f t="shared" si="235"/>
        <v>0</v>
      </c>
      <c r="N884" s="896">
        <f t="shared" si="235"/>
        <v>0</v>
      </c>
      <c r="O884" s="896">
        <f>SUM(O882:O883)</f>
        <v>0</v>
      </c>
      <c r="P884" s="896">
        <f t="shared" si="235"/>
        <v>0</v>
      </c>
      <c r="Q884" s="896">
        <f t="shared" si="235"/>
        <v>0</v>
      </c>
      <c r="R884" s="896">
        <f>SUM(R882:R883)</f>
        <v>0</v>
      </c>
      <c r="S884" s="896">
        <f>SUM(S882:S883)</f>
        <v>0</v>
      </c>
      <c r="T884" s="1009"/>
      <c r="U884" s="299">
        <f>SUM(I884:T884)</f>
        <v>0</v>
      </c>
      <c r="V884" s="67"/>
      <c r="X884" s="370">
        <f t="shared" si="231"/>
        <v>0</v>
      </c>
    </row>
    <row r="885" spans="1:24" ht="14.25">
      <c r="A885" s="47"/>
      <c r="B885" s="17">
        <f t="shared" si="229"/>
        <v>22</v>
      </c>
      <c r="C885" s="1"/>
      <c r="D885" s="1"/>
      <c r="E885" s="17"/>
      <c r="F885" s="19"/>
      <c r="G885" s="17"/>
      <c r="H885" s="17"/>
      <c r="I885" s="17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7"/>
      <c r="U885" s="1"/>
      <c r="V885" s="67"/>
      <c r="X885" s="370">
        <f t="shared" si="231"/>
        <v>0</v>
      </c>
    </row>
    <row r="886" spans="1:24" ht="15">
      <c r="A886" s="47"/>
      <c r="B886" s="17">
        <f t="shared" si="229"/>
        <v>23</v>
      </c>
      <c r="C886" s="8"/>
      <c r="D886" s="297" t="s">
        <v>678</v>
      </c>
      <c r="E886" s="20"/>
      <c r="F886" s="22">
        <f>+F884+F880</f>
        <v>0</v>
      </c>
      <c r="G886" s="20"/>
      <c r="H886" s="20"/>
      <c r="I886" s="1009"/>
      <c r="J886" s="896">
        <f t="shared" si="236" ref="J886:Q886">+J884+J880</f>
        <v>0</v>
      </c>
      <c r="K886" s="896">
        <f t="shared" si="236"/>
        <v>0</v>
      </c>
      <c r="L886" s="896">
        <f t="shared" si="236"/>
        <v>0</v>
      </c>
      <c r="M886" s="896">
        <f t="shared" si="236"/>
        <v>0</v>
      </c>
      <c r="N886" s="896">
        <f t="shared" si="236"/>
        <v>0</v>
      </c>
      <c r="O886" s="896">
        <f>+O884+O880</f>
        <v>0</v>
      </c>
      <c r="P886" s="896">
        <f t="shared" si="236"/>
        <v>0</v>
      </c>
      <c r="Q886" s="896">
        <f t="shared" si="236"/>
        <v>0</v>
      </c>
      <c r="R886" s="896">
        <f>+R884+R880</f>
        <v>0</v>
      </c>
      <c r="S886" s="896">
        <f>+S884+S880</f>
        <v>0</v>
      </c>
      <c r="T886" s="1009"/>
      <c r="U886" s="299">
        <f>SUM(I886:T886)</f>
        <v>0</v>
      </c>
      <c r="V886" s="67"/>
      <c r="W886" s="1300" t="b">
        <f>' WP II-I-1.4'!$L$886=U886</f>
        <v>1</v>
      </c>
      <c r="X886" s="370">
        <f t="shared" si="231"/>
        <v>0</v>
      </c>
    </row>
    <row r="887" spans="1:24" ht="14.25">
      <c r="A887" s="47"/>
      <c r="B887" s="17">
        <f t="shared" si="229"/>
        <v>24</v>
      </c>
      <c r="C887" s="1"/>
      <c r="D887" s="1"/>
      <c r="E887" s="17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"/>
      <c r="V887" s="67"/>
      <c r="X887" s="370">
        <f t="shared" si="231"/>
        <v>0</v>
      </c>
    </row>
    <row r="888" spans="1:24" ht="15">
      <c r="A888" s="47"/>
      <c r="B888" s="17">
        <f t="shared" si="229"/>
        <v>25</v>
      </c>
      <c r="C888" s="8"/>
      <c r="D888" s="368" t="s">
        <v>285</v>
      </c>
      <c r="E888" s="20" t="s">
        <v>279</v>
      </c>
      <c r="F888" s="22"/>
      <c r="G888" s="20"/>
      <c r="H888" s="20"/>
      <c r="I888" s="1009"/>
      <c r="J888" s="1059"/>
      <c r="K888" s="1059"/>
      <c r="L888" s="1059"/>
      <c r="M888" s="1059"/>
      <c r="N888" s="1059"/>
      <c r="O888" s="1059"/>
      <c r="P888" s="1059"/>
      <c r="Q888" s="1059"/>
      <c r="R888" s="1059"/>
      <c r="S888" s="1059"/>
      <c r="T888" s="1009"/>
      <c r="U888" s="8"/>
      <c r="V888" s="67"/>
      <c r="X888" s="370">
        <f t="shared" si="231"/>
        <v>0</v>
      </c>
    </row>
    <row r="889" spans="1:24" ht="14.25">
      <c r="A889" s="47"/>
      <c r="B889" s="17">
        <f t="shared" si="229"/>
        <v>26</v>
      </c>
      <c r="C889" s="1" t="s">
        <v>244</v>
      </c>
      <c r="D889" s="51" t="s">
        <v>679</v>
      </c>
      <c r="E889" s="17"/>
      <c r="F889" s="118">
        <f>' WP II-I-1.4'!L889</f>
        <v>0</v>
      </c>
      <c r="G889" s="17" t="s">
        <v>805</v>
      </c>
      <c r="H889" s="47" t="s">
        <v>320</v>
      </c>
      <c r="I889" s="17"/>
      <c r="J889" s="434">
        <f>'II-I-DIST'!J889+'II-I-MET'!J889+'II-I-TBILLTDCS'!J889</f>
        <v>0</v>
      </c>
      <c r="K889" s="434">
        <f>'II-I-DIST'!K889+'II-I-MET'!K889+'II-I-TBILLTDCS'!K889</f>
        <v>0</v>
      </c>
      <c r="L889" s="434">
        <f>'II-I-DIST'!L889+'II-I-MET'!L889+'II-I-TBILLTDCS'!L889</f>
        <v>0</v>
      </c>
      <c r="M889" s="434">
        <f>'II-I-DIST'!M889+'II-I-MET'!M889+'II-I-TBILLTDCS'!M889</f>
        <v>0</v>
      </c>
      <c r="N889" s="434">
        <f>'II-I-DIST'!N889+'II-I-MET'!N889+'II-I-TBILLTDCS'!N889</f>
        <v>0</v>
      </c>
      <c r="O889" s="434">
        <f>'II-I-DIST'!O889+'II-I-MET'!O889+'II-I-TBILLTDCS'!O889</f>
        <v>0</v>
      </c>
      <c r="P889" s="434">
        <f>'II-I-DIST'!P889+'II-I-MET'!P889+'II-I-TBILLTDCS'!P889</f>
        <v>0</v>
      </c>
      <c r="Q889" s="434">
        <f>'II-I-DIST'!Q889+'II-I-MET'!Q889+'II-I-TBILLTDCS'!Q889</f>
        <v>0</v>
      </c>
      <c r="R889" s="434">
        <f>'II-I-DIST'!R889+'II-I-MET'!R889+'II-I-TBILLTDCS'!R889</f>
        <v>0</v>
      </c>
      <c r="S889" s="434">
        <f>'II-I-DIST'!S889+'II-I-MET'!S889+'II-I-TBILLTDCS'!S889</f>
        <v>0</v>
      </c>
      <c r="T889" s="17"/>
      <c r="U889" s="118">
        <f>SUM(I889:T889)</f>
        <v>0</v>
      </c>
      <c r="V889" s="67"/>
      <c r="X889" s="370">
        <f t="shared" si="231"/>
        <v>0</v>
      </c>
    </row>
    <row r="890" spans="1:24" ht="14.25">
      <c r="A890" s="47"/>
      <c r="B890" s="17">
        <f t="shared" si="229"/>
        <v>27</v>
      </c>
      <c r="C890" s="1" t="s">
        <v>246</v>
      </c>
      <c r="D890" s="51" t="s">
        <v>680</v>
      </c>
      <c r="E890" s="17"/>
      <c r="F890" s="118">
        <f>' WP II-I-1.4'!L890</f>
        <v>0</v>
      </c>
      <c r="G890" s="17" t="s">
        <v>805</v>
      </c>
      <c r="H890" s="47" t="s">
        <v>320</v>
      </c>
      <c r="I890" s="17"/>
      <c r="J890" s="434">
        <f>'II-I-DIST'!J890+'II-I-MET'!J890+'II-I-TBILLTDCS'!J890</f>
        <v>0</v>
      </c>
      <c r="K890" s="434">
        <f>'II-I-DIST'!K890+'II-I-MET'!K890+'II-I-TBILLTDCS'!K890</f>
        <v>0</v>
      </c>
      <c r="L890" s="434">
        <f>'II-I-DIST'!L890+'II-I-MET'!L890+'II-I-TBILLTDCS'!L890</f>
        <v>0</v>
      </c>
      <c r="M890" s="434">
        <f>'II-I-DIST'!M890+'II-I-MET'!M890+'II-I-TBILLTDCS'!M890</f>
        <v>0</v>
      </c>
      <c r="N890" s="434">
        <f>'II-I-DIST'!N890+'II-I-MET'!N890+'II-I-TBILLTDCS'!N890</f>
        <v>0</v>
      </c>
      <c r="O890" s="434">
        <f>'II-I-DIST'!O890+'II-I-MET'!O890+'II-I-TBILLTDCS'!O890</f>
        <v>0</v>
      </c>
      <c r="P890" s="434">
        <f>'II-I-DIST'!P890+'II-I-MET'!P890+'II-I-TBILLTDCS'!P890</f>
        <v>0</v>
      </c>
      <c r="Q890" s="434">
        <f>'II-I-DIST'!Q890+'II-I-MET'!Q890+'II-I-TBILLTDCS'!Q890</f>
        <v>0</v>
      </c>
      <c r="R890" s="434">
        <f>'II-I-DIST'!R890+'II-I-MET'!R890+'II-I-TBILLTDCS'!R890</f>
        <v>0</v>
      </c>
      <c r="S890" s="434">
        <f>'II-I-DIST'!S890+'II-I-MET'!S890+'II-I-TBILLTDCS'!S890</f>
        <v>0</v>
      </c>
      <c r="T890" s="17"/>
      <c r="U890" s="118">
        <f>SUM(I890:T890)</f>
        <v>0</v>
      </c>
      <c r="V890" s="67"/>
      <c r="X890" s="370">
        <f t="shared" si="231"/>
        <v>0</v>
      </c>
    </row>
    <row r="891" spans="1:24" ht="14.25">
      <c r="A891" s="47"/>
      <c r="B891" s="17">
        <f t="shared" si="229"/>
        <v>28</v>
      </c>
      <c r="C891" s="1" t="s">
        <v>250</v>
      </c>
      <c r="D891" s="51" t="s">
        <v>242</v>
      </c>
      <c r="E891" s="17"/>
      <c r="F891" s="118">
        <f>' WP II-I-1.4'!L891</f>
        <v>0</v>
      </c>
      <c r="G891" s="17" t="s">
        <v>805</v>
      </c>
      <c r="H891" s="47" t="s">
        <v>320</v>
      </c>
      <c r="I891" s="17"/>
      <c r="J891" s="435">
        <f>'II-I-DIST'!J891+'II-I-MET'!J891+'II-I-TBILLTDCS'!J891</f>
        <v>0</v>
      </c>
      <c r="K891" s="435">
        <f>'II-I-DIST'!K891+'II-I-MET'!K891+'II-I-TBILLTDCS'!K891</f>
        <v>0</v>
      </c>
      <c r="L891" s="435">
        <f>'II-I-DIST'!L891+'II-I-MET'!L891+'II-I-TBILLTDCS'!L891</f>
        <v>0</v>
      </c>
      <c r="M891" s="435">
        <f>'II-I-DIST'!M891+'II-I-MET'!M891+'II-I-TBILLTDCS'!M891</f>
        <v>0</v>
      </c>
      <c r="N891" s="435">
        <f>'II-I-DIST'!N891+'II-I-MET'!N891+'II-I-TBILLTDCS'!N891</f>
        <v>0</v>
      </c>
      <c r="O891" s="435">
        <f>'II-I-DIST'!O891+'II-I-MET'!O891+'II-I-TBILLTDCS'!O891</f>
        <v>0</v>
      </c>
      <c r="P891" s="435">
        <f>'II-I-DIST'!P891+'II-I-MET'!P891+'II-I-TBILLTDCS'!P891</f>
        <v>0</v>
      </c>
      <c r="Q891" s="435">
        <f>'II-I-DIST'!Q891+'II-I-MET'!Q891+'II-I-TBILLTDCS'!Q891</f>
        <v>0</v>
      </c>
      <c r="R891" s="435">
        <f>'II-I-DIST'!R891+'II-I-MET'!R891+'II-I-TBILLTDCS'!R891</f>
        <v>0</v>
      </c>
      <c r="S891" s="435">
        <f>'II-I-DIST'!S891+'II-I-MET'!S891+'II-I-TBILLTDCS'!S891</f>
        <v>0</v>
      </c>
      <c r="T891" s="17"/>
      <c r="U891" s="118">
        <f>SUM(I891:T891)</f>
        <v>0</v>
      </c>
      <c r="V891" s="67"/>
      <c r="X891" s="370">
        <f t="shared" si="231"/>
        <v>0</v>
      </c>
    </row>
    <row r="892" spans="1:24" ht="15">
      <c r="A892" s="47"/>
      <c r="B892" s="17">
        <f t="shared" si="229"/>
        <v>29</v>
      </c>
      <c r="C892" s="8"/>
      <c r="D892" s="297" t="s">
        <v>681</v>
      </c>
      <c r="E892" s="20"/>
      <c r="F892" s="22">
        <f>+F889+F890+F891</f>
        <v>0</v>
      </c>
      <c r="G892" s="20"/>
      <c r="H892" s="20"/>
      <c r="I892" s="1009"/>
      <c r="J892" s="896">
        <f t="shared" si="237" ref="J892:Q892">+J889+J890+J891</f>
        <v>0</v>
      </c>
      <c r="K892" s="896">
        <f t="shared" si="237"/>
        <v>0</v>
      </c>
      <c r="L892" s="896">
        <f t="shared" si="237"/>
        <v>0</v>
      </c>
      <c r="M892" s="896">
        <f t="shared" si="237"/>
        <v>0</v>
      </c>
      <c r="N892" s="896">
        <f t="shared" si="237"/>
        <v>0</v>
      </c>
      <c r="O892" s="896">
        <f>+O889+O890+O891</f>
        <v>0</v>
      </c>
      <c r="P892" s="896">
        <f t="shared" si="237"/>
        <v>0</v>
      </c>
      <c r="Q892" s="896">
        <f t="shared" si="237"/>
        <v>0</v>
      </c>
      <c r="R892" s="896">
        <f>+R889+R890+R891</f>
        <v>0</v>
      </c>
      <c r="S892" s="896">
        <f>+S889+S890+S891</f>
        <v>0</v>
      </c>
      <c r="T892" s="1009"/>
      <c r="U892" s="299">
        <f>SUM(I892:T892)</f>
        <v>0</v>
      </c>
      <c r="V892" s="67"/>
      <c r="W892" s="1300" t="b">
        <f>' WP II-I-1.4'!$L$892=U892</f>
        <v>1</v>
      </c>
      <c r="X892" s="370">
        <f t="shared" si="231"/>
        <v>0</v>
      </c>
    </row>
    <row r="893" spans="1:24" ht="15">
      <c r="A893" s="47"/>
      <c r="B893" s="17">
        <f t="shared" si="229"/>
        <v>30</v>
      </c>
      <c r="C893" s="1"/>
      <c r="D893" s="297"/>
      <c r="E893" s="17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"/>
      <c r="V893" s="67"/>
      <c r="X893" s="370">
        <f t="shared" si="231"/>
        <v>0</v>
      </c>
    </row>
    <row r="894" spans="1:24" ht="14.25">
      <c r="A894" s="47"/>
      <c r="B894" s="17">
        <f t="shared" si="229"/>
        <v>31</v>
      </c>
      <c r="C894" s="1" t="s">
        <v>243</v>
      </c>
      <c r="D894" s="51" t="s">
        <v>223</v>
      </c>
      <c r="E894" s="17"/>
      <c r="F894" s="118">
        <f>' WP II-I-1.4'!L894</f>
        <v>0</v>
      </c>
      <c r="G894" s="17" t="s">
        <v>805</v>
      </c>
      <c r="H894" s="47" t="s">
        <v>320</v>
      </c>
      <c r="I894" s="17"/>
      <c r="J894" s="434">
        <f>'II-I-DIST'!J894+'II-I-MET'!J894+'II-I-TBILLTDCS'!J894</f>
        <v>0</v>
      </c>
      <c r="K894" s="434">
        <f>'II-I-DIST'!K894+'II-I-MET'!K894+'II-I-TBILLTDCS'!K894</f>
        <v>0</v>
      </c>
      <c r="L894" s="434">
        <f>'II-I-DIST'!L894+'II-I-MET'!L894+'II-I-TBILLTDCS'!L894</f>
        <v>0</v>
      </c>
      <c r="M894" s="434">
        <f>'II-I-DIST'!M894+'II-I-MET'!M894+'II-I-TBILLTDCS'!M894</f>
        <v>0</v>
      </c>
      <c r="N894" s="434">
        <f>'II-I-DIST'!N894+'II-I-MET'!N894+'II-I-TBILLTDCS'!N894</f>
        <v>0</v>
      </c>
      <c r="O894" s="434">
        <f>'II-I-DIST'!O894+'II-I-MET'!O894+'II-I-TBILLTDCS'!O894</f>
        <v>0</v>
      </c>
      <c r="P894" s="434">
        <f>'II-I-DIST'!P894+'II-I-MET'!P894+'II-I-TBILLTDCS'!P894</f>
        <v>0</v>
      </c>
      <c r="Q894" s="434">
        <f>'II-I-DIST'!Q894+'II-I-MET'!Q894+'II-I-TBILLTDCS'!Q894</f>
        <v>0</v>
      </c>
      <c r="R894" s="434">
        <f>'II-I-DIST'!R894+'II-I-MET'!R894+'II-I-TBILLTDCS'!R894</f>
        <v>0</v>
      </c>
      <c r="S894" s="434">
        <f>'II-I-DIST'!S894+'II-I-MET'!S894+'II-I-TBILLTDCS'!S894</f>
        <v>0</v>
      </c>
      <c r="T894" s="17"/>
      <c r="U894" s="118">
        <f>SUM(I894:T894)</f>
        <v>0</v>
      </c>
      <c r="V894" s="67"/>
      <c r="X894" s="370">
        <f t="shared" si="231"/>
        <v>0</v>
      </c>
    </row>
    <row r="895" spans="1:24" ht="14.25">
      <c r="A895" s="47"/>
      <c r="B895" s="17">
        <f t="shared" si="229"/>
        <v>32</v>
      </c>
      <c r="C895" s="1" t="s">
        <v>248</v>
      </c>
      <c r="D895" s="51" t="s">
        <v>682</v>
      </c>
      <c r="E895" s="17"/>
      <c r="F895" s="118">
        <f>' WP II-I-1.4'!L895</f>
        <v>0</v>
      </c>
      <c r="G895" s="17" t="s">
        <v>805</v>
      </c>
      <c r="H895" s="47" t="s">
        <v>320</v>
      </c>
      <c r="I895" s="17"/>
      <c r="J895" s="435">
        <f>'II-I-DIST'!J895+'II-I-MET'!J895+'II-I-TBILLTDCS'!J895</f>
        <v>0</v>
      </c>
      <c r="K895" s="435">
        <f>'II-I-DIST'!K895+'II-I-MET'!K895+'II-I-TBILLTDCS'!K895</f>
        <v>0</v>
      </c>
      <c r="L895" s="435">
        <f>'II-I-DIST'!L895+'II-I-MET'!L895+'II-I-TBILLTDCS'!L895</f>
        <v>0</v>
      </c>
      <c r="M895" s="435">
        <f>'II-I-DIST'!M895+'II-I-MET'!M895+'II-I-TBILLTDCS'!M895</f>
        <v>0</v>
      </c>
      <c r="N895" s="435">
        <f>'II-I-DIST'!N895+'II-I-MET'!N895+'II-I-TBILLTDCS'!N895</f>
        <v>0</v>
      </c>
      <c r="O895" s="435">
        <f>'II-I-DIST'!O895+'II-I-MET'!O895+'II-I-TBILLTDCS'!O895</f>
        <v>0</v>
      </c>
      <c r="P895" s="435">
        <f>'II-I-DIST'!P895+'II-I-MET'!P895+'II-I-TBILLTDCS'!P895</f>
        <v>0</v>
      </c>
      <c r="Q895" s="435">
        <f>'II-I-DIST'!Q895+'II-I-MET'!Q895+'II-I-TBILLTDCS'!Q895</f>
        <v>0</v>
      </c>
      <c r="R895" s="435">
        <f>'II-I-DIST'!R895+'II-I-MET'!R895+'II-I-TBILLTDCS'!R895</f>
        <v>0</v>
      </c>
      <c r="S895" s="435">
        <f>'II-I-DIST'!S895+'II-I-MET'!S895+'II-I-TBILLTDCS'!S895</f>
        <v>0</v>
      </c>
      <c r="T895" s="17"/>
      <c r="U895" s="118">
        <f>SUM(I895:T895)</f>
        <v>0</v>
      </c>
      <c r="V895" s="67"/>
      <c r="X895" s="370">
        <f t="shared" si="231"/>
        <v>0</v>
      </c>
    </row>
    <row r="896" spans="1:24" ht="15">
      <c r="A896" s="47"/>
      <c r="B896" s="17">
        <f t="shared" si="229"/>
        <v>33</v>
      </c>
      <c r="C896" s="8"/>
      <c r="D896" s="26" t="s">
        <v>683</v>
      </c>
      <c r="E896" s="20"/>
      <c r="F896" s="22">
        <f>SUM(F894:F895)</f>
        <v>0</v>
      </c>
      <c r="G896" s="20"/>
      <c r="H896" s="20"/>
      <c r="I896" s="1009"/>
      <c r="J896" s="896">
        <f t="shared" si="238" ref="J896:Q896">SUM(J894:J895)</f>
        <v>0</v>
      </c>
      <c r="K896" s="896">
        <f t="shared" si="238"/>
        <v>0</v>
      </c>
      <c r="L896" s="896">
        <f t="shared" si="238"/>
        <v>0</v>
      </c>
      <c r="M896" s="896">
        <f t="shared" si="238"/>
        <v>0</v>
      </c>
      <c r="N896" s="896">
        <f t="shared" si="238"/>
        <v>0</v>
      </c>
      <c r="O896" s="896">
        <f>SUM(O894:O895)</f>
        <v>0</v>
      </c>
      <c r="P896" s="896">
        <f t="shared" si="238"/>
        <v>0</v>
      </c>
      <c r="Q896" s="896">
        <f t="shared" si="238"/>
        <v>0</v>
      </c>
      <c r="R896" s="896">
        <f>SUM(R894:R895)</f>
        <v>0</v>
      </c>
      <c r="S896" s="896">
        <f>SUM(S894:S895)</f>
        <v>0</v>
      </c>
      <c r="T896" s="20"/>
      <c r="U896" s="299">
        <f>SUM(I896:T896)</f>
        <v>0</v>
      </c>
      <c r="V896" s="67"/>
      <c r="W896" s="1300" t="b">
        <f>' WP II-I-1.4'!$L$896=U896</f>
        <v>1</v>
      </c>
      <c r="X896" s="370">
        <f t="shared" si="231"/>
        <v>0</v>
      </c>
    </row>
    <row r="897" spans="1:24" ht="14.25">
      <c r="A897" s="47"/>
      <c r="B897" s="17">
        <f t="shared" si="229"/>
        <v>34</v>
      </c>
      <c r="C897" s="1"/>
      <c r="D897" s="1"/>
      <c r="E897" s="17"/>
      <c r="F897" s="19"/>
      <c r="G897" s="17"/>
      <c r="H897" s="17"/>
      <c r="I897" s="17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7"/>
      <c r="U897" s="1"/>
      <c r="V897" s="67"/>
      <c r="X897" s="370">
        <f t="shared" si="231"/>
        <v>0</v>
      </c>
    </row>
    <row r="898" spans="1:24" ht="15">
      <c r="A898" s="47"/>
      <c r="B898" s="17">
        <f t="shared" si="229"/>
        <v>35</v>
      </c>
      <c r="C898" s="8"/>
      <c r="D898" s="297" t="s">
        <v>684</v>
      </c>
      <c r="E898" s="20"/>
      <c r="F898" s="22">
        <f>+F892+F896</f>
        <v>0</v>
      </c>
      <c r="G898" s="20"/>
      <c r="H898" s="20"/>
      <c r="I898" s="1009"/>
      <c r="J898" s="22">
        <f t="shared" si="239" ref="J898:Q898">+J892+J896</f>
        <v>0</v>
      </c>
      <c r="K898" s="22">
        <f t="shared" si="239"/>
        <v>0</v>
      </c>
      <c r="L898" s="22">
        <f t="shared" si="239"/>
        <v>0</v>
      </c>
      <c r="M898" s="22">
        <f t="shared" si="239"/>
        <v>0</v>
      </c>
      <c r="N898" s="22">
        <f t="shared" si="239"/>
        <v>0</v>
      </c>
      <c r="O898" s="22">
        <f>+O892+O896</f>
        <v>0</v>
      </c>
      <c r="P898" s="22">
        <f t="shared" si="239"/>
        <v>0</v>
      </c>
      <c r="Q898" s="22">
        <f t="shared" si="239"/>
        <v>0</v>
      </c>
      <c r="R898" s="22">
        <f>+R892+R896</f>
        <v>0</v>
      </c>
      <c r="S898" s="22">
        <f>+S892+S896</f>
        <v>0</v>
      </c>
      <c r="T898" s="20"/>
      <c r="U898" s="118">
        <f>SUM(I898:T898)</f>
        <v>0</v>
      </c>
      <c r="V898" s="67"/>
      <c r="X898" s="370">
        <f t="shared" si="231"/>
        <v>0</v>
      </c>
    </row>
    <row r="899" spans="1:24" ht="15" thickBot="1">
      <c r="A899" s="47"/>
      <c r="B899" s="17">
        <f t="shared" si="229"/>
        <v>36</v>
      </c>
      <c r="C899" s="1"/>
      <c r="D899" s="51"/>
      <c r="E899" s="17"/>
      <c r="F899" s="19"/>
      <c r="G899" s="17"/>
      <c r="H899" s="17"/>
      <c r="I899" s="17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7"/>
      <c r="U899" s="1"/>
      <c r="V899" s="67"/>
      <c r="X899" s="370">
        <f t="shared" si="231"/>
        <v>0</v>
      </c>
    </row>
    <row r="900" spans="1:24" ht="15.75" thickBot="1">
      <c r="A900" s="47"/>
      <c r="B900" s="17">
        <f t="shared" si="229"/>
        <v>37</v>
      </c>
      <c r="C900" s="870" t="s">
        <v>685</v>
      </c>
      <c r="D900" s="1017"/>
      <c r="E900" s="1013"/>
      <c r="F900" s="1014">
        <f>+F898+F886+F874</f>
        <v>9273927.3000000007</v>
      </c>
      <c r="G900" s="1013"/>
      <c r="H900" s="1013"/>
      <c r="I900" s="1016"/>
      <c r="J900" s="1014">
        <f t="shared" si="240" ref="J900:Q900">+J898+J886+J874</f>
        <v>5170259.1212490555</v>
      </c>
      <c r="K900" s="1014">
        <f t="shared" si="240"/>
        <v>797120.80774689757</v>
      </c>
      <c r="L900" s="1014">
        <f t="shared" si="240"/>
        <v>2458746.7064944115</v>
      </c>
      <c r="M900" s="1014">
        <f t="shared" si="240"/>
        <v>34524.536995430659</v>
      </c>
      <c r="N900" s="1014">
        <f t="shared" si="240"/>
        <v>720434.08495427005</v>
      </c>
      <c r="O900" s="1014">
        <f>+O898+O886+O874</f>
        <v>24619.398263701903</v>
      </c>
      <c r="P900" s="1014">
        <f t="shared" si="240"/>
        <v>53594.536220212598</v>
      </c>
      <c r="Q900" s="1014">
        <f t="shared" si="240"/>
        <v>5153.8285322488928</v>
      </c>
      <c r="R900" s="1014">
        <f>+R898+R886+R874</f>
        <v>2840.6997996579121</v>
      </c>
      <c r="S900" s="1014">
        <f>+S898+S886+S874</f>
        <v>6633.5797441131599</v>
      </c>
      <c r="T900" s="1016"/>
      <c r="U900" s="1015">
        <f>SUM(I900:T900)</f>
        <v>9273927.3000000026</v>
      </c>
      <c r="V900" s="67"/>
      <c r="W900" s="1300" t="b">
        <f>' WP II-I-1.4'!$L$900=U900</f>
        <v>1</v>
      </c>
      <c r="X900" s="370">
        <f t="shared" si="231"/>
        <v>0</v>
      </c>
    </row>
    <row r="901" spans="1:24" ht="15.75" thickBot="1">
      <c r="A901" s="47"/>
      <c r="B901" s="17">
        <f t="shared" si="229"/>
        <v>38</v>
      </c>
      <c r="C901" s="1"/>
      <c r="D901" s="8"/>
      <c r="E901" s="17"/>
      <c r="F901" s="19"/>
      <c r="G901" s="17"/>
      <c r="H901" s="17"/>
      <c r="I901" s="17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7"/>
      <c r="U901" s="1"/>
      <c r="V901" s="67"/>
      <c r="X901" s="370">
        <f t="shared" si="231"/>
        <v>0</v>
      </c>
    </row>
    <row r="902" spans="1:24" ht="15.75" thickBot="1">
      <c r="A902" s="47"/>
      <c r="B902" s="17">
        <f t="shared" si="229"/>
        <v>39</v>
      </c>
      <c r="C902" s="284" t="s">
        <v>1201</v>
      </c>
      <c r="D902" s="285"/>
      <c r="E902" s="374" t="s">
        <v>279</v>
      </c>
      <c r="F902" s="255">
        <f>+F900+F851+F804</f>
        <v>154354804.00000003</v>
      </c>
      <c r="G902" s="374"/>
      <c r="H902" s="467"/>
      <c r="I902" s="468"/>
      <c r="J902" s="446">
        <f t="shared" si="241" ref="J902:Q902">+J900+J851+J804</f>
        <v>84505377.226660565</v>
      </c>
      <c r="K902" s="903">
        <f t="shared" si="241"/>
        <v>4641368.2676559547</v>
      </c>
      <c r="L902" s="903">
        <f t="shared" si="241"/>
        <v>51066852.71617388</v>
      </c>
      <c r="M902" s="903">
        <f t="shared" si="241"/>
        <v>152746.18865816476</v>
      </c>
      <c r="N902" s="903">
        <f t="shared" si="241"/>
        <v>11270737.841082059</v>
      </c>
      <c r="O902" s="903">
        <f>+O900+O851+O804</f>
        <v>1161440.8086208359</v>
      </c>
      <c r="P902" s="903">
        <f t="shared" si="241"/>
        <v>217827.4050523467</v>
      </c>
      <c r="Q902" s="903">
        <f t="shared" si="241"/>
        <v>716000.93881299987</v>
      </c>
      <c r="R902" s="903">
        <f>+R900+R851+R804</f>
        <v>137775.40190017136</v>
      </c>
      <c r="S902" s="380">
        <f>+S900+S851+S804</f>
        <v>484677.20538303675</v>
      </c>
      <c r="T902" s="468"/>
      <c r="U902" s="256">
        <f>SUM(I902:T902)</f>
        <v>154354804.00000003</v>
      </c>
      <c r="V902" s="67"/>
      <c r="W902" s="1300" t="b">
        <f>' WP II-I-1.4'!$L$902=U902</f>
        <v>1</v>
      </c>
      <c r="X902" s="370">
        <f t="shared" si="231"/>
        <v>0</v>
      </c>
    </row>
    <row r="903" spans="1:24" ht="14.25">
      <c r="A903" s="47"/>
      <c r="B903" s="17"/>
      <c r="C903" s="17"/>
      <c r="D903" s="17"/>
      <c r="E903" s="17"/>
      <c r="F903" s="17"/>
      <c r="G903" s="17"/>
      <c r="H903" s="13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34"/>
      <c r="V903" s="134"/>
      <c r="X903" s="370"/>
    </row>
    <row r="904" spans="1:24" ht="15" thickBot="1">
      <c r="A904" s="4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67"/>
      <c r="X904" s="370">
        <f t="shared" si="231"/>
        <v>0</v>
      </c>
    </row>
    <row r="905" spans="1:24" ht="15">
      <c r="A905" s="47"/>
      <c r="B905" s="920" t="str">
        <f>+$B$4</f>
        <v>2022 RATE CASE</v>
      </c>
      <c r="C905" s="935"/>
      <c r="D905" s="620"/>
      <c r="F905" s="12"/>
      <c r="U905" s="134"/>
      <c r="X905" s="370">
        <f t="shared" si="231"/>
        <v>0</v>
      </c>
    </row>
    <row r="906" spans="1:24" ht="15">
      <c r="A906" s="47"/>
      <c r="B906" s="917" t="str">
        <f>+$B$5</f>
        <v>ONCOR ELECTRIC DELIVERY COMPANY LLC</v>
      </c>
      <c r="C906" s="8"/>
      <c r="D906" s="621"/>
      <c r="F906" s="12"/>
      <c r="U906" s="134"/>
      <c r="V906" s="67"/>
      <c r="X906" s="370">
        <f t="shared" si="231"/>
        <v>0</v>
      </c>
    </row>
    <row r="907" spans="1:24" ht="15">
      <c r="A907" s="47"/>
      <c r="B907" s="917" t="str">
        <f>+$B$6</f>
        <v>II-I-1-TOT:  CLASS REVENUE REQUIREMENT</v>
      </c>
      <c r="C907" s="85"/>
      <c r="D907" s="621"/>
      <c r="F907" s="12"/>
      <c r="U907" s="12"/>
      <c r="V907" s="67"/>
      <c r="X907" s="370">
        <f t="shared" si="231"/>
        <v>0</v>
      </c>
    </row>
    <row r="908" spans="1:24" ht="15">
      <c r="A908" s="47"/>
      <c r="B908" s="406" t="str">
        <f>+$B$7</f>
        <v>TEST YEAR ENDING 12/31/2021</v>
      </c>
      <c r="C908" s="85"/>
      <c r="D908" s="621"/>
      <c r="F908" s="12"/>
      <c r="U908" s="12"/>
      <c r="V908" s="67"/>
      <c r="X908" s="370">
        <f t="shared" si="231"/>
        <v>0</v>
      </c>
    </row>
    <row r="909" spans="1:24" ht="15">
      <c r="A909" s="47"/>
      <c r="B909" s="406" t="str">
        <f>+$B$8</f>
        <v>SPONSOR:  MATTHEW A. TROXLE</v>
      </c>
      <c r="C909" s="85"/>
      <c r="D909" s="621"/>
      <c r="F909" s="12"/>
      <c r="U909" s="12"/>
      <c r="V909" s="67"/>
      <c r="X909" s="370">
        <f t="shared" si="231"/>
        <v>0</v>
      </c>
    </row>
    <row r="910" spans="1:24" ht="15.75" thickBot="1">
      <c r="A910" s="47"/>
      <c r="B910" s="410"/>
      <c r="C910" s="934"/>
      <c r="D910" s="622"/>
      <c r="F910" s="12"/>
      <c r="U910" s="12"/>
      <c r="V910" s="67"/>
      <c r="X910" s="370">
        <f t="shared" si="231"/>
        <v>0</v>
      </c>
    </row>
    <row r="911" spans="1:24" ht="15" thickBot="1">
      <c r="A911" s="47"/>
      <c r="B911" s="13"/>
      <c r="C911" s="14"/>
      <c r="D911" s="14"/>
      <c r="E911" s="14"/>
      <c r="F911" s="13"/>
      <c r="G911" s="14"/>
      <c r="H911" s="14"/>
      <c r="I911" s="14"/>
      <c r="J911" s="238"/>
      <c r="K911" s="238"/>
      <c r="L911" s="14"/>
      <c r="M911" s="238"/>
      <c r="N911" s="238"/>
      <c r="O911" s="238"/>
      <c r="P911" s="238"/>
      <c r="Q911" s="14"/>
      <c r="R911" s="393" t="str">
        <f>R$10</f>
        <v xml:space="preserve"> </v>
      </c>
      <c r="S911" s="394"/>
      <c r="T911" s="238"/>
      <c r="U911" s="13"/>
      <c r="V911" s="67"/>
      <c r="X911" s="370">
        <f t="shared" si="231"/>
        <v>0</v>
      </c>
    </row>
    <row r="912" spans="1:24" ht="15">
      <c r="A912" s="47"/>
      <c r="B912" s="15" t="s">
        <v>2</v>
      </c>
      <c r="C912" s="15" t="s">
        <v>370</v>
      </c>
      <c r="D912" s="287" t="s">
        <v>686</v>
      </c>
      <c r="E912" s="15" t="s">
        <v>371</v>
      </c>
      <c r="F912" s="287" t="str">
        <f>F$11</f>
        <v>TOTAL</v>
      </c>
      <c r="G912" s="242" t="s">
        <v>741</v>
      </c>
      <c r="H912" s="242" t="s">
        <v>376</v>
      </c>
      <c r="I912" s="15"/>
      <c r="J912" s="242" t="s">
        <v>730</v>
      </c>
      <c r="K912" s="242" t="s">
        <v>409</v>
      </c>
      <c r="L912" s="15" t="s">
        <v>409</v>
      </c>
      <c r="M912" s="242" t="s">
        <v>410</v>
      </c>
      <c r="N912" s="242" t="s">
        <v>410</v>
      </c>
      <c r="O912" s="242" t="s">
        <v>410</v>
      </c>
      <c r="P912" s="242" t="s">
        <v>411</v>
      </c>
      <c r="Q912" s="15" t="s">
        <v>412</v>
      </c>
      <c r="R912" s="396" t="str">
        <f>R$11</f>
        <v>Wholesale</v>
      </c>
      <c r="S912" s="13" t="str">
        <f>S$11</f>
        <v>Wholesale</v>
      </c>
      <c r="T912" s="242"/>
      <c r="U912" s="15" t="s">
        <v>10</v>
      </c>
      <c r="V912" s="67"/>
      <c r="X912" s="370"/>
    </row>
    <row r="913" spans="1:24" ht="14.25">
      <c r="A913" s="47"/>
      <c r="B913" s="15"/>
      <c r="C913" s="15"/>
      <c r="D913" s="15"/>
      <c r="E913" s="15"/>
      <c r="F913" s="15" t="str">
        <f>F$12</f>
        <v>(Dist+Met+Cust)</v>
      </c>
      <c r="G913" s="242" t="s">
        <v>742</v>
      </c>
      <c r="H913" s="242" t="s">
        <v>743</v>
      </c>
      <c r="I913" s="15"/>
      <c r="J913" s="242"/>
      <c r="K913" s="242" t="s">
        <v>731</v>
      </c>
      <c r="L913" s="15" t="s">
        <v>732</v>
      </c>
      <c r="M913" s="242" t="s">
        <v>731</v>
      </c>
      <c r="N913" s="242" t="s">
        <v>732</v>
      </c>
      <c r="O913" s="242" t="s">
        <v>414</v>
      </c>
      <c r="P913" s="242"/>
      <c r="Q913" s="15"/>
      <c r="R913" s="235" t="str">
        <f>R$12</f>
        <v>XFMR</v>
      </c>
      <c r="S913" s="15" t="str">
        <f>S$12</f>
        <v>DLS</v>
      </c>
      <c r="T913" s="242"/>
      <c r="U913" s="15"/>
      <c r="V913" s="67"/>
      <c r="X913" s="370"/>
    </row>
    <row r="914" spans="1:24" ht="15" thickBot="1">
      <c r="A914" s="47"/>
      <c r="B914" s="16"/>
      <c r="C914" s="16"/>
      <c r="D914" s="16"/>
      <c r="E914" s="16"/>
      <c r="F914" s="16" t="s">
        <v>13</v>
      </c>
      <c r="G914" s="16" t="s">
        <v>14</v>
      </c>
      <c r="H914" s="16" t="s">
        <v>15</v>
      </c>
      <c r="I914" s="16"/>
      <c r="J914" s="243" t="str">
        <f t="shared" si="242" ref="J914:Q914">J$13</f>
        <v>(d)</v>
      </c>
      <c r="K914" s="243" t="str">
        <f t="shared" si="242"/>
        <v>(e)</v>
      </c>
      <c r="L914" s="16" t="str">
        <f t="shared" si="242"/>
        <v>(f)</v>
      </c>
      <c r="M914" s="243" t="str">
        <f t="shared" si="242"/>
        <v>(g)</v>
      </c>
      <c r="N914" s="243" t="str">
        <f t="shared" si="242"/>
        <v>(h)</v>
      </c>
      <c r="O914" s="243" t="str">
        <f>O$13</f>
        <v>(i)</v>
      </c>
      <c r="P914" s="243" t="str">
        <f t="shared" si="242"/>
        <v>(j)</v>
      </c>
      <c r="Q914" s="243" t="str">
        <f t="shared" si="242"/>
        <v>(k)</v>
      </c>
      <c r="R914" s="243" t="str">
        <f>R$13</f>
        <v>(l)</v>
      </c>
      <c r="S914" s="16" t="str">
        <f>S$13</f>
        <v>(m)</v>
      </c>
      <c r="T914" s="16"/>
      <c r="U914" s="16" t="s">
        <v>734</v>
      </c>
      <c r="V914" s="67"/>
      <c r="X914" s="370"/>
    </row>
    <row r="915" spans="1:24" ht="15">
      <c r="A915" s="47"/>
      <c r="B915" s="17"/>
      <c r="C915" s="1"/>
      <c r="D915" s="8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"/>
      <c r="V915" s="67"/>
      <c r="X915" s="370">
        <f t="shared" si="231"/>
        <v>0</v>
      </c>
    </row>
    <row r="916" spans="1:24" ht="15">
      <c r="A916" s="47"/>
      <c r="B916" s="17">
        <f t="shared" si="243" ref="B916:B934">B915+1</f>
        <v>1</v>
      </c>
      <c r="C916" s="8" t="s">
        <v>686</v>
      </c>
      <c r="D916" s="8"/>
      <c r="E916" s="20" t="s">
        <v>279</v>
      </c>
      <c r="F916" s="22"/>
      <c r="G916" s="20"/>
      <c r="H916" s="20"/>
      <c r="I916" s="20"/>
      <c r="J916" s="1059"/>
      <c r="K916" s="1059"/>
      <c r="L916" s="1059"/>
      <c r="M916" s="1059"/>
      <c r="N916" s="1059"/>
      <c r="O916" s="1059"/>
      <c r="P916" s="1059"/>
      <c r="Q916" s="1059"/>
      <c r="R916" s="1059"/>
      <c r="S916" s="1059"/>
      <c r="T916" s="20"/>
      <c r="U916" s="8"/>
      <c r="V916" s="67"/>
      <c r="X916" s="370">
        <f t="shared" si="231"/>
        <v>0</v>
      </c>
    </row>
    <row r="917" spans="1:24" ht="15">
      <c r="A917" s="47"/>
      <c r="B917" s="17">
        <f t="shared" si="243"/>
        <v>2</v>
      </c>
      <c r="C917" s="1" t="s">
        <v>254</v>
      </c>
      <c r="D917" s="1" t="s">
        <v>255</v>
      </c>
      <c r="E917" s="19"/>
      <c r="F917" s="118">
        <f>' WP II-I-1.4'!L917</f>
        <v>79181335.569999993</v>
      </c>
      <c r="G917" s="17" t="s">
        <v>805</v>
      </c>
      <c r="H917" s="47" t="s">
        <v>320</v>
      </c>
      <c r="I917" s="19"/>
      <c r="J917" s="434">
        <f>'II-I-DIST'!J917+'II-I-MET'!J917+'II-I-TBILLTDCS'!J917</f>
        <v>42565490.499624342</v>
      </c>
      <c r="K917" s="434">
        <f>'II-I-DIST'!K917+'II-I-MET'!K917+'II-I-TBILLTDCS'!K917</f>
        <v>3170265.8839049079</v>
      </c>
      <c r="L917" s="434">
        <f>'II-I-DIST'!L917+'II-I-MET'!L917+'II-I-TBILLTDCS'!L917</f>
        <v>24667960.249035619</v>
      </c>
      <c r="M917" s="434">
        <f>'II-I-DIST'!M917+'II-I-MET'!M917+'II-I-TBILLTDCS'!M917</f>
        <v>115770.97594370792</v>
      </c>
      <c r="N917" s="434">
        <f>'II-I-DIST'!N917+'II-I-MET'!N917+'II-I-TBILLTDCS'!N917</f>
        <v>5629806.1846439168</v>
      </c>
      <c r="O917" s="434">
        <f>'II-I-DIST'!O917+'II-I-MET'!O917+'II-I-TBILLTDCS'!O917</f>
        <v>368541.14600365935</v>
      </c>
      <c r="P917" s="434">
        <f>'II-I-DIST'!P917+'II-I-MET'!P917+'II-I-TBILLTDCS'!P917</f>
        <v>235047.25061940734</v>
      </c>
      <c r="Q917" s="434">
        <f>'II-I-DIST'!Q917+'II-I-MET'!Q917+'II-I-TBILLTDCS'!Q917</f>
        <v>2191226.2556773443</v>
      </c>
      <c r="R917" s="434">
        <f>'II-I-DIST'!R917+'II-I-MET'!R917+'II-I-TBILLTDCS'!R917</f>
        <v>41413.032903025945</v>
      </c>
      <c r="S917" s="434">
        <f>'II-I-DIST'!S917+'II-I-MET'!S917+'II-I-TBILLTDCS'!S917</f>
        <v>195814.09164405341</v>
      </c>
      <c r="T917" s="19"/>
      <c r="U917" s="299">
        <f t="shared" si="244" ref="U917:U930">SUM(I917:T917)</f>
        <v>79181335.570000008</v>
      </c>
      <c r="V917" s="67"/>
      <c r="W917" s="1300" t="b">
        <f>' WP II-I-1.4'!$L$917=U917</f>
        <v>1</v>
      </c>
      <c r="X917" s="370">
        <f t="shared" si="231"/>
        <v>0</v>
      </c>
    </row>
    <row r="918" spans="1:24" ht="14.25">
      <c r="A918" s="47"/>
      <c r="B918" s="17">
        <f t="shared" si="243"/>
        <v>3</v>
      </c>
      <c r="C918" s="1" t="s">
        <v>256</v>
      </c>
      <c r="D918" s="1" t="s">
        <v>257</v>
      </c>
      <c r="E918" s="19"/>
      <c r="F918" s="118">
        <f>' WP II-I-1.4'!L918</f>
        <v>0</v>
      </c>
      <c r="G918" s="17" t="s">
        <v>805</v>
      </c>
      <c r="H918" s="47" t="s">
        <v>320</v>
      </c>
      <c r="I918" s="19"/>
      <c r="J918" s="434">
        <f>'II-I-DIST'!J918+'II-I-MET'!J918+'II-I-TBILLTDCS'!J918</f>
        <v>0</v>
      </c>
      <c r="K918" s="434">
        <f>'II-I-DIST'!K918+'II-I-MET'!K918+'II-I-TBILLTDCS'!K918</f>
        <v>0</v>
      </c>
      <c r="L918" s="434">
        <f>'II-I-DIST'!L918+'II-I-MET'!L918+'II-I-TBILLTDCS'!L918</f>
        <v>0</v>
      </c>
      <c r="M918" s="434">
        <f>'II-I-DIST'!M918+'II-I-MET'!M918+'II-I-TBILLTDCS'!M918</f>
        <v>0</v>
      </c>
      <c r="N918" s="434">
        <f>'II-I-DIST'!N918+'II-I-MET'!N918+'II-I-TBILLTDCS'!N918</f>
        <v>0</v>
      </c>
      <c r="O918" s="434">
        <f>'II-I-DIST'!O918+'II-I-MET'!O918+'II-I-TBILLTDCS'!O918</f>
        <v>0</v>
      </c>
      <c r="P918" s="434">
        <f>'II-I-DIST'!P918+'II-I-MET'!P918+'II-I-TBILLTDCS'!P918</f>
        <v>0</v>
      </c>
      <c r="Q918" s="434">
        <f>'II-I-DIST'!Q918+'II-I-MET'!Q918+'II-I-TBILLTDCS'!Q918</f>
        <v>0</v>
      </c>
      <c r="R918" s="434">
        <f>'II-I-DIST'!R918+'II-I-MET'!R918+'II-I-TBILLTDCS'!R918</f>
        <v>0</v>
      </c>
      <c r="S918" s="434">
        <f>'II-I-DIST'!S918+'II-I-MET'!S918+'II-I-TBILLTDCS'!S918</f>
        <v>0</v>
      </c>
      <c r="T918" s="19"/>
      <c r="U918" s="118">
        <f t="shared" si="244"/>
        <v>0</v>
      </c>
      <c r="V918" s="67"/>
      <c r="X918" s="370">
        <f t="shared" si="231"/>
        <v>0</v>
      </c>
    </row>
    <row r="919" spans="1:24" ht="14.25">
      <c r="A919" s="47"/>
      <c r="B919" s="17">
        <f t="shared" si="243"/>
        <v>4</v>
      </c>
      <c r="C919" s="1" t="s">
        <v>258</v>
      </c>
      <c r="D919" s="1" t="s">
        <v>259</v>
      </c>
      <c r="E919" s="19"/>
      <c r="F919" s="118">
        <f>' WP II-I-1.4'!L919</f>
        <v>0</v>
      </c>
      <c r="G919" s="17" t="s">
        <v>805</v>
      </c>
      <c r="H919" s="47" t="s">
        <v>320</v>
      </c>
      <c r="I919" s="19"/>
      <c r="J919" s="434">
        <f>'II-I-DIST'!J919+'II-I-MET'!J919+'II-I-TBILLTDCS'!J919</f>
        <v>0</v>
      </c>
      <c r="K919" s="434">
        <f>'II-I-DIST'!K919+'II-I-MET'!K919+'II-I-TBILLTDCS'!K919</f>
        <v>0</v>
      </c>
      <c r="L919" s="434">
        <f>'II-I-DIST'!L919+'II-I-MET'!L919+'II-I-TBILLTDCS'!L919</f>
        <v>0</v>
      </c>
      <c r="M919" s="434">
        <f>'II-I-DIST'!M919+'II-I-MET'!M919+'II-I-TBILLTDCS'!M919</f>
        <v>0</v>
      </c>
      <c r="N919" s="434">
        <f>'II-I-DIST'!N919+'II-I-MET'!N919+'II-I-TBILLTDCS'!N919</f>
        <v>0</v>
      </c>
      <c r="O919" s="434">
        <f>'II-I-DIST'!O919+'II-I-MET'!O919+'II-I-TBILLTDCS'!O919</f>
        <v>0</v>
      </c>
      <c r="P919" s="434">
        <f>'II-I-DIST'!P919+'II-I-MET'!P919+'II-I-TBILLTDCS'!P919</f>
        <v>0</v>
      </c>
      <c r="Q919" s="434">
        <f>'II-I-DIST'!Q919+'II-I-MET'!Q919+'II-I-TBILLTDCS'!Q919</f>
        <v>0</v>
      </c>
      <c r="R919" s="434">
        <f>'II-I-DIST'!R919+'II-I-MET'!R919+'II-I-TBILLTDCS'!R919</f>
        <v>0</v>
      </c>
      <c r="S919" s="434">
        <f>'II-I-DIST'!S919+'II-I-MET'!S919+'II-I-TBILLTDCS'!S919</f>
        <v>0</v>
      </c>
      <c r="T919" s="19"/>
      <c r="U919" s="118">
        <f t="shared" si="244"/>
        <v>0</v>
      </c>
      <c r="V919" s="67"/>
      <c r="X919" s="370">
        <f t="shared" si="231"/>
        <v>0</v>
      </c>
    </row>
    <row r="920" spans="1:24" ht="14.25">
      <c r="A920" s="47"/>
      <c r="B920" s="17">
        <f t="shared" si="243"/>
        <v>5</v>
      </c>
      <c r="C920" s="1" t="s">
        <v>260</v>
      </c>
      <c r="D920" s="1" t="s">
        <v>261</v>
      </c>
      <c r="E920" s="19"/>
      <c r="F920" s="118">
        <f>' WP II-I-1.4'!L920</f>
        <v>0</v>
      </c>
      <c r="G920" s="17" t="s">
        <v>805</v>
      </c>
      <c r="H920" s="47" t="s">
        <v>320</v>
      </c>
      <c r="I920" s="19"/>
      <c r="J920" s="434">
        <f>'II-I-DIST'!J920+'II-I-MET'!J920+'II-I-TBILLTDCS'!J920</f>
        <v>0</v>
      </c>
      <c r="K920" s="434">
        <f>'II-I-DIST'!K920+'II-I-MET'!K920+'II-I-TBILLTDCS'!K920</f>
        <v>0</v>
      </c>
      <c r="L920" s="434">
        <f>'II-I-DIST'!L920+'II-I-MET'!L920+'II-I-TBILLTDCS'!L920</f>
        <v>0</v>
      </c>
      <c r="M920" s="434">
        <f>'II-I-DIST'!M920+'II-I-MET'!M920+'II-I-TBILLTDCS'!M920</f>
        <v>0</v>
      </c>
      <c r="N920" s="434">
        <f>'II-I-DIST'!N920+'II-I-MET'!N920+'II-I-TBILLTDCS'!N920</f>
        <v>0</v>
      </c>
      <c r="O920" s="434">
        <f>'II-I-DIST'!O920+'II-I-MET'!O920+'II-I-TBILLTDCS'!O920</f>
        <v>0</v>
      </c>
      <c r="P920" s="434">
        <f>'II-I-DIST'!P920+'II-I-MET'!P920+'II-I-TBILLTDCS'!P920</f>
        <v>0</v>
      </c>
      <c r="Q920" s="434">
        <f>'II-I-DIST'!Q920+'II-I-MET'!Q920+'II-I-TBILLTDCS'!Q920</f>
        <v>0</v>
      </c>
      <c r="R920" s="434">
        <f>'II-I-DIST'!R920+'II-I-MET'!R920+'II-I-TBILLTDCS'!R920</f>
        <v>0</v>
      </c>
      <c r="S920" s="434">
        <f>'II-I-DIST'!S920+'II-I-MET'!S920+'II-I-TBILLTDCS'!S920</f>
        <v>0</v>
      </c>
      <c r="T920" s="19"/>
      <c r="U920" s="118">
        <f t="shared" si="244"/>
        <v>0</v>
      </c>
      <c r="V920" s="67"/>
      <c r="X920" s="370">
        <f t="shared" si="231"/>
        <v>0</v>
      </c>
    </row>
    <row r="921" spans="1:24" ht="14.25">
      <c r="A921" s="47"/>
      <c r="B921" s="17">
        <f t="shared" si="243"/>
        <v>6</v>
      </c>
      <c r="C921" s="31" t="s">
        <v>262</v>
      </c>
      <c r="D921" s="1" t="s">
        <v>263</v>
      </c>
      <c r="E921" s="19"/>
      <c r="F921" s="118">
        <f>' WP II-I-1.4'!L921</f>
        <v>0</v>
      </c>
      <c r="G921" s="17" t="s">
        <v>805</v>
      </c>
      <c r="H921" s="47" t="s">
        <v>320</v>
      </c>
      <c r="I921" s="19"/>
      <c r="J921" s="434">
        <f>'II-I-DIST'!J921+'II-I-MET'!J921+'II-I-TBILLTDCS'!J921</f>
        <v>0</v>
      </c>
      <c r="K921" s="434">
        <f>'II-I-DIST'!K921+'II-I-MET'!K921+'II-I-TBILLTDCS'!K921</f>
        <v>0</v>
      </c>
      <c r="L921" s="434">
        <f>'II-I-DIST'!L921+'II-I-MET'!L921+'II-I-TBILLTDCS'!L921</f>
        <v>0</v>
      </c>
      <c r="M921" s="434">
        <f>'II-I-DIST'!M921+'II-I-MET'!M921+'II-I-TBILLTDCS'!M921</f>
        <v>0</v>
      </c>
      <c r="N921" s="434">
        <f>'II-I-DIST'!N921+'II-I-MET'!N921+'II-I-TBILLTDCS'!N921</f>
        <v>0</v>
      </c>
      <c r="O921" s="434">
        <f>'II-I-DIST'!O921+'II-I-MET'!O921+'II-I-TBILLTDCS'!O921</f>
        <v>0</v>
      </c>
      <c r="P921" s="434">
        <f>'II-I-DIST'!P921+'II-I-MET'!P921+'II-I-TBILLTDCS'!P921</f>
        <v>0</v>
      </c>
      <c r="Q921" s="434">
        <f>'II-I-DIST'!Q921+'II-I-MET'!Q921+'II-I-TBILLTDCS'!Q921</f>
        <v>0</v>
      </c>
      <c r="R921" s="434">
        <f>'II-I-DIST'!R921+'II-I-MET'!R921+'II-I-TBILLTDCS'!R921</f>
        <v>0</v>
      </c>
      <c r="S921" s="434">
        <f>'II-I-DIST'!S921+'II-I-MET'!S921+'II-I-TBILLTDCS'!S921</f>
        <v>0</v>
      </c>
      <c r="T921" s="19"/>
      <c r="U921" s="118">
        <f t="shared" si="244"/>
        <v>0</v>
      </c>
      <c r="V921" s="67"/>
      <c r="X921" s="370">
        <f t="shared" si="231"/>
        <v>0</v>
      </c>
    </row>
    <row r="922" spans="1:24" ht="14.25">
      <c r="A922" s="47"/>
      <c r="B922" s="17">
        <f t="shared" si="243"/>
        <v>7</v>
      </c>
      <c r="C922" s="31" t="s">
        <v>264</v>
      </c>
      <c r="D922" s="1" t="s">
        <v>265</v>
      </c>
      <c r="E922" s="19"/>
      <c r="F922" s="118">
        <f>' WP II-I-1.4'!L922</f>
        <v>0</v>
      </c>
      <c r="G922" s="17" t="s">
        <v>805</v>
      </c>
      <c r="H922" s="47" t="s">
        <v>320</v>
      </c>
      <c r="I922" s="19"/>
      <c r="J922" s="434">
        <f>'II-I-DIST'!J922+'II-I-MET'!J922+'II-I-TBILLTDCS'!J922</f>
        <v>0</v>
      </c>
      <c r="K922" s="434">
        <f>'II-I-DIST'!K922+'II-I-MET'!K922+'II-I-TBILLTDCS'!K922</f>
        <v>0</v>
      </c>
      <c r="L922" s="434">
        <f>'II-I-DIST'!L922+'II-I-MET'!L922+'II-I-TBILLTDCS'!L922</f>
        <v>0</v>
      </c>
      <c r="M922" s="434">
        <f>'II-I-DIST'!M922+'II-I-MET'!M922+'II-I-TBILLTDCS'!M922</f>
        <v>0</v>
      </c>
      <c r="N922" s="434">
        <f>'II-I-DIST'!N922+'II-I-MET'!N922+'II-I-TBILLTDCS'!N922</f>
        <v>0</v>
      </c>
      <c r="O922" s="434">
        <f>'II-I-DIST'!O922+'II-I-MET'!O922+'II-I-TBILLTDCS'!O922</f>
        <v>0</v>
      </c>
      <c r="P922" s="434">
        <f>'II-I-DIST'!P922+'II-I-MET'!P922+'II-I-TBILLTDCS'!P922</f>
        <v>0</v>
      </c>
      <c r="Q922" s="434">
        <f>'II-I-DIST'!Q922+'II-I-MET'!Q922+'II-I-TBILLTDCS'!Q922</f>
        <v>0</v>
      </c>
      <c r="R922" s="434">
        <f>'II-I-DIST'!R922+'II-I-MET'!R922+'II-I-TBILLTDCS'!R922</f>
        <v>0</v>
      </c>
      <c r="S922" s="434">
        <f>'II-I-DIST'!S922+'II-I-MET'!S922+'II-I-TBILLTDCS'!S922</f>
        <v>0</v>
      </c>
      <c r="T922" s="19"/>
      <c r="U922" s="118">
        <f t="shared" si="244"/>
        <v>0</v>
      </c>
      <c r="V922" s="67"/>
      <c r="X922" s="370">
        <f t="shared" si="231"/>
        <v>0</v>
      </c>
    </row>
    <row r="923" spans="1:24" ht="14.25">
      <c r="A923" s="47"/>
      <c r="B923" s="17">
        <f t="shared" si="243"/>
        <v>8</v>
      </c>
      <c r="C923" s="1" t="s">
        <v>266</v>
      </c>
      <c r="D923" s="1" t="s">
        <v>267</v>
      </c>
      <c r="E923" s="19"/>
      <c r="F923" s="118">
        <f>' WP II-I-1.4'!L923</f>
        <v>0</v>
      </c>
      <c r="G923" s="17" t="s">
        <v>805</v>
      </c>
      <c r="H923" s="47" t="s">
        <v>320</v>
      </c>
      <c r="I923" s="19"/>
      <c r="J923" s="434">
        <f>'II-I-DIST'!J923+'II-I-MET'!J923+'II-I-TBILLTDCS'!J923</f>
        <v>0</v>
      </c>
      <c r="K923" s="434">
        <f>'II-I-DIST'!K923+'II-I-MET'!K923+'II-I-TBILLTDCS'!K923</f>
        <v>0</v>
      </c>
      <c r="L923" s="434">
        <f>'II-I-DIST'!L923+'II-I-MET'!L923+'II-I-TBILLTDCS'!L923</f>
        <v>0</v>
      </c>
      <c r="M923" s="434">
        <f>'II-I-DIST'!M923+'II-I-MET'!M923+'II-I-TBILLTDCS'!M923</f>
        <v>0</v>
      </c>
      <c r="N923" s="434">
        <f>'II-I-DIST'!N923+'II-I-MET'!N923+'II-I-TBILLTDCS'!N923</f>
        <v>0</v>
      </c>
      <c r="O923" s="434">
        <f>'II-I-DIST'!O923+'II-I-MET'!O923+'II-I-TBILLTDCS'!O923</f>
        <v>0</v>
      </c>
      <c r="P923" s="434">
        <f>'II-I-DIST'!P923+'II-I-MET'!P923+'II-I-TBILLTDCS'!P923</f>
        <v>0</v>
      </c>
      <c r="Q923" s="434">
        <f>'II-I-DIST'!Q923+'II-I-MET'!Q923+'II-I-TBILLTDCS'!Q923</f>
        <v>0</v>
      </c>
      <c r="R923" s="434">
        <f>'II-I-DIST'!R923+'II-I-MET'!R923+'II-I-TBILLTDCS'!R923</f>
        <v>0</v>
      </c>
      <c r="S923" s="434">
        <f>'II-I-DIST'!S923+'II-I-MET'!S923+'II-I-TBILLTDCS'!S923</f>
        <v>0</v>
      </c>
      <c r="T923" s="19"/>
      <c r="U923" s="118">
        <f t="shared" si="244"/>
        <v>0</v>
      </c>
      <c r="V923" s="67"/>
      <c r="X923" s="370">
        <f t="shared" si="231"/>
        <v>0</v>
      </c>
    </row>
    <row r="924" spans="1:24" ht="14.25">
      <c r="A924" s="47"/>
      <c r="B924" s="17">
        <f t="shared" si="243"/>
        <v>9</v>
      </c>
      <c r="C924" s="1" t="s">
        <v>268</v>
      </c>
      <c r="D924" s="1" t="s">
        <v>269</v>
      </c>
      <c r="E924" s="19"/>
      <c r="F924" s="118">
        <f>' WP II-I-1.4'!L924</f>
        <v>0</v>
      </c>
      <c r="G924" s="17" t="s">
        <v>805</v>
      </c>
      <c r="H924" s="47" t="s">
        <v>320</v>
      </c>
      <c r="I924" s="19"/>
      <c r="J924" s="434">
        <f>'II-I-DIST'!J924+'II-I-MET'!J924+'II-I-TBILLTDCS'!J924</f>
        <v>0</v>
      </c>
      <c r="K924" s="434">
        <f>'II-I-DIST'!K924+'II-I-MET'!K924+'II-I-TBILLTDCS'!K924</f>
        <v>0</v>
      </c>
      <c r="L924" s="434">
        <f>'II-I-DIST'!L924+'II-I-MET'!L924+'II-I-TBILLTDCS'!L924</f>
        <v>0</v>
      </c>
      <c r="M924" s="434">
        <f>'II-I-DIST'!M924+'II-I-MET'!M924+'II-I-TBILLTDCS'!M924</f>
        <v>0</v>
      </c>
      <c r="N924" s="434">
        <f>'II-I-DIST'!N924+'II-I-MET'!N924+'II-I-TBILLTDCS'!N924</f>
        <v>0</v>
      </c>
      <c r="O924" s="434">
        <f>'II-I-DIST'!O924+'II-I-MET'!O924+'II-I-TBILLTDCS'!O924</f>
        <v>0</v>
      </c>
      <c r="P924" s="434">
        <f>'II-I-DIST'!P924+'II-I-MET'!P924+'II-I-TBILLTDCS'!P924</f>
        <v>0</v>
      </c>
      <c r="Q924" s="434">
        <f>'II-I-DIST'!Q924+'II-I-MET'!Q924+'II-I-TBILLTDCS'!Q924</f>
        <v>0</v>
      </c>
      <c r="R924" s="434">
        <f>'II-I-DIST'!R924+'II-I-MET'!R924+'II-I-TBILLTDCS'!R924</f>
        <v>0</v>
      </c>
      <c r="S924" s="434">
        <f>'II-I-DIST'!S924+'II-I-MET'!S924+'II-I-TBILLTDCS'!S924</f>
        <v>0</v>
      </c>
      <c r="T924" s="19"/>
      <c r="U924" s="118">
        <f t="shared" si="244"/>
        <v>0</v>
      </c>
      <c r="V924" s="67"/>
      <c r="X924" s="370">
        <f t="shared" si="231"/>
        <v>0</v>
      </c>
    </row>
    <row r="925" spans="1:24" ht="14.25">
      <c r="A925" s="47"/>
      <c r="B925" s="17">
        <f t="shared" si="243"/>
        <v>10</v>
      </c>
      <c r="C925" s="1" t="s">
        <v>270</v>
      </c>
      <c r="D925" s="1" t="s">
        <v>271</v>
      </c>
      <c r="E925" s="19"/>
      <c r="F925" s="118">
        <f>' WP II-I-1.4'!L925</f>
        <v>0</v>
      </c>
      <c r="G925" s="17" t="s">
        <v>805</v>
      </c>
      <c r="H925" s="47" t="s">
        <v>320</v>
      </c>
      <c r="I925" s="19"/>
      <c r="J925" s="434">
        <f>'II-I-DIST'!J925+'II-I-MET'!J925+'II-I-TBILLTDCS'!J925</f>
        <v>0</v>
      </c>
      <c r="K925" s="434">
        <f>'II-I-DIST'!K925+'II-I-MET'!K925+'II-I-TBILLTDCS'!K925</f>
        <v>0</v>
      </c>
      <c r="L925" s="434">
        <f>'II-I-DIST'!L925+'II-I-MET'!L925+'II-I-TBILLTDCS'!L925</f>
        <v>0</v>
      </c>
      <c r="M925" s="434">
        <f>'II-I-DIST'!M925+'II-I-MET'!M925+'II-I-TBILLTDCS'!M925</f>
        <v>0</v>
      </c>
      <c r="N925" s="434">
        <f>'II-I-DIST'!N925+'II-I-MET'!N925+'II-I-TBILLTDCS'!N925</f>
        <v>0</v>
      </c>
      <c r="O925" s="434">
        <f>'II-I-DIST'!O925+'II-I-MET'!O925+'II-I-TBILLTDCS'!O925</f>
        <v>0</v>
      </c>
      <c r="P925" s="434">
        <f>'II-I-DIST'!P925+'II-I-MET'!P925+'II-I-TBILLTDCS'!P925</f>
        <v>0</v>
      </c>
      <c r="Q925" s="434">
        <f>'II-I-DIST'!Q925+'II-I-MET'!Q925+'II-I-TBILLTDCS'!Q925</f>
        <v>0</v>
      </c>
      <c r="R925" s="434">
        <f>'II-I-DIST'!R925+'II-I-MET'!R925+'II-I-TBILLTDCS'!R925</f>
        <v>0</v>
      </c>
      <c r="S925" s="434">
        <f>'II-I-DIST'!S925+'II-I-MET'!S925+'II-I-TBILLTDCS'!S925</f>
        <v>0</v>
      </c>
      <c r="T925" s="19"/>
      <c r="U925" s="118">
        <f t="shared" si="244"/>
        <v>0</v>
      </c>
      <c r="V925" s="67"/>
      <c r="X925" s="370">
        <f t="shared" si="231"/>
        <v>0</v>
      </c>
    </row>
    <row r="926" spans="1:24" ht="14.25">
      <c r="A926" s="47"/>
      <c r="B926" s="17">
        <f t="shared" si="243"/>
        <v>11</v>
      </c>
      <c r="C926" s="1" t="s">
        <v>272</v>
      </c>
      <c r="D926" s="1" t="s">
        <v>273</v>
      </c>
      <c r="E926" s="19"/>
      <c r="F926" s="118">
        <f>' WP II-I-1.4'!L926</f>
        <v>0</v>
      </c>
      <c r="G926" s="17" t="s">
        <v>805</v>
      </c>
      <c r="H926" s="47" t="s">
        <v>320</v>
      </c>
      <c r="I926" s="19"/>
      <c r="J926" s="434">
        <f>'II-I-DIST'!J926+'II-I-MET'!J926+'II-I-TBILLTDCS'!J926</f>
        <v>0</v>
      </c>
      <c r="K926" s="434">
        <f>'II-I-DIST'!K926+'II-I-MET'!K926+'II-I-TBILLTDCS'!K926</f>
        <v>0</v>
      </c>
      <c r="L926" s="434">
        <f>'II-I-DIST'!L926+'II-I-MET'!L926+'II-I-TBILLTDCS'!L926</f>
        <v>0</v>
      </c>
      <c r="M926" s="434">
        <f>'II-I-DIST'!M926+'II-I-MET'!M926+'II-I-TBILLTDCS'!M926</f>
        <v>0</v>
      </c>
      <c r="N926" s="434">
        <f>'II-I-DIST'!N926+'II-I-MET'!N926+'II-I-TBILLTDCS'!N926</f>
        <v>0</v>
      </c>
      <c r="O926" s="434">
        <f>'II-I-DIST'!O926+'II-I-MET'!O926+'II-I-TBILLTDCS'!O926</f>
        <v>0</v>
      </c>
      <c r="P926" s="434">
        <f>'II-I-DIST'!P926+'II-I-MET'!P926+'II-I-TBILLTDCS'!P926</f>
        <v>0</v>
      </c>
      <c r="Q926" s="434">
        <f>'II-I-DIST'!Q926+'II-I-MET'!Q926+'II-I-TBILLTDCS'!Q926</f>
        <v>0</v>
      </c>
      <c r="R926" s="434">
        <f>'II-I-DIST'!R926+'II-I-MET'!R926+'II-I-TBILLTDCS'!R926</f>
        <v>0</v>
      </c>
      <c r="S926" s="434">
        <f>'II-I-DIST'!S926+'II-I-MET'!S926+'II-I-TBILLTDCS'!S926</f>
        <v>0</v>
      </c>
      <c r="T926" s="19"/>
      <c r="U926" s="118">
        <f t="shared" si="244"/>
        <v>0</v>
      </c>
      <c r="V926" s="67"/>
      <c r="X926" s="370">
        <f t="shared" si="231"/>
        <v>0</v>
      </c>
    </row>
    <row r="927" spans="1:24" ht="14.25">
      <c r="A927" s="47"/>
      <c r="B927" s="17">
        <f t="shared" si="243"/>
        <v>12</v>
      </c>
      <c r="C927" s="31" t="s">
        <v>274</v>
      </c>
      <c r="D927" s="1" t="s">
        <v>206</v>
      </c>
      <c r="E927" s="19"/>
      <c r="F927" s="118">
        <f>' WP II-I-1.4'!L927</f>
        <v>0</v>
      </c>
      <c r="G927" s="17" t="s">
        <v>805</v>
      </c>
      <c r="H927" s="47" t="s">
        <v>320</v>
      </c>
      <c r="I927" s="19"/>
      <c r="J927" s="434">
        <f>'II-I-DIST'!J927+'II-I-MET'!J927+'II-I-TBILLTDCS'!J927</f>
        <v>0</v>
      </c>
      <c r="K927" s="434">
        <f>'II-I-DIST'!K927+'II-I-MET'!K927+'II-I-TBILLTDCS'!K927</f>
        <v>0</v>
      </c>
      <c r="L927" s="434">
        <f>'II-I-DIST'!L927+'II-I-MET'!L927+'II-I-TBILLTDCS'!L927</f>
        <v>0</v>
      </c>
      <c r="M927" s="434">
        <f>'II-I-DIST'!M927+'II-I-MET'!M927+'II-I-TBILLTDCS'!M927</f>
        <v>0</v>
      </c>
      <c r="N927" s="434">
        <f>'II-I-DIST'!N927+'II-I-MET'!N927+'II-I-TBILLTDCS'!N927</f>
        <v>0</v>
      </c>
      <c r="O927" s="434">
        <f>'II-I-DIST'!O927+'II-I-MET'!O927+'II-I-TBILLTDCS'!O927</f>
        <v>0</v>
      </c>
      <c r="P927" s="434">
        <f>'II-I-DIST'!P927+'II-I-MET'!P927+'II-I-TBILLTDCS'!P927</f>
        <v>0</v>
      </c>
      <c r="Q927" s="434">
        <f>'II-I-DIST'!Q927+'II-I-MET'!Q927+'II-I-TBILLTDCS'!Q927</f>
        <v>0</v>
      </c>
      <c r="R927" s="434">
        <f>'II-I-DIST'!R927+'II-I-MET'!R927+'II-I-TBILLTDCS'!R927</f>
        <v>0</v>
      </c>
      <c r="S927" s="434">
        <f>'II-I-DIST'!S927+'II-I-MET'!S927+'II-I-TBILLTDCS'!S927</f>
        <v>0</v>
      </c>
      <c r="T927" s="19"/>
      <c r="U927" s="118">
        <f t="shared" si="244"/>
        <v>0</v>
      </c>
      <c r="V927" s="67"/>
      <c r="X927" s="370">
        <f t="shared" si="231"/>
        <v>0</v>
      </c>
    </row>
    <row r="928" spans="1:24" ht="14.25">
      <c r="A928" s="47"/>
      <c r="B928" s="17">
        <f t="shared" si="243"/>
        <v>13</v>
      </c>
      <c r="C928" s="31" t="s">
        <v>275</v>
      </c>
      <c r="D928" s="1" t="s">
        <v>276</v>
      </c>
      <c r="E928" s="19"/>
      <c r="F928" s="118">
        <f>' WP II-I-1.4'!L928</f>
        <v>3134.8099999999999</v>
      </c>
      <c r="G928" s="17" t="s">
        <v>805</v>
      </c>
      <c r="H928" s="47" t="s">
        <v>320</v>
      </c>
      <c r="I928" s="19"/>
      <c r="J928" s="434">
        <f>'II-I-DIST'!J928+'II-I-MET'!J928+'II-I-TBILLTDCS'!J928</f>
        <v>1744.8415739877964</v>
      </c>
      <c r="K928" s="434">
        <f>'II-I-DIST'!K928+'II-I-MET'!K928+'II-I-TBILLTDCS'!K928</f>
        <v>59.123893166728635</v>
      </c>
      <c r="L928" s="434">
        <f>'II-I-DIST'!L928+'II-I-MET'!L928+'II-I-TBILLTDCS'!L928</f>
        <v>1102.032679115031</v>
      </c>
      <c r="M928" s="434">
        <f>'II-I-DIST'!M928+'II-I-MET'!M928+'II-I-TBILLTDCS'!M928</f>
        <v>0.45937239679984487</v>
      </c>
      <c r="N928" s="434">
        <f>'II-I-DIST'!N928+'II-I-MET'!N928+'II-I-TBILLTDCS'!N928</f>
        <v>169.51824284954139</v>
      </c>
      <c r="O928" s="434">
        <f>'II-I-DIST'!O928+'II-I-MET'!O928+'II-I-TBILLTDCS'!O928</f>
        <v>16.720728596379942</v>
      </c>
      <c r="P928" s="434">
        <f>'II-I-DIST'!P928+'II-I-MET'!P928+'II-I-TBILLTDCS'!P928</f>
        <v>3.2538793612273174</v>
      </c>
      <c r="Q928" s="434">
        <f>'II-I-DIST'!Q928+'II-I-MET'!Q928+'II-I-TBILLTDCS'!Q928</f>
        <v>27.712055139543253</v>
      </c>
      <c r="R928" s="434">
        <f>'II-I-DIST'!R928+'II-I-MET'!R928+'II-I-TBILLTDCS'!R928</f>
        <v>2.0038865634878311</v>
      </c>
      <c r="S928" s="434">
        <f>'II-I-DIST'!S928+'II-I-MET'!S928+'II-I-TBILLTDCS'!S928</f>
        <v>9.1436888234647835</v>
      </c>
      <c r="T928" s="19"/>
      <c r="U928" s="118">
        <f t="shared" si="244"/>
        <v>3134.8100000000009</v>
      </c>
      <c r="V928" s="67"/>
      <c r="X928" s="370">
        <f t="shared" si="231"/>
        <v>0</v>
      </c>
    </row>
    <row r="929" spans="1:24" ht="15" thickBot="1">
      <c r="A929" s="47"/>
      <c r="B929" s="17">
        <f t="shared" si="243"/>
        <v>14</v>
      </c>
      <c r="C929" s="28" t="s">
        <v>277</v>
      </c>
      <c r="D929" s="1" t="s">
        <v>276</v>
      </c>
      <c r="E929" s="19"/>
      <c r="F929" s="118">
        <f>' WP II-I-1.4'!L929</f>
        <v>1274092.26</v>
      </c>
      <c r="G929" s="17" t="s">
        <v>805</v>
      </c>
      <c r="H929" s="47" t="s">
        <v>320</v>
      </c>
      <c r="I929" s="19"/>
      <c r="J929" s="434">
        <f>'II-I-DIST'!J929+'II-I-MET'!J929+'II-I-TBILLTDCS'!J929</f>
        <v>709156.38493900537</v>
      </c>
      <c r="K929" s="434">
        <f>'II-I-DIST'!K929+'II-I-MET'!K929+'II-I-TBILLTDCS'!K929</f>
        <v>23588.695044109987</v>
      </c>
      <c r="L929" s="434">
        <f>'II-I-DIST'!L929+'II-I-MET'!L929+'II-I-TBILLTDCS'!L929</f>
        <v>448471.52951850125</v>
      </c>
      <c r="M929" s="434">
        <f>'II-I-DIST'!M929+'II-I-MET'!M929+'II-I-TBILLTDCS'!M929</f>
        <v>163.18484709332611</v>
      </c>
      <c r="N929" s="434">
        <f>'II-I-DIST'!N929+'II-I-MET'!N929+'II-I-TBILLTDCS'!N929</f>
        <v>68742.657349170957</v>
      </c>
      <c r="O929" s="434">
        <f>'II-I-DIST'!O929+'II-I-MET'!O929+'II-I-TBILLTDCS'!O929</f>
        <v>6813.4868763437407</v>
      </c>
      <c r="P929" s="434">
        <f>'II-I-DIST'!P929+'II-I-MET'!P929+'II-I-TBILLTDCS'!P929</f>
        <v>1291.3056182980304</v>
      </c>
      <c r="Q929" s="434">
        <f>'II-I-DIST'!Q929+'II-I-MET'!Q929+'II-I-TBILLTDCS'!Q929</f>
        <v>11317.597830176161</v>
      </c>
      <c r="R929" s="434">
        <f>'II-I-DIST'!R929+'II-I-MET'!R929+'II-I-TBILLTDCS'!R929</f>
        <v>816.63646837980741</v>
      </c>
      <c r="S929" s="434">
        <f>'II-I-DIST'!S929+'II-I-MET'!S929+'II-I-TBILLTDCS'!S929</f>
        <v>3730.7815089216697</v>
      </c>
      <c r="T929" s="19"/>
      <c r="U929" s="118">
        <f t="shared" si="244"/>
        <v>1274092.2600000002</v>
      </c>
      <c r="V929" s="67"/>
      <c r="X929" s="370">
        <f t="shared" si="231"/>
        <v>0</v>
      </c>
    </row>
    <row r="930" spans="1:24" ht="15.75" thickBot="1">
      <c r="A930" s="47"/>
      <c r="B930" s="17">
        <f t="shared" si="243"/>
        <v>15</v>
      </c>
      <c r="C930" s="870" t="s">
        <v>687</v>
      </c>
      <c r="D930" s="1021"/>
      <c r="E930" s="1014"/>
      <c r="F930" s="1014">
        <f>SUM(F917:F929)</f>
        <v>80458562.640000001</v>
      </c>
      <c r="G930" s="1014"/>
      <c r="H930" s="1014"/>
      <c r="I930" s="1022"/>
      <c r="J930" s="1072">
        <f t="shared" si="245" ref="J930:Q930">SUM(J917:J929)</f>
        <v>43276391.72613734</v>
      </c>
      <c r="K930" s="1014">
        <f t="shared" si="245"/>
        <v>3193913.7028421848</v>
      </c>
      <c r="L930" s="1014">
        <f t="shared" si="245"/>
        <v>25117533.811233234</v>
      </c>
      <c r="M930" s="1014">
        <f t="shared" si="245"/>
        <v>115934.62016319805</v>
      </c>
      <c r="N930" s="1014">
        <f t="shared" si="245"/>
        <v>5698718.3602359379</v>
      </c>
      <c r="O930" s="1014">
        <f>SUM(O917:O929)</f>
        <v>375371.35360859946</v>
      </c>
      <c r="P930" s="1014">
        <f t="shared" si="245"/>
        <v>236341.81011706661</v>
      </c>
      <c r="Q930" s="1014">
        <f t="shared" si="245"/>
        <v>2202571.5655626603</v>
      </c>
      <c r="R930" s="1014">
        <f>SUM(R917:R929)</f>
        <v>42231.67325796924</v>
      </c>
      <c r="S930" s="1053">
        <f>SUM(S917:S929)</f>
        <v>199554.01684179856</v>
      </c>
      <c r="T930" s="1022"/>
      <c r="U930" s="1015">
        <f t="shared" si="244"/>
        <v>80458562.639999986</v>
      </c>
      <c r="V930" s="67"/>
      <c r="W930" s="1300">
        <f>' WP II-I-1.4'!$L$930-U930</f>
        <v>0</v>
      </c>
      <c r="X930" s="370">
        <f t="shared" si="231"/>
        <v>0</v>
      </c>
    </row>
    <row r="931" spans="1:24" ht="14.25">
      <c r="A931" s="47"/>
      <c r="B931" s="17">
        <f t="shared" si="243"/>
        <v>16</v>
      </c>
      <c r="C931" s="1"/>
      <c r="D931" s="1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"/>
      <c r="V931" s="67"/>
      <c r="X931" s="370">
        <f t="shared" si="231"/>
        <v>0</v>
      </c>
    </row>
    <row r="932" spans="1:24" ht="15">
      <c r="A932" s="47"/>
      <c r="B932" s="17">
        <f t="shared" si="243"/>
        <v>17</v>
      </c>
      <c r="C932" s="8"/>
      <c r="D932" s="297" t="s">
        <v>688</v>
      </c>
      <c r="E932" s="20"/>
      <c r="F932" s="22">
        <f>SUM(F918:F929)</f>
        <v>1277227.0700000001</v>
      </c>
      <c r="G932" s="20"/>
      <c r="H932" s="20"/>
      <c r="I932" s="20"/>
      <c r="J932" s="22">
        <f t="shared" si="246" ref="J932:Q932">SUM(J918:J929)</f>
        <v>710901.22651299322</v>
      </c>
      <c r="K932" s="22">
        <f t="shared" si="246"/>
        <v>23647.818937276716</v>
      </c>
      <c r="L932" s="22">
        <f t="shared" si="246"/>
        <v>449573.56219761627</v>
      </c>
      <c r="M932" s="22">
        <f t="shared" si="246"/>
        <v>163.64421949012595</v>
      </c>
      <c r="N932" s="22">
        <f t="shared" si="246"/>
        <v>68912.175592020503</v>
      </c>
      <c r="O932" s="22">
        <f>SUM(O918:O929)</f>
        <v>6830.2076049401203</v>
      </c>
      <c r="P932" s="22">
        <f t="shared" si="246"/>
        <v>1294.5594976592577</v>
      </c>
      <c r="Q932" s="22">
        <f t="shared" si="246"/>
        <v>11345.309885315704</v>
      </c>
      <c r="R932" s="22">
        <f>SUM(R918:R929)</f>
        <v>818.64035494329528</v>
      </c>
      <c r="S932" s="22">
        <f>SUM(S918:S929)</f>
        <v>3739.9251977451345</v>
      </c>
      <c r="T932" s="20"/>
      <c r="U932" s="299">
        <f>SUM(I932:T932)</f>
        <v>1277227.0700000003</v>
      </c>
      <c r="V932" s="67"/>
      <c r="W932" s="1300" t="b">
        <f>' WP II-I-1.4'!$L$934=U934</f>
        <v>1</v>
      </c>
      <c r="X932" s="370">
        <f t="shared" si="231"/>
        <v>0</v>
      </c>
    </row>
    <row r="933" spans="1:24" ht="15" thickBot="1">
      <c r="A933" s="47"/>
      <c r="B933" s="17">
        <f t="shared" si="243"/>
        <v>18</v>
      </c>
      <c r="C933" s="1"/>
      <c r="D933" s="51"/>
      <c r="E933" s="17"/>
      <c r="F933" s="19"/>
      <c r="G933" s="17"/>
      <c r="H933" s="17"/>
      <c r="I933" s="17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7"/>
      <c r="U933" s="1"/>
      <c r="V933" s="67"/>
      <c r="W933" s="1300"/>
      <c r="X933" s="370">
        <f t="shared" si="231"/>
        <v>0</v>
      </c>
    </row>
    <row r="934" spans="1:24" ht="15.75" thickBot="1">
      <c r="A934" s="47"/>
      <c r="B934" s="17">
        <f t="shared" si="243"/>
        <v>19</v>
      </c>
      <c r="C934" s="284" t="s">
        <v>689</v>
      </c>
      <c r="D934" s="285"/>
      <c r="E934" s="374" t="s">
        <v>279</v>
      </c>
      <c r="F934" s="255">
        <f>+F902+F930</f>
        <v>234813366.64000005</v>
      </c>
      <c r="G934" s="374"/>
      <c r="H934" s="467"/>
      <c r="I934" s="468"/>
      <c r="J934" s="446">
        <f t="shared" si="247" ref="J934:Q934">+J902+J930</f>
        <v>127781768.95279791</v>
      </c>
      <c r="K934" s="903">
        <f t="shared" si="247"/>
        <v>7835281.970498139</v>
      </c>
      <c r="L934" s="903">
        <f t="shared" si="247"/>
        <v>76184386.52740711</v>
      </c>
      <c r="M934" s="903">
        <f t="shared" si="247"/>
        <v>268680.80882136279</v>
      </c>
      <c r="N934" s="903">
        <f t="shared" si="247"/>
        <v>16969456.201317996</v>
      </c>
      <c r="O934" s="903">
        <f>+O902+O930</f>
        <v>1536812.1622294353</v>
      </c>
      <c r="P934" s="903">
        <f t="shared" si="247"/>
        <v>454169.21516941331</v>
      </c>
      <c r="Q934" s="903">
        <f t="shared" si="247"/>
        <v>2918572.5043756603</v>
      </c>
      <c r="R934" s="903">
        <f>+R902+R930</f>
        <v>180007.07515814059</v>
      </c>
      <c r="S934" s="380">
        <f>+S902+S930</f>
        <v>684231.22222483531</v>
      </c>
      <c r="T934" s="468"/>
      <c r="U934" s="256">
        <f>SUM(I934:T934)</f>
        <v>234813366.63999999</v>
      </c>
      <c r="V934" s="67"/>
      <c r="W934" s="1300" t="b">
        <f>' WP II-I-1.4'!$L$934=U934</f>
        <v>1</v>
      </c>
      <c r="X934" s="370">
        <f t="shared" si="248" ref="X934:X997">U934-F934</f>
        <v>0</v>
      </c>
    </row>
    <row r="935" spans="1:24" ht="14.25">
      <c r="A935" s="4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X935" s="370">
        <f t="shared" si="248"/>
        <v>0</v>
      </c>
    </row>
    <row r="936" spans="1:24" ht="14.25">
      <c r="A936" s="47"/>
      <c r="B936" s="67"/>
      <c r="C936" s="67"/>
      <c r="D936" s="67"/>
      <c r="E936" s="67"/>
      <c r="F936" s="67"/>
      <c r="G936" s="67"/>
      <c r="H936" s="134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134"/>
      <c r="V936" s="134"/>
      <c r="X936" s="370"/>
    </row>
    <row r="937" spans="1:24" ht="15" thickBot="1">
      <c r="A937" s="4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X937" s="370">
        <f t="shared" si="248"/>
        <v>0</v>
      </c>
    </row>
    <row r="938" spans="1:24" ht="15">
      <c r="A938" s="47"/>
      <c r="B938" s="920" t="str">
        <f>+$B$4</f>
        <v>2022 RATE CASE</v>
      </c>
      <c r="C938" s="935"/>
      <c r="D938" s="969"/>
      <c r="F938" s="332"/>
      <c r="U938" s="134"/>
      <c r="X938" s="370">
        <f t="shared" si="248"/>
        <v>0</v>
      </c>
    </row>
    <row r="939" spans="1:24" ht="15">
      <c r="A939" s="47"/>
      <c r="B939" s="917" t="str">
        <f>+$B$5</f>
        <v>ONCOR ELECTRIC DELIVERY COMPANY LLC</v>
      </c>
      <c r="C939" s="8"/>
      <c r="D939" s="970"/>
      <c r="F939" s="332"/>
      <c r="U939" s="134"/>
      <c r="V939" s="67"/>
      <c r="X939" s="370">
        <f t="shared" si="248"/>
        <v>0</v>
      </c>
    </row>
    <row r="940" spans="1:24" ht="15">
      <c r="A940" s="47"/>
      <c r="B940" s="917" t="str">
        <f>+$B$6</f>
        <v>II-I-1-TOT:  CLASS REVENUE REQUIREMENT</v>
      </c>
      <c r="C940" s="85"/>
      <c r="D940" s="970"/>
      <c r="F940" s="332"/>
      <c r="U940" s="332"/>
      <c r="V940" s="67"/>
      <c r="X940" s="370">
        <f t="shared" si="248"/>
        <v>0</v>
      </c>
    </row>
    <row r="941" spans="1:24" ht="15">
      <c r="A941" s="47"/>
      <c r="B941" s="406" t="str">
        <f>+$B$7</f>
        <v>TEST YEAR ENDING 12/31/2021</v>
      </c>
      <c r="C941" s="85"/>
      <c r="D941" s="970"/>
      <c r="F941" s="332"/>
      <c r="U941" s="332"/>
      <c r="V941" s="67"/>
      <c r="X941" s="370">
        <f t="shared" si="248"/>
        <v>0</v>
      </c>
    </row>
    <row r="942" spans="1:24" ht="15">
      <c r="A942" s="47"/>
      <c r="B942" s="406" t="str">
        <f>+$B$8</f>
        <v>SPONSOR:  MATTHEW A. TROXLE</v>
      </c>
      <c r="C942" s="85"/>
      <c r="D942" s="970"/>
      <c r="F942" s="332"/>
      <c r="U942" s="332"/>
      <c r="V942" s="67"/>
      <c r="X942" s="370">
        <f t="shared" si="248"/>
        <v>0</v>
      </c>
    </row>
    <row r="943" spans="1:24" ht="15.75" thickBot="1">
      <c r="A943" s="47"/>
      <c r="B943" s="410"/>
      <c r="C943" s="934"/>
      <c r="D943" s="936"/>
      <c r="F943" s="332"/>
      <c r="U943" s="332"/>
      <c r="V943" s="67"/>
      <c r="X943" s="370">
        <f t="shared" si="248"/>
        <v>0</v>
      </c>
    </row>
    <row r="944" spans="1:24" ht="15" thickBot="1">
      <c r="A944" s="47"/>
      <c r="B944" s="13"/>
      <c r="C944" s="14"/>
      <c r="D944" s="14"/>
      <c r="E944" s="14"/>
      <c r="F944" s="13"/>
      <c r="G944" s="14"/>
      <c r="H944" s="14"/>
      <c r="I944" s="14"/>
      <c r="J944" s="14"/>
      <c r="K944" s="238"/>
      <c r="L944" s="14"/>
      <c r="M944" s="238"/>
      <c r="N944" s="238"/>
      <c r="O944" s="238"/>
      <c r="P944" s="238"/>
      <c r="Q944" s="14"/>
      <c r="R944" s="393" t="str">
        <f>R$10</f>
        <v xml:space="preserve"> </v>
      </c>
      <c r="S944" s="394"/>
      <c r="T944" s="238"/>
      <c r="U944" s="13"/>
      <c r="V944" s="67"/>
      <c r="X944" s="370">
        <f t="shared" si="248"/>
        <v>0</v>
      </c>
    </row>
    <row r="945" spans="1:24" ht="15">
      <c r="A945" s="47"/>
      <c r="B945" s="15" t="s">
        <v>2</v>
      </c>
      <c r="C945" s="15" t="s">
        <v>370</v>
      </c>
      <c r="D945" s="287" t="s">
        <v>690</v>
      </c>
      <c r="E945" s="15" t="s">
        <v>371</v>
      </c>
      <c r="F945" s="287" t="str">
        <f>F$11</f>
        <v>TOTAL</v>
      </c>
      <c r="G945" s="242" t="s">
        <v>741</v>
      </c>
      <c r="H945" s="242" t="s">
        <v>376</v>
      </c>
      <c r="I945" s="15"/>
      <c r="J945" s="15" t="s">
        <v>730</v>
      </c>
      <c r="K945" s="242" t="s">
        <v>409</v>
      </c>
      <c r="L945" s="15" t="s">
        <v>409</v>
      </c>
      <c r="M945" s="242" t="s">
        <v>410</v>
      </c>
      <c r="N945" s="242" t="s">
        <v>410</v>
      </c>
      <c r="O945" s="242" t="s">
        <v>410</v>
      </c>
      <c r="P945" s="242" t="s">
        <v>411</v>
      </c>
      <c r="Q945" s="15" t="s">
        <v>412</v>
      </c>
      <c r="R945" s="396" t="str">
        <f>R$11</f>
        <v>Wholesale</v>
      </c>
      <c r="S945" s="13" t="str">
        <f>S$11</f>
        <v>Wholesale</v>
      </c>
      <c r="T945" s="242"/>
      <c r="U945" s="15" t="s">
        <v>10</v>
      </c>
      <c r="V945" s="67"/>
      <c r="X945" s="370"/>
    </row>
    <row r="946" spans="1:24" ht="14.25">
      <c r="A946" s="47"/>
      <c r="B946" s="15"/>
      <c r="C946" s="15"/>
      <c r="D946" s="15"/>
      <c r="E946" s="15"/>
      <c r="F946" s="15" t="str">
        <f>F$12</f>
        <v>(Dist+Met+Cust)</v>
      </c>
      <c r="G946" s="242" t="s">
        <v>742</v>
      </c>
      <c r="H946" s="242" t="s">
        <v>743</v>
      </c>
      <c r="I946" s="15"/>
      <c r="J946" s="15"/>
      <c r="K946" s="242" t="s">
        <v>731</v>
      </c>
      <c r="L946" s="15" t="s">
        <v>732</v>
      </c>
      <c r="M946" s="242" t="s">
        <v>731</v>
      </c>
      <c r="N946" s="242" t="s">
        <v>732</v>
      </c>
      <c r="O946" s="242" t="s">
        <v>414</v>
      </c>
      <c r="P946" s="242"/>
      <c r="Q946" s="15"/>
      <c r="R946" s="235" t="str">
        <f>R$12</f>
        <v>XFMR</v>
      </c>
      <c r="S946" s="15" t="str">
        <f>S$12</f>
        <v>DLS</v>
      </c>
      <c r="T946" s="242"/>
      <c r="U946" s="15"/>
      <c r="V946" s="67"/>
      <c r="X946" s="370"/>
    </row>
    <row r="947" spans="1:24" ht="15" thickBot="1">
      <c r="A947" s="47"/>
      <c r="B947" s="16"/>
      <c r="C947" s="16"/>
      <c r="D947" s="16"/>
      <c r="E947" s="16"/>
      <c r="F947" s="16" t="s">
        <v>13</v>
      </c>
      <c r="G947" s="16" t="s">
        <v>14</v>
      </c>
      <c r="H947" s="16" t="s">
        <v>15</v>
      </c>
      <c r="I947" s="16"/>
      <c r="J947" s="243" t="str">
        <f t="shared" si="249" ref="J947:Q947">J$13</f>
        <v>(d)</v>
      </c>
      <c r="K947" s="243" t="str">
        <f t="shared" si="249"/>
        <v>(e)</v>
      </c>
      <c r="L947" s="16" t="str">
        <f t="shared" si="249"/>
        <v>(f)</v>
      </c>
      <c r="M947" s="243" t="str">
        <f t="shared" si="249"/>
        <v>(g)</v>
      </c>
      <c r="N947" s="243" t="str">
        <f t="shared" si="249"/>
        <v>(h)</v>
      </c>
      <c r="O947" s="243" t="str">
        <f>O$13</f>
        <v>(i)</v>
      </c>
      <c r="P947" s="243" t="str">
        <f t="shared" si="249"/>
        <v>(j)</v>
      </c>
      <c r="Q947" s="243" t="str">
        <f t="shared" si="249"/>
        <v>(k)</v>
      </c>
      <c r="R947" s="243" t="str">
        <f>R$13</f>
        <v>(l)</v>
      </c>
      <c r="S947" s="16" t="str">
        <f>S$13</f>
        <v>(m)</v>
      </c>
      <c r="T947" s="16"/>
      <c r="U947" s="16" t="s">
        <v>734</v>
      </c>
      <c r="V947" s="67"/>
      <c r="X947" s="370"/>
    </row>
    <row r="948" spans="1:24" ht="15">
      <c r="A948" s="47"/>
      <c r="B948" s="67"/>
      <c r="C948" s="333"/>
      <c r="D948" s="333"/>
      <c r="E948" s="37"/>
      <c r="F948" s="333"/>
      <c r="G948" s="37"/>
      <c r="H948" s="37"/>
      <c r="I948" s="37"/>
      <c r="J948" s="897"/>
      <c r="K948" s="897"/>
      <c r="L948" s="897"/>
      <c r="M948" s="897"/>
      <c r="N948" s="897"/>
      <c r="O948" s="897"/>
      <c r="P948" s="897"/>
      <c r="Q948" s="897"/>
      <c r="R948" s="897"/>
      <c r="S948" s="897"/>
      <c r="T948" s="37"/>
      <c r="U948" s="43"/>
      <c r="V948" s="67"/>
      <c r="X948" s="370">
        <f t="shared" si="248"/>
        <v>0</v>
      </c>
    </row>
    <row r="949" spans="1:24" ht="15">
      <c r="A949" s="47"/>
      <c r="B949" s="17">
        <f t="shared" si="250" ref="B949:B955">B948+1</f>
        <v>1</v>
      </c>
      <c r="C949" s="376"/>
      <c r="D949" s="43" t="s">
        <v>289</v>
      </c>
      <c r="E949" s="37" t="s">
        <v>290</v>
      </c>
      <c r="F949" s="377">
        <v>0</v>
      </c>
      <c r="G949" s="17" t="s">
        <v>805</v>
      </c>
      <c r="H949" s="47" t="s">
        <v>320</v>
      </c>
      <c r="I949" s="897"/>
      <c r="J949" s="434">
        <f>'II-I-DIST'!J949+'II-I-MET'!J949+'II-I-TBILLTDCS'!J949</f>
        <v>0</v>
      </c>
      <c r="K949" s="434">
        <f>'II-I-DIST'!K949+'II-I-MET'!K949+'II-I-TBILLTDCS'!K949</f>
        <v>0</v>
      </c>
      <c r="L949" s="434">
        <f>'II-I-DIST'!L949+'II-I-MET'!L949+'II-I-TBILLTDCS'!L949</f>
        <v>0</v>
      </c>
      <c r="M949" s="434">
        <f>'II-I-DIST'!M949+'II-I-MET'!M949+'II-I-TBILLTDCS'!M949</f>
        <v>0</v>
      </c>
      <c r="N949" s="434">
        <f>'II-I-DIST'!N949+'II-I-MET'!N949+'II-I-TBILLTDCS'!N949</f>
        <v>0</v>
      </c>
      <c r="O949" s="434">
        <f>'II-I-DIST'!O949+'II-I-MET'!O949+'II-I-TBILLTDCS'!O949</f>
        <v>0</v>
      </c>
      <c r="P949" s="434">
        <f>'II-I-DIST'!P949+'II-I-MET'!P949+'II-I-TBILLTDCS'!P949</f>
        <v>0</v>
      </c>
      <c r="Q949" s="434">
        <f>'II-I-DIST'!Q949+'II-I-MET'!Q949+'II-I-TBILLTDCS'!Q949</f>
        <v>0</v>
      </c>
      <c r="R949" s="434">
        <f>'II-I-DIST'!R949+'II-I-MET'!R949+'II-I-TBILLTDCS'!R949</f>
        <v>0</v>
      </c>
      <c r="S949" s="434">
        <f>'II-I-DIST'!S949+'II-I-MET'!S949+'II-I-TBILLTDCS'!S949</f>
        <v>0</v>
      </c>
      <c r="T949" s="897"/>
      <c r="U949" s="118">
        <f>SUM(I949:T949)</f>
        <v>0</v>
      </c>
      <c r="V949" s="67"/>
      <c r="X949" s="370">
        <f t="shared" si="248"/>
        <v>0</v>
      </c>
    </row>
    <row r="950" spans="1:24" ht="15">
      <c r="A950" s="47"/>
      <c r="B950" s="17">
        <f t="shared" si="250"/>
        <v>2</v>
      </c>
      <c r="C950" s="334"/>
      <c r="D950" s="43" t="s">
        <v>291</v>
      </c>
      <c r="E950" s="37" t="s">
        <v>290</v>
      </c>
      <c r="F950" s="377">
        <v>0</v>
      </c>
      <c r="G950" s="17" t="s">
        <v>805</v>
      </c>
      <c r="H950" s="47" t="s">
        <v>320</v>
      </c>
      <c r="I950" s="897"/>
      <c r="J950" s="434">
        <f>'II-I-DIST'!J950+'II-I-MET'!J950+'II-I-TBILLTDCS'!J950</f>
        <v>0</v>
      </c>
      <c r="K950" s="434">
        <f>'II-I-DIST'!K950+'II-I-MET'!K950+'II-I-TBILLTDCS'!K950</f>
        <v>0</v>
      </c>
      <c r="L950" s="434">
        <f>'II-I-DIST'!L950+'II-I-MET'!L950+'II-I-TBILLTDCS'!L950</f>
        <v>0</v>
      </c>
      <c r="M950" s="434">
        <f>'II-I-DIST'!M950+'II-I-MET'!M950+'II-I-TBILLTDCS'!M950</f>
        <v>0</v>
      </c>
      <c r="N950" s="434">
        <f>'II-I-DIST'!N950+'II-I-MET'!N950+'II-I-TBILLTDCS'!N950</f>
        <v>0</v>
      </c>
      <c r="O950" s="434">
        <f>'II-I-DIST'!O950+'II-I-MET'!O950+'II-I-TBILLTDCS'!O950</f>
        <v>0</v>
      </c>
      <c r="P950" s="434">
        <f>'II-I-DIST'!P950+'II-I-MET'!P950+'II-I-TBILLTDCS'!P950</f>
        <v>0</v>
      </c>
      <c r="Q950" s="434">
        <f>'II-I-DIST'!Q950+'II-I-MET'!Q950+'II-I-TBILLTDCS'!Q950</f>
        <v>0</v>
      </c>
      <c r="R950" s="434">
        <f>'II-I-DIST'!R950+'II-I-MET'!R950+'II-I-TBILLTDCS'!R950</f>
        <v>0</v>
      </c>
      <c r="S950" s="434">
        <f>'II-I-DIST'!S950+'II-I-MET'!S950+'II-I-TBILLTDCS'!S950</f>
        <v>0</v>
      </c>
      <c r="T950" s="897"/>
      <c r="U950" s="118">
        <f>SUM(I950:T950)</f>
        <v>0</v>
      </c>
      <c r="V950" s="67"/>
      <c r="X950" s="370">
        <f t="shared" si="248"/>
        <v>0</v>
      </c>
    </row>
    <row r="951" spans="1:24" ht="15">
      <c r="A951" s="47"/>
      <c r="B951" s="17">
        <f t="shared" si="250"/>
        <v>3</v>
      </c>
      <c r="C951" s="43"/>
      <c r="D951" s="43" t="s">
        <v>292</v>
      </c>
      <c r="E951" s="37" t="s">
        <v>293</v>
      </c>
      <c r="F951" s="377">
        <v>0</v>
      </c>
      <c r="G951" s="17" t="s">
        <v>805</v>
      </c>
      <c r="H951" s="47" t="s">
        <v>320</v>
      </c>
      <c r="I951" s="897"/>
      <c r="J951" s="434">
        <f>'II-I-DIST'!J951+'II-I-MET'!J951+'II-I-TBILLTDCS'!J951</f>
        <v>0</v>
      </c>
      <c r="K951" s="434">
        <f>'II-I-DIST'!K951+'II-I-MET'!K951+'II-I-TBILLTDCS'!K951</f>
        <v>0</v>
      </c>
      <c r="L951" s="434">
        <f>'II-I-DIST'!L951+'II-I-MET'!L951+'II-I-TBILLTDCS'!L951</f>
        <v>0</v>
      </c>
      <c r="M951" s="434">
        <f>'II-I-DIST'!M951+'II-I-MET'!M951+'II-I-TBILLTDCS'!M951</f>
        <v>0</v>
      </c>
      <c r="N951" s="434">
        <f>'II-I-DIST'!N951+'II-I-MET'!N951+'II-I-TBILLTDCS'!N951</f>
        <v>0</v>
      </c>
      <c r="O951" s="434">
        <f>'II-I-DIST'!O951+'II-I-MET'!O951+'II-I-TBILLTDCS'!O951</f>
        <v>0</v>
      </c>
      <c r="P951" s="434">
        <f>'II-I-DIST'!P951+'II-I-MET'!P951+'II-I-TBILLTDCS'!P951</f>
        <v>0</v>
      </c>
      <c r="Q951" s="434">
        <f>'II-I-DIST'!Q951+'II-I-MET'!Q951+'II-I-TBILLTDCS'!Q951</f>
        <v>0</v>
      </c>
      <c r="R951" s="434">
        <f>'II-I-DIST'!R951+'II-I-MET'!R951+'II-I-TBILLTDCS'!R951</f>
        <v>0</v>
      </c>
      <c r="S951" s="434">
        <f>'II-I-DIST'!S951+'II-I-MET'!S951+'II-I-TBILLTDCS'!S951</f>
        <v>0</v>
      </c>
      <c r="T951" s="897"/>
      <c r="U951" s="118">
        <f>SUM(I951:T951)</f>
        <v>0</v>
      </c>
      <c r="V951" s="67"/>
      <c r="X951" s="370">
        <f t="shared" si="248"/>
        <v>0</v>
      </c>
    </row>
    <row r="952" spans="1:24" ht="15">
      <c r="A952" s="47"/>
      <c r="B952" s="17">
        <f t="shared" si="250"/>
        <v>4</v>
      </c>
      <c r="C952" s="43"/>
      <c r="D952" s="43" t="s">
        <v>294</v>
      </c>
      <c r="E952" s="37" t="s">
        <v>293</v>
      </c>
      <c r="F952" s="377">
        <v>0</v>
      </c>
      <c r="G952" s="17" t="s">
        <v>805</v>
      </c>
      <c r="H952" s="47" t="s">
        <v>320</v>
      </c>
      <c r="I952" s="897"/>
      <c r="J952" s="434">
        <f>'II-I-DIST'!J952+'II-I-MET'!J952+'II-I-TBILLTDCS'!J952</f>
        <v>0</v>
      </c>
      <c r="K952" s="434">
        <f>'II-I-DIST'!K952+'II-I-MET'!K952+'II-I-TBILLTDCS'!K952</f>
        <v>0</v>
      </c>
      <c r="L952" s="434">
        <f>'II-I-DIST'!L952+'II-I-MET'!L952+'II-I-TBILLTDCS'!L952</f>
        <v>0</v>
      </c>
      <c r="M952" s="434">
        <f>'II-I-DIST'!M952+'II-I-MET'!M952+'II-I-TBILLTDCS'!M952</f>
        <v>0</v>
      </c>
      <c r="N952" s="434">
        <f>'II-I-DIST'!N952+'II-I-MET'!N952+'II-I-TBILLTDCS'!N952</f>
        <v>0</v>
      </c>
      <c r="O952" s="434">
        <f>'II-I-DIST'!O952+'II-I-MET'!O952+'II-I-TBILLTDCS'!O952</f>
        <v>0</v>
      </c>
      <c r="P952" s="434">
        <f>'II-I-DIST'!P952+'II-I-MET'!P952+'II-I-TBILLTDCS'!P952</f>
        <v>0</v>
      </c>
      <c r="Q952" s="434">
        <f>'II-I-DIST'!Q952+'II-I-MET'!Q952+'II-I-TBILLTDCS'!Q952</f>
        <v>0</v>
      </c>
      <c r="R952" s="434">
        <f>'II-I-DIST'!R952+'II-I-MET'!R952+'II-I-TBILLTDCS'!R952</f>
        <v>0</v>
      </c>
      <c r="S952" s="434">
        <f>'II-I-DIST'!S952+'II-I-MET'!S952+'II-I-TBILLTDCS'!S952</f>
        <v>0</v>
      </c>
      <c r="T952" s="897"/>
      <c r="U952" s="118">
        <f>SUM(I952:T952)</f>
        <v>0</v>
      </c>
      <c r="V952" s="67"/>
      <c r="X952" s="370">
        <f t="shared" si="248"/>
        <v>0</v>
      </c>
    </row>
    <row r="953" spans="1:24" ht="15">
      <c r="A953" s="47"/>
      <c r="B953" s="17">
        <f t="shared" si="250"/>
        <v>5</v>
      </c>
      <c r="C953" s="43"/>
      <c r="D953" s="43" t="s">
        <v>295</v>
      </c>
      <c r="E953" s="37" t="s">
        <v>293</v>
      </c>
      <c r="F953" s="377">
        <v>0</v>
      </c>
      <c r="G953" s="17" t="s">
        <v>805</v>
      </c>
      <c r="H953" s="47" t="s">
        <v>320</v>
      </c>
      <c r="I953" s="897"/>
      <c r="J953" s="434">
        <f>'II-I-DIST'!J953+'II-I-MET'!J953+'II-I-TBILLTDCS'!J953</f>
        <v>0</v>
      </c>
      <c r="K953" s="434">
        <f>'II-I-DIST'!K953+'II-I-MET'!K953+'II-I-TBILLTDCS'!K953</f>
        <v>0</v>
      </c>
      <c r="L953" s="434">
        <f>'II-I-DIST'!L953+'II-I-MET'!L953+'II-I-TBILLTDCS'!L953</f>
        <v>0</v>
      </c>
      <c r="M953" s="434">
        <f>'II-I-DIST'!M953+'II-I-MET'!M953+'II-I-TBILLTDCS'!M953</f>
        <v>0</v>
      </c>
      <c r="N953" s="434">
        <f>'II-I-DIST'!N953+'II-I-MET'!N953+'II-I-TBILLTDCS'!N953</f>
        <v>0</v>
      </c>
      <c r="O953" s="434">
        <f>'II-I-DIST'!O953+'II-I-MET'!O953+'II-I-TBILLTDCS'!O953</f>
        <v>0</v>
      </c>
      <c r="P953" s="434">
        <f>'II-I-DIST'!P953+'II-I-MET'!P953+'II-I-TBILLTDCS'!P953</f>
        <v>0</v>
      </c>
      <c r="Q953" s="434">
        <f>'II-I-DIST'!Q953+'II-I-MET'!Q953+'II-I-TBILLTDCS'!Q953</f>
        <v>0</v>
      </c>
      <c r="R953" s="434">
        <f>'II-I-DIST'!R953+'II-I-MET'!R953+'II-I-TBILLTDCS'!R953</f>
        <v>0</v>
      </c>
      <c r="S953" s="434">
        <f>'II-I-DIST'!S953+'II-I-MET'!S953+'II-I-TBILLTDCS'!S953</f>
        <v>0</v>
      </c>
      <c r="T953" s="897"/>
      <c r="U953" s="118">
        <f>SUM(I953:T953)</f>
        <v>0</v>
      </c>
      <c r="V953" s="67"/>
      <c r="X953" s="370">
        <f t="shared" si="248"/>
        <v>0</v>
      </c>
    </row>
    <row r="954" spans="1:24" ht="15.75" thickBot="1">
      <c r="A954" s="47"/>
      <c r="B954" s="17">
        <f t="shared" si="250"/>
        <v>6</v>
      </c>
      <c r="C954" s="43"/>
      <c r="D954" s="43"/>
      <c r="E954" s="37"/>
      <c r="F954" s="37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118"/>
      <c r="V954" s="67"/>
      <c r="X954" s="370">
        <f t="shared" si="248"/>
        <v>0</v>
      </c>
    </row>
    <row r="955" spans="1:24" ht="15.75" thickBot="1">
      <c r="A955" s="47"/>
      <c r="B955" s="17">
        <f t="shared" si="250"/>
        <v>7</v>
      </c>
      <c r="C955" s="341" t="s">
        <v>691</v>
      </c>
      <c r="D955" s="336"/>
      <c r="E955" s="337"/>
      <c r="F955" s="278">
        <f>+F949+F950+F951+F952</f>
        <v>0</v>
      </c>
      <c r="G955" s="337"/>
      <c r="H955" s="457"/>
      <c r="I955" s="643"/>
      <c r="J955" s="356">
        <f t="shared" si="251" ref="J955:Q955">+J949+J950+J951+J952</f>
        <v>0</v>
      </c>
      <c r="K955" s="905">
        <f t="shared" si="251"/>
        <v>0</v>
      </c>
      <c r="L955" s="905">
        <f t="shared" si="251"/>
        <v>0</v>
      </c>
      <c r="M955" s="905">
        <f t="shared" si="251"/>
        <v>0</v>
      </c>
      <c r="N955" s="905">
        <f t="shared" si="251"/>
        <v>0</v>
      </c>
      <c r="O955" s="905">
        <f>+O949+O950+O951+O952</f>
        <v>0</v>
      </c>
      <c r="P955" s="905">
        <f t="shared" si="251"/>
        <v>0</v>
      </c>
      <c r="Q955" s="905">
        <f t="shared" si="251"/>
        <v>0</v>
      </c>
      <c r="R955" s="905">
        <f>+R949+R950+R951+R952</f>
        <v>0</v>
      </c>
      <c r="S955" s="279">
        <f>+S949+S950+S951+S952</f>
        <v>0</v>
      </c>
      <c r="T955" s="458"/>
      <c r="U955" s="256">
        <f>SUM(I955:T955)</f>
        <v>0</v>
      </c>
      <c r="V955" s="67"/>
      <c r="W955" s="1300" t="b">
        <f>' WP II-I-1.4'!$L$955=U955</f>
        <v>1</v>
      </c>
      <c r="X955" s="370">
        <f t="shared" si="248"/>
        <v>0</v>
      </c>
    </row>
    <row r="956" spans="1:24" ht="14.25">
      <c r="A956" s="4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X956" s="370">
        <f t="shared" si="248"/>
        <v>0</v>
      </c>
    </row>
    <row r="957" spans="1:24" ht="15" thickBot="1">
      <c r="A957" s="47"/>
      <c r="B957" s="67"/>
      <c r="C957" s="67"/>
      <c r="D957" s="67"/>
      <c r="E957" s="67"/>
      <c r="F957" s="67"/>
      <c r="G957" s="67"/>
      <c r="H957" s="134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134"/>
      <c r="V957" s="134"/>
      <c r="X957" s="370"/>
    </row>
    <row r="958" spans="1:24" ht="15">
      <c r="A958" s="47"/>
      <c r="B958" s="920" t="str">
        <f>+$B$4</f>
        <v>2022 RATE CASE</v>
      </c>
      <c r="C958" s="935"/>
      <c r="D958" s="969"/>
      <c r="F958" s="332"/>
      <c r="U958" s="134"/>
      <c r="X958" s="370">
        <f t="shared" si="248"/>
        <v>0</v>
      </c>
    </row>
    <row r="959" spans="1:24" ht="15">
      <c r="A959" s="47"/>
      <c r="B959" s="917" t="str">
        <f>+$B$5</f>
        <v>ONCOR ELECTRIC DELIVERY COMPANY LLC</v>
      </c>
      <c r="C959" s="8"/>
      <c r="D959" s="970"/>
      <c r="F959" s="332"/>
      <c r="U959" s="134"/>
      <c r="V959" s="67"/>
      <c r="X959" s="370">
        <f t="shared" si="248"/>
        <v>0</v>
      </c>
    </row>
    <row r="960" spans="1:24" ht="15">
      <c r="A960" s="47"/>
      <c r="B960" s="917" t="str">
        <f>+$B$6</f>
        <v>II-I-1-TOT:  CLASS REVENUE REQUIREMENT</v>
      </c>
      <c r="C960" s="85"/>
      <c r="D960" s="970"/>
      <c r="F960" s="332"/>
      <c r="U960" s="332"/>
      <c r="V960" s="67"/>
      <c r="X960" s="370">
        <f t="shared" si="248"/>
        <v>0</v>
      </c>
    </row>
    <row r="961" spans="1:24" ht="15">
      <c r="A961" s="47"/>
      <c r="B961" s="406" t="str">
        <f>+$B$7</f>
        <v>TEST YEAR ENDING 12/31/2021</v>
      </c>
      <c r="C961" s="85"/>
      <c r="D961" s="970"/>
      <c r="F961" s="332"/>
      <c r="U961" s="332"/>
      <c r="V961" s="67"/>
      <c r="X961" s="370">
        <f t="shared" si="248"/>
        <v>0</v>
      </c>
    </row>
    <row r="962" spans="1:24" ht="15">
      <c r="A962" s="47"/>
      <c r="B962" s="406" t="str">
        <f>+$B$8</f>
        <v>SPONSOR:  MATTHEW A. TROXLE</v>
      </c>
      <c r="C962" s="85"/>
      <c r="D962" s="970"/>
      <c r="F962" s="332"/>
      <c r="U962" s="332"/>
      <c r="V962" s="67"/>
      <c r="X962" s="370">
        <f t="shared" si="248"/>
        <v>0</v>
      </c>
    </row>
    <row r="963" spans="1:24" ht="15.75" thickBot="1">
      <c r="A963" s="47"/>
      <c r="B963" s="410"/>
      <c r="C963" s="934"/>
      <c r="D963" s="936"/>
      <c r="F963" s="332"/>
      <c r="U963" s="332"/>
      <c r="V963" s="67"/>
      <c r="X963" s="370">
        <f t="shared" si="248"/>
        <v>0</v>
      </c>
    </row>
    <row r="964" spans="1:24" ht="15" thickBot="1">
      <c r="A964" s="47"/>
      <c r="B964" s="13"/>
      <c r="C964" s="14"/>
      <c r="D964" s="14"/>
      <c r="E964" s="14"/>
      <c r="F964" s="13"/>
      <c r="G964" s="14"/>
      <c r="H964" s="14"/>
      <c r="I964" s="14"/>
      <c r="J964" s="238"/>
      <c r="K964" s="238"/>
      <c r="L964" s="14"/>
      <c r="M964" s="238"/>
      <c r="N964" s="238"/>
      <c r="O964" s="238"/>
      <c r="P964" s="238"/>
      <c r="Q964" s="14"/>
      <c r="R964" s="393" t="str">
        <f>R$10</f>
        <v xml:space="preserve"> </v>
      </c>
      <c r="S964" s="394"/>
      <c r="T964" s="238"/>
      <c r="U964" s="13"/>
      <c r="V964" s="67"/>
      <c r="X964" s="370">
        <f t="shared" si="248"/>
        <v>0</v>
      </c>
    </row>
    <row r="965" spans="1:24" ht="15">
      <c r="A965" s="47"/>
      <c r="B965" s="15" t="s">
        <v>2</v>
      </c>
      <c r="C965" s="15" t="s">
        <v>370</v>
      </c>
      <c r="D965" s="287" t="s">
        <v>692</v>
      </c>
      <c r="E965" s="15" t="s">
        <v>371</v>
      </c>
      <c r="F965" s="287" t="str">
        <f>F$11</f>
        <v>TOTAL</v>
      </c>
      <c r="G965" s="242" t="s">
        <v>741</v>
      </c>
      <c r="H965" s="242" t="s">
        <v>376</v>
      </c>
      <c r="I965" s="15"/>
      <c r="J965" s="242" t="s">
        <v>730</v>
      </c>
      <c r="K965" s="242" t="s">
        <v>409</v>
      </c>
      <c r="L965" s="15" t="s">
        <v>409</v>
      </c>
      <c r="M965" s="242" t="s">
        <v>410</v>
      </c>
      <c r="N965" s="242" t="s">
        <v>410</v>
      </c>
      <c r="O965" s="242" t="s">
        <v>410</v>
      </c>
      <c r="P965" s="242" t="s">
        <v>411</v>
      </c>
      <c r="Q965" s="15" t="s">
        <v>412</v>
      </c>
      <c r="R965" s="396" t="str">
        <f>R$11</f>
        <v>Wholesale</v>
      </c>
      <c r="S965" s="13" t="str">
        <f>S$11</f>
        <v>Wholesale</v>
      </c>
      <c r="T965" s="242"/>
      <c r="U965" s="15" t="s">
        <v>10</v>
      </c>
      <c r="V965" s="67"/>
      <c r="X965" s="370"/>
    </row>
    <row r="966" spans="1:24" ht="14.25">
      <c r="A966" s="47"/>
      <c r="B966" s="15"/>
      <c r="C966" s="15"/>
      <c r="D966" s="15"/>
      <c r="E966" s="15"/>
      <c r="F966" s="15" t="str">
        <f>F$12</f>
        <v>(Dist+Met+Cust)</v>
      </c>
      <c r="G966" s="242" t="s">
        <v>742</v>
      </c>
      <c r="H966" s="242" t="s">
        <v>743</v>
      </c>
      <c r="I966" s="15"/>
      <c r="J966" s="242"/>
      <c r="K966" s="242" t="s">
        <v>731</v>
      </c>
      <c r="L966" s="15" t="s">
        <v>732</v>
      </c>
      <c r="M966" s="242" t="s">
        <v>731</v>
      </c>
      <c r="N966" s="242" t="s">
        <v>732</v>
      </c>
      <c r="O966" s="242" t="s">
        <v>414</v>
      </c>
      <c r="P966" s="242"/>
      <c r="Q966" s="15"/>
      <c r="R966" s="235" t="str">
        <f>R$12</f>
        <v>XFMR</v>
      </c>
      <c r="S966" s="15" t="str">
        <f>S$12</f>
        <v>DLS</v>
      </c>
      <c r="T966" s="242"/>
      <c r="U966" s="15"/>
      <c r="V966" s="67"/>
      <c r="X966" s="370"/>
    </row>
    <row r="967" spans="1:24" ht="15" thickBot="1">
      <c r="A967" s="47"/>
      <c r="B967" s="16"/>
      <c r="C967" s="16"/>
      <c r="D967" s="16"/>
      <c r="E967" s="16"/>
      <c r="F967" s="16" t="s">
        <v>13</v>
      </c>
      <c r="G967" s="16" t="s">
        <v>14</v>
      </c>
      <c r="H967" s="16" t="s">
        <v>15</v>
      </c>
      <c r="I967" s="16"/>
      <c r="J967" s="243" t="str">
        <f t="shared" si="252" ref="J967:Q967">J$13</f>
        <v>(d)</v>
      </c>
      <c r="K967" s="243" t="str">
        <f t="shared" si="252"/>
        <v>(e)</v>
      </c>
      <c r="L967" s="16" t="str">
        <f t="shared" si="252"/>
        <v>(f)</v>
      </c>
      <c r="M967" s="243" t="str">
        <f t="shared" si="252"/>
        <v>(g)</v>
      </c>
      <c r="N967" s="243" t="str">
        <f t="shared" si="252"/>
        <v>(h)</v>
      </c>
      <c r="O967" s="243" t="str">
        <f>O$13</f>
        <v>(i)</v>
      </c>
      <c r="P967" s="243" t="str">
        <f t="shared" si="252"/>
        <v>(j)</v>
      </c>
      <c r="Q967" s="243" t="str">
        <f t="shared" si="252"/>
        <v>(k)</v>
      </c>
      <c r="R967" s="243" t="str">
        <f>R$13</f>
        <v>(l)</v>
      </c>
      <c r="S967" s="16" t="str">
        <f>S$13</f>
        <v>(m)</v>
      </c>
      <c r="T967" s="16"/>
      <c r="U967" s="16" t="s">
        <v>734</v>
      </c>
      <c r="V967" s="67"/>
      <c r="X967" s="370"/>
    </row>
    <row r="968" spans="1:24" ht="14.25">
      <c r="A968" s="47"/>
      <c r="B968" s="67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43"/>
      <c r="V968" s="67"/>
      <c r="X968" s="370">
        <f t="shared" si="248"/>
        <v>0</v>
      </c>
    </row>
    <row r="969" spans="1:24" ht="15">
      <c r="A969" s="47"/>
      <c r="B969" s="17">
        <f t="shared" si="253" ref="B969:B1004">B968+1</f>
        <v>1</v>
      </c>
      <c r="C969" s="366" t="s">
        <v>296</v>
      </c>
      <c r="D969" s="8"/>
      <c r="E969" s="20"/>
      <c r="F969" s="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8"/>
      <c r="V969" s="67"/>
      <c r="X969" s="370">
        <f t="shared" si="248"/>
        <v>0</v>
      </c>
    </row>
    <row r="970" spans="1:24" ht="14.25">
      <c r="A970" s="47"/>
      <c r="B970" s="17">
        <f t="shared" si="253"/>
        <v>2</v>
      </c>
      <c r="C970" s="1"/>
      <c r="D970" s="1"/>
      <c r="E970" s="17"/>
      <c r="F970" s="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"/>
      <c r="V970" s="67"/>
      <c r="X970" s="370">
        <f t="shared" si="248"/>
        <v>0</v>
      </c>
    </row>
    <row r="971" spans="1:24" ht="15">
      <c r="A971" s="47"/>
      <c r="B971" s="17">
        <f t="shared" si="253"/>
        <v>3</v>
      </c>
      <c r="C971" s="8" t="s">
        <v>693</v>
      </c>
      <c r="D971" s="8"/>
      <c r="E971" s="20" t="s">
        <v>297</v>
      </c>
      <c r="F971" s="378"/>
      <c r="G971" s="20"/>
      <c r="H971" s="20"/>
      <c r="I971" s="20"/>
      <c r="J971" s="1059"/>
      <c r="K971" s="1059"/>
      <c r="L971" s="1059"/>
      <c r="M971" s="1059"/>
      <c r="N971" s="1059"/>
      <c r="O971" s="1059"/>
      <c r="P971" s="1059"/>
      <c r="Q971" s="1059"/>
      <c r="R971" s="1059"/>
      <c r="S971" s="1059"/>
      <c r="T971" s="20"/>
      <c r="U971" s="8"/>
      <c r="V971" s="67"/>
      <c r="X971" s="370">
        <f t="shared" si="248"/>
        <v>0</v>
      </c>
    </row>
    <row r="972" spans="1:24" ht="14.25">
      <c r="A972" s="47"/>
      <c r="B972" s="17">
        <f t="shared" si="253"/>
        <v>4</v>
      </c>
      <c r="C972" s="1" t="s">
        <v>25</v>
      </c>
      <c r="D972" s="1" t="s">
        <v>26</v>
      </c>
      <c r="E972" s="17"/>
      <c r="F972" s="118">
        <f>' WP II-I-1.4'!L972</f>
        <v>0</v>
      </c>
      <c r="G972" s="17" t="s">
        <v>805</v>
      </c>
      <c r="H972" s="47" t="s">
        <v>320</v>
      </c>
      <c r="I972" s="17"/>
      <c r="J972" s="434">
        <f>'II-I-DIST'!J972+'II-I-MET'!J972+'II-I-TBILLTDCS'!J972</f>
        <v>0</v>
      </c>
      <c r="K972" s="434">
        <f>'II-I-DIST'!K972+'II-I-MET'!K972+'II-I-TBILLTDCS'!K972</f>
        <v>0</v>
      </c>
      <c r="L972" s="434">
        <f>'II-I-DIST'!L972+'II-I-MET'!L972+'II-I-TBILLTDCS'!L972</f>
        <v>0</v>
      </c>
      <c r="M972" s="434">
        <f>'II-I-DIST'!M972+'II-I-MET'!M972+'II-I-TBILLTDCS'!M972</f>
        <v>0</v>
      </c>
      <c r="N972" s="434">
        <f>'II-I-DIST'!N972+'II-I-MET'!N972+'II-I-TBILLTDCS'!N972</f>
        <v>0</v>
      </c>
      <c r="O972" s="434">
        <f>'II-I-DIST'!O972+'II-I-MET'!O972+'II-I-TBILLTDCS'!O972</f>
        <v>0</v>
      </c>
      <c r="P972" s="434">
        <f>'II-I-DIST'!P972+'II-I-MET'!P972+'II-I-TBILLTDCS'!P972</f>
        <v>0</v>
      </c>
      <c r="Q972" s="434">
        <f>'II-I-DIST'!Q972+'II-I-MET'!Q972+'II-I-TBILLTDCS'!Q972</f>
        <v>0</v>
      </c>
      <c r="R972" s="434">
        <f>'II-I-DIST'!R972+'II-I-MET'!R972+'II-I-TBILLTDCS'!R972</f>
        <v>0</v>
      </c>
      <c r="S972" s="434">
        <f>'II-I-DIST'!S972+'II-I-MET'!S972+'II-I-TBILLTDCS'!S972</f>
        <v>0</v>
      </c>
      <c r="T972" s="17"/>
      <c r="U972" s="118">
        <f>SUM(I972:T972)</f>
        <v>0</v>
      </c>
      <c r="V972" s="67"/>
      <c r="X972" s="370">
        <f t="shared" si="248"/>
        <v>0</v>
      </c>
    </row>
    <row r="973" spans="1:24" ht="14.25">
      <c r="A973" s="47"/>
      <c r="B973" s="17">
        <f t="shared" si="253"/>
        <v>5</v>
      </c>
      <c r="C973" s="1" t="s">
        <v>27</v>
      </c>
      <c r="D973" s="1" t="s">
        <v>37</v>
      </c>
      <c r="E973" s="17"/>
      <c r="F973" s="118">
        <f>' WP II-I-1.4'!L973</f>
        <v>0</v>
      </c>
      <c r="G973" s="17" t="s">
        <v>805</v>
      </c>
      <c r="H973" s="47" t="s">
        <v>320</v>
      </c>
      <c r="I973" s="17"/>
      <c r="J973" s="434">
        <f>'II-I-DIST'!J973+'II-I-MET'!J973+'II-I-TBILLTDCS'!J973</f>
        <v>0</v>
      </c>
      <c r="K973" s="434">
        <f>'II-I-DIST'!K973+'II-I-MET'!K973+'II-I-TBILLTDCS'!K973</f>
        <v>0</v>
      </c>
      <c r="L973" s="434">
        <f>'II-I-DIST'!L973+'II-I-MET'!L973+'II-I-TBILLTDCS'!L973</f>
        <v>0</v>
      </c>
      <c r="M973" s="434">
        <f>'II-I-DIST'!M973+'II-I-MET'!M973+'II-I-TBILLTDCS'!M973</f>
        <v>0</v>
      </c>
      <c r="N973" s="434">
        <f>'II-I-DIST'!N973+'II-I-MET'!N973+'II-I-TBILLTDCS'!N973</f>
        <v>0</v>
      </c>
      <c r="O973" s="434">
        <f>'II-I-DIST'!O973+'II-I-MET'!O973+'II-I-TBILLTDCS'!O973</f>
        <v>0</v>
      </c>
      <c r="P973" s="434">
        <f>'II-I-DIST'!P973+'II-I-MET'!P973+'II-I-TBILLTDCS'!P973</f>
        <v>0</v>
      </c>
      <c r="Q973" s="434">
        <f>'II-I-DIST'!Q973+'II-I-MET'!Q973+'II-I-TBILLTDCS'!Q973</f>
        <v>0</v>
      </c>
      <c r="R973" s="434">
        <f>'II-I-DIST'!R973+'II-I-MET'!R973+'II-I-TBILLTDCS'!R973</f>
        <v>0</v>
      </c>
      <c r="S973" s="434">
        <f>'II-I-DIST'!S973+'II-I-MET'!S973+'II-I-TBILLTDCS'!S973</f>
        <v>0</v>
      </c>
      <c r="T973" s="17"/>
      <c r="U973" s="118">
        <f>SUM(I973:T973)</f>
        <v>0</v>
      </c>
      <c r="V973" s="67"/>
      <c r="X973" s="370">
        <f t="shared" si="248"/>
        <v>0</v>
      </c>
    </row>
    <row r="974" spans="1:24" ht="14.25">
      <c r="A974" s="47"/>
      <c r="B974" s="17">
        <f t="shared" si="253"/>
        <v>6</v>
      </c>
      <c r="C974" s="1" t="s">
        <v>29</v>
      </c>
      <c r="D974" s="1" t="s">
        <v>34</v>
      </c>
      <c r="E974" s="17"/>
      <c r="F974" s="118">
        <f>' WP II-I-1.4'!L974</f>
        <v>55274281.299999997</v>
      </c>
      <c r="G974" s="17" t="s">
        <v>805</v>
      </c>
      <c r="H974" s="47" t="s">
        <v>320</v>
      </c>
      <c r="I974" s="17"/>
      <c r="J974" s="435">
        <f>'II-I-DIST'!J974+'II-I-MET'!J974+'II-I-TBILLTDCS'!J974</f>
        <v>30781677.638205789</v>
      </c>
      <c r="K974" s="435">
        <f>'II-I-DIST'!K974+'II-I-MET'!K974+'II-I-TBILLTDCS'!K974</f>
        <v>2786174.1054828297</v>
      </c>
      <c r="L974" s="435">
        <f>'II-I-DIST'!L974+'II-I-MET'!L974+'II-I-TBILLTDCS'!L974</f>
        <v>17180350.810695954</v>
      </c>
      <c r="M974" s="435">
        <f>'II-I-DIST'!M974+'II-I-MET'!M974+'II-I-TBILLTDCS'!M974</f>
        <v>101054.33285523712</v>
      </c>
      <c r="N974" s="435">
        <f>'II-I-DIST'!N974+'II-I-MET'!N974+'II-I-TBILLTDCS'!N974</f>
        <v>3601917.2173554054</v>
      </c>
      <c r="O974" s="435">
        <f>'II-I-DIST'!O974+'II-I-MET'!O974+'II-I-TBILLTDCS'!O974</f>
        <v>225113.98164091606</v>
      </c>
      <c r="P974" s="435">
        <f>'II-I-DIST'!P974+'II-I-MET'!P974+'II-I-TBILLTDCS'!P974</f>
        <v>180594.29001106767</v>
      </c>
      <c r="Q974" s="435">
        <f>'II-I-DIST'!Q974+'II-I-MET'!Q974+'II-I-TBILLTDCS'!Q974</f>
        <v>286766.66183407308</v>
      </c>
      <c r="R974" s="435">
        <f>'II-I-DIST'!R974+'II-I-MET'!R974+'II-I-TBILLTDCS'!R974</f>
        <v>26670.918314387665</v>
      </c>
      <c r="S974" s="435">
        <f>'II-I-DIST'!S974+'II-I-MET'!S974+'II-I-TBILLTDCS'!S974</f>
        <v>103961.34360433383</v>
      </c>
      <c r="T974" s="17"/>
      <c r="U974" s="118">
        <f>SUM(I974:T974)</f>
        <v>55274281.300000004</v>
      </c>
      <c r="V974" s="67"/>
      <c r="X974" s="370">
        <f t="shared" si="248"/>
        <v>0</v>
      </c>
    </row>
    <row r="975" spans="1:24" ht="15">
      <c r="A975" s="47"/>
      <c r="B975" s="17">
        <f t="shared" si="253"/>
        <v>7</v>
      </c>
      <c r="C975" s="22"/>
      <c r="D975" s="379" t="s">
        <v>491</v>
      </c>
      <c r="E975" s="22"/>
      <c r="F975" s="22">
        <f>+F972+F973+F974</f>
        <v>55274281.299999997</v>
      </c>
      <c r="G975" s="22"/>
      <c r="H975" s="22"/>
      <c r="I975" s="896"/>
      <c r="J975" s="896">
        <f t="shared" si="254" ref="J975:Q975">+J972+J973+J974</f>
        <v>30781677.638205789</v>
      </c>
      <c r="K975" s="896">
        <f t="shared" si="254"/>
        <v>2786174.1054828297</v>
      </c>
      <c r="L975" s="896">
        <f t="shared" si="254"/>
        <v>17180350.810695954</v>
      </c>
      <c r="M975" s="896">
        <f t="shared" si="254"/>
        <v>101054.33285523712</v>
      </c>
      <c r="N975" s="896">
        <f t="shared" si="254"/>
        <v>3601917.2173554054</v>
      </c>
      <c r="O975" s="896">
        <f>+O972+O973+O974</f>
        <v>225113.98164091606</v>
      </c>
      <c r="P975" s="896">
        <f t="shared" si="254"/>
        <v>180594.29001106767</v>
      </c>
      <c r="Q975" s="896">
        <f t="shared" si="254"/>
        <v>286766.66183407308</v>
      </c>
      <c r="R975" s="896">
        <f>+R972+R973+R974</f>
        <v>26670.918314387665</v>
      </c>
      <c r="S975" s="896">
        <f>+S972+S973+S974</f>
        <v>103961.34360433383</v>
      </c>
      <c r="T975" s="22"/>
      <c r="U975" s="299">
        <f>SUM(I975:T975)</f>
        <v>55274281.300000004</v>
      </c>
      <c r="V975" s="67"/>
      <c r="W975" s="1300" t="b">
        <f>' WP II-I-1.4'!$L$975=U975</f>
        <v>1</v>
      </c>
      <c r="X975" s="370">
        <f t="shared" si="248"/>
        <v>0</v>
      </c>
    </row>
    <row r="976" spans="1:24" ht="14.25">
      <c r="A976" s="47"/>
      <c r="B976" s="17">
        <f t="shared" si="253"/>
        <v>8</v>
      </c>
      <c r="C976" s="1"/>
      <c r="D976" s="1"/>
      <c r="E976" s="17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"/>
      <c r="V976" s="67"/>
      <c r="X976" s="370">
        <f t="shared" si="248"/>
        <v>0</v>
      </c>
    </row>
    <row r="977" spans="1:24" ht="15">
      <c r="A977" s="47"/>
      <c r="B977" s="17">
        <f t="shared" si="253"/>
        <v>9</v>
      </c>
      <c r="C977" s="8" t="s">
        <v>694</v>
      </c>
      <c r="D977" s="8"/>
      <c r="E977" s="20" t="s">
        <v>297</v>
      </c>
      <c r="F977" s="22"/>
      <c r="G977" s="20"/>
      <c r="H977" s="20"/>
      <c r="I977" s="1009"/>
      <c r="J977" s="1059"/>
      <c r="K977" s="1059"/>
      <c r="L977" s="1059"/>
      <c r="M977" s="1059"/>
      <c r="N977" s="1059"/>
      <c r="O977" s="1059"/>
      <c r="P977" s="1059"/>
      <c r="Q977" s="1059"/>
      <c r="R977" s="1059"/>
      <c r="S977" s="1059"/>
      <c r="T977" s="20"/>
      <c r="U977" s="8"/>
      <c r="V977" s="67"/>
      <c r="X977" s="370">
        <f t="shared" si="248"/>
        <v>0</v>
      </c>
    </row>
    <row r="978" spans="1:24" ht="14.25">
      <c r="A978" s="47"/>
      <c r="B978" s="17">
        <f t="shared" si="253"/>
        <v>10</v>
      </c>
      <c r="C978" s="1" t="s">
        <v>41</v>
      </c>
      <c r="D978" s="1" t="s">
        <v>42</v>
      </c>
      <c r="E978" s="17"/>
      <c r="F978" s="118">
        <f>' WP II-I-1.4'!L978</f>
        <v>0</v>
      </c>
      <c r="G978" s="17" t="s">
        <v>805</v>
      </c>
      <c r="H978" s="47" t="s">
        <v>320</v>
      </c>
      <c r="I978" s="17"/>
      <c r="J978" s="434">
        <f>'II-I-DIST'!J978+'II-I-MET'!J978+'II-I-TBILLTDCS'!J978</f>
        <v>0</v>
      </c>
      <c r="K978" s="434">
        <f>'II-I-DIST'!K978+'II-I-MET'!K978+'II-I-TBILLTDCS'!K978</f>
        <v>0</v>
      </c>
      <c r="L978" s="434">
        <f>'II-I-DIST'!L978+'II-I-MET'!L978+'II-I-TBILLTDCS'!L978</f>
        <v>0</v>
      </c>
      <c r="M978" s="434">
        <f>'II-I-DIST'!M978+'II-I-MET'!M978+'II-I-TBILLTDCS'!M978</f>
        <v>0</v>
      </c>
      <c r="N978" s="434">
        <f>'II-I-DIST'!N978+'II-I-MET'!N978+'II-I-TBILLTDCS'!N978</f>
        <v>0</v>
      </c>
      <c r="O978" s="434">
        <f>'II-I-DIST'!O978+'II-I-MET'!O978+'II-I-TBILLTDCS'!O978</f>
        <v>0</v>
      </c>
      <c r="P978" s="434">
        <f>'II-I-DIST'!P978+'II-I-MET'!P978+'II-I-TBILLTDCS'!P978</f>
        <v>0</v>
      </c>
      <c r="Q978" s="434">
        <f>'II-I-DIST'!Q978+'II-I-MET'!Q978+'II-I-TBILLTDCS'!Q978</f>
        <v>0</v>
      </c>
      <c r="R978" s="434">
        <f>'II-I-DIST'!R978+'II-I-MET'!R978+'II-I-TBILLTDCS'!R978</f>
        <v>0</v>
      </c>
      <c r="S978" s="434">
        <f>'II-I-DIST'!S978+'II-I-MET'!S978+'II-I-TBILLTDCS'!S978</f>
        <v>0</v>
      </c>
      <c r="T978" s="17"/>
      <c r="U978" s="118">
        <f t="shared" si="255" ref="U978:U987">SUM(I978:T978)</f>
        <v>0</v>
      </c>
      <c r="V978" s="67"/>
      <c r="X978" s="370">
        <f t="shared" si="248"/>
        <v>0</v>
      </c>
    </row>
    <row r="979" spans="1:24" ht="14.25">
      <c r="A979" s="47"/>
      <c r="B979" s="17">
        <f t="shared" si="253"/>
        <v>11</v>
      </c>
      <c r="C979" s="1" t="s">
        <v>43</v>
      </c>
      <c r="D979" s="1" t="s">
        <v>44</v>
      </c>
      <c r="E979" s="17"/>
      <c r="F979" s="118">
        <f>' WP II-I-1.4'!L979</f>
        <v>0</v>
      </c>
      <c r="G979" s="17" t="s">
        <v>805</v>
      </c>
      <c r="H979" s="47" t="s">
        <v>320</v>
      </c>
      <c r="I979" s="17"/>
      <c r="J979" s="434">
        <f>'II-I-DIST'!J979+'II-I-MET'!J979+'II-I-TBILLTDCS'!J979</f>
        <v>0</v>
      </c>
      <c r="K979" s="434">
        <f>'II-I-DIST'!K979+'II-I-MET'!K979+'II-I-TBILLTDCS'!K979</f>
        <v>0</v>
      </c>
      <c r="L979" s="434">
        <f>'II-I-DIST'!L979+'II-I-MET'!L979+'II-I-TBILLTDCS'!L979</f>
        <v>0</v>
      </c>
      <c r="M979" s="434">
        <f>'II-I-DIST'!M979+'II-I-MET'!M979+'II-I-TBILLTDCS'!M979</f>
        <v>0</v>
      </c>
      <c r="N979" s="434">
        <f>'II-I-DIST'!N979+'II-I-MET'!N979+'II-I-TBILLTDCS'!N979</f>
        <v>0</v>
      </c>
      <c r="O979" s="434">
        <f>'II-I-DIST'!O979+'II-I-MET'!O979+'II-I-TBILLTDCS'!O979</f>
        <v>0</v>
      </c>
      <c r="P979" s="434">
        <f>'II-I-DIST'!P979+'II-I-MET'!P979+'II-I-TBILLTDCS'!P979</f>
        <v>0</v>
      </c>
      <c r="Q979" s="434">
        <f>'II-I-DIST'!Q979+'II-I-MET'!Q979+'II-I-TBILLTDCS'!Q979</f>
        <v>0</v>
      </c>
      <c r="R979" s="434">
        <f>'II-I-DIST'!R979+'II-I-MET'!R979+'II-I-TBILLTDCS'!R979</f>
        <v>0</v>
      </c>
      <c r="S979" s="434">
        <f>'II-I-DIST'!S979+'II-I-MET'!S979+'II-I-TBILLTDCS'!S979</f>
        <v>0</v>
      </c>
      <c r="T979" s="17"/>
      <c r="U979" s="118">
        <f t="shared" si="255"/>
        <v>0</v>
      </c>
      <c r="V979" s="67"/>
      <c r="X979" s="370">
        <f t="shared" si="248"/>
        <v>0</v>
      </c>
    </row>
    <row r="980" spans="1:24" ht="14.25">
      <c r="A980" s="47"/>
      <c r="B980" s="17">
        <f t="shared" si="253"/>
        <v>12</v>
      </c>
      <c r="C980" s="1" t="s">
        <v>45</v>
      </c>
      <c r="D980" s="1" t="s">
        <v>46</v>
      </c>
      <c r="E980" s="17"/>
      <c r="F980" s="118">
        <f>' WP II-I-1.4'!L980</f>
        <v>9346418.3000000007</v>
      </c>
      <c r="G980" s="17" t="s">
        <v>805</v>
      </c>
      <c r="H980" s="47" t="s">
        <v>320</v>
      </c>
      <c r="I980" s="17"/>
      <c r="J980" s="434">
        <f>'II-I-DIST'!J980+'II-I-MET'!J980+'II-I-TBILLTDCS'!J980</f>
        <v>4919234.7687838422</v>
      </c>
      <c r="K980" s="434">
        <f>'II-I-DIST'!K980+'II-I-MET'!K980+'II-I-TBILLTDCS'!K980</f>
        <v>120128.7740628163</v>
      </c>
      <c r="L980" s="434">
        <f>'II-I-DIST'!L980+'II-I-MET'!L980+'II-I-TBILLTDCS'!L980</f>
        <v>3167359.1809363887</v>
      </c>
      <c r="M980" s="434">
        <f>'II-I-DIST'!M980+'II-I-MET'!M980+'II-I-TBILLTDCS'!M980</f>
        <v>1790.638699747818</v>
      </c>
      <c r="N980" s="434">
        <f>'II-I-DIST'!N980+'II-I-MET'!N980+'II-I-TBILLTDCS'!N980</f>
        <v>757888.44824810885</v>
      </c>
      <c r="O980" s="434">
        <f>'II-I-DIST'!O980+'II-I-MET'!O980+'II-I-TBILLTDCS'!O980</f>
        <v>274078.78350110323</v>
      </c>
      <c r="P980" s="434">
        <f>'II-I-DIST'!P980+'II-I-MET'!P980+'II-I-TBILLTDCS'!P980</f>
        <v>0</v>
      </c>
      <c r="Q980" s="434">
        <f>'II-I-DIST'!Q980+'II-I-MET'!Q980+'II-I-TBILLTDCS'!Q980</f>
        <v>31947.36096279561</v>
      </c>
      <c r="R980" s="434">
        <f>'II-I-DIST'!R980+'II-I-MET'!R980+'II-I-TBILLTDCS'!R980</f>
        <v>32850.057628904833</v>
      </c>
      <c r="S980" s="434">
        <f>'II-I-DIST'!S980+'II-I-MET'!S980+'II-I-TBILLTDCS'!S980</f>
        <v>41140.287176292346</v>
      </c>
      <c r="T980" s="17"/>
      <c r="U980" s="118">
        <f t="shared" si="255"/>
        <v>9346418.3000000007</v>
      </c>
      <c r="V980" s="67"/>
      <c r="X980" s="370">
        <f t="shared" si="248"/>
        <v>0</v>
      </c>
    </row>
    <row r="981" spans="1:24" ht="14.25">
      <c r="A981" s="47"/>
      <c r="B981" s="17">
        <f t="shared" si="253"/>
        <v>13</v>
      </c>
      <c r="C981" s="1" t="s">
        <v>47</v>
      </c>
      <c r="D981" s="1" t="s">
        <v>48</v>
      </c>
      <c r="E981" s="17"/>
      <c r="F981" s="118">
        <f>' WP II-I-1.4'!L981</f>
        <v>0</v>
      </c>
      <c r="G981" s="17" t="s">
        <v>805</v>
      </c>
      <c r="H981" s="47" t="s">
        <v>320</v>
      </c>
      <c r="I981" s="17"/>
      <c r="J981" s="434">
        <f>'II-I-DIST'!J981+'II-I-MET'!J981+'II-I-TBILLTDCS'!J981</f>
        <v>0</v>
      </c>
      <c r="K981" s="434">
        <f>'II-I-DIST'!K981+'II-I-MET'!K981+'II-I-TBILLTDCS'!K981</f>
        <v>0</v>
      </c>
      <c r="L981" s="434">
        <f>'II-I-DIST'!L981+'II-I-MET'!L981+'II-I-TBILLTDCS'!L981</f>
        <v>0</v>
      </c>
      <c r="M981" s="434">
        <f>'II-I-DIST'!M981+'II-I-MET'!M981+'II-I-TBILLTDCS'!M981</f>
        <v>0</v>
      </c>
      <c r="N981" s="434">
        <f>'II-I-DIST'!N981+'II-I-MET'!N981+'II-I-TBILLTDCS'!N981</f>
        <v>0</v>
      </c>
      <c r="O981" s="434">
        <f>'II-I-DIST'!O981+'II-I-MET'!O981+'II-I-TBILLTDCS'!O981</f>
        <v>0</v>
      </c>
      <c r="P981" s="434">
        <f>'II-I-DIST'!P981+'II-I-MET'!P981+'II-I-TBILLTDCS'!P981</f>
        <v>0</v>
      </c>
      <c r="Q981" s="434">
        <f>'II-I-DIST'!Q981+'II-I-MET'!Q981+'II-I-TBILLTDCS'!Q981</f>
        <v>0</v>
      </c>
      <c r="R981" s="434">
        <f>'II-I-DIST'!R981+'II-I-MET'!R981+'II-I-TBILLTDCS'!R981</f>
        <v>0</v>
      </c>
      <c r="S981" s="434">
        <f>'II-I-DIST'!S981+'II-I-MET'!S981+'II-I-TBILLTDCS'!S981</f>
        <v>0</v>
      </c>
      <c r="T981" s="17"/>
      <c r="U981" s="118">
        <f t="shared" si="255"/>
        <v>0</v>
      </c>
      <c r="V981" s="67"/>
      <c r="X981" s="370">
        <f t="shared" si="248"/>
        <v>0</v>
      </c>
    </row>
    <row r="982" spans="1:24" ht="14.25">
      <c r="A982" s="47"/>
      <c r="B982" s="17">
        <f t="shared" si="253"/>
        <v>14</v>
      </c>
      <c r="C982" s="1" t="s">
        <v>49</v>
      </c>
      <c r="D982" s="1" t="s">
        <v>50</v>
      </c>
      <c r="E982" s="17"/>
      <c r="F982" s="118">
        <f>' WP II-I-1.4'!L982</f>
        <v>0</v>
      </c>
      <c r="G982" s="17" t="s">
        <v>805</v>
      </c>
      <c r="H982" s="47" t="s">
        <v>320</v>
      </c>
      <c r="I982" s="17"/>
      <c r="J982" s="434">
        <f>'II-I-DIST'!J982+'II-I-MET'!J982+'II-I-TBILLTDCS'!J982</f>
        <v>0</v>
      </c>
      <c r="K982" s="434">
        <f>'II-I-DIST'!K982+'II-I-MET'!K982+'II-I-TBILLTDCS'!K982</f>
        <v>0</v>
      </c>
      <c r="L982" s="434">
        <f>'II-I-DIST'!L982+'II-I-MET'!L982+'II-I-TBILLTDCS'!L982</f>
        <v>0</v>
      </c>
      <c r="M982" s="434">
        <f>'II-I-DIST'!M982+'II-I-MET'!M982+'II-I-TBILLTDCS'!M982</f>
        <v>0</v>
      </c>
      <c r="N982" s="434">
        <f>'II-I-DIST'!N982+'II-I-MET'!N982+'II-I-TBILLTDCS'!N982</f>
        <v>0</v>
      </c>
      <c r="O982" s="434">
        <f>'II-I-DIST'!O982+'II-I-MET'!O982+'II-I-TBILLTDCS'!O982</f>
        <v>0</v>
      </c>
      <c r="P982" s="434">
        <f>'II-I-DIST'!P982+'II-I-MET'!P982+'II-I-TBILLTDCS'!P982</f>
        <v>0</v>
      </c>
      <c r="Q982" s="434">
        <f>'II-I-DIST'!Q982+'II-I-MET'!Q982+'II-I-TBILLTDCS'!Q982</f>
        <v>0</v>
      </c>
      <c r="R982" s="434">
        <f>'II-I-DIST'!R982+'II-I-MET'!R982+'II-I-TBILLTDCS'!R982</f>
        <v>0</v>
      </c>
      <c r="S982" s="434">
        <f>'II-I-DIST'!S982+'II-I-MET'!S982+'II-I-TBILLTDCS'!S982</f>
        <v>0</v>
      </c>
      <c r="T982" s="17"/>
      <c r="U982" s="118">
        <f t="shared" si="255"/>
        <v>0</v>
      </c>
      <c r="V982" s="67"/>
      <c r="X982" s="370">
        <f t="shared" si="248"/>
        <v>0</v>
      </c>
    </row>
    <row r="983" spans="1:24" ht="14.25">
      <c r="A983" s="47"/>
      <c r="B983" s="17">
        <f t="shared" si="253"/>
        <v>15</v>
      </c>
      <c r="C983" s="1" t="s">
        <v>51</v>
      </c>
      <c r="D983" s="1" t="s">
        <v>534</v>
      </c>
      <c r="E983" s="17"/>
      <c r="F983" s="118">
        <f>' WP II-I-1.4'!L983</f>
        <v>0</v>
      </c>
      <c r="G983" s="17" t="s">
        <v>805</v>
      </c>
      <c r="H983" s="47" t="s">
        <v>320</v>
      </c>
      <c r="I983" s="17"/>
      <c r="J983" s="434">
        <f>'II-I-DIST'!J983+'II-I-MET'!J983+'II-I-TBILLTDCS'!J983</f>
        <v>0</v>
      </c>
      <c r="K983" s="434">
        <f>'II-I-DIST'!K983+'II-I-MET'!K983+'II-I-TBILLTDCS'!K983</f>
        <v>0</v>
      </c>
      <c r="L983" s="434">
        <f>'II-I-DIST'!L983+'II-I-MET'!L983+'II-I-TBILLTDCS'!L983</f>
        <v>0</v>
      </c>
      <c r="M983" s="434">
        <f>'II-I-DIST'!M983+'II-I-MET'!M983+'II-I-TBILLTDCS'!M983</f>
        <v>0</v>
      </c>
      <c r="N983" s="434">
        <f>'II-I-DIST'!N983+'II-I-MET'!N983+'II-I-TBILLTDCS'!N983</f>
        <v>0</v>
      </c>
      <c r="O983" s="434">
        <f>'II-I-DIST'!O983+'II-I-MET'!O983+'II-I-TBILLTDCS'!O983</f>
        <v>0</v>
      </c>
      <c r="P983" s="434">
        <f>'II-I-DIST'!P983+'II-I-MET'!P983+'II-I-TBILLTDCS'!P983</f>
        <v>0</v>
      </c>
      <c r="Q983" s="434">
        <f>'II-I-DIST'!Q983+'II-I-MET'!Q983+'II-I-TBILLTDCS'!Q983</f>
        <v>0</v>
      </c>
      <c r="R983" s="434">
        <f>'II-I-DIST'!R983+'II-I-MET'!R983+'II-I-TBILLTDCS'!R983</f>
        <v>0</v>
      </c>
      <c r="S983" s="434">
        <f>'II-I-DIST'!S983+'II-I-MET'!S983+'II-I-TBILLTDCS'!S983</f>
        <v>0</v>
      </c>
      <c r="T983" s="17"/>
      <c r="U983" s="118">
        <f t="shared" si="255"/>
        <v>0</v>
      </c>
      <c r="V983" s="67"/>
      <c r="X983" s="370">
        <f t="shared" si="248"/>
        <v>0</v>
      </c>
    </row>
    <row r="984" spans="1:24" ht="14.25">
      <c r="A984" s="47"/>
      <c r="B984" s="17">
        <f t="shared" si="253"/>
        <v>16</v>
      </c>
      <c r="C984" s="1" t="s">
        <v>53</v>
      </c>
      <c r="D984" s="1" t="s">
        <v>695</v>
      </c>
      <c r="E984" s="17"/>
      <c r="F984" s="118">
        <f>' WP II-I-1.4'!L984</f>
        <v>0</v>
      </c>
      <c r="G984" s="17" t="s">
        <v>805</v>
      </c>
      <c r="H984" s="47" t="s">
        <v>320</v>
      </c>
      <c r="I984" s="17"/>
      <c r="J984" s="434">
        <f>'II-I-DIST'!J984+'II-I-MET'!J984+'II-I-TBILLTDCS'!J984</f>
        <v>0</v>
      </c>
      <c r="K984" s="434">
        <f>'II-I-DIST'!K984+'II-I-MET'!K984+'II-I-TBILLTDCS'!K984</f>
        <v>0</v>
      </c>
      <c r="L984" s="434">
        <f>'II-I-DIST'!L984+'II-I-MET'!L984+'II-I-TBILLTDCS'!L984</f>
        <v>0</v>
      </c>
      <c r="M984" s="434">
        <f>'II-I-DIST'!M984+'II-I-MET'!M984+'II-I-TBILLTDCS'!M984</f>
        <v>0</v>
      </c>
      <c r="N984" s="434">
        <f>'II-I-DIST'!N984+'II-I-MET'!N984+'II-I-TBILLTDCS'!N984</f>
        <v>0</v>
      </c>
      <c r="O984" s="434">
        <f>'II-I-DIST'!O984+'II-I-MET'!O984+'II-I-TBILLTDCS'!O984</f>
        <v>0</v>
      </c>
      <c r="P984" s="434">
        <f>'II-I-DIST'!P984+'II-I-MET'!P984+'II-I-TBILLTDCS'!P984</f>
        <v>0</v>
      </c>
      <c r="Q984" s="434">
        <f>'II-I-DIST'!Q984+'II-I-MET'!Q984+'II-I-TBILLTDCS'!Q984</f>
        <v>0</v>
      </c>
      <c r="R984" s="434">
        <f>'II-I-DIST'!R984+'II-I-MET'!R984+'II-I-TBILLTDCS'!R984</f>
        <v>0</v>
      </c>
      <c r="S984" s="434">
        <f>'II-I-DIST'!S984+'II-I-MET'!S984+'II-I-TBILLTDCS'!S984</f>
        <v>0</v>
      </c>
      <c r="T984" s="17"/>
      <c r="U984" s="118">
        <f t="shared" si="255"/>
        <v>0</v>
      </c>
      <c r="V984" s="67"/>
      <c r="X984" s="370">
        <f t="shared" si="248"/>
        <v>0</v>
      </c>
    </row>
    <row r="985" spans="1:24" ht="14.25">
      <c r="A985" s="47"/>
      <c r="B985" s="17">
        <f t="shared" si="253"/>
        <v>17</v>
      </c>
      <c r="C985" s="1" t="s">
        <v>55</v>
      </c>
      <c r="D985" s="31" t="s">
        <v>535</v>
      </c>
      <c r="E985" s="17"/>
      <c r="F985" s="118">
        <f>' WP II-I-1.4'!L985</f>
        <v>0</v>
      </c>
      <c r="G985" s="17" t="s">
        <v>805</v>
      </c>
      <c r="H985" s="47" t="s">
        <v>320</v>
      </c>
      <c r="I985" s="17"/>
      <c r="J985" s="434">
        <f>'II-I-DIST'!J985+'II-I-MET'!J985+'II-I-TBILLTDCS'!J985</f>
        <v>0</v>
      </c>
      <c r="K985" s="434">
        <f>'II-I-DIST'!K985+'II-I-MET'!K985+'II-I-TBILLTDCS'!K985</f>
        <v>0</v>
      </c>
      <c r="L985" s="434">
        <f>'II-I-DIST'!L985+'II-I-MET'!L985+'II-I-TBILLTDCS'!L985</f>
        <v>0</v>
      </c>
      <c r="M985" s="434">
        <f>'II-I-DIST'!M985+'II-I-MET'!M985+'II-I-TBILLTDCS'!M985</f>
        <v>0</v>
      </c>
      <c r="N985" s="434">
        <f>'II-I-DIST'!N985+'II-I-MET'!N985+'II-I-TBILLTDCS'!N985</f>
        <v>0</v>
      </c>
      <c r="O985" s="434">
        <f>'II-I-DIST'!O985+'II-I-MET'!O985+'II-I-TBILLTDCS'!O985</f>
        <v>0</v>
      </c>
      <c r="P985" s="434">
        <f>'II-I-DIST'!P985+'II-I-MET'!P985+'II-I-TBILLTDCS'!P985</f>
        <v>0</v>
      </c>
      <c r="Q985" s="434">
        <f>'II-I-DIST'!Q985+'II-I-MET'!Q985+'II-I-TBILLTDCS'!Q985</f>
        <v>0</v>
      </c>
      <c r="R985" s="434">
        <f>'II-I-DIST'!R985+'II-I-MET'!R985+'II-I-TBILLTDCS'!R985</f>
        <v>0</v>
      </c>
      <c r="S985" s="434">
        <f>'II-I-DIST'!S985+'II-I-MET'!S985+'II-I-TBILLTDCS'!S985</f>
        <v>0</v>
      </c>
      <c r="T985" s="17"/>
      <c r="U985" s="118">
        <f t="shared" si="255"/>
        <v>0</v>
      </c>
      <c r="V985" s="67"/>
      <c r="X985" s="370">
        <f t="shared" si="248"/>
        <v>0</v>
      </c>
    </row>
    <row r="986" spans="1:24" ht="14.25">
      <c r="A986" s="47"/>
      <c r="B986" s="17">
        <f t="shared" si="253"/>
        <v>18</v>
      </c>
      <c r="C986" s="1" t="s">
        <v>57</v>
      </c>
      <c r="D986" s="1" t="s">
        <v>58</v>
      </c>
      <c r="E986" s="17"/>
      <c r="F986" s="118">
        <f>' WP II-I-1.4'!L986</f>
        <v>0</v>
      </c>
      <c r="G986" s="17" t="s">
        <v>805</v>
      </c>
      <c r="H986" s="47" t="s">
        <v>320</v>
      </c>
      <c r="I986" s="17"/>
      <c r="J986" s="435">
        <f>'II-I-DIST'!J986+'II-I-MET'!J986+'II-I-TBILLTDCS'!J986</f>
        <v>0</v>
      </c>
      <c r="K986" s="435">
        <f>'II-I-DIST'!K986+'II-I-MET'!K986+'II-I-TBILLTDCS'!K986</f>
        <v>0</v>
      </c>
      <c r="L986" s="435">
        <f>'II-I-DIST'!L986+'II-I-MET'!L986+'II-I-TBILLTDCS'!L986</f>
        <v>0</v>
      </c>
      <c r="M986" s="435">
        <f>'II-I-DIST'!M986+'II-I-MET'!M986+'II-I-TBILLTDCS'!M986</f>
        <v>0</v>
      </c>
      <c r="N986" s="435">
        <f>'II-I-DIST'!N986+'II-I-MET'!N986+'II-I-TBILLTDCS'!N986</f>
        <v>0</v>
      </c>
      <c r="O986" s="435">
        <f>'II-I-DIST'!O986+'II-I-MET'!O986+'II-I-TBILLTDCS'!O986</f>
        <v>0</v>
      </c>
      <c r="P986" s="435">
        <f>'II-I-DIST'!P986+'II-I-MET'!P986+'II-I-TBILLTDCS'!P986</f>
        <v>0</v>
      </c>
      <c r="Q986" s="435">
        <f>'II-I-DIST'!Q986+'II-I-MET'!Q986+'II-I-TBILLTDCS'!Q986</f>
        <v>0</v>
      </c>
      <c r="R986" s="435">
        <f>'II-I-DIST'!R986+'II-I-MET'!R986+'II-I-TBILLTDCS'!R986</f>
        <v>0</v>
      </c>
      <c r="S986" s="435">
        <f>'II-I-DIST'!S986+'II-I-MET'!S986+'II-I-TBILLTDCS'!S986</f>
        <v>0</v>
      </c>
      <c r="T986" s="17"/>
      <c r="U986" s="118">
        <f t="shared" si="255"/>
        <v>0</v>
      </c>
      <c r="V986" s="67"/>
      <c r="X986" s="370">
        <f t="shared" si="248"/>
        <v>0</v>
      </c>
    </row>
    <row r="987" spans="1:24" ht="15">
      <c r="A987" s="47"/>
      <c r="B987" s="17">
        <f t="shared" si="253"/>
        <v>19</v>
      </c>
      <c r="C987" s="8"/>
      <c r="D987" s="297" t="s">
        <v>491</v>
      </c>
      <c r="E987" s="20"/>
      <c r="F987" s="22">
        <f>SUM(F978:F986)</f>
        <v>9346418.3000000007</v>
      </c>
      <c r="G987" s="20"/>
      <c r="H987" s="20"/>
      <c r="I987" s="1009"/>
      <c r="J987" s="896">
        <f t="shared" si="256" ref="J987:Q987">SUM(J978:J986)</f>
        <v>4919234.7687838422</v>
      </c>
      <c r="K987" s="896">
        <f t="shared" si="256"/>
        <v>120128.7740628163</v>
      </c>
      <c r="L987" s="896">
        <f t="shared" si="256"/>
        <v>3167359.1809363887</v>
      </c>
      <c r="M987" s="896">
        <f t="shared" si="256"/>
        <v>1790.638699747818</v>
      </c>
      <c r="N987" s="896">
        <f t="shared" si="256"/>
        <v>757888.44824810885</v>
      </c>
      <c r="O987" s="896">
        <f>SUM(O978:O986)</f>
        <v>274078.78350110323</v>
      </c>
      <c r="P987" s="896">
        <f t="shared" si="256"/>
        <v>0</v>
      </c>
      <c r="Q987" s="896">
        <f t="shared" si="256"/>
        <v>31947.36096279561</v>
      </c>
      <c r="R987" s="896">
        <f>SUM(R978:R986)</f>
        <v>32850.057628904833</v>
      </c>
      <c r="S987" s="896">
        <f>SUM(S978:S986)</f>
        <v>41140.287176292346</v>
      </c>
      <c r="T987" s="1009"/>
      <c r="U987" s="299">
        <f t="shared" si="255"/>
        <v>9346418.3000000007</v>
      </c>
      <c r="V987" s="67"/>
      <c r="W987" s="1300" t="b">
        <f>' WP II-I-1.4'!$L$987=U987</f>
        <v>1</v>
      </c>
      <c r="X987" s="370">
        <f t="shared" si="248"/>
        <v>0</v>
      </c>
    </row>
    <row r="988" spans="1:24" ht="14.25">
      <c r="A988" s="47"/>
      <c r="B988" s="17">
        <f t="shared" si="253"/>
        <v>20</v>
      </c>
      <c r="C988" s="1"/>
      <c r="D988" s="1"/>
      <c r="E988" s="17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"/>
      <c r="V988" s="67"/>
      <c r="X988" s="370">
        <f t="shared" si="248"/>
        <v>0</v>
      </c>
    </row>
    <row r="989" spans="1:24" ht="15">
      <c r="A989" s="47"/>
      <c r="B989" s="17">
        <f t="shared" si="253"/>
        <v>21</v>
      </c>
      <c r="C989" s="8" t="s">
        <v>696</v>
      </c>
      <c r="D989" s="8"/>
      <c r="E989" s="20" t="s">
        <v>297</v>
      </c>
      <c r="F989" s="22"/>
      <c r="G989" s="20"/>
      <c r="H989" s="20"/>
      <c r="I989" s="1009"/>
      <c r="J989" s="1059"/>
      <c r="K989" s="1059"/>
      <c r="L989" s="1059"/>
      <c r="M989" s="1059"/>
      <c r="N989" s="1059"/>
      <c r="O989" s="1059"/>
      <c r="P989" s="1059"/>
      <c r="Q989" s="1059"/>
      <c r="R989" s="1059"/>
      <c r="S989" s="1059"/>
      <c r="T989" s="20"/>
      <c r="U989" s="8"/>
      <c r="V989" s="67"/>
      <c r="X989" s="370">
        <f t="shared" si="248"/>
        <v>0</v>
      </c>
    </row>
    <row r="990" spans="1:24" ht="14.25">
      <c r="A990" s="47"/>
      <c r="B990" s="17">
        <f t="shared" si="253"/>
        <v>22</v>
      </c>
      <c r="C990" s="1" t="s">
        <v>61</v>
      </c>
      <c r="D990" s="1" t="s">
        <v>42</v>
      </c>
      <c r="E990" s="17"/>
      <c r="F990" s="118">
        <f>' WP II-I-1.4'!L990</f>
        <v>292756.59000000003</v>
      </c>
      <c r="G990" s="17" t="s">
        <v>805</v>
      </c>
      <c r="H990" s="47" t="s">
        <v>320</v>
      </c>
      <c r="I990" s="17"/>
      <c r="J990" s="434">
        <f>'II-I-DIST'!J990+'II-I-MET'!J990+'II-I-TBILLTDCS'!J990</f>
        <v>159455.23669081964</v>
      </c>
      <c r="K990" s="434">
        <f>'II-I-DIST'!K990+'II-I-MET'!K990+'II-I-TBILLTDCS'!K990</f>
        <v>6569.0179796780985</v>
      </c>
      <c r="L990" s="434">
        <f>'II-I-DIST'!L990+'II-I-MET'!L990+'II-I-TBILLTDCS'!L990</f>
        <v>99198.701322607943</v>
      </c>
      <c r="M990" s="434">
        <f>'II-I-DIST'!M990+'II-I-MET'!M990+'II-I-TBILLTDCS'!M990</f>
        <v>33.680049333802806</v>
      </c>
      <c r="N990" s="434">
        <f>'II-I-DIST'!N990+'II-I-MET'!N990+'II-I-TBILLTDCS'!N990</f>
        <v>14255.092515374785</v>
      </c>
      <c r="O990" s="434">
        <f>'II-I-DIST'!O990+'II-I-MET'!O990+'II-I-TBILLTDCS'!O990</f>
        <v>1132.0376077322662</v>
      </c>
      <c r="P990" s="434">
        <f>'II-I-DIST'!P990+'II-I-MET'!P990+'II-I-TBILLTDCS'!P990</f>
        <v>269.1042671007761</v>
      </c>
      <c r="Q990" s="434">
        <f>'II-I-DIST'!Q990+'II-I-MET'!Q990+'II-I-TBILLTDCS'!Q990</f>
        <v>10934.23181274932</v>
      </c>
      <c r="R990" s="434">
        <f>'II-I-DIST'!R990+'II-I-MET'!R990+'II-I-TBILLTDCS'!R990</f>
        <v>135.68179257458945</v>
      </c>
      <c r="S990" s="434">
        <f>'II-I-DIST'!S990+'II-I-MET'!S990+'II-I-TBILLTDCS'!S990</f>
        <v>773.80596202878951</v>
      </c>
      <c r="T990" s="17"/>
      <c r="U990" s="118">
        <f t="shared" si="257" ref="U990:U1004">SUM(I990:T990)</f>
        <v>292756.58999999997</v>
      </c>
      <c r="V990" s="67"/>
      <c r="X990" s="370">
        <f t="shared" si="248"/>
        <v>0</v>
      </c>
    </row>
    <row r="991" spans="1:24" ht="14.25">
      <c r="A991" s="47"/>
      <c r="B991" s="17">
        <f t="shared" si="253"/>
        <v>23</v>
      </c>
      <c r="C991" s="1" t="s">
        <v>62</v>
      </c>
      <c r="D991" s="31" t="s">
        <v>44</v>
      </c>
      <c r="E991" s="17"/>
      <c r="F991" s="118">
        <f>' WP II-I-1.4'!L991</f>
        <v>2856983.6299999999</v>
      </c>
      <c r="G991" s="17" t="s">
        <v>805</v>
      </c>
      <c r="H991" s="47" t="s">
        <v>320</v>
      </c>
      <c r="I991" s="17"/>
      <c r="J991" s="434">
        <f>'II-I-DIST'!J991+'II-I-MET'!J991+'II-I-TBILLTDCS'!J991</f>
        <v>1556108.4412940014</v>
      </c>
      <c r="K991" s="434">
        <f>'II-I-DIST'!K991+'II-I-MET'!K991+'II-I-TBILLTDCS'!K991</f>
        <v>64106.419715832861</v>
      </c>
      <c r="L991" s="434">
        <f>'II-I-DIST'!L991+'II-I-MET'!L991+'II-I-TBILLTDCS'!L991</f>
        <v>968070.66169185203</v>
      </c>
      <c r="M991" s="434">
        <f>'II-I-DIST'!M991+'II-I-MET'!M991+'II-I-TBILLTDCS'!M991</f>
        <v>328.68038804614787</v>
      </c>
      <c r="N991" s="434">
        <f>'II-I-DIST'!N991+'II-I-MET'!N991+'II-I-TBILLTDCS'!N991</f>
        <v>139114.08778385236</v>
      </c>
      <c r="O991" s="434">
        <f>'II-I-DIST'!O991+'II-I-MET'!O991+'II-I-TBILLTDCS'!O991</f>
        <v>11047.44700652322</v>
      </c>
      <c r="P991" s="434">
        <f>'II-I-DIST'!P991+'II-I-MET'!P991+'II-I-TBILLTDCS'!P991</f>
        <v>2626.1628674868248</v>
      </c>
      <c r="Q991" s="434">
        <f>'II-I-DIST'!Q991+'II-I-MET'!Q991+'II-I-TBILLTDCS'!Q991</f>
        <v>106706.12502915828</v>
      </c>
      <c r="R991" s="434">
        <f>'II-I-DIST'!R991+'II-I-MET'!R991+'II-I-TBILLTDCS'!R991</f>
        <v>1324.105668380198</v>
      </c>
      <c r="S991" s="434">
        <f>'II-I-DIST'!S991+'II-I-MET'!S991+'II-I-TBILLTDCS'!S991</f>
        <v>7551.498554866529</v>
      </c>
      <c r="T991" s="17"/>
      <c r="U991" s="118">
        <f t="shared" si="257"/>
        <v>2856983.6299999999</v>
      </c>
      <c r="V991" s="67"/>
      <c r="X991" s="370">
        <f t="shared" si="248"/>
        <v>0</v>
      </c>
    </row>
    <row r="992" spans="1:24" ht="14.25">
      <c r="A992" s="47"/>
      <c r="B992" s="17">
        <f t="shared" si="253"/>
        <v>24</v>
      </c>
      <c r="C992" s="1" t="s">
        <v>63</v>
      </c>
      <c r="D992" s="1" t="s">
        <v>46</v>
      </c>
      <c r="E992" s="17"/>
      <c r="F992" s="118">
        <f>' WP II-I-1.4'!L992</f>
        <v>36683880.890000001</v>
      </c>
      <c r="G992" s="17" t="s">
        <v>805</v>
      </c>
      <c r="H992" s="47" t="s">
        <v>320</v>
      </c>
      <c r="I992" s="17"/>
      <c r="J992" s="434">
        <f>'II-I-DIST'!J992+'II-I-MET'!J992+'II-I-TBILLTDCS'!J992</f>
        <v>19307569.652431797</v>
      </c>
      <c r="K992" s="434">
        <f>'II-I-DIST'!K992+'II-I-MET'!K992+'II-I-TBILLTDCS'!K992</f>
        <v>471495.01528110227</v>
      </c>
      <c r="L992" s="434">
        <f>'II-I-DIST'!L992+'II-I-MET'!L992+'II-I-TBILLTDCS'!L992</f>
        <v>12431609.970775485</v>
      </c>
      <c r="M992" s="434">
        <f>'II-I-DIST'!M992+'II-I-MET'!M992+'II-I-TBILLTDCS'!M992</f>
        <v>7028.1015326024344</v>
      </c>
      <c r="N992" s="434">
        <f>'II-I-DIST'!N992+'II-I-MET'!N992+'II-I-TBILLTDCS'!N992</f>
        <v>2974646.4015462007</v>
      </c>
      <c r="O992" s="434">
        <f>'II-I-DIST'!O992+'II-I-MET'!O992+'II-I-TBILLTDCS'!O992</f>
        <v>1075735.4449276649</v>
      </c>
      <c r="P992" s="434">
        <f>'II-I-DIST'!P992+'II-I-MET'!P992+'II-I-TBILLTDCS'!P992</f>
        <v>0</v>
      </c>
      <c r="Q992" s="434">
        <f>'II-I-DIST'!Q992+'II-I-MET'!Q992+'II-I-TBILLTDCS'!Q992</f>
        <v>125390.6198815251</v>
      </c>
      <c r="R992" s="434">
        <f>'II-I-DIST'!R992+'II-I-MET'!R992+'II-I-TBILLTDCS'!R992</f>
        <v>128933.6259739606</v>
      </c>
      <c r="S992" s="434">
        <f>'II-I-DIST'!S992+'II-I-MET'!S992+'II-I-TBILLTDCS'!S992</f>
        <v>161472.05764966706</v>
      </c>
      <c r="T992" s="17"/>
      <c r="U992" s="118">
        <f t="shared" si="257"/>
        <v>36683880.890000001</v>
      </c>
      <c r="V992" s="67"/>
      <c r="X992" s="370">
        <f t="shared" si="248"/>
        <v>0</v>
      </c>
    </row>
    <row r="993" spans="1:24" ht="14.25">
      <c r="A993" s="47"/>
      <c r="B993" s="17">
        <f t="shared" si="253"/>
        <v>25</v>
      </c>
      <c r="C993" s="1" t="s">
        <v>64</v>
      </c>
      <c r="D993" s="1" t="s">
        <v>65</v>
      </c>
      <c r="E993" s="17"/>
      <c r="F993" s="290">
        <f>' WP II-I-1.4'!L993</f>
        <v>0</v>
      </c>
      <c r="G993" s="17" t="s">
        <v>805</v>
      </c>
      <c r="H993" s="47" t="s">
        <v>320</v>
      </c>
      <c r="I993" s="17"/>
      <c r="J993" s="434">
        <f>'II-I-DIST'!J993+'II-I-MET'!J993+'II-I-TBILLTDCS'!J993</f>
        <v>0</v>
      </c>
      <c r="K993" s="434">
        <f>'II-I-DIST'!K993+'II-I-MET'!K993+'II-I-TBILLTDCS'!K993</f>
        <v>0</v>
      </c>
      <c r="L993" s="434">
        <f>'II-I-DIST'!L993+'II-I-MET'!L993+'II-I-TBILLTDCS'!L993</f>
        <v>0</v>
      </c>
      <c r="M993" s="434">
        <f>'II-I-DIST'!M993+'II-I-MET'!M993+'II-I-TBILLTDCS'!M993</f>
        <v>0</v>
      </c>
      <c r="N993" s="434">
        <f>'II-I-DIST'!N993+'II-I-MET'!N993+'II-I-TBILLTDCS'!N993</f>
        <v>0</v>
      </c>
      <c r="O993" s="434">
        <f>'II-I-DIST'!O993+'II-I-MET'!O993+'II-I-TBILLTDCS'!O993</f>
        <v>0</v>
      </c>
      <c r="P993" s="434">
        <f>'II-I-DIST'!P993+'II-I-MET'!P993+'II-I-TBILLTDCS'!P993</f>
        <v>0</v>
      </c>
      <c r="Q993" s="434">
        <f>'II-I-DIST'!Q993+'II-I-MET'!Q993+'II-I-TBILLTDCS'!Q993</f>
        <v>0</v>
      </c>
      <c r="R993" s="434">
        <f>'II-I-DIST'!R993+'II-I-MET'!R993+'II-I-TBILLTDCS'!R993</f>
        <v>0</v>
      </c>
      <c r="S993" s="434">
        <f>'II-I-DIST'!S993+'II-I-MET'!S993+'II-I-TBILLTDCS'!S993</f>
        <v>0</v>
      </c>
      <c r="T993" s="17"/>
      <c r="U993" s="118">
        <f t="shared" si="257"/>
        <v>0</v>
      </c>
      <c r="V993" s="67"/>
      <c r="X993" s="370">
        <f t="shared" si="248"/>
        <v>0</v>
      </c>
    </row>
    <row r="994" spans="1:24" ht="14.25">
      <c r="A994" s="47"/>
      <c r="B994" s="17">
        <f t="shared" si="253"/>
        <v>26</v>
      </c>
      <c r="C994" s="1" t="s">
        <v>66</v>
      </c>
      <c r="D994" s="31" t="s">
        <v>697</v>
      </c>
      <c r="E994" s="17"/>
      <c r="F994" s="118">
        <f>' WP II-I-1.4'!L994</f>
        <v>95063645.810000002</v>
      </c>
      <c r="G994" s="17" t="s">
        <v>805</v>
      </c>
      <c r="H994" s="47" t="s">
        <v>320</v>
      </c>
      <c r="I994" s="17"/>
      <c r="J994" s="434">
        <f>'II-I-DIST'!J994+'II-I-MET'!J994+'II-I-TBILLTDCS'!J994</f>
        <v>52589637.706627004</v>
      </c>
      <c r="K994" s="434">
        <f>'II-I-DIST'!K994+'II-I-MET'!K994+'II-I-TBILLTDCS'!K994</f>
        <v>1284250.295634215</v>
      </c>
      <c r="L994" s="434">
        <f>'II-I-DIST'!L994+'II-I-MET'!L994+'II-I-TBILLTDCS'!L994</f>
        <v>33861012.869158894</v>
      </c>
      <c r="M994" s="434">
        <f>'II-I-DIST'!M994+'II-I-MET'!M994+'II-I-TBILLTDCS'!M994</f>
        <v>15623.454603135544</v>
      </c>
      <c r="N994" s="434">
        <f>'II-I-DIST'!N994+'II-I-MET'!N994+'II-I-TBILLTDCS'!N994</f>
        <v>6612632.557931846</v>
      </c>
      <c r="O994" s="434">
        <f>'II-I-DIST'!O994+'II-I-MET'!O994+'II-I-TBILLTDCS'!O994</f>
        <v>0</v>
      </c>
      <c r="P994" s="434">
        <f>'II-I-DIST'!P994+'II-I-MET'!P994+'II-I-TBILLTDCS'!P994</f>
        <v>0</v>
      </c>
      <c r="Q994" s="434">
        <f>'II-I-DIST'!Q994+'II-I-MET'!Q994+'II-I-TBILLTDCS'!Q994</f>
        <v>341536.88890347927</v>
      </c>
      <c r="R994" s="434">
        <f>'II-I-DIST'!R994+'II-I-MET'!R994+'II-I-TBILLTDCS'!R994</f>
        <v>0</v>
      </c>
      <c r="S994" s="434">
        <f>'II-I-DIST'!S994+'II-I-MET'!S994+'II-I-TBILLTDCS'!S994</f>
        <v>358952.03714143112</v>
      </c>
      <c r="T994" s="17"/>
      <c r="U994" s="118">
        <f t="shared" si="257"/>
        <v>95063645.810000002</v>
      </c>
      <c r="V994" s="67"/>
      <c r="X994" s="370">
        <f t="shared" si="248"/>
        <v>0</v>
      </c>
    </row>
    <row r="995" spans="1:24" ht="14.25">
      <c r="A995" s="47"/>
      <c r="B995" s="17">
        <f t="shared" si="253"/>
        <v>27</v>
      </c>
      <c r="C995" s="1" t="s">
        <v>68</v>
      </c>
      <c r="D995" s="1" t="s">
        <v>534</v>
      </c>
      <c r="E995" s="17"/>
      <c r="F995" s="118">
        <f>' WP II-I-1.4'!L995</f>
        <v>53354376.829999998</v>
      </c>
      <c r="G995" s="17" t="s">
        <v>805</v>
      </c>
      <c r="H995" s="47" t="s">
        <v>320</v>
      </c>
      <c r="I995" s="17"/>
      <c r="J995" s="434">
        <f>'II-I-DIST'!J995+'II-I-MET'!J995+'II-I-TBILLTDCS'!J995</f>
        <v>29460011.098601393</v>
      </c>
      <c r="K995" s="434">
        <f>'II-I-DIST'!K995+'II-I-MET'!K995+'II-I-TBILLTDCS'!K995</f>
        <v>719419.82513407781</v>
      </c>
      <c r="L995" s="434">
        <f>'II-I-DIST'!L995+'II-I-MET'!L995+'II-I-TBILLTDCS'!L995</f>
        <v>18968486.158816062</v>
      </c>
      <c r="M995" s="434">
        <f>'II-I-DIST'!M995+'II-I-MET'!M995+'II-I-TBILLTDCS'!M995</f>
        <v>8977.8756381869734</v>
      </c>
      <c r="N995" s="434">
        <f>'II-I-DIST'!N995+'II-I-MET'!N995+'II-I-TBILLTDCS'!N995</f>
        <v>3799888.9652883564</v>
      </c>
      <c r="O995" s="434">
        <f>'II-I-DIST'!O995+'II-I-MET'!O995+'II-I-TBILLTDCS'!O995</f>
        <v>0</v>
      </c>
      <c r="P995" s="434">
        <f>'II-I-DIST'!P995+'II-I-MET'!P995+'II-I-TBILLTDCS'!P995</f>
        <v>0</v>
      </c>
      <c r="Q995" s="434">
        <f>'II-I-DIST'!Q995+'II-I-MET'!Q995+'II-I-TBILLTDCS'!Q995</f>
        <v>191324.39348237574</v>
      </c>
      <c r="R995" s="434">
        <f>'II-I-DIST'!R995+'II-I-MET'!R995+'II-I-TBILLTDCS'!R995</f>
        <v>0</v>
      </c>
      <c r="S995" s="434">
        <f>'II-I-DIST'!S995+'II-I-MET'!S995+'II-I-TBILLTDCS'!S995</f>
        <v>206268.51303954737</v>
      </c>
      <c r="T995" s="17"/>
      <c r="U995" s="118">
        <f t="shared" si="257"/>
        <v>53354376.829999991</v>
      </c>
      <c r="V995" s="67"/>
      <c r="X995" s="370">
        <f t="shared" si="248"/>
        <v>0</v>
      </c>
    </row>
    <row r="996" spans="1:24" ht="14.25">
      <c r="A996" s="47"/>
      <c r="B996" s="17">
        <f t="shared" si="253"/>
        <v>28</v>
      </c>
      <c r="C996" s="1" t="s">
        <v>70</v>
      </c>
      <c r="D996" s="1" t="s">
        <v>698</v>
      </c>
      <c r="E996" s="17"/>
      <c r="F996" s="118">
        <f>' WP II-I-1.4'!L996</f>
        <v>23578853.789999999</v>
      </c>
      <c r="G996" s="17" t="s">
        <v>805</v>
      </c>
      <c r="H996" s="47" t="s">
        <v>320</v>
      </c>
      <c r="I996" s="17"/>
      <c r="J996" s="434">
        <f>'II-I-DIST'!J996+'II-I-MET'!J996+'II-I-TBILLTDCS'!J996</f>
        <v>13321473.04602932</v>
      </c>
      <c r="K996" s="434">
        <f>'II-I-DIST'!K996+'II-I-MET'!K996+'II-I-TBILLTDCS'!K996</f>
        <v>325313.24503668398</v>
      </c>
      <c r="L996" s="434">
        <f>'II-I-DIST'!L996+'II-I-MET'!L996+'II-I-TBILLTDCS'!L996</f>
        <v>8577327.9664733298</v>
      </c>
      <c r="M996" s="434">
        <f>'II-I-DIST'!M996+'II-I-MET'!M996+'II-I-TBILLTDCS'!M996</f>
        <v>2835.7612410979982</v>
      </c>
      <c r="N996" s="434">
        <f>'II-I-DIST'!N996+'II-I-MET'!N996+'II-I-TBILLTDCS'!N996</f>
        <v>1200236.9249143174</v>
      </c>
      <c r="O996" s="434">
        <f>'II-I-DIST'!O996+'II-I-MET'!O996+'II-I-TBILLTDCS'!O996</f>
        <v>0</v>
      </c>
      <c r="P996" s="434">
        <f>'II-I-DIST'!P996+'II-I-MET'!P996+'II-I-TBILLTDCS'!P996</f>
        <v>0</v>
      </c>
      <c r="Q996" s="434">
        <f>'II-I-DIST'!Q996+'II-I-MET'!Q996+'II-I-TBILLTDCS'!Q996</f>
        <v>86514.656844252706</v>
      </c>
      <c r="R996" s="434">
        <f>'II-I-DIST'!R996+'II-I-MET'!R996+'II-I-TBILLTDCS'!R996</f>
        <v>0</v>
      </c>
      <c r="S996" s="434">
        <f>'II-I-DIST'!S996+'II-I-MET'!S996+'II-I-TBILLTDCS'!S996</f>
        <v>65152.189461001275</v>
      </c>
      <c r="T996" s="17"/>
      <c r="U996" s="118">
        <f t="shared" si="257"/>
        <v>23578853.789999999</v>
      </c>
      <c r="V996" s="67"/>
      <c r="X996" s="370">
        <f t="shared" si="248"/>
        <v>0</v>
      </c>
    </row>
    <row r="997" spans="1:24" ht="14.25">
      <c r="A997" s="47"/>
      <c r="B997" s="17">
        <f t="shared" si="253"/>
        <v>29</v>
      </c>
      <c r="C997" s="1" t="s">
        <v>72</v>
      </c>
      <c r="D997" s="31" t="s">
        <v>699</v>
      </c>
      <c r="E997" s="17"/>
      <c r="F997" s="118">
        <f>' WP II-I-1.4'!L997</f>
        <v>56736034.090000004</v>
      </c>
      <c r="G997" s="17" t="s">
        <v>805</v>
      </c>
      <c r="H997" s="47" t="s">
        <v>320</v>
      </c>
      <c r="I997" s="17"/>
      <c r="J997" s="434">
        <f>'II-I-DIST'!J997+'II-I-MET'!J997+'II-I-TBILLTDCS'!J997</f>
        <v>31441768.295826636</v>
      </c>
      <c r="K997" s="434">
        <f>'II-I-DIST'!K997+'II-I-MET'!K997+'II-I-TBILLTDCS'!K997</f>
        <v>767814.76332721591</v>
      </c>
      <c r="L997" s="434">
        <f>'II-I-DIST'!L997+'II-I-MET'!L997+'II-I-TBILLTDCS'!L997</f>
        <v>20244484.794386353</v>
      </c>
      <c r="M997" s="434">
        <f>'II-I-DIST'!M997+'II-I-MET'!M997+'II-I-TBILLTDCS'!M997</f>
        <v>9117.9307235570232</v>
      </c>
      <c r="N997" s="434">
        <f>'II-I-DIST'!N997+'II-I-MET'!N997+'II-I-TBILLTDCS'!N997</f>
        <v>3859167.328553549</v>
      </c>
      <c r="O997" s="434">
        <f>'II-I-DIST'!O997+'II-I-MET'!O997+'II-I-TBILLTDCS'!O997</f>
        <v>0</v>
      </c>
      <c r="P997" s="434">
        <f>'II-I-DIST'!P997+'II-I-MET'!P997+'II-I-TBILLTDCS'!P997</f>
        <v>0</v>
      </c>
      <c r="Q997" s="434">
        <f>'II-I-DIST'!Q997+'II-I-MET'!Q997+'II-I-TBILLTDCS'!Q997</f>
        <v>204194.6701608001</v>
      </c>
      <c r="R997" s="434">
        <f>'II-I-DIST'!R997+'II-I-MET'!R997+'II-I-TBILLTDCS'!R997</f>
        <v>0</v>
      </c>
      <c r="S997" s="434">
        <f>'II-I-DIST'!S997+'II-I-MET'!S997+'II-I-TBILLTDCS'!S997</f>
        <v>209486.30702190433</v>
      </c>
      <c r="T997" s="17"/>
      <c r="U997" s="118">
        <f t="shared" si="257"/>
        <v>56736034.090000011</v>
      </c>
      <c r="V997" s="67"/>
      <c r="X997" s="370">
        <f t="shared" si="248"/>
        <v>0</v>
      </c>
    </row>
    <row r="998" spans="1:24" ht="14.25">
      <c r="A998" s="47"/>
      <c r="B998" s="17">
        <f t="shared" si="253"/>
        <v>30</v>
      </c>
      <c r="C998" s="1" t="s">
        <v>74</v>
      </c>
      <c r="D998" s="1" t="s">
        <v>700</v>
      </c>
      <c r="E998" s="17"/>
      <c r="F998" s="118">
        <f>' WP II-I-1.4'!L998</f>
        <v>56703640.140000001</v>
      </c>
      <c r="G998" s="17" t="s">
        <v>805</v>
      </c>
      <c r="H998" s="47" t="s">
        <v>320</v>
      </c>
      <c r="I998" s="17"/>
      <c r="J998" s="434">
        <f>'II-I-DIST'!J998+'II-I-MET'!J998+'II-I-TBILLTDCS'!J998</f>
        <v>33280800.977980357</v>
      </c>
      <c r="K998" s="434">
        <f>'II-I-DIST'!K998+'II-I-MET'!K998+'II-I-TBILLTDCS'!K998</f>
        <v>812724.33807865565</v>
      </c>
      <c r="L998" s="434">
        <f>'II-I-DIST'!L998+'II-I-MET'!L998+'II-I-TBILLTDCS'!L998</f>
        <v>21428587.063061308</v>
      </c>
      <c r="M998" s="434">
        <f>'II-I-DIST'!M998+'II-I-MET'!M998+'II-I-TBILLTDCS'!M998</f>
        <v>1257.2939254791374</v>
      </c>
      <c r="N998" s="434">
        <f>'II-I-DIST'!N998+'II-I-MET'!N998+'II-I-TBILLTDCS'!N998</f>
        <v>532150.08829383366</v>
      </c>
      <c r="O998" s="434">
        <f>'II-I-DIST'!O998+'II-I-MET'!O998+'II-I-TBILLTDCS'!O998</f>
        <v>91351.855760945124</v>
      </c>
      <c r="P998" s="434">
        <f>'II-I-DIST'!P998+'II-I-MET'!P998+'II-I-TBILLTDCS'!P998</f>
        <v>300794.8082212201</v>
      </c>
      <c r="Q998" s="434">
        <f>'II-I-DIST'!Q998+'II-I-MET'!Q998+'II-I-TBILLTDCS'!Q998</f>
        <v>216138.04015240309</v>
      </c>
      <c r="R998" s="434">
        <f>'II-I-DIST'!R998+'II-I-MET'!R998+'II-I-TBILLTDCS'!R998</f>
        <v>10949.091673279299</v>
      </c>
      <c r="S998" s="434">
        <f>'II-I-DIST'!S998+'II-I-MET'!S998+'II-I-TBILLTDCS'!S998</f>
        <v>28886.582852534291</v>
      </c>
      <c r="T998" s="17"/>
      <c r="U998" s="118">
        <f t="shared" si="257"/>
        <v>56703640.140000015</v>
      </c>
      <c r="V998" s="67"/>
      <c r="X998" s="370">
        <f t="shared" si="258" ref="X998:X1061">U998-F998</f>
        <v>0</v>
      </c>
    </row>
    <row r="999" spans="1:24" ht="14.25">
      <c r="A999" s="47"/>
      <c r="B999" s="17">
        <f t="shared" si="253"/>
        <v>31</v>
      </c>
      <c r="C999" s="1" t="s">
        <v>76</v>
      </c>
      <c r="D999" s="31" t="s">
        <v>77</v>
      </c>
      <c r="E999" s="17"/>
      <c r="F999" s="118">
        <f>' WP II-I-1.4'!L999</f>
        <v>50246720.280000001</v>
      </c>
      <c r="G999" s="17" t="s">
        <v>805</v>
      </c>
      <c r="H999" s="47" t="s">
        <v>320</v>
      </c>
      <c r="I999" s="17"/>
      <c r="J999" s="434">
        <f>'II-I-DIST'!J999+'II-I-MET'!J999+'II-I-TBILLTDCS'!J999</f>
        <v>30812468.515200272</v>
      </c>
      <c r="K999" s="434">
        <f>'II-I-DIST'!K999+'II-I-MET'!K999+'II-I-TBILLTDCS'!K999</f>
        <v>4750489.1371051185</v>
      </c>
      <c r="L999" s="434">
        <f>'II-I-DIST'!L999+'II-I-MET'!L999+'II-I-TBILLTDCS'!L999</f>
        <v>14653048.078257429</v>
      </c>
      <c r="M999" s="434">
        <f>'II-I-DIST'!M999+'II-I-MET'!M999+'II-I-TBILLTDCS'!M999</f>
        <v>0</v>
      </c>
      <c r="N999" s="434">
        <f>'II-I-DIST'!N999+'II-I-MET'!N999+'II-I-TBILLTDCS'!N999</f>
        <v>0</v>
      </c>
      <c r="O999" s="434">
        <f>'II-I-DIST'!O999+'II-I-MET'!O999+'II-I-TBILLTDCS'!O999</f>
        <v>0</v>
      </c>
      <c r="P999" s="434">
        <f>'II-I-DIST'!P999+'II-I-MET'!P999+'II-I-TBILLTDCS'!P999</f>
        <v>0</v>
      </c>
      <c r="Q999" s="434">
        <f>'II-I-DIST'!Q999+'II-I-MET'!Q999+'II-I-TBILLTDCS'!Q999</f>
        <v>30714.549437184814</v>
      </c>
      <c r="R999" s="434">
        <f>'II-I-DIST'!R999+'II-I-MET'!R999+'II-I-TBILLTDCS'!R999</f>
        <v>0</v>
      </c>
      <c r="S999" s="434">
        <f>'II-I-DIST'!S999+'II-I-MET'!S999+'II-I-TBILLTDCS'!S999</f>
        <v>0</v>
      </c>
      <c r="T999" s="17"/>
      <c r="U999" s="118">
        <f t="shared" si="257"/>
        <v>50246720.280000009</v>
      </c>
      <c r="V999" s="67"/>
      <c r="X999" s="370">
        <f t="shared" si="258"/>
        <v>0</v>
      </c>
    </row>
    <row r="1000" spans="1:24" ht="14.25">
      <c r="A1000" s="47"/>
      <c r="B1000" s="17">
        <f t="shared" si="253"/>
        <v>32</v>
      </c>
      <c r="C1000" s="1" t="s">
        <v>78</v>
      </c>
      <c r="D1000" s="1" t="s">
        <v>79</v>
      </c>
      <c r="E1000" s="17"/>
      <c r="F1000" s="118">
        <f>' WP II-I-1.4'!L1000</f>
        <v>17195294.84</v>
      </c>
      <c r="G1000" s="17" t="s">
        <v>805</v>
      </c>
      <c r="H1000" s="47" t="s">
        <v>320</v>
      </c>
      <c r="I1000" s="17"/>
      <c r="J1000" s="434">
        <f>'II-I-DIST'!J1000+'II-I-MET'!J1000+'II-I-TBILLTDCS'!J1000</f>
        <v>9586459.6640817784</v>
      </c>
      <c r="K1000" s="434">
        <f>'II-I-DIST'!K1000+'II-I-MET'!K1000+'II-I-TBILLTDCS'!K1000</f>
        <v>1477985.2018364284</v>
      </c>
      <c r="L1000" s="434">
        <f>'II-I-DIST'!L1000+'II-I-MET'!L1000+'II-I-TBILLTDCS'!L1000</f>
        <v>4558896.4833755326</v>
      </c>
      <c r="M1000" s="434">
        <f>'II-I-DIST'!M1000+'II-I-MET'!M1000+'II-I-TBILLTDCS'!M1000</f>
        <v>64013.828623707013</v>
      </c>
      <c r="N1000" s="434">
        <f>'II-I-DIST'!N1000+'II-I-MET'!N1000+'II-I-TBILLTDCS'!N1000</f>
        <v>1335796.1630316295</v>
      </c>
      <c r="O1000" s="434">
        <f>'II-I-DIST'!O1000+'II-I-MET'!O1000+'II-I-TBILLTDCS'!O1000</f>
        <v>45648.170212390854</v>
      </c>
      <c r="P1000" s="434">
        <f>'II-I-DIST'!P1000+'II-I-MET'!P1000+'II-I-TBILLTDCS'!P1000</f>
        <v>99372.555154666232</v>
      </c>
      <c r="Q1000" s="434">
        <f>'II-I-DIST'!Q1000+'II-I-MET'!Q1000+'II-I-TBILLTDCS'!Q1000</f>
        <v>9555.9948121249745</v>
      </c>
      <c r="R1000" s="434">
        <f>'II-I-DIST'!R1000+'II-I-MET'!R1000+'II-I-TBILLTDCS'!R1000</f>
        <v>5267.096562968175</v>
      </c>
      <c r="S1000" s="434">
        <f>'II-I-DIST'!S1000+'II-I-MET'!S1000+'II-I-TBILLTDCS'!S1000</f>
        <v>12299.682308775218</v>
      </c>
      <c r="T1000" s="17"/>
      <c r="U1000" s="118">
        <f t="shared" si="257"/>
        <v>17195294.839999996</v>
      </c>
      <c r="V1000" s="67"/>
      <c r="X1000" s="370">
        <f t="shared" si="258"/>
        <v>0</v>
      </c>
    </row>
    <row r="1001" spans="1:24" ht="14.25">
      <c r="A1001" s="47"/>
      <c r="B1001" s="17">
        <f t="shared" si="253"/>
        <v>33</v>
      </c>
      <c r="C1001" s="1" t="s">
        <v>80</v>
      </c>
      <c r="D1001" s="1" t="s">
        <v>543</v>
      </c>
      <c r="E1001" s="17"/>
      <c r="F1001" s="118">
        <f>' WP II-I-1.4'!L1001</f>
        <v>2390143.4199999999</v>
      </c>
      <c r="G1001" s="17" t="s">
        <v>805</v>
      </c>
      <c r="H1001" s="47" t="s">
        <v>320</v>
      </c>
      <c r="I1001" s="17"/>
      <c r="J1001" s="434">
        <f>'II-I-DIST'!J1001+'II-I-MET'!J1001+'II-I-TBILLTDCS'!J1001</f>
        <v>0</v>
      </c>
      <c r="K1001" s="434">
        <f>'II-I-DIST'!K1001+'II-I-MET'!K1001+'II-I-TBILLTDCS'!K1001</f>
        <v>0</v>
      </c>
      <c r="L1001" s="434">
        <f>'II-I-DIST'!L1001+'II-I-MET'!L1001+'II-I-TBILLTDCS'!L1001</f>
        <v>0</v>
      </c>
      <c r="M1001" s="434">
        <f>'II-I-DIST'!M1001+'II-I-MET'!M1001+'II-I-TBILLTDCS'!M1001</f>
        <v>0</v>
      </c>
      <c r="N1001" s="434">
        <f>'II-I-DIST'!N1001+'II-I-MET'!N1001+'II-I-TBILLTDCS'!N1001</f>
        <v>0</v>
      </c>
      <c r="O1001" s="434">
        <f>'II-I-DIST'!O1001+'II-I-MET'!O1001+'II-I-TBILLTDCS'!O1001</f>
        <v>0</v>
      </c>
      <c r="P1001" s="434">
        <f>'II-I-DIST'!P1001+'II-I-MET'!P1001+'II-I-TBILLTDCS'!P1001</f>
        <v>0</v>
      </c>
      <c r="Q1001" s="434">
        <f>'II-I-DIST'!Q1001+'II-I-MET'!Q1001+'II-I-TBILLTDCS'!Q1001</f>
        <v>2390143.4199999999</v>
      </c>
      <c r="R1001" s="434">
        <f>'II-I-DIST'!R1001+'II-I-MET'!R1001+'II-I-TBILLTDCS'!R1001</f>
        <v>0</v>
      </c>
      <c r="S1001" s="434">
        <f>'II-I-DIST'!S1001+'II-I-MET'!S1001+'II-I-TBILLTDCS'!S1001</f>
        <v>0</v>
      </c>
      <c r="T1001" s="17"/>
      <c r="U1001" s="118">
        <f t="shared" si="257"/>
        <v>2390143.4199999999</v>
      </c>
      <c r="V1001" s="67"/>
      <c r="X1001" s="370">
        <f t="shared" si="258"/>
        <v>0</v>
      </c>
    </row>
    <row r="1002" spans="1:24" ht="14.25">
      <c r="A1002" s="47"/>
      <c r="B1002" s="17">
        <f t="shared" si="253"/>
        <v>34</v>
      </c>
      <c r="C1002" s="1" t="s">
        <v>82</v>
      </c>
      <c r="D1002" s="1" t="s">
        <v>544</v>
      </c>
      <c r="E1002" s="17"/>
      <c r="F1002" s="118">
        <f>' WP II-I-1.4'!L1002</f>
        <v>0</v>
      </c>
      <c r="G1002" s="17" t="s">
        <v>805</v>
      </c>
      <c r="H1002" s="47" t="s">
        <v>320</v>
      </c>
      <c r="I1002" s="17"/>
      <c r="J1002" s="434">
        <f>'II-I-DIST'!J1002+'II-I-MET'!J1002+'II-I-TBILLTDCS'!J1002</f>
        <v>0</v>
      </c>
      <c r="K1002" s="434">
        <f>'II-I-DIST'!K1002+'II-I-MET'!K1002+'II-I-TBILLTDCS'!K1002</f>
        <v>0</v>
      </c>
      <c r="L1002" s="434">
        <f>'II-I-DIST'!L1002+'II-I-MET'!L1002+'II-I-TBILLTDCS'!L1002</f>
        <v>0</v>
      </c>
      <c r="M1002" s="434">
        <f>'II-I-DIST'!M1002+'II-I-MET'!M1002+'II-I-TBILLTDCS'!M1002</f>
        <v>0</v>
      </c>
      <c r="N1002" s="434">
        <f>'II-I-DIST'!N1002+'II-I-MET'!N1002+'II-I-TBILLTDCS'!N1002</f>
        <v>0</v>
      </c>
      <c r="O1002" s="434">
        <f>'II-I-DIST'!O1002+'II-I-MET'!O1002+'II-I-TBILLTDCS'!O1002</f>
        <v>0</v>
      </c>
      <c r="P1002" s="434">
        <f>'II-I-DIST'!P1002+'II-I-MET'!P1002+'II-I-TBILLTDCS'!P1002</f>
        <v>0</v>
      </c>
      <c r="Q1002" s="434">
        <f>'II-I-DIST'!Q1002+'II-I-MET'!Q1002+'II-I-TBILLTDCS'!Q1002</f>
        <v>0</v>
      </c>
      <c r="R1002" s="434">
        <f>'II-I-DIST'!R1002+'II-I-MET'!R1002+'II-I-TBILLTDCS'!R1002</f>
        <v>0</v>
      </c>
      <c r="S1002" s="434">
        <f>'II-I-DIST'!S1002+'II-I-MET'!S1002+'II-I-TBILLTDCS'!S1002</f>
        <v>0</v>
      </c>
      <c r="T1002" s="17"/>
      <c r="U1002" s="118">
        <f t="shared" si="257"/>
        <v>0</v>
      </c>
      <c r="V1002" s="67"/>
      <c r="X1002" s="370">
        <f t="shared" si="258"/>
        <v>0</v>
      </c>
    </row>
    <row r="1003" spans="1:24" ht="14.25">
      <c r="A1003" s="47"/>
      <c r="B1003" s="17">
        <f t="shared" si="253"/>
        <v>35</v>
      </c>
      <c r="C1003" s="1" t="s">
        <v>84</v>
      </c>
      <c r="D1003" s="1" t="s">
        <v>88</v>
      </c>
      <c r="E1003" s="17"/>
      <c r="F1003" s="118">
        <f>' WP II-I-1.4'!L1003</f>
        <v>21013686.960000001</v>
      </c>
      <c r="G1003" s="17" t="s">
        <v>805</v>
      </c>
      <c r="H1003" s="47" t="s">
        <v>320</v>
      </c>
      <c r="I1003" s="17"/>
      <c r="J1003" s="435">
        <f>'II-I-DIST'!J1003+'II-I-MET'!J1003+'II-I-TBILLTDCS'!J1003</f>
        <v>0</v>
      </c>
      <c r="K1003" s="435">
        <f>'II-I-DIST'!K1003+'II-I-MET'!K1003+'II-I-TBILLTDCS'!K1003</f>
        <v>0</v>
      </c>
      <c r="L1003" s="435">
        <f>'II-I-DIST'!L1003+'II-I-MET'!L1003+'II-I-TBILLTDCS'!L1003</f>
        <v>0</v>
      </c>
      <c r="M1003" s="435">
        <f>'II-I-DIST'!M1003+'II-I-MET'!M1003+'II-I-TBILLTDCS'!M1003</f>
        <v>0</v>
      </c>
      <c r="N1003" s="435">
        <f>'II-I-DIST'!N1003+'II-I-MET'!N1003+'II-I-TBILLTDCS'!N1003</f>
        <v>0</v>
      </c>
      <c r="O1003" s="435">
        <f>'II-I-DIST'!O1003+'II-I-MET'!O1003+'II-I-TBILLTDCS'!O1003</f>
        <v>0</v>
      </c>
      <c r="P1003" s="435">
        <f>'II-I-DIST'!P1003+'II-I-MET'!P1003+'II-I-TBILLTDCS'!P1003</f>
        <v>0</v>
      </c>
      <c r="Q1003" s="435">
        <f>'II-I-DIST'!Q1003+'II-I-MET'!Q1003+'II-I-TBILLTDCS'!Q1003</f>
        <v>21013686.960000001</v>
      </c>
      <c r="R1003" s="435">
        <f>'II-I-DIST'!R1003+'II-I-MET'!R1003+'II-I-TBILLTDCS'!R1003</f>
        <v>0</v>
      </c>
      <c r="S1003" s="435">
        <f>'II-I-DIST'!S1003+'II-I-MET'!S1003+'II-I-TBILLTDCS'!S1003</f>
        <v>0</v>
      </c>
      <c r="T1003" s="17"/>
      <c r="U1003" s="118">
        <f t="shared" si="257"/>
        <v>21013686.960000001</v>
      </c>
      <c r="V1003" s="67"/>
      <c r="X1003" s="370">
        <f t="shared" si="258"/>
        <v>0</v>
      </c>
    </row>
    <row r="1004" spans="1:24" ht="15">
      <c r="A1004" s="47"/>
      <c r="B1004" s="17">
        <f t="shared" si="253"/>
        <v>36</v>
      </c>
      <c r="C1004" s="8"/>
      <c r="D1004" s="297" t="s">
        <v>491</v>
      </c>
      <c r="E1004" s="20"/>
      <c r="F1004" s="22">
        <f>SUM(F990:F1003)</f>
        <v>416116017.26999992</v>
      </c>
      <c r="G1004" s="20"/>
      <c r="H1004" s="20"/>
      <c r="I1004" s="20"/>
      <c r="J1004" s="22">
        <f t="shared" si="259" ref="J1004:Q1004">SUM(J990:J1003)</f>
        <v>221515752.63476339</v>
      </c>
      <c r="K1004" s="22">
        <f t="shared" si="259"/>
        <v>10680167.259129008</v>
      </c>
      <c r="L1004" s="22">
        <f t="shared" si="259"/>
        <v>135790722.74731886</v>
      </c>
      <c r="M1004" s="22">
        <f t="shared" si="259"/>
        <v>109216.60672514608</v>
      </c>
      <c r="N1004" s="22">
        <f t="shared" si="259"/>
        <v>20467887.60985896</v>
      </c>
      <c r="O1004" s="22">
        <f>SUM(O990:O1003)</f>
        <v>1224914.9555152562</v>
      </c>
      <c r="P1004" s="22">
        <f t="shared" si="259"/>
        <v>403062.63051047397</v>
      </c>
      <c r="Q1004" s="22">
        <f t="shared" si="259"/>
        <v>24726840.550516054</v>
      </c>
      <c r="R1004" s="22">
        <f>SUM(R990:R1003)</f>
        <v>146609.60167116288</v>
      </c>
      <c r="S1004" s="22">
        <f>SUM(S990:S1003)</f>
        <v>1050842.6739917558</v>
      </c>
      <c r="T1004" s="20"/>
      <c r="U1004" s="299">
        <f t="shared" si="257"/>
        <v>416116017.27000004</v>
      </c>
      <c r="V1004" s="67"/>
      <c r="W1004" s="1300" t="b">
        <f>' WP II-I-1.4'!$L$1004=U1004</f>
        <v>1</v>
      </c>
      <c r="X1004" s="370">
        <f t="shared" si="258"/>
        <v>0</v>
      </c>
    </row>
    <row r="1005" spans="1:24" ht="14.25">
      <c r="A1005" s="47"/>
      <c r="B1005" s="17"/>
      <c r="C1005" s="1"/>
      <c r="D1005" s="1"/>
      <c r="E1005" s="17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"/>
      <c r="V1005" s="67"/>
      <c r="X1005" s="370">
        <f t="shared" si="258"/>
        <v>0</v>
      </c>
    </row>
    <row r="1006" spans="1:24" ht="14.25">
      <c r="A1006" s="47"/>
      <c r="B1006" s="17"/>
      <c r="C1006" s="1"/>
      <c r="D1006" s="1"/>
      <c r="E1006" s="17"/>
      <c r="F1006" s="19"/>
      <c r="G1006" s="17"/>
      <c r="H1006" s="134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34"/>
      <c r="V1006" s="134"/>
      <c r="X1006" s="370"/>
    </row>
    <row r="1007" spans="1:24" ht="15" thickBot="1">
      <c r="A1007" s="47"/>
      <c r="B1007" s="17"/>
      <c r="C1007" s="1"/>
      <c r="D1007" s="1"/>
      <c r="E1007" s="17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"/>
      <c r="V1007" s="67"/>
      <c r="X1007" s="370">
        <f t="shared" si="258"/>
        <v>0</v>
      </c>
    </row>
    <row r="1008" spans="1:24" ht="15">
      <c r="A1008" s="47"/>
      <c r="B1008" s="920" t="str">
        <f>+$B$4</f>
        <v>2022 RATE CASE</v>
      </c>
      <c r="C1008" s="935"/>
      <c r="D1008" s="969"/>
      <c r="F1008" s="332"/>
      <c r="U1008" s="134"/>
      <c r="X1008" s="370">
        <f t="shared" si="258"/>
        <v>0</v>
      </c>
    </row>
    <row r="1009" spans="1:24" ht="15">
      <c r="A1009" s="47"/>
      <c r="B1009" s="917" t="str">
        <f>+$B$5</f>
        <v>ONCOR ELECTRIC DELIVERY COMPANY LLC</v>
      </c>
      <c r="C1009" s="8"/>
      <c r="D1009" s="970"/>
      <c r="F1009" s="332"/>
      <c r="U1009" s="134"/>
      <c r="V1009" s="67"/>
      <c r="X1009" s="370">
        <f t="shared" si="258"/>
        <v>0</v>
      </c>
    </row>
    <row r="1010" spans="1:24" ht="15">
      <c r="A1010" s="47"/>
      <c r="B1010" s="917" t="str">
        <f>+$B$6</f>
        <v>II-I-1-TOT:  CLASS REVENUE REQUIREMENT</v>
      </c>
      <c r="C1010" s="85"/>
      <c r="D1010" s="970"/>
      <c r="F1010" s="332"/>
      <c r="U1010" s="332"/>
      <c r="V1010" s="67"/>
      <c r="X1010" s="370">
        <f t="shared" si="258"/>
        <v>0</v>
      </c>
    </row>
    <row r="1011" spans="1:24" ht="15">
      <c r="A1011" s="47"/>
      <c r="B1011" s="406" t="str">
        <f>+$B$7</f>
        <v>TEST YEAR ENDING 12/31/2021</v>
      </c>
      <c r="C1011" s="85"/>
      <c r="D1011" s="970"/>
      <c r="F1011" s="332"/>
      <c r="U1011" s="332"/>
      <c r="V1011" s="67"/>
      <c r="X1011" s="370">
        <f t="shared" si="258"/>
        <v>0</v>
      </c>
    </row>
    <row r="1012" spans="1:24" ht="15">
      <c r="A1012" s="47"/>
      <c r="B1012" s="406" t="str">
        <f>+$B$8</f>
        <v>SPONSOR:  MATTHEW A. TROXLE</v>
      </c>
      <c r="C1012" s="85"/>
      <c r="D1012" s="970"/>
      <c r="F1012" s="332"/>
      <c r="U1012" s="332"/>
      <c r="V1012" s="67"/>
      <c r="X1012" s="370">
        <f t="shared" si="258"/>
        <v>0</v>
      </c>
    </row>
    <row r="1013" spans="1:24" ht="15.75" thickBot="1">
      <c r="A1013" s="47"/>
      <c r="B1013" s="410"/>
      <c r="C1013" s="934"/>
      <c r="D1013" s="936"/>
      <c r="F1013" s="332"/>
      <c r="U1013" s="332"/>
      <c r="V1013" s="67"/>
      <c r="X1013" s="370">
        <f t="shared" si="258"/>
        <v>0</v>
      </c>
    </row>
    <row r="1014" spans="1:24" ht="15" thickBot="1">
      <c r="A1014" s="47"/>
      <c r="B1014" s="13"/>
      <c r="C1014" s="14"/>
      <c r="D1014" s="14"/>
      <c r="E1014" s="14"/>
      <c r="F1014" s="13"/>
      <c r="G1014" s="14"/>
      <c r="H1014" s="14"/>
      <c r="I1014" s="14"/>
      <c r="J1014" s="238"/>
      <c r="K1014" s="238"/>
      <c r="L1014" s="14"/>
      <c r="M1014" s="238"/>
      <c r="N1014" s="238"/>
      <c r="O1014" s="238"/>
      <c r="P1014" s="238"/>
      <c r="Q1014" s="14"/>
      <c r="R1014" s="393" t="str">
        <f>R$10</f>
        <v xml:space="preserve"> </v>
      </c>
      <c r="S1014" s="394"/>
      <c r="T1014" s="238"/>
      <c r="U1014" s="13"/>
      <c r="V1014" s="67"/>
      <c r="X1014" s="370">
        <f t="shared" si="258"/>
        <v>0</v>
      </c>
    </row>
    <row r="1015" spans="1:24" ht="15">
      <c r="A1015" s="47"/>
      <c r="B1015" s="15" t="s">
        <v>2</v>
      </c>
      <c r="C1015" s="15" t="s">
        <v>370</v>
      </c>
      <c r="D1015" s="287" t="s">
        <v>701</v>
      </c>
      <c r="E1015" s="15" t="s">
        <v>371</v>
      </c>
      <c r="F1015" s="287" t="str">
        <f>F$11</f>
        <v>TOTAL</v>
      </c>
      <c r="G1015" s="242" t="s">
        <v>741</v>
      </c>
      <c r="H1015" s="242" t="s">
        <v>376</v>
      </c>
      <c r="I1015" s="15"/>
      <c r="J1015" s="242" t="s">
        <v>730</v>
      </c>
      <c r="K1015" s="242" t="s">
        <v>409</v>
      </c>
      <c r="L1015" s="15" t="s">
        <v>409</v>
      </c>
      <c r="M1015" s="242" t="s">
        <v>410</v>
      </c>
      <c r="N1015" s="242" t="s">
        <v>410</v>
      </c>
      <c r="O1015" s="242" t="s">
        <v>410</v>
      </c>
      <c r="P1015" s="242" t="s">
        <v>411</v>
      </c>
      <c r="Q1015" s="15" t="s">
        <v>412</v>
      </c>
      <c r="R1015" s="396" t="str">
        <f>R$11</f>
        <v>Wholesale</v>
      </c>
      <c r="S1015" s="13" t="str">
        <f>S$11</f>
        <v>Wholesale</v>
      </c>
      <c r="T1015" s="242"/>
      <c r="U1015" s="15" t="s">
        <v>10</v>
      </c>
      <c r="V1015" s="67"/>
      <c r="X1015" s="370"/>
    </row>
    <row r="1016" spans="1:24" ht="14.25">
      <c r="A1016" s="47"/>
      <c r="B1016" s="15"/>
      <c r="C1016" s="15"/>
      <c r="D1016" s="15"/>
      <c r="E1016" s="15"/>
      <c r="F1016" s="15" t="str">
        <f>F$12</f>
        <v>(Dist+Met+Cust)</v>
      </c>
      <c r="G1016" s="242" t="s">
        <v>742</v>
      </c>
      <c r="H1016" s="242" t="s">
        <v>743</v>
      </c>
      <c r="I1016" s="15"/>
      <c r="J1016" s="242"/>
      <c r="K1016" s="242" t="s">
        <v>731</v>
      </c>
      <c r="L1016" s="15" t="s">
        <v>732</v>
      </c>
      <c r="M1016" s="242" t="s">
        <v>731</v>
      </c>
      <c r="N1016" s="242" t="s">
        <v>732</v>
      </c>
      <c r="O1016" s="242" t="s">
        <v>414</v>
      </c>
      <c r="P1016" s="242"/>
      <c r="Q1016" s="15"/>
      <c r="R1016" s="235" t="str">
        <f>R$12</f>
        <v>XFMR</v>
      </c>
      <c r="S1016" s="15" t="str">
        <f>S$12</f>
        <v>DLS</v>
      </c>
      <c r="T1016" s="242"/>
      <c r="U1016" s="15"/>
      <c r="V1016" s="67"/>
      <c r="X1016" s="370"/>
    </row>
    <row r="1017" spans="1:24" ht="15" thickBot="1">
      <c r="A1017" s="47"/>
      <c r="B1017" s="16"/>
      <c r="C1017" s="16"/>
      <c r="D1017" s="16"/>
      <c r="E1017" s="16"/>
      <c r="F1017" s="16" t="s">
        <v>13</v>
      </c>
      <c r="G1017" s="16" t="s">
        <v>14</v>
      </c>
      <c r="H1017" s="16" t="s">
        <v>15</v>
      </c>
      <c r="I1017" s="16"/>
      <c r="J1017" s="243" t="str">
        <f t="shared" si="260" ref="J1017:Q1017">J$13</f>
        <v>(d)</v>
      </c>
      <c r="K1017" s="243" t="str">
        <f t="shared" si="260"/>
        <v>(e)</v>
      </c>
      <c r="L1017" s="16" t="str">
        <f t="shared" si="260"/>
        <v>(f)</v>
      </c>
      <c r="M1017" s="243" t="str">
        <f t="shared" si="260"/>
        <v>(g)</v>
      </c>
      <c r="N1017" s="243" t="str">
        <f t="shared" si="260"/>
        <v>(h)</v>
      </c>
      <c r="O1017" s="243" t="str">
        <f>O$13</f>
        <v>(i)</v>
      </c>
      <c r="P1017" s="243" t="str">
        <f t="shared" si="260"/>
        <v>(j)</v>
      </c>
      <c r="Q1017" s="243" t="str">
        <f t="shared" si="260"/>
        <v>(k)</v>
      </c>
      <c r="R1017" s="243" t="str">
        <f>R$13</f>
        <v>(l)</v>
      </c>
      <c r="S1017" s="16" t="str">
        <f>S$13</f>
        <v>(m)</v>
      </c>
      <c r="T1017" s="16"/>
      <c r="U1017" s="16" t="s">
        <v>734</v>
      </c>
      <c r="V1017" s="67"/>
      <c r="X1017" s="370"/>
    </row>
    <row r="1018" spans="1:24" ht="14.25">
      <c r="A1018" s="47"/>
      <c r="B1018" s="67"/>
      <c r="C1018" s="333"/>
      <c r="D1018" s="333"/>
      <c r="E1018" s="333"/>
      <c r="F1018" s="333"/>
      <c r="G1018" s="333"/>
      <c r="H1018" s="333"/>
      <c r="I1018" s="333"/>
      <c r="J1018" s="333"/>
      <c r="K1018" s="333"/>
      <c r="L1018" s="333"/>
      <c r="M1018" s="333"/>
      <c r="N1018" s="333"/>
      <c r="O1018" s="333"/>
      <c r="P1018" s="333"/>
      <c r="Q1018" s="333"/>
      <c r="R1018" s="333"/>
      <c r="S1018" s="333"/>
      <c r="T1018" s="333"/>
      <c r="U1018" s="43"/>
      <c r="V1018" s="67"/>
      <c r="X1018" s="370">
        <f t="shared" si="258"/>
        <v>0</v>
      </c>
    </row>
    <row r="1019" spans="1:24" ht="15">
      <c r="A1019" s="47"/>
      <c r="B1019" s="17">
        <f>B1005+1</f>
        <v>1</v>
      </c>
      <c r="C1019" s="34" t="s">
        <v>702</v>
      </c>
      <c r="D1019" s="8"/>
      <c r="E1019" s="20" t="s">
        <v>297</v>
      </c>
      <c r="F1019" s="22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8"/>
      <c r="V1019" s="67"/>
      <c r="X1019" s="370">
        <f t="shared" si="258"/>
        <v>0</v>
      </c>
    </row>
    <row r="1020" spans="1:24" ht="14.25">
      <c r="A1020" s="47"/>
      <c r="B1020" s="17">
        <f t="shared" si="261" ref="B1020:B1040">B1019+1</f>
        <v>2</v>
      </c>
      <c r="C1020" s="1"/>
      <c r="D1020" s="1"/>
      <c r="E1020" s="17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"/>
      <c r="V1020" s="67"/>
      <c r="X1020" s="370">
        <f t="shared" si="258"/>
        <v>0</v>
      </c>
    </row>
    <row r="1021" spans="1:24" ht="14.25">
      <c r="A1021" s="47"/>
      <c r="B1021" s="17">
        <f t="shared" si="261"/>
        <v>3</v>
      </c>
      <c r="C1021" s="1" t="s">
        <v>703</v>
      </c>
      <c r="D1021" s="1" t="s">
        <v>42</v>
      </c>
      <c r="E1021" s="17"/>
      <c r="F1021" s="118">
        <f>' WP II-I-1.4'!L1021</f>
        <v>1679.1600000000001</v>
      </c>
      <c r="G1021" s="17" t="s">
        <v>805</v>
      </c>
      <c r="H1021" s="47" t="s">
        <v>320</v>
      </c>
      <c r="I1021" s="17"/>
      <c r="J1021" s="434">
        <f>'II-I-DIST'!J1021+'II-I-MET'!J1021+'II-I-TBILLTDCS'!J1021</f>
        <v>934.67796158042177</v>
      </c>
      <c r="K1021" s="434">
        <f>'II-I-DIST'!K1021+'II-I-MET'!K1021+'II-I-TBILLTDCS'!K1021</f>
        <v>35.697955932166799</v>
      </c>
      <c r="L1021" s="434">
        <f>'II-I-DIST'!L1021+'II-I-MET'!L1021+'II-I-TBILLTDCS'!L1021</f>
        <v>585.11457140659411</v>
      </c>
      <c r="M1021" s="434">
        <f>'II-I-DIST'!M1021+'II-I-MET'!M1021+'II-I-TBILLTDCS'!M1021</f>
        <v>0.46078029984369495</v>
      </c>
      <c r="N1021" s="434">
        <f>'II-I-DIST'!N1021+'II-I-MET'!N1021+'II-I-TBILLTDCS'!N1021</f>
        <v>92.219805680085841</v>
      </c>
      <c r="O1021" s="434">
        <f>'II-I-DIST'!O1021+'II-I-MET'!O1021+'II-I-TBILLTDCS'!O1021</f>
        <v>8.795591746475937</v>
      </c>
      <c r="P1021" s="434">
        <f>'II-I-DIST'!P1021+'II-I-MET'!P1021+'II-I-TBILLTDCS'!P1021</f>
        <v>2.0275956367189423</v>
      </c>
      <c r="Q1021" s="434">
        <f>'II-I-DIST'!Q1021+'II-I-MET'!Q1021+'II-I-TBILLTDCS'!Q1021</f>
        <v>14.346713069809988</v>
      </c>
      <c r="R1021" s="434">
        <f>'II-I-DIST'!R1021+'II-I-MET'!R1021+'II-I-TBILLTDCS'!R1021</f>
        <v>1.053392028505054</v>
      </c>
      <c r="S1021" s="434">
        <f>'II-I-DIST'!S1021+'II-I-MET'!S1021+'II-I-TBILLTDCS'!S1021</f>
        <v>4.7656326193779162</v>
      </c>
      <c r="T1021" s="17"/>
      <c r="U1021" s="118">
        <f t="shared" si="262" ref="U1021:U1029">SUM(I1021:T1021)</f>
        <v>1679.1599999999996</v>
      </c>
      <c r="V1021" s="67"/>
      <c r="X1021" s="370">
        <f t="shared" si="263" ref="X1021:X1027">U1021-F1021</f>
        <v>0</v>
      </c>
    </row>
    <row r="1022" spans="1:24" ht="14.25">
      <c r="A1022" s="47"/>
      <c r="B1022" s="17">
        <f t="shared" si="261"/>
        <v>4</v>
      </c>
      <c r="C1022" s="1" t="s">
        <v>93</v>
      </c>
      <c r="D1022" s="1" t="s">
        <v>44</v>
      </c>
      <c r="E1022" s="17"/>
      <c r="F1022" s="118">
        <f>' WP II-I-1.4'!L1022</f>
        <v>3631194.1400000006</v>
      </c>
      <c r="G1022" s="17" t="s">
        <v>805</v>
      </c>
      <c r="H1022" s="47" t="s">
        <v>320</v>
      </c>
      <c r="I1022" s="17"/>
      <c r="J1022" s="434">
        <f>'II-I-DIST'!J1022+'II-I-MET'!J1022+'II-I-TBILLTDCS'!J1022</f>
        <v>2021710.1495907921</v>
      </c>
      <c r="K1022" s="434">
        <f>'II-I-DIST'!K1022+'II-I-MET'!K1022+'II-I-TBILLTDCS'!K1022</f>
        <v>118414.66796761543</v>
      </c>
      <c r="L1022" s="434">
        <f>'II-I-DIST'!L1022+'II-I-MET'!L1022+'II-I-TBILLTDCS'!L1022</f>
        <v>1212159.4775949698</v>
      </c>
      <c r="M1022" s="434">
        <f>'II-I-DIST'!M1022+'II-I-MET'!M1022+'II-I-TBILLTDCS'!M1022</f>
        <v>3193.5945799344977</v>
      </c>
      <c r="N1022" s="434">
        <f>'II-I-DIST'!N1022+'II-I-MET'!N1022+'II-I-TBILLTDCS'!N1022</f>
        <v>213921.30330436945</v>
      </c>
      <c r="O1022" s="434">
        <f>'II-I-DIST'!O1022+'II-I-MET'!O1022+'II-I-TBILLTDCS'!O1022</f>
        <v>17373.580977137142</v>
      </c>
      <c r="P1022" s="434">
        <f>'II-I-DIST'!P1022+'II-I-MET'!P1022+'II-I-TBILLTDCS'!P1022</f>
        <v>7297.3698464569497</v>
      </c>
      <c r="Q1022" s="434">
        <f>'II-I-DIST'!Q1022+'II-I-MET'!Q1022+'II-I-TBILLTDCS'!Q1022</f>
        <v>26098.040258832887</v>
      </c>
      <c r="R1022" s="434">
        <f>'II-I-DIST'!R1022+'II-I-MET'!R1022+'II-I-TBILLTDCS'!R1022</f>
        <v>2073.3160630741504</v>
      </c>
      <c r="S1022" s="434">
        <f>'II-I-DIST'!S1022+'II-I-MET'!S1022+'II-I-TBILLTDCS'!S1022</f>
        <v>8952.6398168178166</v>
      </c>
      <c r="T1022" s="17"/>
      <c r="U1022" s="118">
        <f t="shared" si="262"/>
        <v>3631194.1400000006</v>
      </c>
      <c r="V1022" s="67"/>
      <c r="X1022" s="370">
        <f t="shared" si="263"/>
        <v>0</v>
      </c>
    </row>
    <row r="1023" spans="1:24" ht="14.25">
      <c r="A1023" s="47"/>
      <c r="B1023" s="17">
        <f t="shared" si="261"/>
        <v>5</v>
      </c>
      <c r="C1023" s="1" t="s">
        <v>94</v>
      </c>
      <c r="D1023" s="1" t="s">
        <v>95</v>
      </c>
      <c r="E1023" s="17"/>
      <c r="F1023" s="118">
        <f>' WP II-I-1.4'!L1023</f>
        <v>29988996.979999997</v>
      </c>
      <c r="G1023" s="17" t="s">
        <v>805</v>
      </c>
      <c r="H1023" s="47" t="s">
        <v>320</v>
      </c>
      <c r="I1023" s="17"/>
      <c r="J1023" s="434">
        <f>'II-I-DIST'!J1023+'II-I-MET'!J1023+'II-I-TBILLTDCS'!J1023</f>
        <v>16705305.083990227</v>
      </c>
      <c r="K1023" s="434">
        <f>'II-I-DIST'!K1023+'II-I-MET'!K1023+'II-I-TBILLTDCS'!K1023</f>
        <v>1818020.8429709349</v>
      </c>
      <c r="L1023" s="434">
        <f>'II-I-DIST'!L1023+'II-I-MET'!L1023+'II-I-TBILLTDCS'!L1023</f>
        <v>8926940.4816579316</v>
      </c>
      <c r="M1023" s="434">
        <f>'II-I-DIST'!M1023+'II-I-MET'!M1023+'II-I-TBILLTDCS'!M1023</f>
        <v>71157.142784275435</v>
      </c>
      <c r="N1023" s="434">
        <f>'II-I-DIST'!N1023+'II-I-MET'!N1023+'II-I-TBILLTDCS'!N1023</f>
        <v>2062076.202049782</v>
      </c>
      <c r="O1023" s="434">
        <f>'II-I-DIST'!O1023+'II-I-MET'!O1023+'II-I-TBILLTDCS'!O1023</f>
        <v>109907.23066990929</v>
      </c>
      <c r="P1023" s="434">
        <f>'II-I-DIST'!P1023+'II-I-MET'!P1023+'II-I-TBILLTDCS'!P1023</f>
        <v>119631.54150878839</v>
      </c>
      <c r="Q1023" s="434">
        <f>'II-I-DIST'!Q1023+'II-I-MET'!Q1023+'II-I-TBILLTDCS'!Q1023</f>
        <v>116653.21177712249</v>
      </c>
      <c r="R1023" s="434">
        <f>'II-I-DIST'!R1023+'II-I-MET'!R1023+'II-I-TBILLTDCS'!R1023</f>
        <v>12950.743322487777</v>
      </c>
      <c r="S1023" s="434">
        <f>'II-I-DIST'!S1023+'II-I-MET'!S1023+'II-I-TBILLTDCS'!S1023</f>
        <v>46354.499268541404</v>
      </c>
      <c r="T1023" s="17"/>
      <c r="U1023" s="118">
        <f t="shared" si="262"/>
        <v>29988996.979999997</v>
      </c>
      <c r="V1023" s="67"/>
      <c r="X1023" s="370">
        <f t="shared" si="263"/>
        <v>0</v>
      </c>
    </row>
    <row r="1024" spans="1:24" ht="14.25">
      <c r="A1024" s="47"/>
      <c r="B1024" s="17">
        <f t="shared" si="261"/>
        <v>6</v>
      </c>
      <c r="C1024" s="1" t="s">
        <v>96</v>
      </c>
      <c r="D1024" s="1" t="s">
        <v>704</v>
      </c>
      <c r="E1024" s="17"/>
      <c r="F1024" s="118">
        <f>' WP II-I-1.4'!L1024</f>
        <v>1013262.58</v>
      </c>
      <c r="G1024" s="17" t="s">
        <v>805</v>
      </c>
      <c r="H1024" s="47" t="s">
        <v>320</v>
      </c>
      <c r="I1024" s="17"/>
      <c r="J1024" s="434">
        <f>'II-I-DIST'!J1024+'II-I-MET'!J1024+'II-I-TBILLTDCS'!J1024</f>
        <v>563979.11873461935</v>
      </c>
      <c r="K1024" s="434">
        <f>'II-I-DIST'!K1024+'II-I-MET'!K1024+'II-I-TBILLTDCS'!K1024</f>
        <v>18748.011521209213</v>
      </c>
      <c r="L1024" s="434">
        <f>'II-I-DIST'!L1024+'II-I-MET'!L1024+'II-I-TBILLTDCS'!L1024</f>
        <v>356676.3232967481</v>
      </c>
      <c r="M1024" s="434">
        <f>'II-I-DIST'!M1024+'II-I-MET'!M1024+'II-I-TBILLTDCS'!M1024</f>
        <v>129.15688193959232</v>
      </c>
      <c r="N1024" s="434">
        <f>'II-I-DIST'!N1024+'II-I-MET'!N1024+'II-I-TBILLTDCS'!N1024</f>
        <v>54665.694898444621</v>
      </c>
      <c r="O1024" s="434">
        <f>'II-I-DIST'!O1024+'II-I-MET'!O1024+'II-I-TBILLTDCS'!O1024</f>
        <v>5419.1084541535765</v>
      </c>
      <c r="P1024" s="434">
        <f>'II-I-DIST'!P1024+'II-I-MET'!P1024+'II-I-TBILLTDCS'!P1024</f>
        <v>1026.1286718734696</v>
      </c>
      <c r="Q1024" s="434">
        <f>'II-I-DIST'!Q1024+'II-I-MET'!Q1024+'II-I-TBILLTDCS'!Q1024</f>
        <v>9002.1179262845908</v>
      </c>
      <c r="R1024" s="434">
        <f>'II-I-DIST'!R1024+'II-I-MET'!R1024+'II-I-TBILLTDCS'!R1024</f>
        <v>649.51406578143212</v>
      </c>
      <c r="S1024" s="434">
        <f>'II-I-DIST'!S1024+'II-I-MET'!S1024+'II-I-TBILLTDCS'!S1024</f>
        <v>2967.4055489461048</v>
      </c>
      <c r="T1024" s="17"/>
      <c r="U1024" s="118">
        <f t="shared" si="262"/>
        <v>1013262.58</v>
      </c>
      <c r="V1024" s="67"/>
      <c r="X1024" s="370">
        <f t="shared" si="263"/>
        <v>0</v>
      </c>
    </row>
    <row r="1025" spans="1:24" ht="14.25">
      <c r="A1025" s="47"/>
      <c r="B1025" s="17">
        <f t="shared" si="261"/>
        <v>7</v>
      </c>
      <c r="C1025" s="1" t="s">
        <v>99</v>
      </c>
      <c r="D1025" s="1" t="s">
        <v>705</v>
      </c>
      <c r="E1025" s="17"/>
      <c r="F1025" s="118">
        <f>' WP II-I-1.4'!L1025</f>
        <v>211943.5</v>
      </c>
      <c r="G1025" s="17" t="s">
        <v>805</v>
      </c>
      <c r="H1025" s="47" t="s">
        <v>320</v>
      </c>
      <c r="I1025" s="17"/>
      <c r="J1025" s="434">
        <f>'II-I-DIST'!J1025+'II-I-MET'!J1025+'II-I-TBILLTDCS'!J1025</f>
        <v>117996.24874649015</v>
      </c>
      <c r="K1025" s="434">
        <f>'II-I-DIST'!K1025+'II-I-MET'!K1025+'II-I-TBILLTDCS'!K1025</f>
        <v>6083.3171745286354</v>
      </c>
      <c r="L1025" s="434">
        <f>'II-I-DIST'!L1025+'II-I-MET'!L1025+'II-I-TBILLTDCS'!L1025</f>
        <v>71821.124762144653</v>
      </c>
      <c r="M1025" s="434">
        <f>'II-I-DIST'!M1025+'II-I-MET'!M1025+'II-I-TBILLTDCS'!M1025</f>
        <v>142.24599079053093</v>
      </c>
      <c r="N1025" s="434">
        <f>'II-I-DIST'!N1025+'II-I-MET'!N1025+'II-I-TBILLTDCS'!N1025</f>
        <v>12195.061690869279</v>
      </c>
      <c r="O1025" s="434">
        <f>'II-I-DIST'!O1025+'II-I-MET'!O1025+'II-I-TBILLTDCS'!O1025</f>
        <v>1047.1841772061919</v>
      </c>
      <c r="P1025" s="434">
        <f>'II-I-DIST'!P1025+'II-I-MET'!P1025+'II-I-TBILLTDCS'!P1025</f>
        <v>367.39830411847316</v>
      </c>
      <c r="Q1025" s="434">
        <f>'II-I-DIST'!Q1025+'II-I-MET'!Q1025+'II-I-TBILLTDCS'!Q1025</f>
        <v>1616.0339005720302</v>
      </c>
      <c r="R1025" s="434">
        <f>'II-I-DIST'!R1025+'II-I-MET'!R1025+'II-I-TBILLTDCS'!R1025</f>
        <v>125.13111325362922</v>
      </c>
      <c r="S1025" s="434">
        <f>'II-I-DIST'!S1025+'II-I-MET'!S1025+'II-I-TBILLTDCS'!S1025</f>
        <v>549.75414002642378</v>
      </c>
      <c r="T1025" s="17"/>
      <c r="U1025" s="118">
        <f t="shared" si="262"/>
        <v>211943.5</v>
      </c>
      <c r="V1025" s="67"/>
      <c r="X1025" s="370">
        <f t="shared" si="263"/>
        <v>0</v>
      </c>
    </row>
    <row r="1026" spans="1:24" ht="14.25">
      <c r="A1026" s="47"/>
      <c r="B1026" s="17">
        <f t="shared" si="261"/>
        <v>8</v>
      </c>
      <c r="C1026" s="1" t="s">
        <v>101</v>
      </c>
      <c r="D1026" s="1" t="s">
        <v>706</v>
      </c>
      <c r="E1026" s="17"/>
      <c r="F1026" s="118">
        <f>' WP II-I-1.4'!L1026</f>
        <v>1774621.8400000001</v>
      </c>
      <c r="G1026" s="17" t="s">
        <v>805</v>
      </c>
      <c r="H1026" s="47" t="s">
        <v>320</v>
      </c>
      <c r="I1026" s="17"/>
      <c r="J1026" s="434">
        <f>'II-I-DIST'!J1026+'II-I-MET'!J1026+'II-I-TBILLTDCS'!J1026</f>
        <v>987895.56206623628</v>
      </c>
      <c r="K1026" s="434">
        <f>'II-I-DIST'!K1026+'II-I-MET'!K1026+'II-I-TBILLTDCS'!K1026</f>
        <v>43685.932832140708</v>
      </c>
      <c r="L1026" s="434">
        <f>'II-I-DIST'!L1026+'II-I-MET'!L1026+'II-I-TBILLTDCS'!L1026</f>
        <v>610703.75077134441</v>
      </c>
      <c r="M1026" s="434">
        <f>'II-I-DIST'!M1026+'II-I-MET'!M1026+'II-I-TBILLTDCS'!M1026</f>
        <v>804.58128696989741</v>
      </c>
      <c r="N1026" s="434">
        <f>'II-I-DIST'!N1026+'II-I-MET'!N1026+'II-I-TBILLTDCS'!N1026</f>
        <v>99559.212197607354</v>
      </c>
      <c r="O1026" s="434">
        <f>'II-I-DIST'!O1026+'II-I-MET'!O1026+'II-I-TBILLTDCS'!O1026</f>
        <v>9057.6894462732253</v>
      </c>
      <c r="P1026" s="434">
        <f>'II-I-DIST'!P1026+'II-I-MET'!P1026+'II-I-TBILLTDCS'!P1026</f>
        <v>2563.9233435857977</v>
      </c>
      <c r="Q1026" s="434">
        <f>'II-I-DIST'!Q1026+'II-I-MET'!Q1026+'II-I-TBILLTDCS'!Q1026</f>
        <v>14426.432041341892</v>
      </c>
      <c r="R1026" s="434">
        <f>'II-I-DIST'!R1026+'II-I-MET'!R1026+'II-I-TBILLTDCS'!R1026</f>
        <v>1083.7111014699633</v>
      </c>
      <c r="S1026" s="434">
        <f>'II-I-DIST'!S1026+'II-I-MET'!S1026+'II-I-TBILLTDCS'!S1026</f>
        <v>4841.0449130305351</v>
      </c>
      <c r="T1026" s="17"/>
      <c r="U1026" s="118">
        <f t="shared" si="262"/>
        <v>1774621.8400000001</v>
      </c>
      <c r="V1026" s="67"/>
      <c r="X1026" s="370">
        <f t="shared" si="263"/>
        <v>0</v>
      </c>
    </row>
    <row r="1027" spans="1:24" ht="14.25">
      <c r="A1027" s="47"/>
      <c r="B1027" s="17">
        <f t="shared" si="261"/>
        <v>9</v>
      </c>
      <c r="C1027" s="1" t="s">
        <v>103</v>
      </c>
      <c r="D1027" s="1" t="s">
        <v>707</v>
      </c>
      <c r="E1027" s="17"/>
      <c r="F1027" s="118">
        <f>' WP II-I-1.4'!L1027</f>
        <v>1393868.1199999999</v>
      </c>
      <c r="G1027" s="17" t="s">
        <v>805</v>
      </c>
      <c r="H1027" s="47" t="s">
        <v>320</v>
      </c>
      <c r="I1027" s="17"/>
      <c r="J1027" s="434">
        <f>'II-I-DIST'!J1027+'II-I-MET'!J1027+'II-I-TBILLTDCS'!J1027</f>
        <v>776043.29328296625</v>
      </c>
      <c r="K1027" s="434">
        <f>'II-I-DIST'!K1027+'II-I-MET'!K1027+'II-I-TBILLTDCS'!K1027</f>
        <v>42154.300999988423</v>
      </c>
      <c r="L1027" s="434">
        <f>'II-I-DIST'!L1027+'II-I-MET'!L1027+'II-I-TBILLTDCS'!L1027</f>
        <v>469573.74367099092</v>
      </c>
      <c r="M1027" s="434">
        <f>'II-I-DIST'!M1027+'II-I-MET'!M1027+'II-I-TBILLTDCS'!M1027</f>
        <v>1049.9226719569558</v>
      </c>
      <c r="N1027" s="434">
        <f>'II-I-DIST'!N1027+'II-I-MET'!N1027+'II-I-TBILLTDCS'!N1027</f>
        <v>80957.443175093358</v>
      </c>
      <c r="O1027" s="434">
        <f>'II-I-DIST'!O1027+'II-I-MET'!O1027+'II-I-TBILLTDCS'!O1027</f>
        <v>6801.1881358211649</v>
      </c>
      <c r="P1027" s="434">
        <f>'II-I-DIST'!P1027+'II-I-MET'!P1027+'II-I-TBILLTDCS'!P1027</f>
        <v>2567.9316426458927</v>
      </c>
      <c r="Q1027" s="434">
        <f>'II-I-DIST'!Q1027+'II-I-MET'!Q1027+'II-I-TBILLTDCS'!Q1027</f>
        <v>10362.938973356904</v>
      </c>
      <c r="R1027" s="434">
        <f>'II-I-DIST'!R1027+'II-I-MET'!R1027+'II-I-TBILLTDCS'!R1027</f>
        <v>812.28498826462419</v>
      </c>
      <c r="S1027" s="434">
        <f>'II-I-DIST'!S1027+'II-I-MET'!S1027+'II-I-TBILLTDCS'!S1027</f>
        <v>3545.0724589155316</v>
      </c>
      <c r="T1027" s="17"/>
      <c r="U1027" s="118">
        <f t="shared" si="262"/>
        <v>1393868.1200000001</v>
      </c>
      <c r="V1027" s="67"/>
      <c r="X1027" s="370">
        <f t="shared" si="263"/>
        <v>0</v>
      </c>
    </row>
    <row r="1028" spans="1:24" ht="14.25">
      <c r="A1028" s="47"/>
      <c r="B1028" s="17">
        <f t="shared" si="261"/>
        <v>10</v>
      </c>
      <c r="C1028" s="1" t="s">
        <v>105</v>
      </c>
      <c r="D1028" s="1" t="s">
        <v>106</v>
      </c>
      <c r="E1028" s="17"/>
      <c r="F1028" s="118">
        <f>' WP II-I-1.4'!L1028</f>
        <v>541365.53000000003</v>
      </c>
      <c r="G1028" s="17" t="s">
        <v>805</v>
      </c>
      <c r="H1028" s="47" t="s">
        <v>320</v>
      </c>
      <c r="I1028" s="17"/>
      <c r="J1028" s="434">
        <f>'II-I-DIST'!J1028+'II-I-MET'!J1028+'II-I-TBILLTDCS'!J1028</f>
        <v>301378.34696407372</v>
      </c>
      <c r="K1028" s="434">
        <f>'II-I-DIST'!K1028+'II-I-MET'!K1028+'II-I-TBILLTDCS'!K1028</f>
        <v>14164.029080104639</v>
      </c>
      <c r="L1028" s="434">
        <f>'II-I-DIST'!L1028+'II-I-MET'!L1028+'II-I-TBILLTDCS'!L1028</f>
        <v>185222.65656765358</v>
      </c>
      <c r="M1028" s="434">
        <f>'II-I-DIST'!M1028+'II-I-MET'!M1028+'II-I-TBILLTDCS'!M1028</f>
        <v>290.07108721146244</v>
      </c>
      <c r="N1028" s="434">
        <f>'II-I-DIST'!N1028+'II-I-MET'!N1028+'II-I-TBILLTDCS'!N1028</f>
        <v>30666.088379815796</v>
      </c>
      <c r="O1028" s="434">
        <f>'II-I-DIST'!O1028+'II-I-MET'!O1028+'II-I-TBILLTDCS'!O1028</f>
        <v>2729.7032346292531</v>
      </c>
      <c r="P1028" s="434">
        <f>'II-I-DIST'!P1028+'II-I-MET'!P1028+'II-I-TBILLTDCS'!P1028</f>
        <v>841.31106527664406</v>
      </c>
      <c r="Q1028" s="434">
        <f>'II-I-DIST'!Q1028+'II-I-MET'!Q1028+'II-I-TBILLTDCS'!Q1028</f>
        <v>4297.545817618714</v>
      </c>
      <c r="R1028" s="434">
        <f>'II-I-DIST'!R1028+'II-I-MET'!R1028+'II-I-TBILLTDCS'!R1028</f>
        <v>326.44211005820875</v>
      </c>
      <c r="S1028" s="434">
        <f>'II-I-DIST'!S1028+'II-I-MET'!S1028+'II-I-TBILLTDCS'!S1028</f>
        <v>1449.3356935580612</v>
      </c>
      <c r="T1028" s="17"/>
      <c r="U1028" s="118">
        <f t="shared" si="262"/>
        <v>541365.53000000003</v>
      </c>
      <c r="V1028" s="67"/>
      <c r="X1028" s="370">
        <f t="shared" si="258"/>
        <v>0</v>
      </c>
    </row>
    <row r="1029" spans="1:24" ht="14.25">
      <c r="A1029" s="47"/>
      <c r="B1029" s="17">
        <f t="shared" si="261"/>
        <v>11</v>
      </c>
      <c r="C1029" s="1" t="s">
        <v>107</v>
      </c>
      <c r="D1029" s="1" t="s">
        <v>108</v>
      </c>
      <c r="E1029" s="17"/>
      <c r="F1029" s="118">
        <f>' WP II-I-1.4'!L1029</f>
        <v>3945594.0600000001</v>
      </c>
      <c r="G1029" s="17" t="s">
        <v>805</v>
      </c>
      <c r="H1029" s="47" t="s">
        <v>320</v>
      </c>
      <c r="I1029" s="17"/>
      <c r="J1029" s="434">
        <f>'II-I-DIST'!J1029+'II-I-MET'!J1029+'II-I-TBILLTDCS'!J1029</f>
        <v>2196444.9915597448</v>
      </c>
      <c r="K1029" s="434">
        <f>'II-I-DIST'!K1029+'II-I-MET'!K1029+'II-I-TBILLTDCS'!K1029</f>
        <v>101517.07221593559</v>
      </c>
      <c r="L1029" s="434">
        <f>'II-I-DIST'!L1029+'II-I-MET'!L1029+'II-I-TBILLTDCS'!L1029</f>
        <v>1352121.1391111265</v>
      </c>
      <c r="M1029" s="434">
        <f>'II-I-DIST'!M1029+'II-I-MET'!M1029+'II-I-TBILLTDCS'!M1029</f>
        <v>2022.835620976218</v>
      </c>
      <c r="N1029" s="434">
        <f>'II-I-DIST'!N1029+'II-I-MET'!N1029+'II-I-TBILLTDCS'!N1029</f>
        <v>222894.55398061528</v>
      </c>
      <c r="O1029" s="434">
        <f>'II-I-DIST'!O1029+'II-I-MET'!O1029+'II-I-TBILLTDCS'!O1029</f>
        <v>19962.624782966486</v>
      </c>
      <c r="P1029" s="434">
        <f>'II-I-DIST'!P1029+'II-I-MET'!P1029+'II-I-TBILLTDCS'!P1029</f>
        <v>6010.6000424322465</v>
      </c>
      <c r="Q1029" s="434">
        <f>'II-I-DIST'!Q1029+'II-I-MET'!Q1029+'II-I-TBILLTDCS'!Q1029</f>
        <v>31613.590241804402</v>
      </c>
      <c r="R1029" s="434">
        <f>'II-I-DIST'!R1029+'II-I-MET'!R1029+'II-I-TBILLTDCS'!R1029</f>
        <v>2387.6271051694443</v>
      </c>
      <c r="S1029" s="434">
        <f>'II-I-DIST'!S1029+'II-I-MET'!S1029+'II-I-TBILLTDCS'!S1029</f>
        <v>10619.025339229496</v>
      </c>
      <c r="T1029" s="17"/>
      <c r="U1029" s="118">
        <f t="shared" si="262"/>
        <v>3945594.0600000001</v>
      </c>
      <c r="V1029" s="67"/>
      <c r="X1029" s="370">
        <f t="shared" si="258"/>
        <v>0</v>
      </c>
    </row>
    <row r="1030" spans="1:24" ht="14.25">
      <c r="A1030" s="47"/>
      <c r="B1030" s="17">
        <f t="shared" si="261"/>
        <v>12</v>
      </c>
      <c r="C1030" s="1" t="s">
        <v>110</v>
      </c>
      <c r="D1030" s="1" t="s">
        <v>708</v>
      </c>
      <c r="E1030" s="17"/>
      <c r="F1030" s="118">
        <f>' WP II-I-1.4'!L1030</f>
        <v>421542.94</v>
      </c>
      <c r="G1030" s="17" t="s">
        <v>805</v>
      </c>
      <c r="H1030" s="47" t="s">
        <v>320</v>
      </c>
      <c r="I1030" s="17"/>
      <c r="J1030" s="434">
        <f>'II-I-DIST'!J1030+'II-I-MET'!J1030+'II-I-TBILLTDCS'!J1030</f>
        <v>234694.81258974862</v>
      </c>
      <c r="K1030" s="434">
        <f>'II-I-DIST'!K1030+'II-I-MET'!K1030+'II-I-TBILLTDCS'!K1030</f>
        <v>12644.393972917851</v>
      </c>
      <c r="L1030" s="434">
        <f>'II-I-DIST'!L1030+'II-I-MET'!L1030+'II-I-TBILLTDCS'!L1030</f>
        <v>142145.84993465294</v>
      </c>
      <c r="M1030" s="434">
        <f>'II-I-DIST'!M1030+'II-I-MET'!M1030+'II-I-TBILLTDCS'!M1030</f>
        <v>311.97091369893394</v>
      </c>
      <c r="N1030" s="434">
        <f>'II-I-DIST'!N1030+'II-I-MET'!N1030+'II-I-TBILLTDCS'!N1030</f>
        <v>24447.030610308502</v>
      </c>
      <c r="O1030" s="434">
        <f>'II-I-DIST'!O1030+'II-I-MET'!O1030+'II-I-TBILLTDCS'!O1030</f>
        <v>2061.021610645324</v>
      </c>
      <c r="P1030" s="434">
        <f>'II-I-DIST'!P1030+'II-I-MET'!P1030+'II-I-TBILLTDCS'!P1030</f>
        <v>769.2483758823289</v>
      </c>
      <c r="Q1030" s="434">
        <f>'II-I-DIST'!Q1030+'II-I-MET'!Q1030+'II-I-TBILLTDCS'!Q1030</f>
        <v>3146.8948193348056</v>
      </c>
      <c r="R1030" s="434">
        <f>'II-I-DIST'!R1030+'II-I-MET'!R1030+'II-I-TBILLTDCS'!R1030</f>
        <v>246.17369477553231</v>
      </c>
      <c r="S1030" s="434">
        <f>'II-I-DIST'!S1030+'II-I-MET'!S1030+'II-I-TBILLTDCS'!S1030</f>
        <v>1075.5434780352052</v>
      </c>
      <c r="T1030" s="17"/>
      <c r="U1030" s="118">
        <f>SUM(I1030:T1030)</f>
        <v>421542.94000000006</v>
      </c>
      <c r="V1030" s="67"/>
      <c r="X1030" s="370">
        <f t="shared" si="258"/>
        <v>0</v>
      </c>
    </row>
    <row r="1031" spans="1:24" ht="14.25">
      <c r="A1031" s="47"/>
      <c r="B1031" s="17">
        <f t="shared" si="261"/>
        <v>13</v>
      </c>
      <c r="C1031" s="1" t="s">
        <v>112</v>
      </c>
      <c r="D1031" s="1" t="s">
        <v>302</v>
      </c>
      <c r="E1031" s="17"/>
      <c r="F1031" s="118">
        <f>' WP II-I-1.4'!L1031</f>
        <v>0</v>
      </c>
      <c r="G1031" s="17" t="s">
        <v>805</v>
      </c>
      <c r="H1031" s="47" t="s">
        <v>320</v>
      </c>
      <c r="I1031" s="17"/>
      <c r="J1031" s="434">
        <f>'II-I-DIST'!J1031+'II-I-MET'!J1031+'II-I-TBILLTDCS'!J1031</f>
        <v>0</v>
      </c>
      <c r="K1031" s="434">
        <f>'II-I-DIST'!K1031+'II-I-MET'!K1031+'II-I-TBILLTDCS'!K1031</f>
        <v>0</v>
      </c>
      <c r="L1031" s="434">
        <f>'II-I-DIST'!L1031+'II-I-MET'!L1031+'II-I-TBILLTDCS'!L1031</f>
        <v>0</v>
      </c>
      <c r="M1031" s="434">
        <f>'II-I-DIST'!M1031+'II-I-MET'!M1031+'II-I-TBILLTDCS'!M1031</f>
        <v>0</v>
      </c>
      <c r="N1031" s="434">
        <f>'II-I-DIST'!N1031+'II-I-MET'!N1031+'II-I-TBILLTDCS'!N1031</f>
        <v>0</v>
      </c>
      <c r="O1031" s="434">
        <f>'II-I-DIST'!O1031+'II-I-MET'!O1031+'II-I-TBILLTDCS'!O1031</f>
        <v>0</v>
      </c>
      <c r="P1031" s="434">
        <f>'II-I-DIST'!P1031+'II-I-MET'!P1031+'II-I-TBILLTDCS'!P1031</f>
        <v>0</v>
      </c>
      <c r="Q1031" s="434">
        <f>'II-I-DIST'!Q1031+'II-I-MET'!Q1031+'II-I-TBILLTDCS'!Q1031</f>
        <v>0</v>
      </c>
      <c r="R1031" s="434">
        <f>'II-I-DIST'!R1031+'II-I-MET'!R1031+'II-I-TBILLTDCS'!R1031</f>
        <v>0</v>
      </c>
      <c r="S1031" s="434">
        <f>'II-I-DIST'!S1031+'II-I-MET'!S1031+'II-I-TBILLTDCS'!S1031</f>
        <v>0</v>
      </c>
      <c r="T1031" s="17"/>
      <c r="U1031" s="118">
        <f>SUM(I1031:T1031)</f>
        <v>0</v>
      </c>
      <c r="V1031" s="67"/>
      <c r="X1031" s="370">
        <f t="shared" si="258"/>
        <v>0</v>
      </c>
    </row>
    <row r="1032" spans="1:24" ht="16.5">
      <c r="A1032" s="47"/>
      <c r="B1032" s="17">
        <f t="shared" si="261"/>
        <v>14</v>
      </c>
      <c r="C1032" s="1" t="s">
        <v>112</v>
      </c>
      <c r="D1032" s="1" t="s">
        <v>303</v>
      </c>
      <c r="E1032" s="17"/>
      <c r="F1032" s="118">
        <f>' WP II-I-1.4'!L1032</f>
        <v>0</v>
      </c>
      <c r="G1032" s="17" t="s">
        <v>805</v>
      </c>
      <c r="H1032" s="47" t="s">
        <v>320</v>
      </c>
      <c r="I1032" s="17"/>
      <c r="J1032" s="1077">
        <f>'II-I-DIST'!J1032+'II-I-MET'!J1032+'II-I-TBILLTDCS'!J1032</f>
        <v>0</v>
      </c>
      <c r="K1032" s="1077">
        <f>'II-I-DIST'!K1032+'II-I-MET'!K1032+'II-I-TBILLTDCS'!K1032</f>
        <v>0</v>
      </c>
      <c r="L1032" s="1077">
        <f>'II-I-DIST'!L1032+'II-I-MET'!L1032+'II-I-TBILLTDCS'!L1032</f>
        <v>0</v>
      </c>
      <c r="M1032" s="1077">
        <f>'II-I-DIST'!M1032+'II-I-MET'!M1032+'II-I-TBILLTDCS'!M1032</f>
        <v>0</v>
      </c>
      <c r="N1032" s="1077">
        <f>'II-I-DIST'!N1032+'II-I-MET'!N1032+'II-I-TBILLTDCS'!N1032</f>
        <v>0</v>
      </c>
      <c r="O1032" s="1077">
        <f>'II-I-DIST'!O1032+'II-I-MET'!O1032+'II-I-TBILLTDCS'!O1032</f>
        <v>0</v>
      </c>
      <c r="P1032" s="1077">
        <f>'II-I-DIST'!P1032+'II-I-MET'!P1032+'II-I-TBILLTDCS'!P1032</f>
        <v>0</v>
      </c>
      <c r="Q1032" s="1077">
        <f>'II-I-DIST'!Q1032+'II-I-MET'!Q1032+'II-I-TBILLTDCS'!Q1032</f>
        <v>0</v>
      </c>
      <c r="R1032" s="1077">
        <f>'II-I-DIST'!R1032+'II-I-MET'!R1032+'II-I-TBILLTDCS'!R1032</f>
        <v>0</v>
      </c>
      <c r="S1032" s="1077">
        <f>'II-I-DIST'!S1032+'II-I-MET'!S1032+'II-I-TBILLTDCS'!S1032</f>
        <v>0</v>
      </c>
      <c r="T1032" s="17"/>
      <c r="U1032" s="118">
        <f>SUM(I1032:T1032)</f>
        <v>0</v>
      </c>
      <c r="V1032" s="67"/>
      <c r="X1032" s="370">
        <f t="shared" si="258"/>
        <v>0</v>
      </c>
    </row>
    <row r="1033" spans="1:24" ht="15">
      <c r="A1033" s="47"/>
      <c r="B1033" s="17">
        <f t="shared" si="261"/>
        <v>15</v>
      </c>
      <c r="C1033" s="8"/>
      <c r="D1033" s="297" t="s">
        <v>491</v>
      </c>
      <c r="E1033" s="20"/>
      <c r="F1033" s="22">
        <f>SUM(F1021:F1032)</f>
        <v>42924068.850000001</v>
      </c>
      <c r="G1033" s="20"/>
      <c r="H1033" s="20"/>
      <c r="I1033" s="20"/>
      <c r="J1033" s="896">
        <f t="shared" si="264" ref="J1033:Q1033">SUM(J1021:J1032)</f>
        <v>23906382.285486482</v>
      </c>
      <c r="K1033" s="896">
        <f t="shared" si="264"/>
        <v>2175468.2666913075</v>
      </c>
      <c r="L1033" s="896">
        <f t="shared" si="264"/>
        <v>13327949.661938967</v>
      </c>
      <c r="M1033" s="896">
        <f t="shared" si="264"/>
        <v>79101.982598053364</v>
      </c>
      <c r="N1033" s="896">
        <f t="shared" si="264"/>
        <v>2801474.8100925856</v>
      </c>
      <c r="O1033" s="896">
        <f>SUM(O1021:O1032)</f>
        <v>174368.12708048811</v>
      </c>
      <c r="P1033" s="896">
        <f t="shared" si="264"/>
        <v>141077.48039669692</v>
      </c>
      <c r="Q1033" s="896">
        <f t="shared" si="264"/>
        <v>217231.15246933853</v>
      </c>
      <c r="R1033" s="896">
        <f>SUM(R1021:R1032)</f>
        <v>20655.996956363266</v>
      </c>
      <c r="S1033" s="896">
        <f>SUM(S1021:S1032)</f>
        <v>80359.08628971997</v>
      </c>
      <c r="T1033" s="20"/>
      <c r="U1033" s="299">
        <f>SUM(I1033:T1033)</f>
        <v>42924068.849999994</v>
      </c>
      <c r="V1033" s="67"/>
      <c r="W1033" s="1300" t="b">
        <f>' WP II-I-1.4'!$L$1033=U1033</f>
        <v>1</v>
      </c>
      <c r="X1033" s="370">
        <f t="shared" si="258"/>
        <v>0</v>
      </c>
    </row>
    <row r="1034" spans="1:24" ht="15.75" thickBot="1">
      <c r="A1034" s="47"/>
      <c r="B1034" s="17">
        <f t="shared" si="261"/>
        <v>16</v>
      </c>
      <c r="C1034" s="8"/>
      <c r="D1034" s="297"/>
      <c r="E1034" s="20"/>
      <c r="F1034" s="22"/>
      <c r="G1034" s="20"/>
      <c r="H1034" s="20"/>
      <c r="I1034" s="20"/>
      <c r="J1034" s="896"/>
      <c r="K1034" s="896"/>
      <c r="L1034" s="896"/>
      <c r="M1034" s="896"/>
      <c r="N1034" s="896"/>
      <c r="O1034" s="896"/>
      <c r="P1034" s="896"/>
      <c r="Q1034" s="896"/>
      <c r="R1034" s="896"/>
      <c r="S1034" s="896"/>
      <c r="T1034" s="20"/>
      <c r="U1034" s="299"/>
      <c r="V1034" s="67"/>
      <c r="X1034" s="370">
        <f t="shared" si="258"/>
        <v>0</v>
      </c>
    </row>
    <row r="1035" spans="1:24" ht="15.75" thickBot="1">
      <c r="A1035" s="47"/>
      <c r="B1035" s="17">
        <f t="shared" si="261"/>
        <v>17</v>
      </c>
      <c r="C1035" s="284" t="s">
        <v>709</v>
      </c>
      <c r="D1035" s="285"/>
      <c r="E1035" s="374" t="s">
        <v>297</v>
      </c>
      <c r="F1035" s="255">
        <f>F975+F987+F1004+F1033</f>
        <v>523660785.71999991</v>
      </c>
      <c r="G1035" s="374"/>
      <c r="H1035" s="467"/>
      <c r="I1035" s="1066"/>
      <c r="J1035" s="446">
        <f t="shared" si="265" ref="J1035:Q1035">J975+J987+J1004+J1033</f>
        <v>281123047.32723951</v>
      </c>
      <c r="K1035" s="903">
        <f t="shared" si="265"/>
        <v>15761938.405365963</v>
      </c>
      <c r="L1035" s="903">
        <f t="shared" si="265"/>
        <v>169466382.40089017</v>
      </c>
      <c r="M1035" s="903">
        <f t="shared" si="265"/>
        <v>291163.56087818439</v>
      </c>
      <c r="N1035" s="903">
        <f t="shared" si="265"/>
        <v>27629168.085555062</v>
      </c>
      <c r="O1035" s="903">
        <f>O975+O987+O1004+O1033</f>
        <v>1898475.8477377635</v>
      </c>
      <c r="P1035" s="903">
        <f t="shared" si="265"/>
        <v>724734.40091823856</v>
      </c>
      <c r="Q1035" s="903">
        <f t="shared" si="265"/>
        <v>25262785.72578226</v>
      </c>
      <c r="R1035" s="903">
        <f>R975+R987+R1004+R1033</f>
        <v>226786.57457081863</v>
      </c>
      <c r="S1035" s="380">
        <f>S975+S987+S1004+S1033</f>
        <v>1276303.3910621018</v>
      </c>
      <c r="T1035" s="467"/>
      <c r="U1035" s="380">
        <f>SUM(I1035:T1035)</f>
        <v>523660785.72000009</v>
      </c>
      <c r="V1035" s="67"/>
      <c r="W1035" s="1300" t="b">
        <f>' WP II-I-1.4'!$L$1035=U1035</f>
        <v>1</v>
      </c>
      <c r="X1035" s="370">
        <f t="shared" si="258"/>
        <v>0</v>
      </c>
    </row>
    <row r="1036" spans="1:24" ht="15">
      <c r="A1036" s="47"/>
      <c r="B1036" s="17">
        <f t="shared" si="261"/>
        <v>18</v>
      </c>
      <c r="C1036" s="8"/>
      <c r="D1036" s="297"/>
      <c r="E1036" s="20"/>
      <c r="F1036" s="22"/>
      <c r="G1036" s="20"/>
      <c r="H1036" s="20"/>
      <c r="I1036" s="20"/>
      <c r="J1036" s="1059"/>
      <c r="K1036" s="1059"/>
      <c r="L1036" s="1059"/>
      <c r="M1036" s="1059"/>
      <c r="N1036" s="1059"/>
      <c r="O1036" s="1059"/>
      <c r="P1036" s="1059"/>
      <c r="Q1036" s="1059"/>
      <c r="R1036" s="1059"/>
      <c r="S1036" s="1059"/>
      <c r="T1036" s="20"/>
      <c r="U1036" s="299"/>
      <c r="V1036" s="67"/>
      <c r="X1036" s="370">
        <f t="shared" si="258"/>
        <v>0</v>
      </c>
    </row>
    <row r="1037" spans="1:24" ht="15">
      <c r="A1037" s="47"/>
      <c r="B1037" s="17">
        <f t="shared" si="261"/>
        <v>19</v>
      </c>
      <c r="C1037" s="8" t="s">
        <v>710</v>
      </c>
      <c r="D1037" s="297"/>
      <c r="E1037" s="20" t="s">
        <v>330</v>
      </c>
      <c r="F1037" s="118">
        <f>' WP II-I-1.4'!L1037</f>
        <v>97.260000000002037</v>
      </c>
      <c r="G1037" s="17" t="s">
        <v>805</v>
      </c>
      <c r="H1037" s="47" t="s">
        <v>320</v>
      </c>
      <c r="I1037" s="1009"/>
      <c r="J1037" s="434">
        <f>'II-I-DIST'!J1037+'II-I-MET'!J1037+'II-I-TBILLTDCS'!J1037</f>
        <v>54.134644040768016</v>
      </c>
      <c r="K1037" s="434">
        <f>'II-I-DIST'!K1037+'II-I-MET'!K1037+'II-I-TBILLTDCS'!K1037</f>
        <v>1.799564729364471</v>
      </c>
      <c r="L1037" s="434">
        <f>'II-I-DIST'!L1037+'II-I-MET'!L1037+'II-I-TBILLTDCS'!L1037</f>
        <v>34.236277830216963</v>
      </c>
      <c r="M1037" s="434">
        <f>'II-I-DIST'!M1037+'II-I-MET'!M1037+'II-I-TBILLTDCS'!M1037</f>
        <v>0.012397377131448997</v>
      </c>
      <c r="N1037" s="434">
        <f>'II-I-DIST'!N1037+'II-I-MET'!N1037+'II-I-TBILLTDCS'!N1037</f>
        <v>5.247194153585375</v>
      </c>
      <c r="O1037" s="434">
        <f>'II-I-DIST'!O1037+'II-I-MET'!O1037+'II-I-TBILLTDCS'!O1037</f>
        <v>0.52016377457755125</v>
      </c>
      <c r="P1037" s="434">
        <f>'II-I-DIST'!P1037+'II-I-MET'!P1037+'II-I-TBILLTDCS'!P1037</f>
        <v>0.098494977112858317</v>
      </c>
      <c r="Q1037" s="434">
        <f>'II-I-DIST'!Q1037+'II-I-MET'!Q1037+'II-I-TBILLTDCS'!Q1037</f>
        <v>0.86408598007286253</v>
      </c>
      <c r="R1037" s="434">
        <f>'II-I-DIST'!R1037+'II-I-MET'!R1037+'II-I-TBILLTDCS'!R1037</f>
        <v>0.062344884025918909</v>
      </c>
      <c r="S1037" s="434">
        <f>'II-I-DIST'!S1037+'II-I-MET'!S1037+'II-I-TBILLTDCS'!S1037</f>
        <v>0.28483225314656752</v>
      </c>
      <c r="T1037" s="1009"/>
      <c r="U1037" s="118">
        <f>SUM(I1037:T1037)</f>
        <v>97.260000000002023</v>
      </c>
      <c r="V1037" s="67"/>
      <c r="X1037" s="370">
        <f t="shared" si="258"/>
        <v>0</v>
      </c>
    </row>
    <row r="1038" spans="1:24" ht="15">
      <c r="A1038" s="47"/>
      <c r="B1038" s="17">
        <f t="shared" si="261"/>
        <v>20</v>
      </c>
      <c r="C1038" s="8" t="s">
        <v>711</v>
      </c>
      <c r="D1038" s="297"/>
      <c r="E1038" s="20" t="s">
        <v>333</v>
      </c>
      <c r="F1038" s="118">
        <f>' WP II-I-1.4'!L1038</f>
        <v>22686957.009999998</v>
      </c>
      <c r="G1038" s="17" t="s">
        <v>805</v>
      </c>
      <c r="H1038" s="47" t="s">
        <v>320</v>
      </c>
      <c r="I1038" s="1009"/>
      <c r="J1038" s="434">
        <f>'II-I-DIST'!J1038+'II-I-MET'!J1038+'II-I-TBILLTDCS'!J1038</f>
        <v>12650604.570941817</v>
      </c>
      <c r="K1038" s="434">
        <f>'II-I-DIST'!K1038+'II-I-MET'!K1038+'II-I-TBILLTDCS'!K1038</f>
        <v>2137049.074743805</v>
      </c>
      <c r="L1038" s="434">
        <f>'II-I-DIST'!L1038+'II-I-MET'!L1038+'II-I-TBILLTDCS'!L1038</f>
        <v>5773944.4214594383</v>
      </c>
      <c r="M1038" s="434">
        <f>'II-I-DIST'!M1038+'II-I-MET'!M1038+'II-I-TBILLTDCS'!M1038</f>
        <v>94427.661177398957</v>
      </c>
      <c r="N1038" s="434">
        <f>'II-I-DIST'!N1038+'II-I-MET'!N1038+'II-I-TBILLTDCS'!N1038</f>
        <v>1828222.8670547558</v>
      </c>
      <c r="O1038" s="434">
        <f>'II-I-DIST'!O1038+'II-I-MET'!O1038+'II-I-TBILLTDCS'!O1038</f>
        <v>52757.78265492386</v>
      </c>
      <c r="P1038" s="434">
        <f>'II-I-DIST'!P1038+'II-I-MET'!P1038+'II-I-TBILLTDCS'!P1038</f>
        <v>144326.28744085226</v>
      </c>
      <c r="Q1038" s="434">
        <f>'II-I-DIST'!Q1038+'II-I-MET'!Q1038+'II-I-TBILLTDCS'!Q1038</f>
        <v>-10487.202598244572</v>
      </c>
      <c r="R1038" s="434">
        <f>'II-I-DIST'!R1038+'II-I-MET'!R1038+'II-I-TBILLTDCS'!R1038</f>
        <v>6021.1197368341127</v>
      </c>
      <c r="S1038" s="434">
        <f>'II-I-DIST'!S1038+'II-I-MET'!S1038+'II-I-TBILLTDCS'!S1038</f>
        <v>10090.427388427774</v>
      </c>
      <c r="T1038" s="1009"/>
      <c r="U1038" s="118">
        <f>SUM(I1038:T1038)</f>
        <v>22686957.010000009</v>
      </c>
      <c r="V1038" s="67"/>
      <c r="X1038" s="370">
        <f t="shared" si="258"/>
        <v>0</v>
      </c>
    </row>
    <row r="1039" spans="1:24" ht="15.75" thickBot="1">
      <c r="A1039" s="47"/>
      <c r="B1039" s="17">
        <f t="shared" si="261"/>
        <v>21</v>
      </c>
      <c r="C1039" s="8"/>
      <c r="D1039" s="297"/>
      <c r="E1039" s="20"/>
      <c r="F1039" s="22"/>
      <c r="G1039" s="20"/>
      <c r="H1039" s="20"/>
      <c r="I1039" s="20"/>
      <c r="J1039" s="1059"/>
      <c r="K1039" s="1059"/>
      <c r="L1039" s="1059"/>
      <c r="M1039" s="1059"/>
      <c r="N1039" s="1059"/>
      <c r="O1039" s="1059"/>
      <c r="P1039" s="1059"/>
      <c r="Q1039" s="1059"/>
      <c r="R1039" s="1059"/>
      <c r="S1039" s="1059"/>
      <c r="T1039" s="20"/>
      <c r="U1039" s="299"/>
      <c r="V1039" s="67"/>
      <c r="X1039" s="370">
        <f t="shared" si="258"/>
        <v>0</v>
      </c>
    </row>
    <row r="1040" spans="1:24" ht="15.75" thickBot="1">
      <c r="A1040" s="47"/>
      <c r="B1040" s="17">
        <f t="shared" si="261"/>
        <v>22</v>
      </c>
      <c r="C1040" s="284" t="s">
        <v>712</v>
      </c>
      <c r="D1040" s="285"/>
      <c r="E1040" s="374"/>
      <c r="F1040" s="255">
        <f>SUM(F1035:F1038)</f>
        <v>546347839.98999989</v>
      </c>
      <c r="G1040" s="374"/>
      <c r="H1040" s="467"/>
      <c r="I1040" s="1066"/>
      <c r="J1040" s="446">
        <f t="shared" si="266" ref="J1040:Q1040">SUM(J1035:J1038)</f>
        <v>293773706.03282535</v>
      </c>
      <c r="K1040" s="903">
        <f t="shared" si="266"/>
        <v>17898989.279674497</v>
      </c>
      <c r="L1040" s="903">
        <f t="shared" si="266"/>
        <v>175240361.05862743</v>
      </c>
      <c r="M1040" s="903">
        <f t="shared" si="266"/>
        <v>385591.23445296043</v>
      </c>
      <c r="N1040" s="903">
        <f t="shared" si="266"/>
        <v>29457396.199803971</v>
      </c>
      <c r="O1040" s="903">
        <f>SUM(O1035:O1038)</f>
        <v>1951234.1505564619</v>
      </c>
      <c r="P1040" s="903">
        <f t="shared" si="266"/>
        <v>869060.78685406793</v>
      </c>
      <c r="Q1040" s="903">
        <f t="shared" si="266"/>
        <v>25252299.387269996</v>
      </c>
      <c r="R1040" s="903">
        <f>SUM(R1035:R1038)</f>
        <v>232807.75665253677</v>
      </c>
      <c r="S1040" s="380">
        <f>SUM(S1035:S1038)</f>
        <v>1286394.1032827827</v>
      </c>
      <c r="T1040" s="467"/>
      <c r="U1040" s="380">
        <f>SUM(I1040:T1040)</f>
        <v>546347839.99000013</v>
      </c>
      <c r="V1040" s="67"/>
      <c r="W1040" s="1300" t="b">
        <f>' WP II-I-1.4'!$L$1040=U1040</f>
        <v>1</v>
      </c>
      <c r="X1040" s="370">
        <f t="shared" si="258"/>
        <v>0</v>
      </c>
    </row>
    <row r="1041" spans="1:24" ht="14.25">
      <c r="A1041" s="4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X1041" s="370">
        <f t="shared" si="258"/>
        <v>0</v>
      </c>
    </row>
    <row r="1042" spans="1:24" ht="14.25">
      <c r="A1042" s="47"/>
      <c r="B1042" s="67"/>
      <c r="C1042" s="67"/>
      <c r="D1042" s="67"/>
      <c r="E1042" s="67"/>
      <c r="F1042" s="67"/>
      <c r="G1042" s="67"/>
      <c r="H1042" s="134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134"/>
      <c r="V1042" s="134"/>
      <c r="X1042" s="370"/>
    </row>
    <row r="1043" spans="1:24" ht="15" thickBot="1">
      <c r="A1043" s="47"/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X1043" s="370">
        <f t="shared" si="258"/>
        <v>0</v>
      </c>
    </row>
    <row r="1044" spans="1:24" ht="15">
      <c r="A1044" s="47"/>
      <c r="B1044" s="920" t="str">
        <f>+$B$4</f>
        <v>2022 RATE CASE</v>
      </c>
      <c r="C1044" s="935"/>
      <c r="D1044" s="969"/>
      <c r="F1044" s="332"/>
      <c r="U1044" s="134"/>
      <c r="X1044" s="370">
        <f t="shared" si="258"/>
        <v>0</v>
      </c>
    </row>
    <row r="1045" spans="1:24" ht="15">
      <c r="A1045" s="47"/>
      <c r="B1045" s="917" t="str">
        <f>+$B$5</f>
        <v>ONCOR ELECTRIC DELIVERY COMPANY LLC</v>
      </c>
      <c r="C1045" s="8"/>
      <c r="D1045" s="970"/>
      <c r="F1045" s="332"/>
      <c r="U1045" s="134"/>
      <c r="V1045" s="67"/>
      <c r="X1045" s="370">
        <f t="shared" si="258"/>
        <v>0</v>
      </c>
    </row>
    <row r="1046" spans="1:24" ht="15">
      <c r="A1046" s="47"/>
      <c r="B1046" s="917" t="str">
        <f>+$B$6</f>
        <v>II-I-1-TOT:  CLASS REVENUE REQUIREMENT</v>
      </c>
      <c r="C1046" s="85"/>
      <c r="D1046" s="970"/>
      <c r="F1046" s="332"/>
      <c r="U1046" s="332"/>
      <c r="V1046" s="67"/>
      <c r="X1046" s="370">
        <f t="shared" si="258"/>
        <v>0</v>
      </c>
    </row>
    <row r="1047" spans="1:24" ht="15">
      <c r="A1047" s="47"/>
      <c r="B1047" s="406" t="str">
        <f>+$B$7</f>
        <v>TEST YEAR ENDING 12/31/2021</v>
      </c>
      <c r="C1047" s="85"/>
      <c r="D1047" s="970"/>
      <c r="F1047" s="332"/>
      <c r="U1047" s="332"/>
      <c r="V1047" s="67"/>
      <c r="X1047" s="370">
        <f t="shared" si="258"/>
        <v>0</v>
      </c>
    </row>
    <row r="1048" spans="1:24" ht="15">
      <c r="A1048" s="47"/>
      <c r="B1048" s="406" t="str">
        <f>+$B$8</f>
        <v>SPONSOR:  MATTHEW A. TROXLE</v>
      </c>
      <c r="C1048" s="85"/>
      <c r="D1048" s="970"/>
      <c r="F1048" s="332"/>
      <c r="U1048" s="332"/>
      <c r="V1048" s="67"/>
      <c r="X1048" s="370">
        <f t="shared" si="258"/>
        <v>0</v>
      </c>
    </row>
    <row r="1049" spans="1:24" ht="15.75" thickBot="1">
      <c r="A1049" s="47"/>
      <c r="B1049" s="410"/>
      <c r="C1049" s="934"/>
      <c r="D1049" s="936"/>
      <c r="F1049" s="332"/>
      <c r="U1049" s="332"/>
      <c r="V1049" s="67"/>
      <c r="X1049" s="370">
        <f t="shared" si="258"/>
        <v>0</v>
      </c>
    </row>
    <row r="1050" spans="1:24" ht="15" thickBot="1">
      <c r="A1050" s="47"/>
      <c r="B1050" s="13"/>
      <c r="C1050" s="14"/>
      <c r="D1050" s="14"/>
      <c r="E1050" s="14"/>
      <c r="F1050" s="13"/>
      <c r="G1050" s="14"/>
      <c r="H1050" s="14"/>
      <c r="I1050" s="14"/>
      <c r="J1050" s="238"/>
      <c r="K1050" s="238"/>
      <c r="L1050" s="14"/>
      <c r="M1050" s="238"/>
      <c r="N1050" s="238"/>
      <c r="O1050" s="238"/>
      <c r="P1050" s="238"/>
      <c r="Q1050" s="14"/>
      <c r="R1050" s="393" t="str">
        <f>R$10</f>
        <v xml:space="preserve"> </v>
      </c>
      <c r="S1050" s="394"/>
      <c r="T1050" s="238"/>
      <c r="U1050" s="13"/>
      <c r="V1050" s="67"/>
      <c r="X1050" s="370">
        <f t="shared" si="258"/>
        <v>0</v>
      </c>
    </row>
    <row r="1051" spans="1:24" ht="15">
      <c r="A1051" s="47"/>
      <c r="B1051" s="15" t="s">
        <v>2</v>
      </c>
      <c r="C1051" s="15" t="s">
        <v>370</v>
      </c>
      <c r="D1051" s="287" t="s">
        <v>304</v>
      </c>
      <c r="E1051" s="15" t="s">
        <v>371</v>
      </c>
      <c r="F1051" s="287" t="str">
        <f>F$11</f>
        <v>TOTAL</v>
      </c>
      <c r="G1051" s="242" t="s">
        <v>741</v>
      </c>
      <c r="H1051" s="242" t="s">
        <v>376</v>
      </c>
      <c r="I1051" s="15"/>
      <c r="J1051" s="242" t="s">
        <v>730</v>
      </c>
      <c r="K1051" s="242" t="s">
        <v>409</v>
      </c>
      <c r="L1051" s="15" t="s">
        <v>409</v>
      </c>
      <c r="M1051" s="242" t="s">
        <v>410</v>
      </c>
      <c r="N1051" s="242" t="s">
        <v>410</v>
      </c>
      <c r="O1051" s="242" t="s">
        <v>410</v>
      </c>
      <c r="P1051" s="242" t="s">
        <v>411</v>
      </c>
      <c r="Q1051" s="15" t="s">
        <v>412</v>
      </c>
      <c r="R1051" s="396" t="str">
        <f>R$11</f>
        <v>Wholesale</v>
      </c>
      <c r="S1051" s="13" t="str">
        <f>S$11</f>
        <v>Wholesale</v>
      </c>
      <c r="T1051" s="242"/>
      <c r="U1051" s="15" t="s">
        <v>10</v>
      </c>
      <c r="V1051" s="67"/>
      <c r="X1051" s="370"/>
    </row>
    <row r="1052" spans="1:24" ht="14.25">
      <c r="A1052" s="47"/>
      <c r="B1052" s="15"/>
      <c r="C1052" s="15"/>
      <c r="D1052" s="15"/>
      <c r="E1052" s="15"/>
      <c r="F1052" s="15" t="str">
        <f>F$12</f>
        <v>(Dist+Met+Cust)</v>
      </c>
      <c r="G1052" s="242" t="s">
        <v>742</v>
      </c>
      <c r="H1052" s="242" t="s">
        <v>743</v>
      </c>
      <c r="I1052" s="15"/>
      <c r="J1052" s="242"/>
      <c r="K1052" s="242" t="s">
        <v>731</v>
      </c>
      <c r="L1052" s="15" t="s">
        <v>732</v>
      </c>
      <c r="M1052" s="242" t="s">
        <v>731</v>
      </c>
      <c r="N1052" s="242" t="s">
        <v>732</v>
      </c>
      <c r="O1052" s="242" t="s">
        <v>414</v>
      </c>
      <c r="P1052" s="242"/>
      <c r="Q1052" s="15"/>
      <c r="R1052" s="235" t="str">
        <f>R$12</f>
        <v>XFMR</v>
      </c>
      <c r="S1052" s="15" t="str">
        <f>S$12</f>
        <v>DLS</v>
      </c>
      <c r="T1052" s="242"/>
      <c r="U1052" s="15"/>
      <c r="V1052" s="67"/>
      <c r="X1052" s="370"/>
    </row>
    <row r="1053" spans="1:24" ht="15" thickBot="1">
      <c r="A1053" s="47"/>
      <c r="B1053" s="16"/>
      <c r="C1053" s="16"/>
      <c r="D1053" s="16"/>
      <c r="E1053" s="16"/>
      <c r="F1053" s="16" t="s">
        <v>13</v>
      </c>
      <c r="G1053" s="16" t="s">
        <v>14</v>
      </c>
      <c r="H1053" s="16" t="s">
        <v>15</v>
      </c>
      <c r="I1053" s="16"/>
      <c r="J1053" s="243" t="str">
        <f t="shared" si="267" ref="J1053:Q1053">J$13</f>
        <v>(d)</v>
      </c>
      <c r="K1053" s="243" t="str">
        <f t="shared" si="267"/>
        <v>(e)</v>
      </c>
      <c r="L1053" s="16" t="str">
        <f t="shared" si="267"/>
        <v>(f)</v>
      </c>
      <c r="M1053" s="243" t="str">
        <f t="shared" si="267"/>
        <v>(g)</v>
      </c>
      <c r="N1053" s="243" t="str">
        <f t="shared" si="267"/>
        <v>(h)</v>
      </c>
      <c r="O1053" s="243" t="str">
        <f>O$13</f>
        <v>(i)</v>
      </c>
      <c r="P1053" s="243" t="str">
        <f t="shared" si="267"/>
        <v>(j)</v>
      </c>
      <c r="Q1053" s="243" t="str">
        <f t="shared" si="267"/>
        <v>(k)</v>
      </c>
      <c r="R1053" s="243" t="str">
        <f>R$13</f>
        <v>(l)</v>
      </c>
      <c r="S1053" s="16" t="str">
        <f>S$13</f>
        <v>(m)</v>
      </c>
      <c r="T1053" s="16"/>
      <c r="U1053" s="16" t="s">
        <v>734</v>
      </c>
      <c r="V1053" s="67"/>
      <c r="X1053" s="370"/>
    </row>
    <row r="1054" spans="1:24" ht="14.25">
      <c r="A1054" s="47"/>
      <c r="B1054" s="67"/>
      <c r="C1054" s="333"/>
      <c r="D1054" s="333"/>
      <c r="E1054" s="333"/>
      <c r="F1054" s="333"/>
      <c r="G1054" s="333"/>
      <c r="H1054" s="333"/>
      <c r="I1054" s="333"/>
      <c r="J1054" s="333"/>
      <c r="K1054" s="333"/>
      <c r="L1054" s="333"/>
      <c r="M1054" s="333"/>
      <c r="N1054" s="333"/>
      <c r="O1054" s="333"/>
      <c r="P1054" s="333"/>
      <c r="Q1054" s="333"/>
      <c r="R1054" s="333"/>
      <c r="S1054" s="333"/>
      <c r="T1054" s="333"/>
      <c r="U1054" s="43"/>
      <c r="V1054" s="67"/>
      <c r="X1054" s="370">
        <f t="shared" si="258"/>
        <v>0</v>
      </c>
    </row>
    <row r="1055" spans="1:24" ht="15">
      <c r="A1055" s="47"/>
      <c r="B1055" s="17">
        <f t="shared" si="268" ref="B1055:B1072">B1054+1</f>
        <v>1</v>
      </c>
      <c r="C1055" s="366" t="s">
        <v>304</v>
      </c>
      <c r="D1055" s="366"/>
      <c r="E1055" s="20"/>
      <c r="F1055" s="22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8"/>
      <c r="V1055" s="67"/>
      <c r="X1055" s="370">
        <f t="shared" si="258"/>
        <v>0</v>
      </c>
    </row>
    <row r="1056" spans="1:24" ht="14.25">
      <c r="A1056" s="47"/>
      <c r="B1056" s="17">
        <f t="shared" si="268"/>
        <v>2</v>
      </c>
      <c r="C1056" s="1"/>
      <c r="D1056" s="1"/>
      <c r="E1056" s="17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"/>
      <c r="V1056" s="67"/>
      <c r="X1056" s="370">
        <f t="shared" si="258"/>
        <v>0</v>
      </c>
    </row>
    <row r="1057" spans="1:24" ht="15">
      <c r="A1057" s="47"/>
      <c r="B1057" s="17">
        <f t="shared" si="268"/>
        <v>3</v>
      </c>
      <c r="C1057" s="8" t="s">
        <v>306</v>
      </c>
      <c r="D1057" s="8"/>
      <c r="E1057" s="20" t="s">
        <v>305</v>
      </c>
      <c r="F1057" s="22"/>
      <c r="G1057" s="20"/>
      <c r="H1057" s="20"/>
      <c r="I1057" s="20"/>
      <c r="J1057" s="1059"/>
      <c r="K1057" s="1059"/>
      <c r="L1057" s="1059"/>
      <c r="M1057" s="1059"/>
      <c r="N1057" s="1059"/>
      <c r="O1057" s="1059"/>
      <c r="P1057" s="1059"/>
      <c r="Q1057" s="1059"/>
      <c r="R1057" s="1059"/>
      <c r="S1057" s="1059"/>
      <c r="T1057" s="20"/>
      <c r="U1057" s="8"/>
      <c r="V1057" s="67"/>
      <c r="X1057" s="370">
        <f t="shared" si="258"/>
        <v>0</v>
      </c>
    </row>
    <row r="1058" spans="1:24" ht="14.25">
      <c r="A1058" s="47"/>
      <c r="B1058" s="17">
        <f t="shared" si="268"/>
        <v>4</v>
      </c>
      <c r="C1058" s="1"/>
      <c r="D1058" s="1" t="s">
        <v>307</v>
      </c>
      <c r="E1058" s="17"/>
      <c r="F1058" s="118">
        <f>' WP II-I-1.4'!L1058</f>
        <v>13510563.990000002</v>
      </c>
      <c r="G1058" s="17" t="s">
        <v>805</v>
      </c>
      <c r="H1058" s="47" t="s">
        <v>320</v>
      </c>
      <c r="I1058" s="17"/>
      <c r="J1058" s="434">
        <f>'II-I-DIST'!J1058+'II-I-MET'!J1058+'II-I-TBILLTDCS'!J1058</f>
        <v>7358861.5414926736</v>
      </c>
      <c r="K1058" s="434">
        <f>'II-I-DIST'!K1058+'II-I-MET'!K1058+'II-I-TBILLTDCS'!K1058</f>
        <v>413865.4266812469</v>
      </c>
      <c r="L1058" s="434">
        <f>'II-I-DIST'!L1058+'II-I-MET'!L1058+'II-I-TBILLTDCS'!L1058</f>
        <v>4433087.3950512363</v>
      </c>
      <c r="M1058" s="434">
        <f>'II-I-DIST'!M1058+'II-I-MET'!M1058+'II-I-TBILLTDCS'!M1058</f>
        <v>13725.536258899974</v>
      </c>
      <c r="N1058" s="434">
        <f>'II-I-DIST'!N1058+'II-I-MET'!N1058+'II-I-TBILLTDCS'!N1058</f>
        <v>975974.14373585489</v>
      </c>
      <c r="O1058" s="434">
        <f>'II-I-DIST'!O1058+'II-I-MET'!O1058+'II-I-TBILLTDCS'!O1058</f>
        <v>91355.787882196921</v>
      </c>
      <c r="P1058" s="434">
        <f>'II-I-DIST'!P1058+'II-I-MET'!P1058+'II-I-TBILLTDCS'!P1058</f>
        <v>20088.554288648138</v>
      </c>
      <c r="Q1058" s="434">
        <f>'II-I-DIST'!Q1058+'II-I-MET'!Q1058+'II-I-TBILLTDCS'!Q1058</f>
        <v>151335.35717334849</v>
      </c>
      <c r="R1058" s="434">
        <f>'II-I-DIST'!R1058+'II-I-MET'!R1058+'II-I-TBILLTDCS'!R1058</f>
        <v>10819.146517619427</v>
      </c>
      <c r="S1058" s="434">
        <f>'II-I-DIST'!S1058+'II-I-MET'!S1058+'II-I-TBILLTDCS'!S1058</f>
        <v>41451.100918275581</v>
      </c>
      <c r="T1058" s="17"/>
      <c r="U1058" s="118">
        <f>SUM(I1058:T1058)</f>
        <v>13510563.990000002</v>
      </c>
      <c r="V1058" s="67"/>
      <c r="X1058" s="370">
        <f t="shared" si="258"/>
        <v>0</v>
      </c>
    </row>
    <row r="1059" spans="1:24" ht="14.25">
      <c r="A1059" s="47"/>
      <c r="B1059" s="17">
        <f t="shared" si="268"/>
        <v>5</v>
      </c>
      <c r="C1059" s="1"/>
      <c r="D1059" s="1" t="s">
        <v>308</v>
      </c>
      <c r="E1059" s="17"/>
      <c r="F1059" s="118">
        <f>' WP II-I-1.4'!L1059</f>
        <v>169117.19</v>
      </c>
      <c r="G1059" s="17" t="s">
        <v>805</v>
      </c>
      <c r="H1059" s="47" t="s">
        <v>320</v>
      </c>
      <c r="I1059" s="17"/>
      <c r="J1059" s="434">
        <f>'II-I-DIST'!J1059+'II-I-MET'!J1059+'II-I-TBILLTDCS'!J1059</f>
        <v>92113.844135379768</v>
      </c>
      <c r="K1059" s="434">
        <f>'II-I-DIST'!K1059+'II-I-MET'!K1059+'II-I-TBILLTDCS'!K1059</f>
        <v>5180.5204031483609</v>
      </c>
      <c r="L1059" s="434">
        <f>'II-I-DIST'!L1059+'II-I-MET'!L1059+'II-I-TBILLTDCS'!L1059</f>
        <v>55490.747157427839</v>
      </c>
      <c r="M1059" s="434">
        <f>'II-I-DIST'!M1059+'II-I-MET'!M1059+'II-I-TBILLTDCS'!M1059</f>
        <v>171.80806502768652</v>
      </c>
      <c r="N1059" s="434">
        <f>'II-I-DIST'!N1059+'II-I-MET'!N1059+'II-I-TBILLTDCS'!N1059</f>
        <v>12216.662795463237</v>
      </c>
      <c r="O1059" s="434">
        <f>'II-I-DIST'!O1059+'II-I-MET'!O1059+'II-I-TBILLTDCS'!O1059</f>
        <v>1143.537351974931</v>
      </c>
      <c r="P1059" s="434">
        <f>'II-I-DIST'!P1059+'II-I-MET'!P1059+'II-I-TBILLTDCS'!P1059</f>
        <v>251.45650003513583</v>
      </c>
      <c r="Q1059" s="434">
        <f>'II-I-DIST'!Q1059+'II-I-MET'!Q1059+'II-I-TBILLTDCS'!Q1059</f>
        <v>1894.3257528727463</v>
      </c>
      <c r="R1059" s="434">
        <f>'II-I-DIST'!R1059+'II-I-MET'!R1059+'II-I-TBILLTDCS'!R1059</f>
        <v>135.42763428548344</v>
      </c>
      <c r="S1059" s="434">
        <f>'II-I-DIST'!S1059+'II-I-MET'!S1059+'II-I-TBILLTDCS'!S1059</f>
        <v>518.8602043847834</v>
      </c>
      <c r="T1059" s="17"/>
      <c r="U1059" s="118">
        <f>SUM(I1059:T1059)</f>
        <v>169117.18999999994</v>
      </c>
      <c r="V1059" s="67"/>
      <c r="X1059" s="370">
        <f t="shared" si="258"/>
        <v>0</v>
      </c>
    </row>
    <row r="1060" spans="1:24" ht="14.25">
      <c r="A1060" s="47"/>
      <c r="B1060" s="17">
        <f t="shared" si="268"/>
        <v>6</v>
      </c>
      <c r="C1060" s="1"/>
      <c r="D1060" s="1" t="s">
        <v>309</v>
      </c>
      <c r="E1060" s="17"/>
      <c r="F1060" s="118">
        <f>' WP II-I-1.4'!L1060</f>
        <v>232442.00999999998</v>
      </c>
      <c r="G1060" s="17" t="s">
        <v>805</v>
      </c>
      <c r="H1060" s="47" t="s">
        <v>320</v>
      </c>
      <c r="I1060" s="17"/>
      <c r="J1060" s="435">
        <f>'II-I-DIST'!J1060+'II-I-MET'!J1060+'II-I-TBILLTDCS'!J1060</f>
        <v>126605.26747387696</v>
      </c>
      <c r="K1060" s="435">
        <f>'II-I-DIST'!K1060+'II-I-MET'!K1060+'II-I-TBILLTDCS'!K1060</f>
        <v>7120.3330470128139</v>
      </c>
      <c r="L1060" s="435">
        <f>'II-I-DIST'!L1060+'II-I-MET'!L1060+'II-I-TBILLTDCS'!L1060</f>
        <v>76268.891562957506</v>
      </c>
      <c r="M1060" s="435">
        <f>'II-I-DIST'!M1060+'II-I-MET'!M1060+'II-I-TBILLTDCS'!M1060</f>
        <v>236.14050529318067</v>
      </c>
      <c r="N1060" s="435">
        <f>'II-I-DIST'!N1060+'II-I-MET'!N1060+'II-I-TBILLTDCS'!N1060</f>
        <v>16791.111899563533</v>
      </c>
      <c r="O1060" s="435">
        <f>'II-I-DIST'!O1060+'II-I-MET'!O1060+'II-I-TBILLTDCS'!O1060</f>
        <v>1571.727330793884</v>
      </c>
      <c r="P1060" s="435">
        <f>'II-I-DIST'!P1060+'II-I-MET'!P1060+'II-I-TBILLTDCS'!P1060</f>
        <v>345.61284541211501</v>
      </c>
      <c r="Q1060" s="435">
        <f>'II-I-DIST'!Q1060+'II-I-MET'!Q1060+'II-I-TBILLTDCS'!Q1060</f>
        <v>2603.6437691749679</v>
      </c>
      <c r="R1060" s="435">
        <f>'II-I-DIST'!R1060+'II-I-MET'!R1060+'II-I-TBILLTDCS'!R1060</f>
        <v>186.13761219534115</v>
      </c>
      <c r="S1060" s="435">
        <f>'II-I-DIST'!S1060+'II-I-MET'!S1060+'II-I-TBILLTDCS'!S1060</f>
        <v>713.14395371965713</v>
      </c>
      <c r="T1060" s="17"/>
      <c r="U1060" s="118">
        <f>SUM(I1060:T1060)</f>
        <v>232442.00999999998</v>
      </c>
      <c r="V1060" s="67"/>
      <c r="X1060" s="370">
        <f t="shared" si="258"/>
        <v>0</v>
      </c>
    </row>
    <row r="1061" spans="1:24" ht="15">
      <c r="A1061" s="47"/>
      <c r="B1061" s="17">
        <f t="shared" si="268"/>
        <v>7</v>
      </c>
      <c r="C1061" s="8"/>
      <c r="D1061" s="297" t="s">
        <v>713</v>
      </c>
      <c r="E1061" s="20"/>
      <c r="F1061" s="252">
        <f>SUM(F1058:F1060)</f>
        <v>13912123.190000001</v>
      </c>
      <c r="G1061" s="20"/>
      <c r="H1061" s="20"/>
      <c r="I1061" s="1009"/>
      <c r="J1061" s="252">
        <f t="shared" si="269" ref="J1061:Q1061">SUM(J1058:J1060)</f>
        <v>7577580.6531019304</v>
      </c>
      <c r="K1061" s="252">
        <f t="shared" si="269"/>
        <v>426166.28013140807</v>
      </c>
      <c r="L1061" s="252">
        <f t="shared" si="269"/>
        <v>4564847.0337716211</v>
      </c>
      <c r="M1061" s="252">
        <f t="shared" si="269"/>
        <v>14133.484829220841</v>
      </c>
      <c r="N1061" s="252">
        <f t="shared" si="269"/>
        <v>1004981.9184308817</v>
      </c>
      <c r="O1061" s="252">
        <f>SUM(O1058:O1060)</f>
        <v>94071.052564965736</v>
      </c>
      <c r="P1061" s="252">
        <f t="shared" si="269"/>
        <v>20685.623634095387</v>
      </c>
      <c r="Q1061" s="252">
        <f t="shared" si="269"/>
        <v>155833.32669539619</v>
      </c>
      <c r="R1061" s="252">
        <f>SUM(R1058:R1060)</f>
        <v>11140.711764100252</v>
      </c>
      <c r="S1061" s="252">
        <f>SUM(S1058:S1060)</f>
        <v>42683.105076380023</v>
      </c>
      <c r="T1061" s="1009"/>
      <c r="U1061" s="299">
        <f>SUM(I1061:T1061)</f>
        <v>13912123.19</v>
      </c>
      <c r="V1061" s="67"/>
      <c r="W1061" s="1300" t="b">
        <f>' WP II-I-1.4'!$L$1061=U1061</f>
        <v>1</v>
      </c>
      <c r="X1061" s="370">
        <f t="shared" si="258"/>
        <v>0</v>
      </c>
    </row>
    <row r="1062" spans="1:24" ht="14.25">
      <c r="A1062" s="47"/>
      <c r="B1062" s="17">
        <f t="shared" si="268"/>
        <v>8</v>
      </c>
      <c r="C1062" s="1"/>
      <c r="D1062" s="1"/>
      <c r="E1062" s="17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"/>
      <c r="V1062" s="67"/>
      <c r="X1062" s="370">
        <f t="shared" si="270" ref="X1062:X1128">U1062-F1062</f>
        <v>0</v>
      </c>
    </row>
    <row r="1063" spans="1:24" ht="15">
      <c r="A1063" s="47"/>
      <c r="B1063" s="17">
        <f t="shared" si="268"/>
        <v>9</v>
      </c>
      <c r="C1063" s="8" t="s">
        <v>310</v>
      </c>
      <c r="D1063" s="8"/>
      <c r="E1063" s="20" t="s">
        <v>305</v>
      </c>
      <c r="F1063" s="22"/>
      <c r="G1063" s="20"/>
      <c r="H1063" s="20"/>
      <c r="I1063" s="1009"/>
      <c r="J1063" s="1059"/>
      <c r="K1063" s="1059"/>
      <c r="L1063" s="1059"/>
      <c r="M1063" s="1059"/>
      <c r="N1063" s="1059"/>
      <c r="O1063" s="1059"/>
      <c r="P1063" s="1059"/>
      <c r="Q1063" s="1059"/>
      <c r="R1063" s="1059"/>
      <c r="S1063" s="1059"/>
      <c r="T1063" s="1009"/>
      <c r="U1063" s="381"/>
      <c r="V1063" s="67"/>
      <c r="X1063" s="370">
        <f t="shared" si="270"/>
        <v>0</v>
      </c>
    </row>
    <row r="1064" spans="1:24" ht="14.25">
      <c r="A1064" s="613"/>
      <c r="B1064" s="17">
        <f t="shared" si="268"/>
        <v>10</v>
      </c>
      <c r="C1064" s="383"/>
      <c r="D1064" s="1" t="s">
        <v>311</v>
      </c>
      <c r="E1064" s="19"/>
      <c r="F1064" s="118">
        <f>' WP II-I-1.4'!L1064</f>
        <v>140809692.16000003</v>
      </c>
      <c r="G1064" s="17" t="s">
        <v>805</v>
      </c>
      <c r="H1064" s="47" t="s">
        <v>320</v>
      </c>
      <c r="I1064" s="19"/>
      <c r="J1064" s="435">
        <f>'II-I-DIST'!J1064+'II-I-MET'!J1064+'II-I-TBILLTDCS'!J1064</f>
        <v>76813233.166595429</v>
      </c>
      <c r="K1064" s="435">
        <f>'II-I-DIST'!K1064+'II-I-MET'!K1064+'II-I-TBILLTDCS'!K1064</f>
        <v>3634911.0775667583</v>
      </c>
      <c r="L1064" s="435">
        <f>'II-I-DIST'!L1064+'II-I-MET'!L1064+'II-I-TBILLTDCS'!L1064</f>
        <v>47175996.74308458</v>
      </c>
      <c r="M1064" s="435">
        <f>'II-I-DIST'!M1064+'II-I-MET'!M1064+'II-I-TBILLTDCS'!M1064</f>
        <v>46623.473440259892</v>
      </c>
      <c r="N1064" s="435">
        <f>'II-I-DIST'!N1064+'II-I-MET'!N1064+'II-I-TBILLTDCS'!N1064</f>
        <v>7234135.5017386703</v>
      </c>
      <c r="O1064" s="435">
        <f>'II-I-DIST'!O1064+'II-I-MET'!O1064+'II-I-TBILLTDCS'!O1064</f>
        <v>625226.89530177379</v>
      </c>
      <c r="P1064" s="435">
        <f>'II-I-DIST'!P1064+'II-I-MET'!P1064+'II-I-TBILLTDCS'!P1064</f>
        <v>167587.09773509527</v>
      </c>
      <c r="Q1064" s="435">
        <f>'II-I-DIST'!Q1064+'II-I-MET'!Q1064+'II-I-TBILLTDCS'!Q1064</f>
        <v>4673668.7343867924</v>
      </c>
      <c r="R1064" s="435">
        <f>'II-I-DIST'!R1064+'II-I-MET'!R1064+'II-I-TBILLTDCS'!R1064</f>
        <v>74838.305003424757</v>
      </c>
      <c r="S1064" s="435">
        <f>'II-I-DIST'!S1064+'II-I-MET'!S1064+'II-I-TBILLTDCS'!S1064</f>
        <v>363471.16514721164</v>
      </c>
      <c r="T1064" s="19"/>
      <c r="U1064" s="118">
        <f>SUM(I1064:T1064)</f>
        <v>140809692.16000003</v>
      </c>
      <c r="V1064" s="382"/>
      <c r="W1064" s="384"/>
      <c r="X1064" s="370">
        <f t="shared" si="270"/>
        <v>0</v>
      </c>
    </row>
    <row r="1065" spans="1:24" ht="15">
      <c r="A1065" s="47"/>
      <c r="B1065" s="17">
        <f t="shared" si="268"/>
        <v>11</v>
      </c>
      <c r="C1065" s="8"/>
      <c r="D1065" s="297" t="s">
        <v>714</v>
      </c>
      <c r="E1065" s="20"/>
      <c r="F1065" s="22">
        <f>+F1064</f>
        <v>140809692.16000003</v>
      </c>
      <c r="G1065" s="20"/>
      <c r="H1065" s="20"/>
      <c r="I1065" s="1009"/>
      <c r="J1065" s="896">
        <f t="shared" si="271" ref="J1065:Q1065">+J1064</f>
        <v>76813233.166595429</v>
      </c>
      <c r="K1065" s="896">
        <f t="shared" si="271"/>
        <v>3634911.0775667583</v>
      </c>
      <c r="L1065" s="896">
        <f t="shared" si="271"/>
        <v>47175996.74308458</v>
      </c>
      <c r="M1065" s="896">
        <f t="shared" si="271"/>
        <v>46623.473440259892</v>
      </c>
      <c r="N1065" s="896">
        <f t="shared" si="271"/>
        <v>7234135.5017386703</v>
      </c>
      <c r="O1065" s="896">
        <f>+O1064</f>
        <v>625226.89530177379</v>
      </c>
      <c r="P1065" s="896">
        <f t="shared" si="271"/>
        <v>167587.09773509527</v>
      </c>
      <c r="Q1065" s="896">
        <f t="shared" si="271"/>
        <v>4673668.7343867924</v>
      </c>
      <c r="R1065" s="896">
        <f>+R1064</f>
        <v>74838.305003424757</v>
      </c>
      <c r="S1065" s="896">
        <f>+S1064</f>
        <v>363471.16514721164</v>
      </c>
      <c r="T1065" s="1009"/>
      <c r="U1065" s="299">
        <f>SUM(I1065:T1065)</f>
        <v>140809692.16000003</v>
      </c>
      <c r="V1065" s="67"/>
      <c r="W1065" s="1300" t="b">
        <f>' WP II-I-1.4'!$L$1065=U1065</f>
        <v>1</v>
      </c>
      <c r="X1065" s="370">
        <f t="shared" si="270"/>
        <v>0</v>
      </c>
    </row>
    <row r="1066" spans="1:24" ht="14.25">
      <c r="A1066" s="47"/>
      <c r="B1066" s="17">
        <f t="shared" si="268"/>
        <v>12</v>
      </c>
      <c r="C1066" s="1"/>
      <c r="D1066" s="1"/>
      <c r="E1066" s="17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"/>
      <c r="V1066" s="67"/>
      <c r="X1066" s="370">
        <f t="shared" si="270"/>
        <v>0</v>
      </c>
    </row>
    <row r="1067" spans="1:24" ht="15">
      <c r="A1067" s="47"/>
      <c r="B1067" s="17">
        <f t="shared" si="268"/>
        <v>13</v>
      </c>
      <c r="C1067" s="8" t="s">
        <v>312</v>
      </c>
      <c r="D1067" s="8"/>
      <c r="E1067" s="20" t="s">
        <v>305</v>
      </c>
      <c r="F1067" s="22"/>
      <c r="G1067" s="20"/>
      <c r="H1067" s="20"/>
      <c r="I1067" s="1009"/>
      <c r="J1067" s="1059"/>
      <c r="K1067" s="1059"/>
      <c r="L1067" s="1059"/>
      <c r="M1067" s="1059"/>
      <c r="N1067" s="1059"/>
      <c r="O1067" s="1059"/>
      <c r="P1067" s="1059"/>
      <c r="Q1067" s="1059"/>
      <c r="R1067" s="1059"/>
      <c r="S1067" s="1059"/>
      <c r="T1067" s="1009"/>
      <c r="U1067" s="8"/>
      <c r="V1067" s="67"/>
      <c r="X1067" s="370">
        <f t="shared" si="270"/>
        <v>0</v>
      </c>
    </row>
    <row r="1068" spans="1:24" ht="14.25">
      <c r="A1068" s="47"/>
      <c r="B1068" s="17">
        <f t="shared" si="268"/>
        <v>14</v>
      </c>
      <c r="C1068" s="1"/>
      <c r="D1068" s="1" t="s">
        <v>313</v>
      </c>
      <c r="E1068" s="17"/>
      <c r="F1068" s="118">
        <f>' WP II-I-1.4'!L1068</f>
        <v>22693506.379999999</v>
      </c>
      <c r="G1068" s="17" t="s">
        <v>805</v>
      </c>
      <c r="H1068" s="47" t="s">
        <v>320</v>
      </c>
      <c r="I1068" s="17"/>
      <c r="J1068" s="434">
        <f>'II-I-DIST'!J1068+'II-I-MET'!J1068+'II-I-TBILLTDCS'!J1068</f>
        <v>12625213.230474278</v>
      </c>
      <c r="K1068" s="434">
        <f>'II-I-DIST'!K1068+'II-I-MET'!K1068+'II-I-TBILLTDCS'!K1068</f>
        <v>519651.69611630909</v>
      </c>
      <c r="L1068" s="434">
        <f>'II-I-DIST'!L1068+'II-I-MET'!L1068+'II-I-TBILLTDCS'!L1068</f>
        <v>7888235.3016057052</v>
      </c>
      <c r="M1068" s="434">
        <f>'II-I-DIST'!M1068+'II-I-MET'!M1068+'II-I-TBILLTDCS'!M1068</f>
        <v>8728.3408610150254</v>
      </c>
      <c r="N1068" s="434">
        <f>'II-I-DIST'!N1068+'II-I-MET'!N1068+'II-I-TBILLTDCS'!N1068</f>
        <v>1279060.7233548923</v>
      </c>
      <c r="O1068" s="434">
        <f>'II-I-DIST'!O1068+'II-I-MET'!O1068+'II-I-TBILLTDCS'!O1068</f>
        <v>120244.37636145078</v>
      </c>
      <c r="P1068" s="434">
        <f>'II-I-DIST'!P1068+'II-I-MET'!P1068+'II-I-TBILLTDCS'!P1068</f>
        <v>46826.01110937816</v>
      </c>
      <c r="Q1068" s="434">
        <f>'II-I-DIST'!Q1068+'II-I-MET'!Q1068+'II-I-TBILLTDCS'!Q1068</f>
        <v>128172.85534534753</v>
      </c>
      <c r="R1068" s="434">
        <f>'II-I-DIST'!R1068+'II-I-MET'!R1068+'II-I-TBILLTDCS'!R1068</f>
        <v>14319.725133825314</v>
      </c>
      <c r="S1068" s="434">
        <f>'II-I-DIST'!S1068+'II-I-MET'!S1068+'II-I-TBILLTDCS'!S1068</f>
        <v>63054.119637803029</v>
      </c>
      <c r="T1068" s="17"/>
      <c r="U1068" s="118">
        <f>SUM(I1068:T1068)</f>
        <v>22693506.380000003</v>
      </c>
      <c r="V1068" s="67"/>
      <c r="X1068" s="370">
        <f t="shared" si="270"/>
        <v>0</v>
      </c>
    </row>
    <row r="1069" spans="1:24" ht="14.25">
      <c r="A1069" s="47"/>
      <c r="B1069" s="17">
        <f t="shared" si="268"/>
        <v>15</v>
      </c>
      <c r="C1069" s="1"/>
      <c r="D1069" s="1" t="s">
        <v>314</v>
      </c>
      <c r="E1069" s="17"/>
      <c r="F1069" s="118">
        <f>' WP II-I-1.4'!L1069</f>
        <v>283082877</v>
      </c>
      <c r="G1069" s="17" t="s">
        <v>805</v>
      </c>
      <c r="H1069" s="47" t="s">
        <v>320</v>
      </c>
      <c r="I1069" s="17"/>
      <c r="J1069" s="435">
        <f>'II-I-DIST'!J1069+'II-I-MET'!J1069+'II-I-TBILLTDCS'!J1069</f>
        <v>113681969.55499767</v>
      </c>
      <c r="K1069" s="435">
        <f>'II-I-DIST'!K1069+'II-I-MET'!K1069+'II-I-TBILLTDCS'!K1069</f>
        <v>4060939.8948315037</v>
      </c>
      <c r="L1069" s="435">
        <f>'II-I-DIST'!L1069+'II-I-MET'!L1069+'II-I-TBILLTDCS'!L1069</f>
        <v>119023865.05776367</v>
      </c>
      <c r="M1069" s="435">
        <f>'II-I-DIST'!M1069+'II-I-MET'!M1069+'II-I-TBILLTDCS'!M1069</f>
        <v>2054.3860356639507</v>
      </c>
      <c r="N1069" s="435">
        <f>'II-I-DIST'!N1069+'II-I-MET'!N1069+'II-I-TBILLTDCS'!N1069</f>
        <v>19138153.738462549</v>
      </c>
      <c r="O1069" s="435">
        <f>'II-I-DIST'!O1069+'II-I-MET'!O1069+'II-I-TBILLTDCS'!O1069</f>
        <v>3011259.8627406415</v>
      </c>
      <c r="P1069" s="435">
        <f>'II-I-DIST'!P1069+'II-I-MET'!P1069+'II-I-TBILLTDCS'!P1069</f>
        <v>22556430.123839185</v>
      </c>
      <c r="Q1069" s="435">
        <f>'II-I-DIST'!Q1069+'II-I-MET'!Q1069+'II-I-TBILLTDCS'!Q1069</f>
        <v>1036247.6440593592</v>
      </c>
      <c r="R1069" s="435">
        <f>'II-I-DIST'!R1069+'II-I-MET'!R1069+'II-I-TBILLTDCS'!R1069</f>
        <v>229766.04786532294</v>
      </c>
      <c r="S1069" s="435">
        <f>'II-I-DIST'!S1069+'II-I-MET'!S1069+'II-I-TBILLTDCS'!S1069</f>
        <v>342190.68940435769</v>
      </c>
      <c r="T1069" s="17"/>
      <c r="U1069" s="118">
        <f>SUM(I1069:T1069)</f>
        <v>283082876.99999994</v>
      </c>
      <c r="V1069" s="67"/>
      <c r="X1069" s="370">
        <f t="shared" si="270"/>
        <v>0</v>
      </c>
    </row>
    <row r="1070" spans="1:24" ht="15">
      <c r="A1070" s="47"/>
      <c r="B1070" s="17">
        <f t="shared" si="268"/>
        <v>16</v>
      </c>
      <c r="C1070" s="8"/>
      <c r="D1070" s="297" t="s">
        <v>715</v>
      </c>
      <c r="E1070" s="20"/>
      <c r="F1070" s="22">
        <f>SUM(F1068:F1069)</f>
        <v>305776383.38</v>
      </c>
      <c r="G1070" s="20"/>
      <c r="H1070" s="20"/>
      <c r="I1070" s="20"/>
      <c r="J1070" s="896">
        <f t="shared" si="272" ref="J1070:Q1070">SUM(J1068:J1069)</f>
        <v>126307182.78547195</v>
      </c>
      <c r="K1070" s="896">
        <f t="shared" si="272"/>
        <v>4580591.5909478124</v>
      </c>
      <c r="L1070" s="896">
        <f t="shared" si="272"/>
        <v>126912100.35936937</v>
      </c>
      <c r="M1070" s="896">
        <f t="shared" si="272"/>
        <v>10782.726896678976</v>
      </c>
      <c r="N1070" s="896">
        <f t="shared" si="272"/>
        <v>20417214.46181744</v>
      </c>
      <c r="O1070" s="896">
        <f>SUM(O1068:O1069)</f>
        <v>3131504.2391020921</v>
      </c>
      <c r="P1070" s="896">
        <f t="shared" si="272"/>
        <v>22603256.134948563</v>
      </c>
      <c r="Q1070" s="896">
        <f t="shared" si="272"/>
        <v>1164420.4994047068</v>
      </c>
      <c r="R1070" s="896">
        <f>SUM(R1068:R1069)</f>
        <v>244085.77299914826</v>
      </c>
      <c r="S1070" s="896">
        <f>SUM(S1068:S1069)</f>
        <v>405244.80904216075</v>
      </c>
      <c r="T1070" s="20"/>
      <c r="U1070" s="299">
        <f>SUM(I1070:T1070)</f>
        <v>305776383.37999988</v>
      </c>
      <c r="V1070" s="67"/>
      <c r="W1070" s="1300" t="b">
        <f>' WP II-I-1.4'!$L$1070=U1070</f>
        <v>1</v>
      </c>
      <c r="X1070" s="370">
        <f t="shared" si="270"/>
        <v>0</v>
      </c>
    </row>
    <row r="1071" spans="1:24" ht="15" thickBot="1">
      <c r="A1071" s="47"/>
      <c r="B1071" s="17">
        <f t="shared" si="268"/>
        <v>17</v>
      </c>
      <c r="C1071" s="1"/>
      <c r="D1071" s="1"/>
      <c r="E1071" s="17"/>
      <c r="F1071" s="385"/>
      <c r="G1071" s="17"/>
      <c r="H1071" s="17"/>
      <c r="I1071" s="17"/>
      <c r="J1071" s="385"/>
      <c r="K1071" s="385"/>
      <c r="L1071" s="385"/>
      <c r="M1071" s="385"/>
      <c r="N1071" s="385"/>
      <c r="O1071" s="385"/>
      <c r="P1071" s="385"/>
      <c r="Q1071" s="385"/>
      <c r="R1071" s="385"/>
      <c r="S1071" s="385"/>
      <c r="T1071" s="17"/>
      <c r="U1071" s="385"/>
      <c r="V1071" s="67"/>
      <c r="X1071" s="370">
        <f t="shared" si="270"/>
        <v>0</v>
      </c>
    </row>
    <row r="1072" spans="1:24" ht="15.75" thickBot="1">
      <c r="A1072" s="47"/>
      <c r="B1072" s="17">
        <f t="shared" si="268"/>
        <v>18</v>
      </c>
      <c r="C1072" s="284" t="s">
        <v>716</v>
      </c>
      <c r="D1072" s="285"/>
      <c r="E1072" s="374" t="s">
        <v>305</v>
      </c>
      <c r="F1072" s="255">
        <f>+F1070+F1065+F1061</f>
        <v>460498198.73000002</v>
      </c>
      <c r="G1072" s="374"/>
      <c r="H1072" s="467"/>
      <c r="I1072" s="1066"/>
      <c r="J1072" s="446">
        <f t="shared" si="273" ref="J1072:Q1072">+J1070+J1065+J1061</f>
        <v>210697996.6051693</v>
      </c>
      <c r="K1072" s="903">
        <f t="shared" si="273"/>
        <v>8641668.9486459792</v>
      </c>
      <c r="L1072" s="903">
        <f t="shared" si="273"/>
        <v>178652944.13622558</v>
      </c>
      <c r="M1072" s="903">
        <f t="shared" si="273"/>
        <v>71539.685166159703</v>
      </c>
      <c r="N1072" s="903">
        <f t="shared" si="273"/>
        <v>28656331.881986994</v>
      </c>
      <c r="O1072" s="903">
        <f>+O1070+O1065+O1061</f>
        <v>3850802.1869688313</v>
      </c>
      <c r="P1072" s="903">
        <f t="shared" si="273"/>
        <v>22791528.856317755</v>
      </c>
      <c r="Q1072" s="903">
        <f t="shared" si="273"/>
        <v>5993922.560486896</v>
      </c>
      <c r="R1072" s="903">
        <f>+R1070+R1065+R1061</f>
        <v>330064.78976667323</v>
      </c>
      <c r="S1072" s="380">
        <f>+S1070+S1065+S1061</f>
        <v>811399.07926575246</v>
      </c>
      <c r="T1072" s="467"/>
      <c r="U1072" s="256">
        <f>SUM(I1072:T1072)</f>
        <v>460498198.7299999</v>
      </c>
      <c r="V1072" s="67"/>
      <c r="W1072" s="1300" t="b">
        <f>' WP II-I-1.4'!$L$1072=U1072</f>
        <v>1</v>
      </c>
      <c r="X1072" s="370">
        <f t="shared" si="270"/>
        <v>0</v>
      </c>
    </row>
    <row r="1073" spans="1:24" ht="15" thickBot="1">
      <c r="A1073" s="47"/>
      <c r="B1073" s="67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X1073" s="370">
        <f t="shared" si="270"/>
        <v>0</v>
      </c>
    </row>
    <row r="1074" spans="1:24" ht="15">
      <c r="A1074" s="47"/>
      <c r="B1074" s="920" t="str">
        <f>+$B$4</f>
        <v>2022 RATE CASE</v>
      </c>
      <c r="C1074" s="935"/>
      <c r="D1074" s="969"/>
      <c r="F1074" s="332"/>
      <c r="H1074" s="134"/>
      <c r="U1074" s="134"/>
      <c r="V1074" s="134"/>
      <c r="X1074" s="370"/>
    </row>
    <row r="1075" spans="1:24" ht="15">
      <c r="A1075" s="47"/>
      <c r="B1075" s="917" t="str">
        <f>+$B$5</f>
        <v>ONCOR ELECTRIC DELIVERY COMPANY LLC</v>
      </c>
      <c r="C1075" s="8"/>
      <c r="D1075" s="970"/>
      <c r="F1075" s="1496"/>
      <c r="J1075" s="1496"/>
      <c r="K1075" s="1496"/>
      <c r="L1075" s="1496"/>
      <c r="M1075" s="1496"/>
      <c r="N1075" s="1496"/>
      <c r="O1075" s="1496"/>
      <c r="P1075" s="1496"/>
      <c r="Q1075" s="1496"/>
      <c r="R1075" s="1496"/>
      <c r="S1075" s="1496"/>
      <c r="U1075" s="134"/>
      <c r="V1075" s="67"/>
      <c r="X1075" s="370">
        <f t="shared" si="270"/>
        <v>0</v>
      </c>
    </row>
    <row r="1076" spans="1:24" ht="15">
      <c r="A1076" s="47"/>
      <c r="B1076" s="917" t="str">
        <f>+$B$6</f>
        <v>II-I-1-TOT:  CLASS REVENUE REQUIREMENT</v>
      </c>
      <c r="C1076" s="85"/>
      <c r="D1076" s="970"/>
      <c r="F1076" s="332"/>
      <c r="U1076" s="332"/>
      <c r="V1076" s="67"/>
      <c r="X1076" s="370">
        <f t="shared" si="270"/>
        <v>0</v>
      </c>
    </row>
    <row r="1077" spans="1:24" ht="15">
      <c r="A1077" s="47"/>
      <c r="B1077" s="406" t="str">
        <f>+$B$7</f>
        <v>TEST YEAR ENDING 12/31/2021</v>
      </c>
      <c r="C1077" s="85"/>
      <c r="D1077" s="970"/>
      <c r="F1077" s="19"/>
      <c r="U1077" s="332"/>
      <c r="V1077" s="67"/>
      <c r="X1077" s="370">
        <f t="shared" si="270"/>
        <v>0</v>
      </c>
    </row>
    <row r="1078" spans="1:24" ht="15">
      <c r="A1078" s="47"/>
      <c r="B1078" s="406" t="str">
        <f>+$B$8</f>
        <v>SPONSOR:  MATTHEW A. TROXLE</v>
      </c>
      <c r="C1078" s="85"/>
      <c r="D1078" s="970"/>
      <c r="F1078" s="332"/>
      <c r="U1078" s="332"/>
      <c r="V1078" s="67"/>
      <c r="X1078" s="370">
        <f t="shared" si="270"/>
        <v>0</v>
      </c>
    </row>
    <row r="1079" spans="1:24" ht="15.75" thickBot="1">
      <c r="A1079" s="47"/>
      <c r="B1079" s="410"/>
      <c r="C1079" s="934"/>
      <c r="D1079" s="936"/>
      <c r="F1079" s="332"/>
      <c r="U1079" s="332"/>
      <c r="V1079" s="67"/>
      <c r="X1079" s="370">
        <f t="shared" si="270"/>
        <v>0</v>
      </c>
    </row>
    <row r="1080" spans="1:24" ht="15" thickBot="1">
      <c r="A1080" s="47"/>
      <c r="B1080" s="13"/>
      <c r="C1080" s="14"/>
      <c r="D1080" s="14"/>
      <c r="E1080" s="14"/>
      <c r="F1080" s="13"/>
      <c r="G1080" s="14"/>
      <c r="H1080" s="14"/>
      <c r="I1080" s="14"/>
      <c r="J1080" s="238"/>
      <c r="K1080" s="238"/>
      <c r="L1080" s="14"/>
      <c r="M1080" s="238"/>
      <c r="N1080" s="238"/>
      <c r="O1080" s="238"/>
      <c r="P1080" s="238"/>
      <c r="Q1080" s="14"/>
      <c r="R1080" s="393" t="str">
        <f>R$10</f>
        <v xml:space="preserve"> </v>
      </c>
      <c r="S1080" s="394"/>
      <c r="T1080" s="238"/>
      <c r="U1080" s="13"/>
      <c r="V1080" s="67"/>
      <c r="X1080" s="370">
        <f t="shared" si="270"/>
        <v>0</v>
      </c>
    </row>
    <row r="1081" spans="1:24" ht="15">
      <c r="A1081" s="47"/>
      <c r="B1081" s="15" t="s">
        <v>2</v>
      </c>
      <c r="C1081" s="15" t="s">
        <v>370</v>
      </c>
      <c r="D1081" s="287" t="s">
        <v>315</v>
      </c>
      <c r="E1081" s="15" t="s">
        <v>371</v>
      </c>
      <c r="F1081" s="287" t="str">
        <f>F$11</f>
        <v>TOTAL</v>
      </c>
      <c r="G1081" s="242" t="s">
        <v>741</v>
      </c>
      <c r="H1081" s="242" t="s">
        <v>376</v>
      </c>
      <c r="I1081" s="15"/>
      <c r="J1081" s="242" t="s">
        <v>730</v>
      </c>
      <c r="K1081" s="242" t="s">
        <v>409</v>
      </c>
      <c r="L1081" s="15" t="s">
        <v>409</v>
      </c>
      <c r="M1081" s="242" t="s">
        <v>410</v>
      </c>
      <c r="N1081" s="242" t="s">
        <v>410</v>
      </c>
      <c r="O1081" s="242" t="s">
        <v>410</v>
      </c>
      <c r="P1081" s="242" t="s">
        <v>411</v>
      </c>
      <c r="Q1081" s="15" t="s">
        <v>412</v>
      </c>
      <c r="R1081" s="396" t="str">
        <f>R$11</f>
        <v>Wholesale</v>
      </c>
      <c r="S1081" s="13" t="str">
        <f>S$11</f>
        <v>Wholesale</v>
      </c>
      <c r="T1081" s="242"/>
      <c r="U1081" s="15" t="s">
        <v>10</v>
      </c>
      <c r="V1081" s="67"/>
      <c r="X1081" s="370"/>
    </row>
    <row r="1082" spans="1:24" ht="14.25">
      <c r="A1082" s="47"/>
      <c r="B1082" s="15"/>
      <c r="C1082" s="15"/>
      <c r="D1082" s="15"/>
      <c r="E1082" s="15"/>
      <c r="F1082" s="15" t="str">
        <f>F$12</f>
        <v>(Dist+Met+Cust)</v>
      </c>
      <c r="G1082" s="242" t="s">
        <v>742</v>
      </c>
      <c r="H1082" s="242" t="s">
        <v>743</v>
      </c>
      <c r="I1082" s="15"/>
      <c r="J1082" s="242"/>
      <c r="K1082" s="242" t="s">
        <v>731</v>
      </c>
      <c r="L1082" s="15" t="s">
        <v>732</v>
      </c>
      <c r="M1082" s="242" t="s">
        <v>731</v>
      </c>
      <c r="N1082" s="242" t="s">
        <v>732</v>
      </c>
      <c r="O1082" s="242" t="s">
        <v>414</v>
      </c>
      <c r="P1082" s="242"/>
      <c r="Q1082" s="15"/>
      <c r="R1082" s="235" t="str">
        <f>R$12</f>
        <v>XFMR</v>
      </c>
      <c r="S1082" s="15" t="str">
        <f>S$12</f>
        <v>DLS</v>
      </c>
      <c r="T1082" s="242"/>
      <c r="U1082" s="15"/>
      <c r="V1082" s="67"/>
      <c r="X1082" s="370"/>
    </row>
    <row r="1083" spans="1:24" ht="15" thickBot="1">
      <c r="A1083" s="47"/>
      <c r="B1083" s="16"/>
      <c r="C1083" s="16"/>
      <c r="D1083" s="16"/>
      <c r="E1083" s="16"/>
      <c r="F1083" s="16" t="s">
        <v>13</v>
      </c>
      <c r="G1083" s="16" t="s">
        <v>14</v>
      </c>
      <c r="H1083" s="16" t="s">
        <v>15</v>
      </c>
      <c r="I1083" s="16"/>
      <c r="J1083" s="243" t="str">
        <f t="shared" si="274" ref="J1083:Q1083">J$13</f>
        <v>(d)</v>
      </c>
      <c r="K1083" s="243" t="str">
        <f t="shared" si="274"/>
        <v>(e)</v>
      </c>
      <c r="L1083" s="16" t="str">
        <f t="shared" si="274"/>
        <v>(f)</v>
      </c>
      <c r="M1083" s="243" t="str">
        <f t="shared" si="274"/>
        <v>(g)</v>
      </c>
      <c r="N1083" s="243" t="str">
        <f t="shared" si="274"/>
        <v>(h)</v>
      </c>
      <c r="O1083" s="243" t="str">
        <f>O$13</f>
        <v>(i)</v>
      </c>
      <c r="P1083" s="243" t="str">
        <f t="shared" si="274"/>
        <v>(j)</v>
      </c>
      <c r="Q1083" s="243" t="str">
        <f t="shared" si="274"/>
        <v>(k)</v>
      </c>
      <c r="R1083" s="243" t="str">
        <f>R$13</f>
        <v>(l)</v>
      </c>
      <c r="S1083" s="16" t="str">
        <f>S$13</f>
        <v>(m)</v>
      </c>
      <c r="T1083" s="16"/>
      <c r="U1083" s="16" t="s">
        <v>734</v>
      </c>
      <c r="V1083" s="67"/>
      <c r="X1083" s="370"/>
    </row>
    <row r="1084" spans="1:24" ht="14.25">
      <c r="A1084" s="47"/>
      <c r="B1084" s="67"/>
      <c r="C1084" s="333"/>
      <c r="D1084" s="333"/>
      <c r="E1084" s="333"/>
      <c r="F1084" s="333"/>
      <c r="G1084" s="333"/>
      <c r="H1084" s="333"/>
      <c r="I1084" s="333"/>
      <c r="J1084" s="333"/>
      <c r="K1084" s="333"/>
      <c r="L1084" s="333"/>
      <c r="M1084" s="333"/>
      <c r="N1084" s="333"/>
      <c r="O1084" s="333"/>
      <c r="P1084" s="333"/>
      <c r="Q1084" s="333"/>
      <c r="R1084" s="333"/>
      <c r="S1084" s="333"/>
      <c r="T1084" s="333"/>
      <c r="U1084" s="43"/>
      <c r="V1084" s="67"/>
      <c r="X1084" s="370">
        <f t="shared" si="270"/>
        <v>0</v>
      </c>
    </row>
    <row r="1085" spans="1:24" ht="15">
      <c r="A1085" s="47"/>
      <c r="B1085" s="17">
        <f t="shared" si="275" ref="B1085:B1130">B1084+1</f>
        <v>1</v>
      </c>
      <c r="C1085" s="366" t="s">
        <v>315</v>
      </c>
      <c r="D1085" s="8"/>
      <c r="E1085" s="20"/>
      <c r="F1085" s="22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8"/>
      <c r="V1085" s="67"/>
      <c r="X1085" s="370">
        <f t="shared" si="270"/>
        <v>0</v>
      </c>
    </row>
    <row r="1086" spans="1:24" ht="14.25">
      <c r="A1086" s="47"/>
      <c r="B1086" s="17">
        <f t="shared" si="275"/>
        <v>2</v>
      </c>
      <c r="C1086" s="1"/>
      <c r="D1086" s="1"/>
      <c r="E1086" s="17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"/>
      <c r="V1086" s="67"/>
      <c r="X1086" s="370">
        <f t="shared" si="270"/>
        <v>0</v>
      </c>
    </row>
    <row r="1087" spans="1:24" ht="15">
      <c r="A1087" s="47"/>
      <c r="B1087" s="17">
        <f t="shared" si="275"/>
        <v>3</v>
      </c>
      <c r="C1087" s="8"/>
      <c r="D1087" s="34" t="s">
        <v>361</v>
      </c>
      <c r="E1087" s="20" t="s">
        <v>510</v>
      </c>
      <c r="F1087" s="22">
        <f>+F599</f>
        <v>683000510.00813842</v>
      </c>
      <c r="G1087" s="20"/>
      <c r="H1087" s="20"/>
      <c r="I1087" s="20"/>
      <c r="J1087" s="22">
        <f t="shared" si="276" ref="J1087:Q1087">+J599</f>
        <v>379834069.69047773</v>
      </c>
      <c r="K1087" s="22">
        <f t="shared" si="276"/>
        <v>15300982.107665459</v>
      </c>
      <c r="L1087" s="22">
        <f t="shared" si="276"/>
        <v>237996209.06867746</v>
      </c>
      <c r="M1087" s="22">
        <f t="shared" si="276"/>
        <v>245203.69598301943</v>
      </c>
      <c r="N1087" s="22">
        <f t="shared" si="276"/>
        <v>38356622.668801241</v>
      </c>
      <c r="O1087" s="22">
        <f>+O599</f>
        <v>3620199.2762538232</v>
      </c>
      <c r="P1087" s="22">
        <f t="shared" si="276"/>
        <v>1383463.2660256969</v>
      </c>
      <c r="Q1087" s="22">
        <f t="shared" si="276"/>
        <v>3922745.944692445</v>
      </c>
      <c r="R1087" s="22">
        <f>+R599</f>
        <v>432136.60320334806</v>
      </c>
      <c r="S1087" s="22">
        <f>+S599</f>
        <v>1908877.6863581534</v>
      </c>
      <c r="T1087" s="20"/>
      <c r="U1087" s="21">
        <f>SUM(I1087:T1087)</f>
        <v>683000510.0081383</v>
      </c>
      <c r="V1087" s="47"/>
      <c r="W1087" s="1300" t="b">
        <f>' WP II-I-1.4'!$L$1087=U1087</f>
        <v>0</v>
      </c>
      <c r="X1087" s="370">
        <f t="shared" si="270"/>
        <v>0</v>
      </c>
    </row>
    <row r="1088" spans="1:24" ht="14.25">
      <c r="A1088" s="47"/>
      <c r="B1088" s="17">
        <f t="shared" si="275"/>
        <v>4</v>
      </c>
      <c r="C1088" s="1"/>
      <c r="D1088" s="1"/>
      <c r="E1088" s="17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8"/>
      <c r="V1088" s="67"/>
      <c r="X1088" s="370">
        <f t="shared" si="270"/>
        <v>0</v>
      </c>
    </row>
    <row r="1089" spans="1:24" ht="15">
      <c r="A1089" s="47"/>
      <c r="B1089" s="17">
        <f t="shared" si="275"/>
        <v>5</v>
      </c>
      <c r="C1089" s="1"/>
      <c r="D1089" s="8" t="s">
        <v>317</v>
      </c>
      <c r="E1089" s="20" t="s">
        <v>316</v>
      </c>
      <c r="F1089" s="19"/>
      <c r="G1089" s="20"/>
      <c r="H1089" s="20"/>
      <c r="I1089" s="20"/>
      <c r="J1089" s="1059"/>
      <c r="K1089" s="1059"/>
      <c r="L1089" s="1059"/>
      <c r="M1089" s="1059"/>
      <c r="N1089" s="1059"/>
      <c r="O1089" s="1059"/>
      <c r="P1089" s="1059"/>
      <c r="Q1089" s="1059"/>
      <c r="R1089" s="1059"/>
      <c r="S1089" s="1059"/>
      <c r="T1089" s="20"/>
      <c r="U1089" s="18"/>
      <c r="V1089" s="67"/>
      <c r="X1089" s="370">
        <f t="shared" si="270"/>
        <v>0</v>
      </c>
    </row>
    <row r="1090" spans="1:24" ht="14.25">
      <c r="A1090" s="47"/>
      <c r="B1090" s="17">
        <f t="shared" si="275"/>
        <v>6</v>
      </c>
      <c r="C1090" s="1"/>
      <c r="D1090" s="19" t="s">
        <v>318</v>
      </c>
      <c r="E1090" s="17"/>
      <c r="F1090" s="118">
        <f>' WP II-I-1.4'!L1090</f>
        <v>233479606.96999994</v>
      </c>
      <c r="G1090" s="17" t="s">
        <v>805</v>
      </c>
      <c r="H1090" s="47" t="s">
        <v>320</v>
      </c>
      <c r="I1090" s="17"/>
      <c r="J1090" s="434">
        <f>'II-I-DIST'!J1090+'II-I-MET'!J1090+'II-I-TBILLTDCS'!J1090</f>
        <v>129843986.94532746</v>
      </c>
      <c r="K1090" s="434">
        <f>'II-I-DIST'!K1090+'II-I-MET'!K1090+'II-I-TBILLTDCS'!K1090</f>
        <v>5230548.493727304</v>
      </c>
      <c r="L1090" s="434">
        <f>'II-I-DIST'!L1090+'II-I-MET'!L1090+'II-I-TBILLTDCS'!L1090</f>
        <v>81357569.34197858</v>
      </c>
      <c r="M1090" s="434">
        <f>'II-I-DIST'!M1090+'II-I-MET'!M1090+'II-I-TBILLTDCS'!M1090</f>
        <v>83821.405301059596</v>
      </c>
      <c r="N1090" s="434">
        <f>'II-I-DIST'!N1090+'II-I-MET'!N1090+'II-I-TBILLTDCS'!N1090</f>
        <v>13111980.231655499</v>
      </c>
      <c r="O1090" s="434">
        <f>'II-I-DIST'!O1090+'II-I-MET'!O1090+'II-I-TBILLTDCS'!O1090</f>
        <v>1237543.298700033</v>
      </c>
      <c r="P1090" s="434">
        <f>'II-I-DIST'!P1090+'II-I-MET'!P1090+'II-I-TBILLTDCS'!P1090</f>
        <v>472928.57747794891</v>
      </c>
      <c r="Q1090" s="434">
        <f>'II-I-DIST'!Q1090+'II-I-MET'!Q1090+'II-I-TBILLTDCS'!Q1090</f>
        <v>1340967.0534385208</v>
      </c>
      <c r="R1090" s="434">
        <f>'II-I-DIST'!R1090+'II-I-MET'!R1090+'II-I-TBILLTDCS'!R1090</f>
        <v>147723.29272729671</v>
      </c>
      <c r="S1090" s="434">
        <f>'II-I-DIST'!S1090+'II-I-MET'!S1090+'II-I-TBILLTDCS'!S1090</f>
        <v>652538.32966622245</v>
      </c>
      <c r="T1090" s="17"/>
      <c r="U1090" s="18">
        <f t="shared" si="277" ref="U1090:U1099">SUM(I1090:T1090)</f>
        <v>233479606.96999994</v>
      </c>
      <c r="V1090" s="67"/>
      <c r="X1090" s="370">
        <f t="shared" si="270"/>
        <v>0</v>
      </c>
    </row>
    <row r="1091" spans="1:24" ht="14.25">
      <c r="A1091" s="47"/>
      <c r="B1091" s="17">
        <f t="shared" si="275"/>
        <v>7</v>
      </c>
      <c r="C1091" s="1"/>
      <c r="D1091" s="19" t="s">
        <v>319</v>
      </c>
      <c r="E1091" s="17"/>
      <c r="F1091" s="118">
        <f>' WP II-I-1.4'!L1091</f>
        <v>191147.98999999999</v>
      </c>
      <c r="G1091" s="17" t="s">
        <v>805</v>
      </c>
      <c r="H1091" s="47" t="s">
        <v>320</v>
      </c>
      <c r="I1091" s="17"/>
      <c r="J1091" s="434">
        <f>'II-I-DIST'!J1091+'II-I-MET'!J1091+'II-I-TBILLTDCS'!J1091</f>
        <v>106392.4367443766</v>
      </c>
      <c r="K1091" s="434">
        <f>'II-I-DIST'!K1091+'II-I-MET'!K1091+'II-I-TBILLTDCS'!K1091</f>
        <v>3536.7384422466112</v>
      </c>
      <c r="L1091" s="434">
        <f>'II-I-DIST'!L1091+'II-I-MET'!L1091+'II-I-TBILLTDCS'!L1091</f>
        <v>67285.581866413704</v>
      </c>
      <c r="M1091" s="434">
        <f>'II-I-DIST'!M1091+'II-I-MET'!M1091+'II-I-TBILLTDCS'!M1091</f>
        <v>24.364936458445314</v>
      </c>
      <c r="N1091" s="434">
        <f>'II-I-DIST'!N1091+'II-I-MET'!N1091+'II-I-TBILLTDCS'!N1091</f>
        <v>10312.467772954708</v>
      </c>
      <c r="O1091" s="434">
        <f>'II-I-DIST'!O1091+'II-I-MET'!O1091+'II-I-TBILLTDCS'!O1091</f>
        <v>1022.2934400710459</v>
      </c>
      <c r="P1091" s="434">
        <f>'II-I-DIST'!P1091+'II-I-MET'!P1091+'II-I-TBILLTDCS'!P1091</f>
        <v>193.57512749556318</v>
      </c>
      <c r="Q1091" s="434">
        <f>'II-I-DIST'!Q1091+'II-I-MET'!Q1091+'II-I-TBILLTDCS'!Q1091</f>
        <v>1698.214047687685</v>
      </c>
      <c r="R1091" s="434">
        <f>'II-I-DIST'!R1091+'II-I-MET'!R1091+'II-I-TBILLTDCS'!R1091</f>
        <v>122.52826720478365</v>
      </c>
      <c r="S1091" s="434">
        <f>'II-I-DIST'!S1091+'II-I-MET'!S1091+'II-I-TBILLTDCS'!S1091</f>
        <v>559.78935509085352</v>
      </c>
      <c r="T1091" s="17"/>
      <c r="U1091" s="18">
        <f t="shared" si="277"/>
        <v>191147.98999999999</v>
      </c>
      <c r="V1091" s="67"/>
      <c r="X1091" s="370">
        <f t="shared" si="270"/>
        <v>0</v>
      </c>
    </row>
    <row r="1092" spans="1:24" ht="14.25">
      <c r="A1092" s="47"/>
      <c r="B1092" s="17">
        <f t="shared" si="275"/>
        <v>8</v>
      </c>
      <c r="C1092" s="1"/>
      <c r="D1092" s="19" t="s">
        <v>1247</v>
      </c>
      <c r="E1092" s="17"/>
      <c r="F1092" s="290">
        <f>' WP II-I-1.4'!L1092</f>
        <v>7583059.6400000006</v>
      </c>
      <c r="G1092" s="17" t="s">
        <v>805</v>
      </c>
      <c r="H1092" s="47" t="s">
        <v>320</v>
      </c>
      <c r="I1092" s="17"/>
      <c r="J1092" s="434">
        <f>'II-I-DIST'!J1092+'II-I-MET'!J1092+'II-I-TBILLTDCS'!J1092</f>
        <v>4217103.3137761466</v>
      </c>
      <c r="K1092" s="434">
        <f>'II-I-DIST'!K1092+'II-I-MET'!K1092+'II-I-TBILLTDCS'!K1092</f>
        <v>167118.17935685572</v>
      </c>
      <c r="L1092" s="434">
        <f>'II-I-DIST'!L1092+'II-I-MET'!L1092+'II-I-TBILLTDCS'!L1092</f>
        <v>2645926.2715272494</v>
      </c>
      <c r="M1092" s="434">
        <f>'II-I-DIST'!M1092+'II-I-MET'!M1092+'II-I-TBILLTDCS'!M1092</f>
        <v>2576.17921850516</v>
      </c>
      <c r="N1092" s="434">
        <f>'II-I-DIST'!N1092+'II-I-MET'!N1092+'II-I-TBILLTDCS'!N1092</f>
        <v>424914.24932441174</v>
      </c>
      <c r="O1092" s="434">
        <f>'II-I-DIST'!O1092+'II-I-MET'!O1092+'II-I-TBILLTDCS'!O1092</f>
        <v>40308.799985222213</v>
      </c>
      <c r="P1092" s="434">
        <f>'II-I-DIST'!P1092+'II-I-MET'!P1092+'II-I-TBILLTDCS'!P1092</f>
        <v>15171.779872070141</v>
      </c>
      <c r="Q1092" s="434">
        <f>'II-I-DIST'!Q1092+'II-I-MET'!Q1092+'II-I-TBILLTDCS'!Q1092</f>
        <v>43844.507673283944</v>
      </c>
      <c r="R1092" s="434">
        <f>'II-I-DIST'!R1092+'II-I-MET'!R1092+'II-I-TBILLTDCS'!R1092</f>
        <v>4812.1364604350974</v>
      </c>
      <c r="S1092" s="434">
        <f>'II-I-DIST'!S1092+'II-I-MET'!S1092+'II-I-TBILLTDCS'!S1092</f>
        <v>21284.222805820667</v>
      </c>
      <c r="T1092" s="17"/>
      <c r="U1092" s="18">
        <f t="shared" si="277"/>
        <v>7583059.6400000006</v>
      </c>
      <c r="V1092" s="67"/>
      <c r="X1092" s="370">
        <f t="shared" si="270"/>
        <v>0</v>
      </c>
    </row>
    <row r="1093" spans="1:24" ht="14.25">
      <c r="A1093" s="47"/>
      <c r="B1093" s="17">
        <f t="shared" si="275"/>
        <v>9</v>
      </c>
      <c r="C1093" s="1"/>
      <c r="D1093" s="19" t="s">
        <v>1248</v>
      </c>
      <c r="E1093" s="17"/>
      <c r="F1093" s="290">
        <f>' WP II-I-1.4'!L1093</f>
        <v>22936199.190000016</v>
      </c>
      <c r="G1093" s="17" t="s">
        <v>805</v>
      </c>
      <c r="H1093" s="47" t="s">
        <v>320</v>
      </c>
      <c r="I1093" s="17"/>
      <c r="J1093" s="434">
        <f>'II-I-DIST'!J1093+'II-I-MET'!J1093+'II-I-TBILLTDCS'!J1093</f>
        <v>12755915.339840176</v>
      </c>
      <c r="K1093" s="434">
        <f>'II-I-DIST'!K1093+'II-I-MET'!K1093+'II-I-TBILLTDCS'!K1093</f>
        <v>571226.28469935886</v>
      </c>
      <c r="L1093" s="434">
        <f>'II-I-DIST'!L1093+'II-I-MET'!L1093+'II-I-TBILLTDCS'!L1093</f>
        <v>7918134.3402224593</v>
      </c>
      <c r="M1093" s="434">
        <f>'II-I-DIST'!M1093+'II-I-MET'!M1093+'II-I-TBILLTDCS'!M1093</f>
        <v>11272.544214476162</v>
      </c>
      <c r="N1093" s="434">
        <f>'II-I-DIST'!N1093+'II-I-MET'!N1093+'II-I-TBILLTDCS'!N1093</f>
        <v>1307644.0306069742</v>
      </c>
      <c r="O1093" s="434">
        <f>'II-I-DIST'!O1093+'II-I-MET'!O1093+'II-I-TBILLTDCS'!O1093</f>
        <v>119179.86273405813</v>
      </c>
      <c r="P1093" s="434">
        <f>'II-I-DIST'!P1093+'II-I-MET'!P1093+'II-I-TBILLTDCS'!P1093</f>
        <v>50355.77611434085</v>
      </c>
      <c r="Q1093" s="434">
        <f>'II-I-DIST'!Q1093+'II-I-MET'!Q1093+'II-I-TBILLTDCS'!Q1093</f>
        <v>126042.89878972364</v>
      </c>
      <c r="R1093" s="434">
        <f>'II-I-DIST'!R1093+'II-I-MET'!R1093+'II-I-TBILLTDCS'!R1093</f>
        <v>14214.139811557727</v>
      </c>
      <c r="S1093" s="434">
        <f>'II-I-DIST'!S1093+'II-I-MET'!S1093+'II-I-TBILLTDCS'!S1093</f>
        <v>62213.972966887624</v>
      </c>
      <c r="T1093" s="17"/>
      <c r="U1093" s="18">
        <f t="shared" si="277"/>
        <v>22936199.190000009</v>
      </c>
      <c r="V1093" s="67"/>
      <c r="X1093" s="370">
        <f t="shared" si="270"/>
        <v>0</v>
      </c>
    </row>
    <row r="1094" spans="1:24" ht="14.25">
      <c r="A1094" s="47"/>
      <c r="B1094" s="17">
        <f t="shared" si="275"/>
        <v>10</v>
      </c>
      <c r="C1094" s="1"/>
      <c r="D1094" s="19" t="s">
        <v>1249</v>
      </c>
      <c r="E1094" s="17"/>
      <c r="F1094" s="290">
        <f>' WP II-I-1.4'!L1094</f>
        <v>-1782606.51</v>
      </c>
      <c r="G1094" s="17" t="s">
        <v>805</v>
      </c>
      <c r="H1094" s="47" t="s">
        <v>320</v>
      </c>
      <c r="I1094" s="17"/>
      <c r="J1094" s="434">
        <f>'II-I-DIST'!J1094+'II-I-MET'!J1094+'II-I-TBILLTDCS'!J1094</f>
        <v>-991345.99719861976</v>
      </c>
      <c r="K1094" s="434">
        <f>'II-I-DIST'!K1094+'II-I-MET'!K1094+'II-I-TBILLTDCS'!K1094</f>
        <v>-39285.715144466725</v>
      </c>
      <c r="L1094" s="434">
        <f>'II-I-DIST'!L1094+'II-I-MET'!L1094+'II-I-TBILLTDCS'!L1094</f>
        <v>-621997.67173705541</v>
      </c>
      <c r="M1094" s="434">
        <f>'II-I-DIST'!M1094+'II-I-MET'!M1094+'II-I-TBILLTDCS'!M1094</f>
        <v>-605.60147089448049</v>
      </c>
      <c r="N1094" s="434">
        <f>'II-I-DIST'!N1094+'II-I-MET'!N1094+'II-I-TBILLTDCS'!N1094</f>
        <v>-99887.767160620118</v>
      </c>
      <c r="O1094" s="434">
        <f>'II-I-DIST'!O1094+'II-I-MET'!O1094+'II-I-TBILLTDCS'!O1094</f>
        <v>-9475.6910874941386</v>
      </c>
      <c r="P1094" s="434">
        <f>'II-I-DIST'!P1094+'II-I-MET'!P1094+'II-I-TBILLTDCS'!P1094</f>
        <v>-3566.5434044803396</v>
      </c>
      <c r="Q1094" s="434">
        <f>'II-I-DIST'!Q1094+'II-I-MET'!Q1094+'II-I-TBILLTDCS'!Q1094</f>
        <v>-10306.85639366617</v>
      </c>
      <c r="R1094" s="434">
        <f>'II-I-DIST'!R1094+'II-I-MET'!R1094+'II-I-TBILLTDCS'!R1094</f>
        <v>-1131.2249096713063</v>
      </c>
      <c r="S1094" s="434">
        <f>'II-I-DIST'!S1094+'II-I-MET'!S1094+'II-I-TBILLTDCS'!S1094</f>
        <v>-5003.4414930316134</v>
      </c>
      <c r="T1094" s="17"/>
      <c r="U1094" s="18">
        <f t="shared" si="277"/>
        <v>-1782606.51</v>
      </c>
      <c r="V1094" s="67"/>
      <c r="X1094" s="370">
        <f t="shared" si="270"/>
        <v>0</v>
      </c>
    </row>
    <row r="1095" spans="1:24" ht="14.25">
      <c r="A1095" s="47"/>
      <c r="B1095" s="17">
        <f t="shared" si="275"/>
        <v>11</v>
      </c>
      <c r="C1095" s="1"/>
      <c r="D1095" s="386" t="s">
        <v>1250</v>
      </c>
      <c r="E1095" s="17"/>
      <c r="F1095" s="290">
        <f>' WP II-I-1.4'!L1095</f>
        <v>269284.15000000002</v>
      </c>
      <c r="G1095" s="17" t="s">
        <v>805</v>
      </c>
      <c r="H1095" s="47" t="s">
        <v>320</v>
      </c>
      <c r="I1095" s="17"/>
      <c r="J1095" s="434">
        <f>'II-I-DIST'!J1095+'II-I-MET'!J1095+'II-I-TBILLTDCS'!J1095</f>
        <v>149754.73427126248</v>
      </c>
      <c r="K1095" s="434">
        <f>'II-I-DIST'!K1095+'II-I-MET'!K1095+'II-I-TBILLTDCS'!K1095</f>
        <v>5934.5792649806572</v>
      </c>
      <c r="L1095" s="434">
        <f>'II-I-DIST'!L1095+'II-I-MET'!L1095+'II-I-TBILLTDCS'!L1095</f>
        <v>93960.22869903309</v>
      </c>
      <c r="M1095" s="434">
        <f>'II-I-DIST'!M1095+'II-I-MET'!M1095+'II-I-TBILLTDCS'!M1095</f>
        <v>91.483361719414717</v>
      </c>
      <c r="N1095" s="434">
        <f>'II-I-DIST'!N1095+'II-I-MET'!N1095+'II-I-TBILLTDCS'!N1095</f>
        <v>15089.248278251293</v>
      </c>
      <c r="O1095" s="434">
        <f>'II-I-DIST'!O1095+'II-I-MET'!O1095+'II-I-TBILLTDCS'!O1095</f>
        <v>1431.4171063154481</v>
      </c>
      <c r="P1095" s="434">
        <f>'II-I-DIST'!P1095+'II-I-MET'!P1095+'II-I-TBILLTDCS'!P1095</f>
        <v>538.76924163993885</v>
      </c>
      <c r="Q1095" s="434">
        <f>'II-I-DIST'!Q1095+'II-I-MET'!Q1095+'II-I-TBILLTDCS'!Q1095</f>
        <v>1556.9746277097549</v>
      </c>
      <c r="R1095" s="434">
        <f>'II-I-DIST'!R1095+'II-I-MET'!R1095+'II-I-TBILLTDCS'!R1095</f>
        <v>170.88512838402923</v>
      </c>
      <c r="S1095" s="434">
        <f>'II-I-DIST'!S1095+'II-I-MET'!S1095+'II-I-TBILLTDCS'!S1095</f>
        <v>755.83002070391058</v>
      </c>
      <c r="T1095" s="17"/>
      <c r="U1095" s="18">
        <f t="shared" si="277"/>
        <v>269284.15000000002</v>
      </c>
      <c r="V1095" s="67"/>
      <c r="X1095" s="370">
        <f t="shared" si="270"/>
        <v>0</v>
      </c>
    </row>
    <row r="1096" spans="1:24" ht="14.25">
      <c r="A1096" s="47"/>
      <c r="B1096" s="17">
        <f t="shared" si="275"/>
        <v>12</v>
      </c>
      <c r="C1096" s="1"/>
      <c r="D1096" s="386" t="s">
        <v>998</v>
      </c>
      <c r="E1096" s="17"/>
      <c r="F1096" s="290">
        <f>' WP II-I-1.4'!L1096</f>
        <v>92328.029999999999</v>
      </c>
      <c r="G1096" s="17" t="s">
        <v>805</v>
      </c>
      <c r="H1096" s="47" t="s">
        <v>320</v>
      </c>
      <c r="I1096" s="17"/>
      <c r="J1096" s="434">
        <f>'II-I-DIST'!J1096+'II-I-MET'!J1096+'II-I-TBILLTDCS'!J1096</f>
        <v>51345.987570288678</v>
      </c>
      <c r="K1096" s="434">
        <f>'II-I-DIST'!K1096+'II-I-MET'!K1096+'II-I-TBILLTDCS'!K1096</f>
        <v>2112.3003735371672</v>
      </c>
      <c r="L1096" s="434">
        <f>'II-I-DIST'!L1096+'II-I-MET'!L1096+'II-I-TBILLTDCS'!L1096</f>
        <v>32114.913092775703</v>
      </c>
      <c r="M1096" s="434">
        <f>'II-I-DIST'!M1096+'II-I-MET'!M1096+'II-I-TBILLTDCS'!M1096</f>
        <v>35.47081292424118</v>
      </c>
      <c r="N1096" s="434">
        <f>'II-I-DIST'!N1096+'II-I-MET'!N1096+'II-I-TBILLTDCS'!N1096</f>
        <v>5199.9565862375966</v>
      </c>
      <c r="O1096" s="434">
        <f>'II-I-DIST'!O1096+'II-I-MET'!O1096+'II-I-TBILLTDCS'!O1096</f>
        <v>487.56067942754322</v>
      </c>
      <c r="P1096" s="434">
        <f>'II-I-DIST'!P1096+'II-I-MET'!P1096+'II-I-TBILLTDCS'!P1096</f>
        <v>189.95347005517905</v>
      </c>
      <c r="Q1096" s="434">
        <f>'II-I-DIST'!Q1096+'II-I-MET'!Q1096+'II-I-TBILLTDCS'!Q1096</f>
        <v>527.11125242509547</v>
      </c>
      <c r="R1096" s="434">
        <f>'II-I-DIST'!R1096+'II-I-MET'!R1096+'II-I-TBILLTDCS'!R1096</f>
        <v>58.187588107011109</v>
      </c>
      <c r="S1096" s="434">
        <f>'II-I-DIST'!S1096+'II-I-MET'!S1096+'II-I-TBILLTDCS'!S1096</f>
        <v>256.58857422177744</v>
      </c>
      <c r="T1096" s="17"/>
      <c r="U1096" s="18">
        <f t="shared" si="277"/>
        <v>92328.029999999984</v>
      </c>
      <c r="V1096" s="118"/>
      <c r="X1096" s="370">
        <f t="shared" si="270"/>
        <v>0</v>
      </c>
    </row>
    <row r="1097" spans="1:24" ht="14.25">
      <c r="A1097" s="47"/>
      <c r="B1097" s="17">
        <f t="shared" si="275"/>
        <v>13</v>
      </c>
      <c r="C1097" s="1"/>
      <c r="D1097" s="1"/>
      <c r="E1097" s="17"/>
      <c r="F1097" s="290"/>
      <c r="G1097" s="17" t="s">
        <v>805</v>
      </c>
      <c r="H1097" s="47" t="s">
        <v>320</v>
      </c>
      <c r="I1097" s="17"/>
      <c r="J1097" s="434">
        <f>'II-I-DIST'!J1097+'II-I-MET'!J1097+'II-I-TBILLTDCS'!J1097</f>
        <v>0</v>
      </c>
      <c r="K1097" s="434">
        <f>'II-I-DIST'!K1097+'II-I-MET'!K1097+'II-I-TBILLTDCS'!K1097</f>
        <v>0</v>
      </c>
      <c r="L1097" s="434">
        <f>'II-I-DIST'!L1097+'II-I-MET'!L1097+'II-I-TBILLTDCS'!L1097</f>
        <v>0</v>
      </c>
      <c r="M1097" s="434">
        <f>'II-I-DIST'!M1097+'II-I-MET'!M1097+'II-I-TBILLTDCS'!M1097</f>
        <v>0</v>
      </c>
      <c r="N1097" s="434">
        <f>'II-I-DIST'!N1097+'II-I-MET'!N1097+'II-I-TBILLTDCS'!N1097</f>
        <v>0</v>
      </c>
      <c r="O1097" s="434">
        <f>'II-I-DIST'!O1097+'II-I-MET'!O1097+'II-I-TBILLTDCS'!O1097</f>
        <v>0</v>
      </c>
      <c r="P1097" s="434">
        <f>'II-I-DIST'!P1097+'II-I-MET'!P1097+'II-I-TBILLTDCS'!P1097</f>
        <v>0</v>
      </c>
      <c r="Q1097" s="434">
        <f>'II-I-DIST'!Q1097+'II-I-MET'!Q1097+'II-I-TBILLTDCS'!Q1097</f>
        <v>0</v>
      </c>
      <c r="R1097" s="434">
        <f>'II-I-DIST'!R1097+'II-I-MET'!R1097+'II-I-TBILLTDCS'!R1097</f>
        <v>0</v>
      </c>
      <c r="S1097" s="434">
        <f>'II-I-DIST'!S1097+'II-I-MET'!S1097+'II-I-TBILLTDCS'!S1097</f>
        <v>0</v>
      </c>
      <c r="T1097" s="17"/>
      <c r="U1097" s="18">
        <f t="shared" si="277"/>
        <v>0</v>
      </c>
      <c r="V1097" s="67"/>
      <c r="X1097" s="370">
        <f t="shared" si="270"/>
        <v>0</v>
      </c>
    </row>
    <row r="1098" spans="1:24" ht="14.25">
      <c r="A1098" s="47"/>
      <c r="B1098" s="17">
        <f t="shared" si="275"/>
        <v>14</v>
      </c>
      <c r="C1098" s="1"/>
      <c r="D1098" s="1"/>
      <c r="E1098" s="17"/>
      <c r="F1098" s="290"/>
      <c r="G1098" s="17" t="s">
        <v>805</v>
      </c>
      <c r="H1098" s="47" t="s">
        <v>320</v>
      </c>
      <c r="I1098" s="17"/>
      <c r="J1098" s="435">
        <f>'II-I-DIST'!J1098+'II-I-MET'!J1098+'II-I-TBILLTDCS'!J1098</f>
        <v>0</v>
      </c>
      <c r="K1098" s="435">
        <f>'II-I-DIST'!K1098+'II-I-MET'!K1098+'II-I-TBILLTDCS'!K1098</f>
        <v>0</v>
      </c>
      <c r="L1098" s="435">
        <f>'II-I-DIST'!L1098+'II-I-MET'!L1098+'II-I-TBILLTDCS'!L1098</f>
        <v>0</v>
      </c>
      <c r="M1098" s="435">
        <f>'II-I-DIST'!M1098+'II-I-MET'!M1098+'II-I-TBILLTDCS'!M1098</f>
        <v>0</v>
      </c>
      <c r="N1098" s="435">
        <f>'II-I-DIST'!N1098+'II-I-MET'!N1098+'II-I-TBILLTDCS'!N1098</f>
        <v>0</v>
      </c>
      <c r="O1098" s="435">
        <f>'II-I-DIST'!O1098+'II-I-MET'!O1098+'II-I-TBILLTDCS'!O1098</f>
        <v>0</v>
      </c>
      <c r="P1098" s="435">
        <f>'II-I-DIST'!P1098+'II-I-MET'!P1098+'II-I-TBILLTDCS'!P1098</f>
        <v>0</v>
      </c>
      <c r="Q1098" s="435">
        <f>'II-I-DIST'!Q1098+'II-I-MET'!Q1098+'II-I-TBILLTDCS'!Q1098</f>
        <v>0</v>
      </c>
      <c r="R1098" s="435">
        <f>'II-I-DIST'!R1098+'II-I-MET'!R1098+'II-I-TBILLTDCS'!R1098</f>
        <v>0</v>
      </c>
      <c r="S1098" s="435">
        <f>'II-I-DIST'!S1098+'II-I-MET'!S1098+'II-I-TBILLTDCS'!S1098</f>
        <v>0</v>
      </c>
      <c r="T1098" s="17"/>
      <c r="U1098" s="18">
        <f t="shared" si="277"/>
        <v>0</v>
      </c>
      <c r="V1098" s="118"/>
      <c r="X1098" s="370">
        <f t="shared" si="270"/>
        <v>0</v>
      </c>
    </row>
    <row r="1099" spans="1:24" ht="15">
      <c r="A1099" s="47"/>
      <c r="B1099" s="17">
        <f t="shared" si="275"/>
        <v>15</v>
      </c>
      <c r="C1099" s="8"/>
      <c r="D1099" s="297" t="s">
        <v>491</v>
      </c>
      <c r="E1099" s="1135"/>
      <c r="F1099" s="896">
        <f>SUM(F1090:F1098)</f>
        <v>262769019.46000001</v>
      </c>
      <c r="G1099" s="1135"/>
      <c r="H1099" s="1135"/>
      <c r="I1099" s="1135"/>
      <c r="J1099" s="896">
        <f t="shared" si="278" ref="J1099:Q1099">SUM(J1090:J1098)</f>
        <v>146133152.76033109</v>
      </c>
      <c r="K1099" s="896">
        <f t="shared" si="278"/>
        <v>5941190.8607198168</v>
      </c>
      <c r="L1099" s="896">
        <f t="shared" si="278"/>
        <v>91492993.005649447</v>
      </c>
      <c r="M1099" s="896">
        <f t="shared" si="278"/>
        <v>97215.846374248518</v>
      </c>
      <c r="N1099" s="896">
        <f t="shared" si="278"/>
        <v>14775252.417063708</v>
      </c>
      <c r="O1099" s="896">
        <f>SUM(O1090:O1098)</f>
        <v>1390497.5415576333</v>
      </c>
      <c r="P1099" s="896">
        <f t="shared" si="278"/>
        <v>535811.88789907028</v>
      </c>
      <c r="Q1099" s="896">
        <f t="shared" si="278"/>
        <v>1504329.9034356845</v>
      </c>
      <c r="R1099" s="896">
        <f>SUM(R1090:R1098)</f>
        <v>165969.94507331404</v>
      </c>
      <c r="S1099" s="896">
        <f>SUM(S1090:S1098)</f>
        <v>732605.29189591575</v>
      </c>
      <c r="T1099" s="1009"/>
      <c r="U1099" s="251">
        <f t="shared" si="277"/>
        <v>262769019.45999995</v>
      </c>
      <c r="V1099" s="67"/>
      <c r="W1099" s="1300" t="b">
        <f>' WP II-I-1.4'!$L$1099=U1099</f>
        <v>1</v>
      </c>
      <c r="X1099" s="370">
        <f t="shared" si="270"/>
        <v>0</v>
      </c>
    </row>
    <row r="1100" spans="1:24" ht="14.25">
      <c r="A1100" s="47"/>
      <c r="B1100" s="17">
        <f t="shared" si="275"/>
        <v>16</v>
      </c>
      <c r="C1100" s="1"/>
      <c r="D1100" s="1"/>
      <c r="E1100" s="17"/>
      <c r="F1100" s="128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28"/>
      <c r="V1100" s="67"/>
      <c r="X1100" s="370">
        <f t="shared" si="270"/>
        <v>0</v>
      </c>
    </row>
    <row r="1101" spans="1:24" ht="15">
      <c r="A1101" s="47"/>
      <c r="B1101" s="17">
        <f t="shared" si="275"/>
        <v>17</v>
      </c>
      <c r="C1101" s="8"/>
      <c r="D1101" s="8" t="s">
        <v>321</v>
      </c>
      <c r="E1101" s="1135" t="s">
        <v>316</v>
      </c>
      <c r="F1101" s="896"/>
      <c r="G1101" s="1135"/>
      <c r="H1101" s="1135"/>
      <c r="I1101" s="1135"/>
      <c r="J1101" s="1135"/>
      <c r="K1101" s="1059"/>
      <c r="L1101" s="1059"/>
      <c r="M1101" s="1059"/>
      <c r="N1101" s="1059"/>
      <c r="O1101" s="1059"/>
      <c r="P1101" s="1059"/>
      <c r="Q1101" s="1059"/>
      <c r="R1101" s="1059"/>
      <c r="S1101" s="1059"/>
      <c r="T1101" s="1009"/>
      <c r="U1101" s="8"/>
      <c r="V1101" s="67"/>
      <c r="X1101" s="370">
        <f t="shared" si="270"/>
        <v>0</v>
      </c>
    </row>
    <row r="1102" spans="1:24" ht="14.25">
      <c r="A1102" s="47"/>
      <c r="B1102" s="17">
        <f t="shared" si="275"/>
        <v>18</v>
      </c>
      <c r="C1102" s="1"/>
      <c r="D1102" s="778" t="s">
        <v>323</v>
      </c>
      <c r="E1102" s="17"/>
      <c r="F1102" s="290">
        <f>' WP II-I-1.4'!L1102</f>
        <v>150259.10000000004</v>
      </c>
      <c r="G1102" s="17" t="s">
        <v>805</v>
      </c>
      <c r="H1102" s="47" t="s">
        <v>320</v>
      </c>
      <c r="I1102" s="17"/>
      <c r="J1102" s="434">
        <f>'II-I-DIST'!J1102+'II-I-MET'!J1102+'II-I-TBILLTDCS'!J1102</f>
        <v>83640.483607906106</v>
      </c>
      <c r="K1102" s="434">
        <f>'II-I-DIST'!K1102+'II-I-MET'!K1102+'II-I-TBILLTDCS'!K1102</f>
        <v>3380.7223305346292</v>
      </c>
      <c r="L1102" s="434">
        <f>'II-I-DIST'!L1102+'II-I-MET'!L1102+'II-I-TBILLTDCS'!L1102</f>
        <v>52117.879783314143</v>
      </c>
      <c r="M1102" s="434">
        <f>'II-I-DIST'!M1102+'II-I-MET'!M1102+'II-I-TBILLTDCS'!M1102</f>
        <v>51.165332485750646</v>
      </c>
      <c r="N1102" s="434">
        <f>'II-I-DIST'!N1102+'II-I-MET'!N1102+'II-I-TBILLTDCS'!N1102</f>
        <v>8317.6959091658173</v>
      </c>
      <c r="O1102" s="434">
        <f>'II-I-DIST'!O1102+'II-I-MET'!O1102+'II-I-TBILLTDCS'!O1102</f>
        <v>779.61600152278356</v>
      </c>
      <c r="P1102" s="434">
        <f>'II-I-DIST'!P1102+'II-I-MET'!P1102+'II-I-TBILLTDCS'!P1102</f>
        <v>194.6044780231245</v>
      </c>
      <c r="Q1102" s="434">
        <f>'II-I-DIST'!Q1102+'II-I-MET'!Q1102+'II-I-TBILLTDCS'!Q1102</f>
        <v>1263.2672738339782</v>
      </c>
      <c r="R1102" s="434">
        <f>'II-I-DIST'!R1102+'II-I-MET'!R1102+'II-I-TBILLTDCS'!R1102</f>
        <v>93.336158671358191</v>
      </c>
      <c r="S1102" s="434">
        <f>'II-I-DIST'!S1102+'II-I-MET'!S1102+'II-I-TBILLTDCS'!S1102</f>
        <v>420.32912454233315</v>
      </c>
      <c r="T1102" s="17"/>
      <c r="U1102" s="18">
        <f t="shared" si="279" ref="U1102:U1105">SUM(I1102:T1102)</f>
        <v>150259.10000000001</v>
      </c>
      <c r="V1102" s="67"/>
      <c r="X1102" s="370">
        <f t="shared" si="270"/>
        <v>0</v>
      </c>
    </row>
    <row r="1103" spans="1:24" ht="14.25">
      <c r="A1103" s="47"/>
      <c r="B1103" s="17">
        <f t="shared" si="275"/>
        <v>19</v>
      </c>
      <c r="C1103" s="1"/>
      <c r="D1103" s="778" t="s">
        <v>1251</v>
      </c>
      <c r="E1103" s="17"/>
      <c r="F1103" s="290">
        <f>' WP II-I-1.4'!L1103</f>
        <v>1323853</v>
      </c>
      <c r="G1103" s="17" t="s">
        <v>805</v>
      </c>
      <c r="H1103" s="47" t="s">
        <v>320</v>
      </c>
      <c r="I1103" s="17"/>
      <c r="J1103" s="434">
        <f>'II-I-DIST'!J1103+'II-I-MET'!J1103+'II-I-TBILLTDCS'!J1103</f>
        <v>736279.88749261177</v>
      </c>
      <c r="K1103" s="434">
        <f>'II-I-DIST'!K1103+'II-I-MET'!K1103+'II-I-TBILLTDCS'!K1103</f>
        <v>43612.227278947546</v>
      </c>
      <c r="L1103" s="434">
        <f>'II-I-DIST'!L1103+'II-I-MET'!L1103+'II-I-TBILLTDCS'!L1103</f>
        <v>443148.40594371158</v>
      </c>
      <c r="M1103" s="434">
        <f>'II-I-DIST'!M1103+'II-I-MET'!M1103+'II-I-TBILLTDCS'!M1103</f>
        <v>1213.8839277511179</v>
      </c>
      <c r="N1103" s="434">
        <f>'II-I-DIST'!N1103+'II-I-MET'!N1103+'II-I-TBILLTDCS'!N1103</f>
        <v>79091.862076120422</v>
      </c>
      <c r="O1103" s="434">
        <f>'II-I-DIST'!O1103+'II-I-MET'!O1103+'II-I-TBILLTDCS'!O1103</f>
        <v>6437.7298077582782</v>
      </c>
      <c r="P1103" s="434">
        <f>'II-I-DIST'!P1103+'II-I-MET'!P1103+'II-I-TBILLTDCS'!P1103</f>
        <v>3620.5806835518247</v>
      </c>
      <c r="Q1103" s="434">
        <f>'II-I-DIST'!Q1103+'II-I-MET'!Q1103+'II-I-TBILLTDCS'!Q1103</f>
        <v>6444.2406135896908</v>
      </c>
      <c r="R1103" s="434">
        <f>'II-I-DIST'!R1103+'II-I-MET'!R1103+'II-I-TBILLTDCS'!R1103</f>
        <v>765.06378424392506</v>
      </c>
      <c r="S1103" s="434">
        <f>'II-I-DIST'!S1103+'II-I-MET'!S1103+'II-I-TBILLTDCS'!S1103</f>
        <v>3239.1183917137655</v>
      </c>
      <c r="T1103" s="17"/>
      <c r="U1103" s="18">
        <f t="shared" si="279"/>
        <v>1323853</v>
      </c>
      <c r="V1103" s="67"/>
      <c r="X1103" s="370">
        <f t="shared" si="270"/>
        <v>0</v>
      </c>
    </row>
    <row r="1104" spans="1:24" ht="14.25">
      <c r="A1104" s="47"/>
      <c r="B1104" s="17">
        <f t="shared" si="275"/>
        <v>20</v>
      </c>
      <c r="C1104" s="1"/>
      <c r="D1104" s="778" t="s">
        <v>1252</v>
      </c>
      <c r="E1104" s="17"/>
      <c r="F1104" s="290">
        <f>' WP II-I-1.4'!L1104</f>
        <v>0</v>
      </c>
      <c r="G1104" s="17" t="s">
        <v>805</v>
      </c>
      <c r="H1104" s="47" t="s">
        <v>320</v>
      </c>
      <c r="I1104" s="17"/>
      <c r="J1104" s="434">
        <f>'II-I-DIST'!J1104+'II-I-MET'!J1104+'II-I-TBILLTDCS'!J1104</f>
        <v>0</v>
      </c>
      <c r="K1104" s="434">
        <f>'II-I-DIST'!K1104+'II-I-MET'!K1104+'II-I-TBILLTDCS'!K1104</f>
        <v>0</v>
      </c>
      <c r="L1104" s="434">
        <f>'II-I-DIST'!L1104+'II-I-MET'!L1104+'II-I-TBILLTDCS'!L1104</f>
        <v>0</v>
      </c>
      <c r="M1104" s="434">
        <f>'II-I-DIST'!M1104+'II-I-MET'!M1104+'II-I-TBILLTDCS'!M1104</f>
        <v>0</v>
      </c>
      <c r="N1104" s="434">
        <f>'II-I-DIST'!N1104+'II-I-MET'!N1104+'II-I-TBILLTDCS'!N1104</f>
        <v>0</v>
      </c>
      <c r="O1104" s="434">
        <f>'II-I-DIST'!O1104+'II-I-MET'!O1104+'II-I-TBILLTDCS'!O1104</f>
        <v>0</v>
      </c>
      <c r="P1104" s="434">
        <f>'II-I-DIST'!P1104+'II-I-MET'!P1104+'II-I-TBILLTDCS'!P1104</f>
        <v>0</v>
      </c>
      <c r="Q1104" s="434">
        <f>'II-I-DIST'!Q1104+'II-I-MET'!Q1104+'II-I-TBILLTDCS'!Q1104</f>
        <v>0</v>
      </c>
      <c r="R1104" s="434">
        <f>'II-I-DIST'!R1104+'II-I-MET'!R1104+'II-I-TBILLTDCS'!R1104</f>
        <v>0</v>
      </c>
      <c r="S1104" s="434">
        <f>'II-I-DIST'!S1104+'II-I-MET'!S1104+'II-I-TBILLTDCS'!S1104</f>
        <v>0</v>
      </c>
      <c r="T1104" s="17"/>
      <c r="U1104" s="18">
        <f t="shared" si="279"/>
        <v>0</v>
      </c>
      <c r="V1104" s="67"/>
      <c r="X1104" s="370">
        <f t="shared" si="270"/>
        <v>0</v>
      </c>
    </row>
    <row r="1105" spans="1:24" ht="14.25">
      <c r="A1105" s="47"/>
      <c r="B1105" s="17">
        <f t="shared" si="275"/>
        <v>21</v>
      </c>
      <c r="C1105" s="1"/>
      <c r="D1105" s="778" t="s">
        <v>1253</v>
      </c>
      <c r="E1105" s="17"/>
      <c r="F1105" s="290">
        <f>' WP II-I-1.4'!L1105</f>
        <v>1107580.5799999998</v>
      </c>
      <c r="G1105" s="17" t="s">
        <v>805</v>
      </c>
      <c r="H1105" s="47" t="s">
        <v>320</v>
      </c>
      <c r="I1105" s="17"/>
      <c r="J1105" s="434">
        <f>'II-I-DIST'!J1105+'II-I-MET'!J1105+'II-I-TBILLTDCS'!J1105</f>
        <v>603271.05080470734</v>
      </c>
      <c r="K1105" s="434">
        <f>'II-I-DIST'!K1105+'II-I-MET'!K1105+'II-I-TBILLTDCS'!K1105</f>
        <v>33928.214036017656</v>
      </c>
      <c r="L1105" s="434">
        <f>'II-I-DIST'!L1105+'II-I-MET'!L1105+'II-I-TBILLTDCS'!L1105</f>
        <v>363419.43352385453</v>
      </c>
      <c r="M1105" s="434">
        <f>'II-I-DIST'!M1105+'II-I-MET'!M1105+'II-I-TBILLTDCS'!M1105</f>
        <v>1125.2037520861645</v>
      </c>
      <c r="N1105" s="434">
        <f>'II-I-DIST'!N1105+'II-I-MET'!N1105+'II-I-TBILLTDCS'!N1105</f>
        <v>80009.243808008468</v>
      </c>
      <c r="O1105" s="434">
        <f>'II-I-DIST'!O1105+'II-I-MET'!O1105+'II-I-TBILLTDCS'!O1105</f>
        <v>7489.2429960849649</v>
      </c>
      <c r="P1105" s="434">
        <f>'II-I-DIST'!P1105+'II-I-MET'!P1105+'II-I-TBILLTDCS'!P1105</f>
        <v>1646.83666139565</v>
      </c>
      <c r="Q1105" s="434">
        <f>'II-I-DIST'!Q1105+'II-I-MET'!Q1105+'II-I-TBILLTDCS'!Q1105</f>
        <v>12406.299315097258</v>
      </c>
      <c r="R1105" s="434">
        <f>'II-I-DIST'!R1105+'II-I-MET'!R1105+'II-I-TBILLTDCS'!R1105</f>
        <v>886.94125720983345</v>
      </c>
      <c r="S1105" s="434">
        <f>'II-I-DIST'!S1105+'II-I-MET'!S1105+'II-I-TBILLTDCS'!S1105</f>
        <v>3398.1138455378618</v>
      </c>
      <c r="T1105" s="17"/>
      <c r="U1105" s="18">
        <f t="shared" si="279"/>
        <v>1107580.5799999996</v>
      </c>
      <c r="V1105" s="67"/>
      <c r="X1105" s="370">
        <f t="shared" si="270"/>
        <v>0</v>
      </c>
    </row>
    <row r="1106" spans="1:24" ht="14.25">
      <c r="A1106" s="47"/>
      <c r="B1106" s="17">
        <f t="shared" si="275"/>
        <v>22</v>
      </c>
      <c r="C1106" s="1"/>
      <c r="D1106" s="778" t="s">
        <v>1254</v>
      </c>
      <c r="E1106" s="17"/>
      <c r="F1106" s="290">
        <f>' WP II-I-1.4'!L1106</f>
        <v>-3543212.1299999999</v>
      </c>
      <c r="G1106" s="17" t="s">
        <v>805</v>
      </c>
      <c r="H1106" s="47" t="s">
        <v>320</v>
      </c>
      <c r="I1106" s="17"/>
      <c r="J1106" s="434">
        <f>'II-I-DIST'!J1106+'II-I-MET'!J1106+'II-I-TBILLTDCS'!J1106</f>
        <v>-1868949.7954507938</v>
      </c>
      <c r="K1106" s="434">
        <f>'II-I-DIST'!K1106+'II-I-MET'!K1106+'II-I-TBILLTDCS'!K1106</f>
        <v>-125801.04709946227</v>
      </c>
      <c r="L1106" s="434">
        <f>'II-I-DIST'!L1106+'II-I-MET'!L1106+'II-I-TBILLTDCS'!L1106</f>
        <v>-1252550.9513658257</v>
      </c>
      <c r="M1106" s="434">
        <f>'II-I-DIST'!M1106+'II-I-MET'!M1106+'II-I-TBILLTDCS'!M1106</f>
        <v>-4251.3320122443247</v>
      </c>
      <c r="N1106" s="434">
        <f>'II-I-DIST'!N1106+'II-I-MET'!N1106+'II-I-TBILLTDCS'!N1106</f>
        <v>-214713.12905887549</v>
      </c>
      <c r="O1106" s="434">
        <f>'II-I-DIST'!O1106+'II-I-MET'!O1106+'II-I-TBILLTDCS'!O1106</f>
        <v>-10919.615344446058</v>
      </c>
      <c r="P1106" s="434">
        <f>'II-I-DIST'!P1106+'II-I-MET'!P1106+'II-I-TBILLTDCS'!P1106</f>
        <v>-7133.9495241922632</v>
      </c>
      <c r="Q1106" s="434">
        <f>'II-I-DIST'!Q1106+'II-I-MET'!Q1106+'II-I-TBILLTDCS'!Q1106</f>
        <v>-48090.317369495264</v>
      </c>
      <c r="R1106" s="434">
        <f>'II-I-DIST'!R1106+'II-I-MET'!R1106+'II-I-TBILLTDCS'!R1106</f>
        <v>-1861.1013923801811</v>
      </c>
      <c r="S1106" s="434">
        <f>'II-I-DIST'!S1106+'II-I-MET'!S1106+'II-I-TBILLTDCS'!S1106</f>
        <v>-8940.8913822838713</v>
      </c>
      <c r="T1106" s="434">
        <f>'II-I-DIST'!T1106+'II-I-MET'!T1106+'II-I-TBILLTDCS'!T1106</f>
        <v>0</v>
      </c>
      <c r="U1106" s="434">
        <f>'II-I-DIST'!U1106+'II-I-MET'!U1106+'II-I-TBILLTDCS'!U1106</f>
        <v>-3543212.1299999985</v>
      </c>
      <c r="V1106" s="67"/>
      <c r="X1106" s="370">
        <f t="shared" si="270"/>
        <v>0</v>
      </c>
    </row>
    <row r="1107" spans="1:24" ht="14.25">
      <c r="A1107" s="47"/>
      <c r="B1107" s="17">
        <f t="shared" si="275"/>
        <v>23</v>
      </c>
      <c r="C1107" s="1"/>
      <c r="D1107" s="778" t="s">
        <v>1374</v>
      </c>
      <c r="E1107" s="17"/>
      <c r="F1107" s="290">
        <f>' WP II-I-1.4'!L1107</f>
        <v>0</v>
      </c>
      <c r="G1107" s="17" t="s">
        <v>805</v>
      </c>
      <c r="H1107" s="47" t="s">
        <v>320</v>
      </c>
      <c r="I1107" s="17"/>
      <c r="J1107" s="434">
        <f>'II-I-DIST'!J1107+'II-I-MET'!J1107+'II-I-TBILLTDCS'!J1107</f>
        <v>0</v>
      </c>
      <c r="K1107" s="434">
        <f>'II-I-DIST'!K1107+'II-I-MET'!K1107+'II-I-TBILLTDCS'!K1107</f>
        <v>0</v>
      </c>
      <c r="L1107" s="434">
        <f>'II-I-DIST'!L1107+'II-I-MET'!L1107+'II-I-TBILLTDCS'!L1107</f>
        <v>0</v>
      </c>
      <c r="M1107" s="434">
        <f>'II-I-DIST'!M1107+'II-I-MET'!M1107+'II-I-TBILLTDCS'!M1107</f>
        <v>0</v>
      </c>
      <c r="N1107" s="434">
        <f>'II-I-DIST'!N1107+'II-I-MET'!N1107+'II-I-TBILLTDCS'!N1107</f>
        <v>0</v>
      </c>
      <c r="O1107" s="434">
        <f>'II-I-DIST'!O1107+'II-I-MET'!O1107+'II-I-TBILLTDCS'!O1107</f>
        <v>0</v>
      </c>
      <c r="P1107" s="434">
        <f>'II-I-DIST'!P1107+'II-I-MET'!P1107+'II-I-TBILLTDCS'!P1107</f>
        <v>0</v>
      </c>
      <c r="Q1107" s="434">
        <f>'II-I-DIST'!Q1107+'II-I-MET'!Q1107+'II-I-TBILLTDCS'!Q1107</f>
        <v>0</v>
      </c>
      <c r="R1107" s="434">
        <f>'II-I-DIST'!R1107+'II-I-MET'!R1107+'II-I-TBILLTDCS'!R1107</f>
        <v>0</v>
      </c>
      <c r="S1107" s="434">
        <f>'II-I-DIST'!S1107+'II-I-MET'!S1107+'II-I-TBILLTDCS'!S1107</f>
        <v>0</v>
      </c>
      <c r="T1107" s="434">
        <f>'II-I-DIST'!T1107+'II-I-MET'!T1107+'II-I-TBILLTDCS'!T1107</f>
        <v>0</v>
      </c>
      <c r="U1107" s="434">
        <f>'II-I-DIST'!U1107+'II-I-MET'!U1107+'II-I-TBILLTDCS'!U1107</f>
        <v>0</v>
      </c>
      <c r="V1107" s="118">
        <f>' WP II-I-1.4'!AB1108</f>
        <v>0</v>
      </c>
      <c r="W1107" s="118">
        <f>' WP II-I-1.4'!AC1108</f>
        <v>0</v>
      </c>
      <c r="X1107" s="118">
        <f>' WP II-I-1.4'!AD1108</f>
        <v>0</v>
      </c>
    </row>
    <row r="1108" spans="1:21" ht="14.25">
      <c r="A1108" s="47"/>
      <c r="B1108" s="17">
        <f t="shared" si="275"/>
        <v>24</v>
      </c>
      <c r="C1108" s="1"/>
      <c r="D1108" t="s">
        <v>322</v>
      </c>
      <c r="F1108" s="290">
        <f>' WP II-I-1.4'!L1108</f>
        <v>0</v>
      </c>
      <c r="G1108" s="17" t="s">
        <v>805</v>
      </c>
      <c r="H1108" s="47" t="s">
        <v>320</v>
      </c>
      <c r="I1108" s="17"/>
      <c r="J1108" s="434">
        <f>'II-I-DIST'!J1108+'II-I-MET'!J1108+'II-I-TBILLTDCS'!J1108</f>
        <v>0</v>
      </c>
      <c r="K1108" s="434">
        <f>'II-I-DIST'!K1108+'II-I-MET'!K1108+'II-I-TBILLTDCS'!K1108</f>
        <v>0</v>
      </c>
      <c r="L1108" s="434">
        <f>'II-I-DIST'!L1108+'II-I-MET'!L1108+'II-I-TBILLTDCS'!L1108</f>
        <v>0</v>
      </c>
      <c r="M1108" s="434">
        <f>'II-I-DIST'!M1108+'II-I-MET'!M1108+'II-I-TBILLTDCS'!M1108</f>
        <v>0</v>
      </c>
      <c r="N1108" s="434">
        <f>'II-I-DIST'!N1108+'II-I-MET'!N1108+'II-I-TBILLTDCS'!N1108</f>
        <v>0</v>
      </c>
      <c r="O1108" s="434">
        <f>'II-I-DIST'!O1108+'II-I-MET'!O1108+'II-I-TBILLTDCS'!O1108</f>
        <v>0</v>
      </c>
      <c r="P1108" s="434">
        <f>'II-I-DIST'!P1108+'II-I-MET'!P1108+'II-I-TBILLTDCS'!P1108</f>
        <v>0</v>
      </c>
      <c r="Q1108" s="434">
        <f>'II-I-DIST'!Q1108+'II-I-MET'!Q1108+'II-I-TBILLTDCS'!Q1108</f>
        <v>0</v>
      </c>
      <c r="R1108" s="434">
        <f>'II-I-DIST'!R1108+'II-I-MET'!R1108+'II-I-TBILLTDCS'!R1108</f>
        <v>0</v>
      </c>
      <c r="S1108" s="434">
        <f>'II-I-DIST'!S1108+'II-I-MET'!S1108+'II-I-TBILLTDCS'!S1108</f>
        <v>0</v>
      </c>
      <c r="T1108" s="434">
        <f>'II-I-DIST'!T1108+'II-I-MET'!T1108+'II-I-TBILLTDCS'!T1108</f>
        <v>0</v>
      </c>
      <c r="U1108" s="434">
        <f>'II-I-DIST'!U1108+'II-I-MET'!U1108+'II-I-TBILLTDCS'!U1108</f>
        <v>0</v>
      </c>
    </row>
    <row r="1109" spans="1:24" ht="15">
      <c r="A1109" s="47"/>
      <c r="B1109" s="17">
        <f t="shared" si="275"/>
        <v>25</v>
      </c>
      <c r="C1109" s="1"/>
      <c r="D1109" s="297" t="s">
        <v>491</v>
      </c>
      <c r="E1109" s="17"/>
      <c r="F1109" s="896">
        <f>SUM(F1102:F1107)</f>
        <v>-961519.45000000019</v>
      </c>
      <c r="G1109" s="17"/>
      <c r="H1109" s="17"/>
      <c r="I1109" s="17"/>
      <c r="J1109" s="896">
        <f>SUM(J1102:J1108)</f>
        <v>-445758.37354556867</v>
      </c>
      <c r="K1109" s="896">
        <f>SUM(K1102:K1108)</f>
        <v>-44879.883453962451</v>
      </c>
      <c r="L1109" s="896">
        <f t="shared" si="280" ref="L1109:R1109">SUM(L1102:L1108)</f>
        <v>-393865.23211494554</v>
      </c>
      <c r="M1109" s="896">
        <f t="shared" si="280"/>
        <v>-1861.0789999212916</v>
      </c>
      <c r="N1109" s="896">
        <f t="shared" si="280"/>
        <v>-47294.327265580767</v>
      </c>
      <c r="O1109" s="896">
        <f t="shared" si="280"/>
        <v>3786.9734609199695</v>
      </c>
      <c r="P1109" s="896">
        <f t="shared" si="280"/>
        <v>-1671.9277012216644</v>
      </c>
      <c r="Q1109" s="896">
        <f t="shared" si="280"/>
        <v>-27976.510166974338</v>
      </c>
      <c r="R1109" s="896">
        <f t="shared" si="280"/>
        <v>-115.76019225506434</v>
      </c>
      <c r="S1109" s="896">
        <f>SUM(S1102:S1108)</f>
        <v>-1883.3300204899115</v>
      </c>
      <c r="T1109" s="17"/>
      <c r="U1109" s="251">
        <f>SUM(I1109:T1109)</f>
        <v>-961519.44999999972</v>
      </c>
      <c r="V1109" s="67"/>
      <c r="W1109" s="1300" t="b">
        <f>' WP II-I-1.4'!$L$1109=U1109</f>
        <v>1</v>
      </c>
      <c r="X1109" s="370">
        <f>U1109-F1109</f>
        <v>0</v>
      </c>
    </row>
    <row r="1110" spans="1:24" ht="15">
      <c r="A1110" s="47"/>
      <c r="B1110" s="17">
        <f t="shared" si="275"/>
        <v>26</v>
      </c>
      <c r="C1110" s="8"/>
      <c r="D1110" s="8" t="s">
        <v>435</v>
      </c>
      <c r="E1110" s="1135"/>
      <c r="F1110" s="896">
        <f>+F1087-F1099+F1109</f>
        <v>419269971.09813839</v>
      </c>
      <c r="G1110" s="1135"/>
      <c r="H1110" s="1135"/>
      <c r="I1110" s="1135"/>
      <c r="J1110" s="896">
        <f t="shared" si="281" ref="J1110:S1110">+J1087-J1099+J1109</f>
        <v>233255158.55660108</v>
      </c>
      <c r="K1110" s="896">
        <f t="shared" si="281"/>
        <v>9314911.3634916786</v>
      </c>
      <c r="L1110" s="896">
        <f t="shared" si="281"/>
        <v>146109350.83091307</v>
      </c>
      <c r="M1110" s="896">
        <f t="shared" si="281"/>
        <v>146126.77060884962</v>
      </c>
      <c r="N1110" s="896">
        <f t="shared" si="281"/>
        <v>23534075.924471956</v>
      </c>
      <c r="O1110" s="896">
        <f t="shared" si="281"/>
        <v>2233488.70815711</v>
      </c>
      <c r="P1110" s="896">
        <f t="shared" si="281"/>
        <v>845979.45042540494</v>
      </c>
      <c r="Q1110" s="896">
        <f t="shared" si="281"/>
        <v>2390439.531089786</v>
      </c>
      <c r="R1110" s="896">
        <f t="shared" si="281"/>
        <v>266050.89793777891</v>
      </c>
      <c r="S1110" s="896">
        <f t="shared" si="281"/>
        <v>1174389.0644417477</v>
      </c>
      <c r="T1110" s="1009"/>
      <c r="U1110" s="251">
        <f>SUM(I1110:T1110)</f>
        <v>419269971.09813845</v>
      </c>
      <c r="V1110" s="67"/>
      <c r="W1110" s="1300" t="b">
        <f>' WP II-I-1.4'!$L$1111=U1110</f>
        <v>0</v>
      </c>
      <c r="X1110" s="370">
        <f t="shared" si="270"/>
        <v>0</v>
      </c>
    </row>
    <row r="1111" spans="1:24" ht="15">
      <c r="A1111" s="47"/>
      <c r="B1111" s="17">
        <f t="shared" si="275"/>
        <v>27</v>
      </c>
      <c r="C1111" s="8"/>
      <c r="D1111" s="8" t="s">
        <v>436</v>
      </c>
      <c r="E1111" s="1135" t="s">
        <v>316</v>
      </c>
      <c r="F1111" s="122">
        <f>0.21/(1-0.21)</f>
        <v>0.26582278481012656</v>
      </c>
      <c r="G1111" s="1135"/>
      <c r="H1111" s="1135"/>
      <c r="I1111" s="1135"/>
      <c r="J1111" s="122">
        <f t="shared" si="282" ref="J1111:S1111">0.21/(1-0.21)</f>
        <v>0.26582278481012656</v>
      </c>
      <c r="K1111" s="122">
        <f t="shared" si="282"/>
        <v>0.26582278481012656</v>
      </c>
      <c r="L1111" s="122">
        <f t="shared" si="282"/>
        <v>0.26582278481012656</v>
      </c>
      <c r="M1111" s="122">
        <f t="shared" si="282"/>
        <v>0.26582278481012656</v>
      </c>
      <c r="N1111" s="122">
        <f t="shared" si="282"/>
        <v>0.26582278481012656</v>
      </c>
      <c r="O1111" s="122">
        <f t="shared" si="282"/>
        <v>0.26582278481012656</v>
      </c>
      <c r="P1111" s="122">
        <f t="shared" si="282"/>
        <v>0.26582278481012656</v>
      </c>
      <c r="Q1111" s="122">
        <f t="shared" si="282"/>
        <v>0.26582278481012656</v>
      </c>
      <c r="R1111" s="122">
        <f t="shared" si="282"/>
        <v>0.26582278481012656</v>
      </c>
      <c r="S1111" s="122">
        <f t="shared" si="282"/>
        <v>0.26582278481012656</v>
      </c>
      <c r="T1111" s="1009"/>
      <c r="U1111" s="122">
        <f>U1113/U1110</f>
        <v>0.26582278481012661</v>
      </c>
      <c r="V1111" s="67"/>
      <c r="X1111" s="370">
        <f t="shared" si="270"/>
        <v>0</v>
      </c>
    </row>
    <row r="1112" spans="1:24" ht="15">
      <c r="A1112" s="47"/>
      <c r="B1112" s="17">
        <f t="shared" si="275"/>
        <v>28</v>
      </c>
      <c r="C1112" s="1"/>
      <c r="D1112" s="1"/>
      <c r="E1112" s="17"/>
      <c r="F1112" s="19"/>
      <c r="G1112" s="17"/>
      <c r="H1112" s="17"/>
      <c r="I1112" s="17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7"/>
      <c r="U1112" s="8"/>
      <c r="V1112" s="67"/>
      <c r="X1112" s="370">
        <f t="shared" si="270"/>
        <v>0</v>
      </c>
    </row>
    <row r="1113" spans="1:24" ht="15">
      <c r="A1113" s="47"/>
      <c r="B1113" s="17">
        <f t="shared" si="275"/>
        <v>29</v>
      </c>
      <c r="C1113" s="8"/>
      <c r="D1113" s="8" t="s">
        <v>717</v>
      </c>
      <c r="E1113" s="1135"/>
      <c r="F1113" s="896">
        <f>+F1110*F1111</f>
        <v>111451511.30456843</v>
      </c>
      <c r="G1113" s="1135"/>
      <c r="H1113" s="1135"/>
      <c r="I1113" s="1135"/>
      <c r="J1113" s="896">
        <f t="shared" si="283" ref="J1113:Q1113">+J1110*J1111</f>
        <v>62004535.81884332</v>
      </c>
      <c r="K1113" s="896">
        <f t="shared" si="283"/>
        <v>2476115.678902851</v>
      </c>
      <c r="L1113" s="896">
        <f t="shared" si="283"/>
        <v>38839194.524673089</v>
      </c>
      <c r="M1113" s="896">
        <f t="shared" si="283"/>
        <v>38843.82509855496</v>
      </c>
      <c r="N1113" s="896">
        <f t="shared" si="283"/>
        <v>6255893.6001760885</v>
      </c>
      <c r="O1113" s="896">
        <f>+O1110*O1111</f>
        <v>593712.18824429496</v>
      </c>
      <c r="P1113" s="896">
        <f t="shared" si="283"/>
        <v>224880.61340422154</v>
      </c>
      <c r="Q1113" s="896">
        <f t="shared" si="283"/>
        <v>635433.29307450005</v>
      </c>
      <c r="R1113" s="896">
        <f>+R1110*R1111</f>
        <v>70722.39059105514</v>
      </c>
      <c r="S1113" s="896">
        <f>+S1110*S1111</f>
        <v>312179.37156046455</v>
      </c>
      <c r="T1113" s="1009"/>
      <c r="U1113" s="251">
        <f>SUM(I1113:T1113)</f>
        <v>111451511.30456846</v>
      </c>
      <c r="V1113" s="67"/>
      <c r="W1113" s="1300" t="b">
        <f>' WP II-I-1.4'!$L$1114=U1113</f>
        <v>1</v>
      </c>
      <c r="X1113" s="370">
        <f t="shared" si="270"/>
        <v>0</v>
      </c>
    </row>
    <row r="1114" spans="1:24" ht="14.25">
      <c r="A1114" s="47"/>
      <c r="B1114" s="17">
        <f t="shared" si="275"/>
        <v>30</v>
      </c>
      <c r="C1114" s="1"/>
      <c r="D1114" s="1"/>
      <c r="E1114" s="17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"/>
      <c r="V1114" s="67"/>
      <c r="X1114" s="370">
        <f t="shared" si="270"/>
        <v>0</v>
      </c>
    </row>
    <row r="1115" spans="1:24" ht="15">
      <c r="A1115" s="47"/>
      <c r="B1115" s="17">
        <f t="shared" si="275"/>
        <v>31</v>
      </c>
      <c r="C1115" s="8"/>
      <c r="D1115" s="8" t="s">
        <v>324</v>
      </c>
      <c r="E1115" s="1135" t="s">
        <v>316</v>
      </c>
      <c r="F1115" s="896"/>
      <c r="G1115" s="1135"/>
      <c r="H1115" s="1135"/>
      <c r="I1115" s="1135"/>
      <c r="J1115" s="1135"/>
      <c r="K1115" s="1059"/>
      <c r="L1115" s="1059"/>
      <c r="M1115" s="1059"/>
      <c r="N1115" s="1059"/>
      <c r="O1115" s="1059"/>
      <c r="P1115" s="1059"/>
      <c r="Q1115" s="1059"/>
      <c r="R1115" s="1059"/>
      <c r="S1115" s="1059"/>
      <c r="T1115" s="1009"/>
      <c r="U1115" s="8"/>
      <c r="V1115" s="67"/>
      <c r="X1115" s="370">
        <f t="shared" si="270"/>
        <v>0</v>
      </c>
    </row>
    <row r="1116" spans="1:24" ht="14.25">
      <c r="A1116" s="47"/>
      <c r="B1116" s="17">
        <f t="shared" si="275"/>
        <v>32</v>
      </c>
      <c r="C1116" s="1"/>
      <c r="D1116" s="778" t="s">
        <v>319</v>
      </c>
      <c r="E1116" s="17"/>
      <c r="F1116" s="290">
        <f>' WP II-I-1.4'!L1117</f>
        <v>191147.98999999999</v>
      </c>
      <c r="G1116" s="17" t="s">
        <v>805</v>
      </c>
      <c r="H1116" s="47" t="s">
        <v>320</v>
      </c>
      <c r="I1116" s="17"/>
      <c r="J1116" s="434">
        <f>'II-I-DIST'!J1116+'II-I-MET'!J1116+'II-I-TBILLTDCS'!J1116</f>
        <v>106392.4367443766</v>
      </c>
      <c r="K1116" s="434">
        <f>'II-I-DIST'!K1116+'II-I-MET'!K1116+'II-I-TBILLTDCS'!K1116</f>
        <v>3536.7384422466112</v>
      </c>
      <c r="L1116" s="434">
        <f>'II-I-DIST'!L1116+'II-I-MET'!L1116+'II-I-TBILLTDCS'!L1116</f>
        <v>67285.581866413704</v>
      </c>
      <c r="M1116" s="434">
        <f>'II-I-DIST'!M1116+'II-I-MET'!M1116+'II-I-TBILLTDCS'!M1116</f>
        <v>24.364936458445314</v>
      </c>
      <c r="N1116" s="434">
        <f>'II-I-DIST'!N1116+'II-I-MET'!N1116+'II-I-TBILLTDCS'!N1116</f>
        <v>10312.467772954708</v>
      </c>
      <c r="O1116" s="434">
        <f>'II-I-DIST'!O1116+'II-I-MET'!O1116+'II-I-TBILLTDCS'!O1116</f>
        <v>1022.2934400710459</v>
      </c>
      <c r="P1116" s="434">
        <f>'II-I-DIST'!P1116+'II-I-MET'!P1116+'II-I-TBILLTDCS'!P1116</f>
        <v>193.57512749556318</v>
      </c>
      <c r="Q1116" s="434">
        <f>'II-I-DIST'!Q1116+'II-I-MET'!Q1116+'II-I-TBILLTDCS'!Q1116</f>
        <v>1698.214047687685</v>
      </c>
      <c r="R1116" s="434">
        <f>'II-I-DIST'!R1116+'II-I-MET'!R1116+'II-I-TBILLTDCS'!R1116</f>
        <v>122.52826720478365</v>
      </c>
      <c r="S1116" s="434">
        <f>'II-I-DIST'!S1116+'II-I-MET'!S1116+'II-I-TBILLTDCS'!S1116</f>
        <v>559.78935509085352</v>
      </c>
      <c r="T1116" s="17"/>
      <c r="U1116" s="18">
        <f>SUM(I1116:T1116)</f>
        <v>191147.98999999999</v>
      </c>
      <c r="V1116" s="67"/>
      <c r="X1116" s="370">
        <f t="shared" si="270"/>
        <v>0</v>
      </c>
    </row>
    <row r="1117" spans="1:24" ht="14.25">
      <c r="A1117" s="47"/>
      <c r="B1117" s="17">
        <f t="shared" si="275"/>
        <v>33</v>
      </c>
      <c r="C1117" s="1"/>
      <c r="D1117" s="778" t="s">
        <v>1247</v>
      </c>
      <c r="E1117" s="17"/>
      <c r="F1117" s="290">
        <f>' WP II-I-1.4'!L1118</f>
        <v>7583059.6400000006</v>
      </c>
      <c r="G1117" s="17"/>
      <c r="H1117" s="47"/>
      <c r="I1117" s="17"/>
      <c r="J1117" s="434">
        <f>'II-I-DIST'!J1117+'II-I-MET'!J1117+'II-I-TBILLTDCS'!J1117</f>
        <v>4217103.3137761466</v>
      </c>
      <c r="K1117" s="434">
        <f>'II-I-DIST'!K1117+'II-I-MET'!K1117+'II-I-TBILLTDCS'!K1117</f>
        <v>167118.17935685572</v>
      </c>
      <c r="L1117" s="434">
        <f>'II-I-DIST'!L1117+'II-I-MET'!L1117+'II-I-TBILLTDCS'!L1117</f>
        <v>2645926.2715272494</v>
      </c>
      <c r="M1117" s="434">
        <f>'II-I-DIST'!M1117+'II-I-MET'!M1117+'II-I-TBILLTDCS'!M1117</f>
        <v>2576.17921850516</v>
      </c>
      <c r="N1117" s="434">
        <f>'II-I-DIST'!N1117+'II-I-MET'!N1117+'II-I-TBILLTDCS'!N1117</f>
        <v>424914.24932441174</v>
      </c>
      <c r="O1117" s="434">
        <f>'II-I-DIST'!O1117+'II-I-MET'!O1117+'II-I-TBILLTDCS'!O1117</f>
        <v>40308.799985222213</v>
      </c>
      <c r="P1117" s="434">
        <f>'II-I-DIST'!P1117+'II-I-MET'!P1117+'II-I-TBILLTDCS'!P1117</f>
        <v>15171.779872070141</v>
      </c>
      <c r="Q1117" s="434">
        <f>'II-I-DIST'!Q1117+'II-I-MET'!Q1117+'II-I-TBILLTDCS'!Q1117</f>
        <v>43844.507673283944</v>
      </c>
      <c r="R1117" s="434">
        <f>'II-I-DIST'!R1117+'II-I-MET'!R1117+'II-I-TBILLTDCS'!R1117</f>
        <v>4812.1364604350974</v>
      </c>
      <c r="S1117" s="434">
        <f>'II-I-DIST'!S1117+'II-I-MET'!S1117+'II-I-TBILLTDCS'!S1117</f>
        <v>21284.222805820667</v>
      </c>
      <c r="T1117" s="17"/>
      <c r="U1117" s="18">
        <f t="shared" si="284" ref="U1117:U1120">SUM(I1117:T1117)</f>
        <v>7583059.6400000006</v>
      </c>
      <c r="V1117" s="67"/>
      <c r="X1117" s="370">
        <f t="shared" si="285" ref="X1117:X1120">U1117-F1117</f>
        <v>0</v>
      </c>
    </row>
    <row r="1118" spans="1:24" ht="14.25">
      <c r="A1118" s="47"/>
      <c r="B1118" s="17">
        <f t="shared" si="275"/>
        <v>34</v>
      </c>
      <c r="C1118" s="1"/>
      <c r="D1118" s="778" t="s">
        <v>1248</v>
      </c>
      <c r="E1118" s="17"/>
      <c r="F1118" s="290">
        <f>' WP II-I-1.4'!L1119</f>
        <v>22936199.190000016</v>
      </c>
      <c r="G1118" s="17" t="s">
        <v>805</v>
      </c>
      <c r="H1118" s="47" t="s">
        <v>320</v>
      </c>
      <c r="I1118" s="17"/>
      <c r="J1118" s="434">
        <f>'II-I-DIST'!J1118+'II-I-MET'!J1118+'II-I-TBILLTDCS'!J1118</f>
        <v>12755915.339840176</v>
      </c>
      <c r="K1118" s="434">
        <f>'II-I-DIST'!K1118+'II-I-MET'!K1118+'II-I-TBILLTDCS'!K1118</f>
        <v>571226.28469935886</v>
      </c>
      <c r="L1118" s="434">
        <f>'II-I-DIST'!L1118+'II-I-MET'!L1118+'II-I-TBILLTDCS'!L1118</f>
        <v>7918134.3402224593</v>
      </c>
      <c r="M1118" s="434">
        <f>'II-I-DIST'!M1118+'II-I-MET'!M1118+'II-I-TBILLTDCS'!M1118</f>
        <v>11272.544214476162</v>
      </c>
      <c r="N1118" s="434">
        <f>'II-I-DIST'!N1118+'II-I-MET'!N1118+'II-I-TBILLTDCS'!N1118</f>
        <v>1307644.0306069742</v>
      </c>
      <c r="O1118" s="434">
        <f>'II-I-DIST'!O1118+'II-I-MET'!O1118+'II-I-TBILLTDCS'!O1118</f>
        <v>119179.86273405813</v>
      </c>
      <c r="P1118" s="434">
        <f>'II-I-DIST'!P1118+'II-I-MET'!P1118+'II-I-TBILLTDCS'!P1118</f>
        <v>50355.77611434085</v>
      </c>
      <c r="Q1118" s="434">
        <f>'II-I-DIST'!Q1118+'II-I-MET'!Q1118+'II-I-TBILLTDCS'!Q1118</f>
        <v>126042.89878972364</v>
      </c>
      <c r="R1118" s="434">
        <f>'II-I-DIST'!R1118+'II-I-MET'!R1118+'II-I-TBILLTDCS'!R1118</f>
        <v>14214.139811557727</v>
      </c>
      <c r="S1118" s="434">
        <f>'II-I-DIST'!S1118+'II-I-MET'!S1118+'II-I-TBILLTDCS'!S1118</f>
        <v>62213.972966887624</v>
      </c>
      <c r="T1118" s="17"/>
      <c r="U1118" s="18">
        <f t="shared" si="284"/>
        <v>22936199.190000009</v>
      </c>
      <c r="V1118" s="67"/>
      <c r="X1118" s="370">
        <f t="shared" si="285"/>
        <v>0</v>
      </c>
    </row>
    <row r="1119" spans="1:24" ht="14.25">
      <c r="A1119" s="47"/>
      <c r="B1119" s="17">
        <f t="shared" si="275"/>
        <v>35</v>
      </c>
      <c r="C1119" s="1"/>
      <c r="D1119" s="778" t="s">
        <v>1249</v>
      </c>
      <c r="E1119" s="17"/>
      <c r="F1119" s="290">
        <f>' WP II-I-1.4'!L1120</f>
        <v>-1782606.51</v>
      </c>
      <c r="G1119" s="17"/>
      <c r="H1119" s="47"/>
      <c r="I1119" s="17"/>
      <c r="J1119" s="434">
        <f>'II-I-DIST'!J1119+'II-I-MET'!J1119+'II-I-TBILLTDCS'!J1119</f>
        <v>-991345.99719861976</v>
      </c>
      <c r="K1119" s="434">
        <f>'II-I-DIST'!K1119+'II-I-MET'!K1119+'II-I-TBILLTDCS'!K1119</f>
        <v>-39285.715144466725</v>
      </c>
      <c r="L1119" s="434">
        <f>'II-I-DIST'!L1119+'II-I-MET'!L1119+'II-I-TBILLTDCS'!L1119</f>
        <v>-621997.67173705541</v>
      </c>
      <c r="M1119" s="434">
        <f>'II-I-DIST'!M1119+'II-I-MET'!M1119+'II-I-TBILLTDCS'!M1119</f>
        <v>-605.60147089448049</v>
      </c>
      <c r="N1119" s="434">
        <f>'II-I-DIST'!N1119+'II-I-MET'!N1119+'II-I-TBILLTDCS'!N1119</f>
        <v>-99887.767160620118</v>
      </c>
      <c r="O1119" s="434">
        <f>'II-I-DIST'!O1119+'II-I-MET'!O1119+'II-I-TBILLTDCS'!O1119</f>
        <v>-9475.6910874941386</v>
      </c>
      <c r="P1119" s="434">
        <f>'II-I-DIST'!P1119+'II-I-MET'!P1119+'II-I-TBILLTDCS'!P1119</f>
        <v>-3566.5434044803396</v>
      </c>
      <c r="Q1119" s="434">
        <f>'II-I-DIST'!Q1119+'II-I-MET'!Q1119+'II-I-TBILLTDCS'!Q1119</f>
        <v>-10306.85639366617</v>
      </c>
      <c r="R1119" s="434">
        <f>'II-I-DIST'!R1119+'II-I-MET'!R1119+'II-I-TBILLTDCS'!R1119</f>
        <v>-1131.2249096713063</v>
      </c>
      <c r="S1119" s="434">
        <f>'II-I-DIST'!S1119+'II-I-MET'!S1119+'II-I-TBILLTDCS'!S1119</f>
        <v>-5003.4414930316134</v>
      </c>
      <c r="T1119" s="17"/>
      <c r="U1119" s="18">
        <f t="shared" si="284"/>
        <v>-1782606.51</v>
      </c>
      <c r="V1119" s="67"/>
      <c r="X1119" s="370">
        <f t="shared" si="285"/>
        <v>0</v>
      </c>
    </row>
    <row r="1120" spans="1:24" ht="14.25">
      <c r="A1120" s="47"/>
      <c r="B1120" s="17">
        <f t="shared" si="275"/>
        <v>36</v>
      </c>
      <c r="C1120" s="1"/>
      <c r="D1120" s="778" t="s">
        <v>1250</v>
      </c>
      <c r="E1120" s="17"/>
      <c r="F1120" s="290">
        <f>' WP II-I-1.4'!L1121</f>
        <v>269284.15000000002</v>
      </c>
      <c r="G1120" s="17"/>
      <c r="H1120" s="47"/>
      <c r="I1120" s="17"/>
      <c r="J1120" s="434">
        <f>'II-I-DIST'!J1120+'II-I-MET'!J1120+'II-I-TBILLTDCS'!J1120</f>
        <v>149754.73427126248</v>
      </c>
      <c r="K1120" s="434">
        <f>'II-I-DIST'!K1120+'II-I-MET'!K1120+'II-I-TBILLTDCS'!K1120</f>
        <v>5934.5792649806572</v>
      </c>
      <c r="L1120" s="434">
        <f>'II-I-DIST'!L1120+'II-I-MET'!L1120+'II-I-TBILLTDCS'!L1120</f>
        <v>93960.22869903309</v>
      </c>
      <c r="M1120" s="434">
        <f>'II-I-DIST'!M1120+'II-I-MET'!M1120+'II-I-TBILLTDCS'!M1120</f>
        <v>91.483361719414717</v>
      </c>
      <c r="N1120" s="434">
        <f>'II-I-DIST'!N1120+'II-I-MET'!N1120+'II-I-TBILLTDCS'!N1120</f>
        <v>15089.248278251293</v>
      </c>
      <c r="O1120" s="434">
        <f>'II-I-DIST'!O1120+'II-I-MET'!O1120+'II-I-TBILLTDCS'!O1120</f>
        <v>1431.4171063154481</v>
      </c>
      <c r="P1120" s="434">
        <f>'II-I-DIST'!P1120+'II-I-MET'!P1120+'II-I-TBILLTDCS'!P1120</f>
        <v>538.76924163993885</v>
      </c>
      <c r="Q1120" s="434">
        <f>'II-I-DIST'!Q1120+'II-I-MET'!Q1120+'II-I-TBILLTDCS'!Q1120</f>
        <v>1556.9746277097549</v>
      </c>
      <c r="R1120" s="434">
        <f>'II-I-DIST'!R1120+'II-I-MET'!R1120+'II-I-TBILLTDCS'!R1120</f>
        <v>170.88512838402923</v>
      </c>
      <c r="S1120" s="434">
        <f>'II-I-DIST'!S1120+'II-I-MET'!S1120+'II-I-TBILLTDCS'!S1120</f>
        <v>755.83002070391058</v>
      </c>
      <c r="T1120" s="17"/>
      <c r="U1120" s="18">
        <f t="shared" si="284"/>
        <v>269284.15000000002</v>
      </c>
      <c r="V1120" s="67"/>
      <c r="X1120" s="370">
        <f t="shared" si="285"/>
        <v>0</v>
      </c>
    </row>
    <row r="1121" spans="1:24" ht="15">
      <c r="A1121" s="47"/>
      <c r="B1121" s="17">
        <f t="shared" si="275"/>
        <v>37</v>
      </c>
      <c r="C1121" s="1"/>
      <c r="D1121" s="297" t="s">
        <v>491</v>
      </c>
      <c r="E1121" s="17"/>
      <c r="F1121" s="896">
        <f>SUM(F1116:F1120)</f>
        <v>29197084.460000012</v>
      </c>
      <c r="G1121" s="17"/>
      <c r="H1121" s="17"/>
      <c r="I1121" s="17"/>
      <c r="J1121" s="896">
        <f>SUM(J1116:J1120)</f>
        <v>16237819.827433344</v>
      </c>
      <c r="K1121" s="896">
        <f t="shared" si="286" ref="K1121:U1121">SUM(K1116:K1120)</f>
        <v>708530.06661897502</v>
      </c>
      <c r="L1121" s="896">
        <f t="shared" si="286"/>
        <v>10103308.750578098</v>
      </c>
      <c r="M1121" s="896">
        <f t="shared" si="286"/>
        <v>13358.970260264701</v>
      </c>
      <c r="N1121" s="896">
        <f t="shared" si="286"/>
        <v>1658072.2288219719</v>
      </c>
      <c r="O1121" s="896">
        <f t="shared" si="286"/>
        <v>152466.68217817269</v>
      </c>
      <c r="P1121" s="896">
        <f t="shared" si="286"/>
        <v>62693.356951066147</v>
      </c>
      <c r="Q1121" s="896">
        <f t="shared" si="286"/>
        <v>162835.73874473883</v>
      </c>
      <c r="R1121" s="896">
        <f t="shared" si="286"/>
        <v>18188.464757910333</v>
      </c>
      <c r="S1121" s="896">
        <f t="shared" si="286"/>
        <v>79810.373655471441</v>
      </c>
      <c r="T1121" s="896">
        <f t="shared" si="286"/>
        <v>0</v>
      </c>
      <c r="U1121" s="896">
        <f t="shared" si="286"/>
        <v>29197084.460000005</v>
      </c>
      <c r="V1121" s="67"/>
      <c r="W1121" s="1300" t="b">
        <f>' WP II-I-1.4'!$L$1122=U1121</f>
        <v>1</v>
      </c>
      <c r="X1121" s="370">
        <f t="shared" si="270"/>
        <v>0</v>
      </c>
    </row>
    <row r="1122" spans="1:24" ht="14.25">
      <c r="A1122" s="47"/>
      <c r="B1122" s="17">
        <f t="shared" si="275"/>
        <v>38</v>
      </c>
      <c r="C1122" s="1"/>
      <c r="D1122" s="1"/>
      <c r="E1122" s="17"/>
      <c r="F1122" s="291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8"/>
      <c r="V1122" s="67"/>
      <c r="X1122" s="370">
        <f t="shared" si="270"/>
        <v>0</v>
      </c>
    </row>
    <row r="1123" spans="1:24" ht="15">
      <c r="A1123" s="47"/>
      <c r="B1123" s="17">
        <f t="shared" si="275"/>
        <v>39</v>
      </c>
      <c r="C1123" s="8"/>
      <c r="D1123" s="8" t="s">
        <v>325</v>
      </c>
      <c r="E1123" s="1135" t="s">
        <v>316</v>
      </c>
      <c r="F1123" s="896"/>
      <c r="G1123" s="1135"/>
      <c r="H1123" s="1135"/>
      <c r="I1123" s="1135"/>
      <c r="J1123" s="1135"/>
      <c r="K1123" s="1059"/>
      <c r="L1123" s="1059"/>
      <c r="M1123" s="1059"/>
      <c r="N1123" s="1059"/>
      <c r="O1123" s="1059"/>
      <c r="P1123" s="1059"/>
      <c r="Q1123" s="1059"/>
      <c r="R1123" s="1059"/>
      <c r="S1123" s="1059"/>
      <c r="T1123" s="1009"/>
      <c r="U1123" s="18"/>
      <c r="V1123" s="67"/>
      <c r="X1123" s="370">
        <f t="shared" si="270"/>
        <v>0</v>
      </c>
    </row>
    <row r="1124" spans="1:24" ht="14.25">
      <c r="A1124" s="47"/>
      <c r="B1124" s="17">
        <f t="shared" si="275"/>
        <v>40</v>
      </c>
      <c r="C1124" s="1"/>
      <c r="D1124" s="778" t="s">
        <v>323</v>
      </c>
      <c r="E1124" s="17"/>
      <c r="F1124" s="290">
        <f>' WP II-I-1.4'!L1125</f>
        <v>150259.10000000004</v>
      </c>
      <c r="G1124" s="17" t="s">
        <v>805</v>
      </c>
      <c r="H1124" s="47" t="s">
        <v>320</v>
      </c>
      <c r="I1124" s="17"/>
      <c r="J1124" s="434">
        <f>'II-I-DIST'!J1124+'II-I-MET'!J1124+'II-I-TBILLTDCS'!J1124</f>
        <v>83562.332176824115</v>
      </c>
      <c r="K1124" s="434">
        <f>'II-I-DIST'!K1124+'II-I-MET'!K1124+'II-I-TBILLTDCS'!K1124</f>
        <v>3311.4627584271702</v>
      </c>
      <c r="L1124" s="434">
        <f>'II-I-DIST'!L1124+'II-I-MET'!L1124+'II-I-TBILLTDCS'!L1124</f>
        <v>52429.300192310526</v>
      </c>
      <c r="M1124" s="434">
        <f>'II-I-DIST'!M1124+'II-I-MET'!M1124+'II-I-TBILLTDCS'!M1124</f>
        <v>51.04720064518424</v>
      </c>
      <c r="N1124" s="434">
        <f>'II-I-DIST'!N1124+'II-I-MET'!N1124+'II-I-TBILLTDCS'!N1124</f>
        <v>8419.7188370901822</v>
      </c>
      <c r="O1124" s="434">
        <f>'II-I-DIST'!O1124+'II-I-MET'!O1124+'II-I-TBILLTDCS'!O1124</f>
        <v>798.72302351180588</v>
      </c>
      <c r="P1124" s="434">
        <f>'II-I-DIST'!P1124+'II-I-MET'!P1124+'II-I-TBILLTDCS'!P1124</f>
        <v>300.63029822213957</v>
      </c>
      <c r="Q1124" s="434">
        <f>'II-I-DIST'!Q1124+'II-I-MET'!Q1124+'II-I-TBILLTDCS'!Q1124</f>
        <v>868.7834544859279</v>
      </c>
      <c r="R1124" s="434">
        <f>'II-I-DIST'!R1124+'II-I-MET'!R1124+'II-I-TBILLTDCS'!R1124</f>
        <v>95.352979896203152</v>
      </c>
      <c r="S1124" s="434">
        <f>'II-I-DIST'!S1124+'II-I-MET'!S1124+'II-I-TBILLTDCS'!S1124</f>
        <v>421.7490785867646</v>
      </c>
      <c r="T1124" s="17"/>
      <c r="U1124" s="18">
        <f>SUM(I1124:T1124)</f>
        <v>150259.10000000004</v>
      </c>
      <c r="V1124" s="67"/>
      <c r="W1124" s="1300" t="b">
        <f>' WP II-I-1.4'!$L$1125=U1124</f>
        <v>1</v>
      </c>
      <c r="X1124" s="370">
        <f t="shared" si="270"/>
        <v>0</v>
      </c>
    </row>
    <row r="1125" spans="1:24" ht="14.25">
      <c r="A1125" s="47"/>
      <c r="B1125" s="17">
        <f t="shared" si="275"/>
        <v>41</v>
      </c>
      <c r="C1125" s="1"/>
      <c r="D1125" s="1311" t="s">
        <v>1380</v>
      </c>
      <c r="E1125" s="17"/>
      <c r="F1125" s="290">
        <f>' WP II-I-1.4'!L1126</f>
        <v>0</v>
      </c>
      <c r="G1125" s="17" t="s">
        <v>805</v>
      </c>
      <c r="H1125" s="47" t="s">
        <v>320</v>
      </c>
      <c r="I1125" s="17"/>
      <c r="J1125" s="434">
        <f>'II-I-DIST'!J1125+'II-I-MET'!J1125+'II-I-TBILLTDCS'!J1125</f>
        <v>0</v>
      </c>
      <c r="K1125" s="434">
        <f>'II-I-DIST'!K1125+'II-I-MET'!K1125+'II-I-TBILLTDCS'!K1125</f>
        <v>0</v>
      </c>
      <c r="L1125" s="434">
        <f>'II-I-DIST'!L1125+'II-I-MET'!L1125+'II-I-TBILLTDCS'!L1125</f>
        <v>0</v>
      </c>
      <c r="M1125" s="434">
        <f>'II-I-DIST'!M1125+'II-I-MET'!M1125+'II-I-TBILLTDCS'!M1125</f>
        <v>0</v>
      </c>
      <c r="N1125" s="434">
        <f>'II-I-DIST'!N1125+'II-I-MET'!N1125+'II-I-TBILLTDCS'!N1125</f>
        <v>0</v>
      </c>
      <c r="O1125" s="434">
        <f>'II-I-DIST'!O1125+'II-I-MET'!O1125+'II-I-TBILLTDCS'!O1125</f>
        <v>0</v>
      </c>
      <c r="P1125" s="434">
        <f>'II-I-DIST'!P1125+'II-I-MET'!P1125+'II-I-TBILLTDCS'!P1125</f>
        <v>0</v>
      </c>
      <c r="Q1125" s="434">
        <f>'II-I-DIST'!Q1125+'II-I-MET'!Q1125+'II-I-TBILLTDCS'!Q1125</f>
        <v>0</v>
      </c>
      <c r="R1125" s="434">
        <f>'II-I-DIST'!R1125+'II-I-MET'!R1125+'II-I-TBILLTDCS'!R1125</f>
        <v>0</v>
      </c>
      <c r="S1125" s="434">
        <f>'II-I-DIST'!S1125+'II-I-MET'!S1125+'II-I-TBILLTDCS'!S1125</f>
        <v>0</v>
      </c>
      <c r="T1125" s="17"/>
      <c r="U1125" s="18">
        <f>SUM(I1125:T1125)</f>
        <v>0</v>
      </c>
      <c r="V1125" s="67"/>
      <c r="X1125" s="370">
        <f>U1125-F1125</f>
        <v>0</v>
      </c>
    </row>
    <row r="1126" spans="1:21" ht="14.25">
      <c r="A1126" s="47"/>
      <c r="B1126" s="17">
        <f t="shared" si="275"/>
        <v>42</v>
      </c>
      <c r="C1126" s="1"/>
      <c r="D1126" s="778" t="s">
        <v>326</v>
      </c>
      <c r="E1126" s="386"/>
      <c r="F1126" s="290">
        <f>' WP II-I-1.4'!L1127</f>
        <v>0</v>
      </c>
      <c r="G1126" s="17" t="s">
        <v>805</v>
      </c>
      <c r="H1126" s="47" t="s">
        <v>320</v>
      </c>
      <c r="I1126" s="47"/>
      <c r="J1126" s="434">
        <f>'II-I-DIST'!J1126+'II-I-MET'!J1126+'II-I-TBILLTDCS'!J1126</f>
        <v>0</v>
      </c>
      <c r="K1126" s="434">
        <f>'II-I-DIST'!K1126+'II-I-MET'!K1126+'II-I-TBILLTDCS'!K1126</f>
        <v>0</v>
      </c>
      <c r="L1126" s="434">
        <f>'II-I-DIST'!L1126+'II-I-MET'!L1126+'II-I-TBILLTDCS'!L1126</f>
        <v>0</v>
      </c>
      <c r="M1126" s="434">
        <f>'II-I-DIST'!M1126+'II-I-MET'!M1126+'II-I-TBILLTDCS'!M1126</f>
        <v>0</v>
      </c>
      <c r="N1126" s="434">
        <f>'II-I-DIST'!N1126+'II-I-MET'!N1126+'II-I-TBILLTDCS'!N1126</f>
        <v>0</v>
      </c>
      <c r="O1126" s="434">
        <f>'II-I-DIST'!O1126+'II-I-MET'!O1126+'II-I-TBILLTDCS'!O1126</f>
        <v>0</v>
      </c>
      <c r="P1126" s="434">
        <f>'II-I-DIST'!P1126+'II-I-MET'!P1126+'II-I-TBILLTDCS'!P1126</f>
        <v>0</v>
      </c>
      <c r="Q1126" s="434">
        <f>'II-I-DIST'!Q1126+'II-I-MET'!Q1126+'II-I-TBILLTDCS'!Q1126</f>
        <v>0</v>
      </c>
      <c r="R1126" s="434">
        <f>'II-I-DIST'!R1126+'II-I-MET'!R1126+'II-I-TBILLTDCS'!R1126</f>
        <v>0</v>
      </c>
      <c r="S1126" s="434">
        <f>'II-I-DIST'!S1126+'II-I-MET'!S1126+'II-I-TBILLTDCS'!S1126</f>
        <v>0</v>
      </c>
      <c r="T1126" s="434">
        <f>'II-I-DIST'!T1126+'II-I-MET'!T1126+'II-I-TBILLTDCS'!T1126</f>
        <v>0</v>
      </c>
      <c r="U1126" s="18">
        <f>SUM(I1126:T1126)</f>
        <v>0</v>
      </c>
    </row>
    <row r="1127" spans="1:24" ht="14.25">
      <c r="A1127" s="47"/>
      <c r="B1127" s="17">
        <f t="shared" si="275"/>
        <v>43</v>
      </c>
      <c r="C1127" s="1"/>
      <c r="D1127" s="19"/>
      <c r="E1127" s="17"/>
      <c r="F1127" s="290"/>
      <c r="G1127" s="17"/>
      <c r="H1127" s="47"/>
      <c r="I1127" s="17"/>
      <c r="J1127" s="435"/>
      <c r="K1127" s="435"/>
      <c r="L1127" s="435"/>
      <c r="M1127" s="435"/>
      <c r="N1127" s="435"/>
      <c r="O1127" s="435"/>
      <c r="P1127" s="435"/>
      <c r="Q1127" s="435"/>
      <c r="R1127" s="435"/>
      <c r="S1127" s="435"/>
      <c r="T1127" s="17"/>
      <c r="U1127" s="18"/>
      <c r="V1127" s="67"/>
      <c r="X1127" s="370">
        <f t="shared" si="270"/>
        <v>0</v>
      </c>
    </row>
    <row r="1128" spans="1:24" ht="15">
      <c r="A1128" s="47"/>
      <c r="B1128" s="17">
        <f t="shared" si="275"/>
        <v>44</v>
      </c>
      <c r="C1128" s="1"/>
      <c r="D1128" s="297" t="s">
        <v>491</v>
      </c>
      <c r="E1128" s="17"/>
      <c r="F1128" s="22">
        <f>SUM(F1124:F1127)</f>
        <v>150259.10000000004</v>
      </c>
      <c r="G1128" s="17"/>
      <c r="H1128" s="17"/>
      <c r="I1128" s="17"/>
      <c r="J1128" s="896">
        <f t="shared" si="287" ref="J1128:Q1128">SUM(J1124:J1127)</f>
        <v>83562.332176824115</v>
      </c>
      <c r="K1128" s="896">
        <f t="shared" si="287"/>
        <v>3311.4627584271702</v>
      </c>
      <c r="L1128" s="896">
        <f t="shared" si="287"/>
        <v>52429.300192310526</v>
      </c>
      <c r="M1128" s="896">
        <f t="shared" si="287"/>
        <v>51.04720064518424</v>
      </c>
      <c r="N1128" s="896">
        <f t="shared" si="287"/>
        <v>8419.7188370901822</v>
      </c>
      <c r="O1128" s="896">
        <f>SUM(O1124:O1127)</f>
        <v>798.72302351180588</v>
      </c>
      <c r="P1128" s="896">
        <f t="shared" si="287"/>
        <v>300.63029822213957</v>
      </c>
      <c r="Q1128" s="896">
        <f t="shared" si="287"/>
        <v>868.7834544859279</v>
      </c>
      <c r="R1128" s="896">
        <f>SUM(R1124:R1127)</f>
        <v>95.352979896203152</v>
      </c>
      <c r="S1128" s="896">
        <f>SUM(S1124:S1127)</f>
        <v>421.7490785867646</v>
      </c>
      <c r="T1128" s="17"/>
      <c r="U1128" s="299">
        <f>SUM(I1128:T1128)</f>
        <v>150259.10000000004</v>
      </c>
      <c r="V1128" s="67"/>
      <c r="W1128" s="1300" t="b">
        <f>' WP II-I-1.4'!$L$1130=U1128</f>
        <v>1</v>
      </c>
      <c r="X1128" s="370">
        <f t="shared" si="270"/>
        <v>0</v>
      </c>
    </row>
    <row r="1129" spans="1:24" ht="15" thickBot="1">
      <c r="A1129" s="47"/>
      <c r="B1129" s="17">
        <f t="shared" si="275"/>
        <v>45</v>
      </c>
      <c r="C1129" s="1"/>
      <c r="D1129" s="1"/>
      <c r="E1129" s="17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"/>
      <c r="V1129" s="67"/>
      <c r="X1129" s="370">
        <f t="shared" si="288" ref="X1129:X1192">U1129-F1129</f>
        <v>0</v>
      </c>
    </row>
    <row r="1130" spans="1:24" ht="15.75" thickBot="1">
      <c r="A1130" s="47"/>
      <c r="B1130" s="17">
        <f t="shared" si="275"/>
        <v>46</v>
      </c>
      <c r="C1130" s="284" t="s">
        <v>718</v>
      </c>
      <c r="D1130" s="285"/>
      <c r="E1130" s="374" t="s">
        <v>316</v>
      </c>
      <c r="F1130" s="255">
        <f>+F1113-SUM(F1116:F1120)+SUM(F1124:F1127)</f>
        <v>82404685.944568411</v>
      </c>
      <c r="G1130" s="374"/>
      <c r="H1130" s="467"/>
      <c r="I1130" s="1066"/>
      <c r="J1130" s="903">
        <f t="shared" si="289" ref="J1130:S1130">+J1113-SUM(J1116:J1120)+SUM(J1124:J1127)</f>
        <v>45850278.323586799</v>
      </c>
      <c r="K1130" s="903">
        <f t="shared" si="289"/>
        <v>1770897.0750423032</v>
      </c>
      <c r="L1130" s="903">
        <f t="shared" si="289"/>
        <v>28788315.074287303</v>
      </c>
      <c r="M1130" s="903">
        <f t="shared" si="289"/>
        <v>25535.902038935445</v>
      </c>
      <c r="N1130" s="903">
        <f t="shared" si="289"/>
        <v>4606241.090191206</v>
      </c>
      <c r="O1130" s="903">
        <f t="shared" si="289"/>
        <v>442044.22908963409</v>
      </c>
      <c r="P1130" s="903">
        <f t="shared" si="289"/>
        <v>162487.88675137755</v>
      </c>
      <c r="Q1130" s="903">
        <f t="shared" si="289"/>
        <v>473466.33778424712</v>
      </c>
      <c r="R1130" s="903">
        <f t="shared" si="289"/>
        <v>52629.278813041012</v>
      </c>
      <c r="S1130" s="903">
        <f t="shared" si="289"/>
        <v>232790.74698357988</v>
      </c>
      <c r="T1130" s="374"/>
      <c r="U1130" s="1011">
        <f>SUM(I1130:T1130)</f>
        <v>82404685.944568396</v>
      </c>
      <c r="V1130" s="67"/>
      <c r="W1130" s="1300" t="b">
        <f>' WP II-I-1.4'!$L$1132=U1130</f>
        <v>0</v>
      </c>
      <c r="X1130" s="370">
        <f t="shared" si="288"/>
        <v>0</v>
      </c>
    </row>
    <row r="1131" spans="1:24" ht="14.25">
      <c r="A1131" s="47"/>
      <c r="B1131" s="67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X1131" s="370">
        <f t="shared" si="288"/>
        <v>0</v>
      </c>
    </row>
    <row r="1132" spans="1:24" ht="14.25">
      <c r="A1132" s="47"/>
      <c r="B1132" s="67"/>
      <c r="C1132" s="67"/>
      <c r="D1132" s="67"/>
      <c r="E1132" s="67"/>
      <c r="F1132" s="67"/>
      <c r="G1132" s="67"/>
      <c r="H1132" s="134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134"/>
      <c r="V1132" s="134"/>
      <c r="X1132" s="370"/>
    </row>
    <row r="1133" spans="1:24" ht="15" thickBot="1">
      <c r="A1133" s="47"/>
      <c r="B1133" s="67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X1133" s="370">
        <f t="shared" si="288"/>
        <v>0</v>
      </c>
    </row>
    <row r="1134" spans="1:24" ht="15">
      <c r="A1134" s="47"/>
      <c r="B1134" s="920" t="str">
        <f>+$B$4</f>
        <v>2022 RATE CASE</v>
      </c>
      <c r="C1134" s="935"/>
      <c r="D1134" s="969"/>
      <c r="F1134" s="332"/>
      <c r="U1134" s="134"/>
      <c r="X1134" s="370">
        <f t="shared" si="288"/>
        <v>0</v>
      </c>
    </row>
    <row r="1135" spans="1:24" ht="15">
      <c r="A1135" s="47"/>
      <c r="B1135" s="917" t="str">
        <f>+$B$5</f>
        <v>ONCOR ELECTRIC DELIVERY COMPANY LLC</v>
      </c>
      <c r="C1135" s="8"/>
      <c r="D1135" s="970"/>
      <c r="F1135" s="332"/>
      <c r="U1135" s="134"/>
      <c r="V1135" s="67"/>
      <c r="X1135" s="370">
        <f t="shared" si="288"/>
        <v>0</v>
      </c>
    </row>
    <row r="1136" spans="1:24" ht="15">
      <c r="A1136" s="47"/>
      <c r="B1136" s="917" t="str">
        <f>+$B$6</f>
        <v>II-I-1-TOT:  CLASS REVENUE REQUIREMENT</v>
      </c>
      <c r="C1136" s="85"/>
      <c r="D1136" s="970"/>
      <c r="F1136" s="332"/>
      <c r="U1136" s="332"/>
      <c r="V1136" s="67"/>
      <c r="X1136" s="370">
        <f t="shared" si="288"/>
        <v>0</v>
      </c>
    </row>
    <row r="1137" spans="1:24" ht="15">
      <c r="A1137" s="47"/>
      <c r="B1137" s="406" t="str">
        <f>+$B$7</f>
        <v>TEST YEAR ENDING 12/31/2021</v>
      </c>
      <c r="C1137" s="85"/>
      <c r="D1137" s="970"/>
      <c r="F1137" s="332"/>
      <c r="U1137" s="332"/>
      <c r="V1137" s="67"/>
      <c r="X1137" s="370">
        <f t="shared" si="288"/>
        <v>0</v>
      </c>
    </row>
    <row r="1138" spans="1:24" ht="15">
      <c r="A1138" s="47"/>
      <c r="B1138" s="406" t="str">
        <f>+$B$8</f>
        <v>SPONSOR:  MATTHEW A. TROXLE</v>
      </c>
      <c r="C1138" s="85"/>
      <c r="D1138" s="970"/>
      <c r="F1138" s="332"/>
      <c r="U1138" s="332"/>
      <c r="V1138" s="67"/>
      <c r="X1138" s="370">
        <f t="shared" si="288"/>
        <v>0</v>
      </c>
    </row>
    <row r="1139" spans="1:24" ht="15.75" thickBot="1">
      <c r="A1139" s="47"/>
      <c r="B1139" s="410"/>
      <c r="C1139" s="934"/>
      <c r="D1139" s="936"/>
      <c r="F1139" s="332"/>
      <c r="U1139" s="332"/>
      <c r="V1139" s="67"/>
      <c r="X1139" s="370">
        <f t="shared" si="288"/>
        <v>0</v>
      </c>
    </row>
    <row r="1140" spans="1:24" ht="15" thickBot="1">
      <c r="A1140" s="47"/>
      <c r="B1140" s="13"/>
      <c r="C1140" s="14"/>
      <c r="D1140" s="14"/>
      <c r="E1140" s="14"/>
      <c r="F1140" s="13"/>
      <c r="G1140" s="14"/>
      <c r="H1140" s="14"/>
      <c r="I1140" s="14"/>
      <c r="J1140" s="238"/>
      <c r="K1140" s="238"/>
      <c r="L1140" s="14"/>
      <c r="M1140" s="238"/>
      <c r="N1140" s="238"/>
      <c r="O1140" s="238"/>
      <c r="P1140" s="238"/>
      <c r="Q1140" s="14"/>
      <c r="R1140" s="393" t="str">
        <f>R$10</f>
        <v xml:space="preserve"> </v>
      </c>
      <c r="S1140" s="394"/>
      <c r="T1140" s="238"/>
      <c r="U1140" s="13"/>
      <c r="V1140" s="67"/>
      <c r="X1140" s="370">
        <f t="shared" si="288"/>
        <v>0</v>
      </c>
    </row>
    <row r="1141" spans="1:24" ht="15">
      <c r="A1141" s="47"/>
      <c r="B1141" s="15" t="s">
        <v>2</v>
      </c>
      <c r="C1141" s="15" t="s">
        <v>370</v>
      </c>
      <c r="D1141" s="287" t="s">
        <v>719</v>
      </c>
      <c r="E1141" s="15" t="s">
        <v>371</v>
      </c>
      <c r="F1141" s="287" t="str">
        <f>F$11</f>
        <v>TOTAL</v>
      </c>
      <c r="G1141" s="242" t="s">
        <v>741</v>
      </c>
      <c r="H1141" s="242" t="s">
        <v>376</v>
      </c>
      <c r="I1141" s="15"/>
      <c r="J1141" s="242" t="s">
        <v>730</v>
      </c>
      <c r="K1141" s="242" t="s">
        <v>409</v>
      </c>
      <c r="L1141" s="15" t="s">
        <v>409</v>
      </c>
      <c r="M1141" s="242" t="s">
        <v>410</v>
      </c>
      <c r="N1141" s="242" t="s">
        <v>410</v>
      </c>
      <c r="O1141" s="242" t="s">
        <v>410</v>
      </c>
      <c r="P1141" s="242" t="s">
        <v>411</v>
      </c>
      <c r="Q1141" s="15" t="s">
        <v>412</v>
      </c>
      <c r="R1141" s="396" t="str">
        <f>R$11</f>
        <v>Wholesale</v>
      </c>
      <c r="S1141" s="13" t="str">
        <f>S$11</f>
        <v>Wholesale</v>
      </c>
      <c r="T1141" s="242"/>
      <c r="U1141" s="15" t="s">
        <v>10</v>
      </c>
      <c r="V1141" s="67"/>
      <c r="X1141" s="370"/>
    </row>
    <row r="1142" spans="1:24" ht="14.25">
      <c r="A1142" s="47"/>
      <c r="B1142" s="15"/>
      <c r="C1142" s="15"/>
      <c r="D1142" s="15"/>
      <c r="E1142" s="15"/>
      <c r="F1142" s="15" t="str">
        <f>F$12</f>
        <v>(Dist+Met+Cust)</v>
      </c>
      <c r="G1142" s="242" t="s">
        <v>742</v>
      </c>
      <c r="H1142" s="242" t="s">
        <v>743</v>
      </c>
      <c r="I1142" s="15"/>
      <c r="J1142" s="242"/>
      <c r="K1142" s="242" t="s">
        <v>731</v>
      </c>
      <c r="L1142" s="15" t="s">
        <v>732</v>
      </c>
      <c r="M1142" s="242" t="s">
        <v>731</v>
      </c>
      <c r="N1142" s="242" t="s">
        <v>732</v>
      </c>
      <c r="O1142" s="242" t="s">
        <v>414</v>
      </c>
      <c r="P1142" s="242"/>
      <c r="Q1142" s="15"/>
      <c r="R1142" s="235" t="str">
        <f>R$12</f>
        <v>XFMR</v>
      </c>
      <c r="S1142" s="15" t="str">
        <f>S$12</f>
        <v>DLS</v>
      </c>
      <c r="T1142" s="242"/>
      <c r="U1142" s="15"/>
      <c r="V1142" s="67"/>
      <c r="X1142" s="370"/>
    </row>
    <row r="1143" spans="1:24" ht="15" thickBot="1">
      <c r="A1143" s="47"/>
      <c r="B1143" s="16"/>
      <c r="C1143" s="16"/>
      <c r="D1143" s="16"/>
      <c r="E1143" s="16"/>
      <c r="F1143" s="16" t="s">
        <v>13</v>
      </c>
      <c r="G1143" s="16" t="s">
        <v>14</v>
      </c>
      <c r="H1143" s="16" t="s">
        <v>15</v>
      </c>
      <c r="I1143" s="16"/>
      <c r="J1143" s="243" t="str">
        <f t="shared" si="290" ref="J1143:Q1143">J$13</f>
        <v>(d)</v>
      </c>
      <c r="K1143" s="243" t="str">
        <f t="shared" si="290"/>
        <v>(e)</v>
      </c>
      <c r="L1143" s="16" t="str">
        <f t="shared" si="290"/>
        <v>(f)</v>
      </c>
      <c r="M1143" s="243" t="str">
        <f t="shared" si="290"/>
        <v>(g)</v>
      </c>
      <c r="N1143" s="243" t="str">
        <f t="shared" si="290"/>
        <v>(h)</v>
      </c>
      <c r="O1143" s="243" t="str">
        <f>O$13</f>
        <v>(i)</v>
      </c>
      <c r="P1143" s="243" t="str">
        <f t="shared" si="290"/>
        <v>(j)</v>
      </c>
      <c r="Q1143" s="243" t="str">
        <f t="shared" si="290"/>
        <v>(k)</v>
      </c>
      <c r="R1143" s="243" t="str">
        <f>R$13</f>
        <v>(l)</v>
      </c>
      <c r="S1143" s="16" t="str">
        <f>S$13</f>
        <v>(m)</v>
      </c>
      <c r="T1143" s="16"/>
      <c r="U1143" s="16" t="s">
        <v>734</v>
      </c>
      <c r="V1143" s="67"/>
      <c r="X1143" s="370"/>
    </row>
    <row r="1144" spans="1:24" ht="14.25">
      <c r="A1144" s="47"/>
      <c r="B1144" s="67"/>
      <c r="C1144" s="333"/>
      <c r="D1144" s="333"/>
      <c r="E1144" s="333"/>
      <c r="F1144" s="333"/>
      <c r="G1144" s="333"/>
      <c r="H1144" s="333"/>
      <c r="I1144" s="333"/>
      <c r="J1144" s="333"/>
      <c r="K1144" s="333"/>
      <c r="L1144" s="333"/>
      <c r="M1144" s="333"/>
      <c r="N1144" s="333"/>
      <c r="O1144" s="333"/>
      <c r="P1144" s="333"/>
      <c r="Q1144" s="333"/>
      <c r="R1144" s="333"/>
      <c r="S1144" s="333"/>
      <c r="T1144" s="333"/>
      <c r="U1144" s="43"/>
      <c r="V1144" s="67"/>
      <c r="X1144" s="370">
        <f t="shared" si="288"/>
        <v>0</v>
      </c>
    </row>
    <row r="1145" spans="1:24" ht="15">
      <c r="A1145" s="47"/>
      <c r="B1145" s="17">
        <f t="shared" si="291" ref="B1145:B1156">B1144+1</f>
        <v>1</v>
      </c>
      <c r="C1145" s="366" t="s">
        <v>719</v>
      </c>
      <c r="D1145" s="8"/>
      <c r="E1145" s="20"/>
      <c r="F1145" s="22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8"/>
      <c r="V1145" s="67"/>
      <c r="X1145" s="370">
        <f t="shared" si="288"/>
        <v>0</v>
      </c>
    </row>
    <row r="1146" spans="1:24" ht="15">
      <c r="A1146" s="47"/>
      <c r="B1146" s="17">
        <f t="shared" si="291"/>
        <v>2</v>
      </c>
      <c r="C1146" s="8"/>
      <c r="D1146" s="1"/>
      <c r="E1146" s="17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"/>
      <c r="V1146" s="67"/>
      <c r="X1146" s="370">
        <f t="shared" si="288"/>
        <v>0</v>
      </c>
    </row>
    <row r="1147" spans="1:24" ht="15">
      <c r="A1147" s="47"/>
      <c r="B1147" s="17">
        <f t="shared" si="291"/>
        <v>3</v>
      </c>
      <c r="C1147" s="8" t="s">
        <v>720</v>
      </c>
      <c r="D1147" s="8"/>
      <c r="E1147" s="20"/>
      <c r="F1147" s="22"/>
      <c r="G1147" s="20"/>
      <c r="H1147" s="20"/>
      <c r="I1147" s="20"/>
      <c r="J1147" s="1059"/>
      <c r="K1147" s="1059"/>
      <c r="L1147" s="1059"/>
      <c r="M1147" s="1059"/>
      <c r="N1147" s="1059"/>
      <c r="O1147" s="1059"/>
      <c r="P1147" s="1059"/>
      <c r="Q1147" s="1059"/>
      <c r="R1147" s="1059"/>
      <c r="S1147" s="1059"/>
      <c r="T1147" s="20"/>
      <c r="U1147" s="8"/>
      <c r="V1147" s="67"/>
      <c r="X1147" s="370">
        <f t="shared" si="288"/>
        <v>0</v>
      </c>
    </row>
    <row r="1148" spans="1:24" ht="15">
      <c r="A1148" s="47"/>
      <c r="B1148" s="17">
        <f t="shared" si="291"/>
        <v>4</v>
      </c>
      <c r="C1148" s="730" t="s">
        <v>328</v>
      </c>
      <c r="D1148" s="1" t="s">
        <v>329</v>
      </c>
      <c r="E1148" s="20" t="s">
        <v>330</v>
      </c>
      <c r="F1148" s="118">
        <f>' WP II-I-1.4'!L1150</f>
        <v>97.260000000002037</v>
      </c>
      <c r="G1148" s="17" t="s">
        <v>805</v>
      </c>
      <c r="H1148" s="47" t="s">
        <v>320</v>
      </c>
      <c r="I1148" s="1009"/>
      <c r="J1148" s="434">
        <f>'II-I-DIST'!J1148+'II-I-MET'!J1148+'II-I-TBILLTDCS'!J1148</f>
        <v>82.694581644240344</v>
      </c>
      <c r="K1148" s="434">
        <f>'II-I-DIST'!K1148+'II-I-MET'!K1148+'II-I-TBILLTDCS'!K1148</f>
        <v>7.726373519413781</v>
      </c>
      <c r="L1148" s="434">
        <f>'II-I-DIST'!L1148+'II-I-MET'!L1148+'II-I-TBILLTDCS'!L1148</f>
        <v>5.1670233947719106</v>
      </c>
      <c r="M1148" s="434">
        <f>'II-I-DIST'!M1148+'II-I-MET'!M1148+'II-I-TBILLTDCS'!M1148</f>
        <v>0.078702770041395823</v>
      </c>
      <c r="N1148" s="434">
        <f>'II-I-DIST'!N1148+'II-I-MET'!N1148+'II-I-TBILLTDCS'!N1148</f>
        <v>0.18166863204008749</v>
      </c>
      <c r="O1148" s="434">
        <f>'II-I-DIST'!O1148+'II-I-MET'!O1148+'II-I-TBILLTDCS'!O1148</f>
        <v>0.0032993744293393929</v>
      </c>
      <c r="P1148" s="434">
        <f>'II-I-DIST'!P1148+'II-I-MET'!P1148+'II-I-TBILLTDCS'!P1148</f>
        <v>0.0071824843346388325</v>
      </c>
      <c r="Q1148" s="434">
        <f>'II-I-DIST'!Q1148+'II-I-MET'!Q1148+'II-I-TBILLTDCS'!Q1148</f>
        <v>1.4011681807305325</v>
      </c>
      <c r="R1148" s="434">
        <f>'II-I-DIST'!R1148+'II-I-MET'!R1148+'II-I-TBILLTDCS'!R1148</f>
        <v>0</v>
      </c>
      <c r="S1148" s="434">
        <f>'II-I-DIST'!S1148+'II-I-MET'!S1148+'II-I-TBILLTDCS'!S1148</f>
        <v>0</v>
      </c>
      <c r="T1148" s="1009"/>
      <c r="U1148" s="118">
        <f>SUM(I1148:T1148)</f>
        <v>97.260000000002051</v>
      </c>
      <c r="V1148" s="67"/>
      <c r="W1148" s="1300" t="b">
        <f>' WP II-I-1.4'!$L$1150=U1148</f>
        <v>0</v>
      </c>
      <c r="X1148" s="370">
        <f t="shared" si="288"/>
        <v>0</v>
      </c>
    </row>
    <row r="1149" spans="1:24" ht="15" thickBot="1">
      <c r="A1149" s="47"/>
      <c r="B1149" s="17">
        <f t="shared" si="291"/>
        <v>5</v>
      </c>
      <c r="C1149" s="1"/>
      <c r="D1149" s="1"/>
      <c r="E1149" s="17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"/>
      <c r="V1149" s="67"/>
      <c r="X1149" s="370">
        <f t="shared" si="288"/>
        <v>0</v>
      </c>
    </row>
    <row r="1150" spans="1:24" ht="15.75" thickBot="1">
      <c r="A1150" s="47"/>
      <c r="B1150" s="17">
        <f t="shared" si="291"/>
        <v>6</v>
      </c>
      <c r="C1150" s="284" t="s">
        <v>721</v>
      </c>
      <c r="D1150" s="336"/>
      <c r="E1150" s="337"/>
      <c r="F1150" s="278">
        <f>+F1148+F1072+F1040-F1038-F1037</f>
        <v>984159081.70999992</v>
      </c>
      <c r="G1150" s="337"/>
      <c r="H1150" s="457"/>
      <c r="I1150" s="643"/>
      <c r="J1150" s="356">
        <f t="shared" si="292" ref="J1150:Q1150">+J1148+J1072+J1040-J1038-J1037</f>
        <v>491821126.62699044</v>
      </c>
      <c r="K1150" s="905">
        <f t="shared" si="292"/>
        <v>24403615.080385461</v>
      </c>
      <c r="L1150" s="905">
        <f t="shared" si="292"/>
        <v>348119331.70413911</v>
      </c>
      <c r="M1150" s="905">
        <f t="shared" si="292"/>
        <v>362703.32474711415</v>
      </c>
      <c r="N1150" s="905">
        <f t="shared" si="292"/>
        <v>56285500.149210684</v>
      </c>
      <c r="O1150" s="905">
        <f>+O1148+O1072+O1040-O1038-O1037</f>
        <v>5749278.0380059686</v>
      </c>
      <c r="P1150" s="905">
        <f t="shared" si="292"/>
        <v>23516263.264418479</v>
      </c>
      <c r="Q1150" s="905">
        <f t="shared" si="292"/>
        <v>31256709.687437337</v>
      </c>
      <c r="R1150" s="905">
        <f>+R1148+R1072+R1040-R1038-R1037</f>
        <v>556851.36433749192</v>
      </c>
      <c r="S1150" s="279">
        <f>+S1148+S1072+S1040-S1038-S1037</f>
        <v>2087702.4703278542</v>
      </c>
      <c r="T1150" s="457"/>
      <c r="U1150" s="279">
        <f>SUM(I1150:T1150)</f>
        <v>984159081.7099998</v>
      </c>
      <c r="V1150" s="67"/>
      <c r="W1150" s="1300" t="b">
        <f>' WP II-I-1.4'!$L$1152=U1150</f>
        <v>1</v>
      </c>
      <c r="X1150" s="370">
        <f t="shared" si="288"/>
        <v>0</v>
      </c>
    </row>
    <row r="1151" spans="1:24" ht="15.75" thickBot="1">
      <c r="A1151" s="47"/>
      <c r="B1151" s="17">
        <f t="shared" si="291"/>
        <v>7</v>
      </c>
      <c r="C1151" s="8"/>
      <c r="D1151" s="36"/>
      <c r="E1151" s="37"/>
      <c r="F1151" s="39"/>
      <c r="G1151" s="37"/>
      <c r="H1151" s="37"/>
      <c r="I1151" s="37"/>
      <c r="J1151" s="898"/>
      <c r="K1151" s="898"/>
      <c r="L1151" s="898"/>
      <c r="M1151" s="898"/>
      <c r="N1151" s="898"/>
      <c r="O1151" s="898"/>
      <c r="P1151" s="898"/>
      <c r="Q1151" s="898"/>
      <c r="R1151" s="898"/>
      <c r="S1151" s="898"/>
      <c r="T1151" s="37"/>
      <c r="U1151" s="290"/>
      <c r="V1151" s="47"/>
      <c r="W1151" s="386"/>
      <c r="X1151" s="370">
        <f t="shared" si="288"/>
        <v>0</v>
      </c>
    </row>
    <row r="1152" spans="1:24" ht="15.75" thickBot="1">
      <c r="A1152" s="47"/>
      <c r="B1152" s="17">
        <f t="shared" si="291"/>
        <v>8</v>
      </c>
      <c r="C1152" s="284" t="s">
        <v>722</v>
      </c>
      <c r="D1152" s="336"/>
      <c r="E1152" s="337"/>
      <c r="F1152" s="278">
        <f>F1150+F1130</f>
        <v>1066563767.6545683</v>
      </c>
      <c r="G1152" s="337"/>
      <c r="H1152" s="457"/>
      <c r="I1152" s="643"/>
      <c r="J1152" s="356">
        <f t="shared" si="293" ref="J1152:Q1152">J1150+J1130</f>
        <v>537671404.95057726</v>
      </c>
      <c r="K1152" s="905">
        <f t="shared" si="293"/>
        <v>26174512.155427765</v>
      </c>
      <c r="L1152" s="905">
        <f t="shared" si="293"/>
        <v>376907646.77842641</v>
      </c>
      <c r="M1152" s="905">
        <f t="shared" si="293"/>
        <v>388239.22678604961</v>
      </c>
      <c r="N1152" s="905">
        <f t="shared" si="293"/>
        <v>60891741.239401892</v>
      </c>
      <c r="O1152" s="905">
        <f>O1150+O1130</f>
        <v>6191322.267095603</v>
      </c>
      <c r="P1152" s="905">
        <f t="shared" si="293"/>
        <v>23678751.151169855</v>
      </c>
      <c r="Q1152" s="905">
        <f t="shared" si="293"/>
        <v>31730176.025221583</v>
      </c>
      <c r="R1152" s="905">
        <f>R1150+R1130</f>
        <v>609480.64315053297</v>
      </c>
      <c r="S1152" s="279">
        <f>S1150+S1130</f>
        <v>2320493.217311434</v>
      </c>
      <c r="T1152" s="457"/>
      <c r="U1152" s="279">
        <f>SUM(I1152:T1152)</f>
        <v>1066563767.6545684</v>
      </c>
      <c r="V1152" s="67"/>
      <c r="W1152" s="1300" t="b">
        <f>' WP II-I-1.4'!$L$1154=U1152</f>
        <v>1</v>
      </c>
      <c r="X1152" s="370">
        <f t="shared" si="288"/>
        <v>0</v>
      </c>
    </row>
    <row r="1153" spans="1:24" ht="15.75" thickBot="1">
      <c r="A1153" s="47"/>
      <c r="B1153" s="17">
        <f t="shared" si="291"/>
        <v>9</v>
      </c>
      <c r="C1153" s="8"/>
      <c r="D1153" s="36"/>
      <c r="E1153" s="37"/>
      <c r="F1153" s="39"/>
      <c r="G1153" s="37"/>
      <c r="H1153" s="37"/>
      <c r="I1153" s="37"/>
      <c r="J1153" s="898"/>
      <c r="K1153" s="898"/>
      <c r="L1153" s="898"/>
      <c r="M1153" s="898"/>
      <c r="N1153" s="898"/>
      <c r="O1153" s="898"/>
      <c r="P1153" s="898"/>
      <c r="Q1153" s="898"/>
      <c r="R1153" s="898"/>
      <c r="S1153" s="898"/>
      <c r="T1153" s="37"/>
      <c r="U1153" s="290"/>
      <c r="V1153" s="47"/>
      <c r="W1153" s="386"/>
      <c r="X1153" s="370">
        <f t="shared" si="288"/>
        <v>0</v>
      </c>
    </row>
    <row r="1154" spans="1:24" ht="15.75" thickBot="1">
      <c r="A1154" s="47"/>
      <c r="B1154" s="17">
        <f t="shared" si="291"/>
        <v>10</v>
      </c>
      <c r="C1154" s="284" t="s">
        <v>723</v>
      </c>
      <c r="D1154" s="336"/>
      <c r="E1154" s="337"/>
      <c r="F1154" s="278">
        <f>F1130+F1072+F1040+F762</f>
        <v>3639572133.3845687</v>
      </c>
      <c r="G1154" s="337"/>
      <c r="H1154" s="457"/>
      <c r="I1154" s="643"/>
      <c r="J1154" s="356">
        <f t="shared" si="294" ref="J1154:Q1154">J1130+J1072+J1040+J762</f>
        <v>1792488344.6193149</v>
      </c>
      <c r="K1154" s="905">
        <f t="shared" si="294"/>
        <v>75119939.904664427</v>
      </c>
      <c r="L1154" s="905">
        <f t="shared" si="294"/>
        <v>1227492341.3853757</v>
      </c>
      <c r="M1154" s="905">
        <f t="shared" si="294"/>
        <v>1411378.951268926</v>
      </c>
      <c r="N1154" s="905">
        <f t="shared" si="294"/>
        <v>259860073.72713044</v>
      </c>
      <c r="O1154" s="905">
        <f>O1130+O1072+O1040+O762</f>
        <v>56161151.438039511</v>
      </c>
      <c r="P1154" s="905">
        <f t="shared" si="294"/>
        <v>163060297.72635618</v>
      </c>
      <c r="Q1154" s="905">
        <f t="shared" si="294"/>
        <v>57921583.256593615</v>
      </c>
      <c r="R1154" s="905">
        <f>R1130+R1072+R1040+R762</f>
        <v>1144930.7874225066</v>
      </c>
      <c r="S1154" s="279">
        <f>S1130+S1072+S1040+S762</f>
        <v>4912091.5884017628</v>
      </c>
      <c r="T1154" s="457"/>
      <c r="U1154" s="279">
        <f>SUM(I1154:T1154)</f>
        <v>3639572133.3845682</v>
      </c>
      <c r="V1154" s="67"/>
      <c r="W1154" s="1300" t="b">
        <f>' WP II-I-1.4'!$L$1156=U1154</f>
        <v>1</v>
      </c>
      <c r="X1154" s="370">
        <f t="shared" si="288"/>
        <v>0</v>
      </c>
    </row>
    <row r="1155" spans="1:24" ht="15.75" thickBot="1">
      <c r="A1155" s="47"/>
      <c r="B1155" s="17">
        <f t="shared" si="291"/>
        <v>11</v>
      </c>
      <c r="C1155" s="8"/>
      <c r="D1155" s="36"/>
      <c r="E1155" s="37"/>
      <c r="F1155" s="39"/>
      <c r="G1155" s="37"/>
      <c r="H1155" s="37"/>
      <c r="I1155" s="37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7"/>
      <c r="U1155" s="290"/>
      <c r="V1155" s="47"/>
      <c r="W1155" s="386"/>
      <c r="X1155" s="370">
        <f t="shared" si="288"/>
        <v>0</v>
      </c>
    </row>
    <row r="1156" spans="1:24" ht="15.75" thickBot="1">
      <c r="A1156" s="47"/>
      <c r="B1156" s="17">
        <f t="shared" si="291"/>
        <v>12</v>
      </c>
      <c r="C1156" s="284" t="s">
        <v>1388</v>
      </c>
      <c r="D1156" s="336"/>
      <c r="E1156" s="337"/>
      <c r="F1156" s="278">
        <f>F1154-F622-('II-I-DIST'!$F$753*(0.727923))</f>
        <v>1985403486.1705334</v>
      </c>
      <c r="G1156" s="337"/>
      <c r="H1156" s="457"/>
      <c r="I1156" s="458"/>
      <c r="J1156" s="905">
        <f>J1154-J622-('II-I-DIST'!J$753*(0.727923))</f>
        <v>1033475385.8675062</v>
      </c>
      <c r="K1156" s="905">
        <f>K1154-K622-('II-I-DIST'!K$753*(0.727923))</f>
        <v>53893362.028004803</v>
      </c>
      <c r="L1156" s="905">
        <f>L1154-L622-('II-I-DIST'!L$753*(0.727923))</f>
        <v>675756661.94432235</v>
      </c>
      <c r="M1156" s="905">
        <f>M1154-M622-('II-I-DIST'!M$753*(0.727923))</f>
        <v>1191559.7087348197</v>
      </c>
      <c r="N1156" s="905">
        <f>N1154-N622-('II-I-DIST'!N$753*(0.727923))</f>
        <v>121175451.9865409</v>
      </c>
      <c r="O1156" s="905">
        <f>O1154-O622-('II-I-DIST'!O$753*(0.727923))</f>
        <v>10753880.875002064</v>
      </c>
      <c r="P1156" s="905">
        <f>P1154-P622-('II-I-DIST'!P$753*(0.727923))</f>
        <v>25205417.470086403</v>
      </c>
      <c r="Q1156" s="905">
        <f>Q1154-Q622-('II-I-DIST'!Q$753*(0.727923))</f>
        <v>57897950.342638172</v>
      </c>
      <c r="R1156" s="905">
        <f>R1154-R622-('II-I-DIST'!R$753*(0.727923))</f>
        <v>1144325.932101717</v>
      </c>
      <c r="S1156" s="905">
        <f>S1154-S622-('II-I-DIST'!S$753*(0.727923))</f>
        <v>4909490.0155953765</v>
      </c>
      <c r="T1156" s="458"/>
      <c r="U1156" s="279">
        <f>SUM(I1156:T1156)</f>
        <v>1985403486.1705327</v>
      </c>
      <c r="V1156" s="67"/>
      <c r="W1156" s="1300" t="b">
        <f>' WP II-I-1.4'!$L$1158=U1156</f>
        <v>1</v>
      </c>
      <c r="X1156" s="370">
        <f t="shared" si="288"/>
        <v>0</v>
      </c>
    </row>
    <row r="1157" spans="1:24" ht="14.25">
      <c r="A1157" s="47"/>
      <c r="B1157" s="67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X1157" s="370">
        <f t="shared" si="288"/>
        <v>0</v>
      </c>
    </row>
    <row r="1158" spans="1:24" ht="14.25">
      <c r="A1158" s="47"/>
      <c r="B1158" s="67"/>
      <c r="C1158" s="67"/>
      <c r="D1158" s="67"/>
      <c r="E1158" s="67"/>
      <c r="F1158" s="118"/>
      <c r="G1158" s="67"/>
      <c r="H1158" s="134"/>
      <c r="I1158" s="67"/>
      <c r="J1158" s="118"/>
      <c r="K1158" s="118"/>
      <c r="L1158" s="118"/>
      <c r="M1158" s="118"/>
      <c r="N1158" s="118"/>
      <c r="O1158" s="118"/>
      <c r="P1158" s="118"/>
      <c r="Q1158" s="118"/>
      <c r="R1158" s="118"/>
      <c r="S1158" s="118"/>
      <c r="T1158" s="67"/>
      <c r="U1158" s="134"/>
      <c r="V1158" s="134"/>
      <c r="X1158" s="370"/>
    </row>
    <row r="1159" spans="1:24" ht="15" thickBot="1">
      <c r="A1159" s="47"/>
      <c r="B1159" s="67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X1159" s="370">
        <f t="shared" si="288"/>
        <v>0</v>
      </c>
    </row>
    <row r="1160" spans="1:24" ht="15">
      <c r="A1160" s="47"/>
      <c r="B1160" s="920" t="str">
        <f>+$B$4</f>
        <v>2022 RATE CASE</v>
      </c>
      <c r="C1160" s="935"/>
      <c r="D1160" s="620"/>
      <c r="F1160" s="12"/>
      <c r="U1160" s="134"/>
      <c r="X1160" s="370">
        <f t="shared" si="288"/>
        <v>0</v>
      </c>
    </row>
    <row r="1161" spans="1:24" ht="15">
      <c r="A1161" s="47"/>
      <c r="B1161" s="917" t="str">
        <f>+$B$5</f>
        <v>ONCOR ELECTRIC DELIVERY COMPANY LLC</v>
      </c>
      <c r="C1161" s="8"/>
      <c r="D1161" s="621"/>
      <c r="F1161" s="12"/>
      <c r="U1161" s="134"/>
      <c r="V1161" s="67"/>
      <c r="X1161" s="370">
        <f t="shared" si="288"/>
        <v>0</v>
      </c>
    </row>
    <row r="1162" spans="1:24" ht="15">
      <c r="A1162" s="47"/>
      <c r="B1162" s="917" t="str">
        <f>+$B$6</f>
        <v>II-I-1-TOT:  CLASS REVENUE REQUIREMENT</v>
      </c>
      <c r="C1162" s="85"/>
      <c r="D1162" s="621"/>
      <c r="F1162" s="12"/>
      <c r="U1162" s="12"/>
      <c r="V1162" s="67"/>
      <c r="X1162" s="370">
        <f t="shared" si="288"/>
        <v>0</v>
      </c>
    </row>
    <row r="1163" spans="1:24" ht="15">
      <c r="A1163" s="47"/>
      <c r="B1163" s="406" t="str">
        <f>+$B$7</f>
        <v>TEST YEAR ENDING 12/31/2021</v>
      </c>
      <c r="C1163" s="85"/>
      <c r="D1163" s="621"/>
      <c r="F1163" s="12"/>
      <c r="U1163" s="12"/>
      <c r="V1163" s="67"/>
      <c r="X1163" s="370">
        <f t="shared" si="288"/>
        <v>0</v>
      </c>
    </row>
    <row r="1164" spans="1:24" ht="15">
      <c r="A1164" s="47"/>
      <c r="B1164" s="406" t="str">
        <f>+$B$8</f>
        <v>SPONSOR:  MATTHEW A. TROXLE</v>
      </c>
      <c r="C1164" s="85"/>
      <c r="D1164" s="621"/>
      <c r="F1164" s="12"/>
      <c r="U1164" s="12"/>
      <c r="V1164" s="67"/>
      <c r="X1164" s="370">
        <f t="shared" si="288"/>
        <v>0</v>
      </c>
    </row>
    <row r="1165" spans="1:24" ht="15.75" thickBot="1">
      <c r="A1165" s="47"/>
      <c r="B1165" s="410"/>
      <c r="C1165" s="934"/>
      <c r="D1165" s="622"/>
      <c r="F1165" s="12"/>
      <c r="U1165" s="12"/>
      <c r="V1165" s="67"/>
      <c r="X1165" s="370">
        <f t="shared" si="288"/>
        <v>0</v>
      </c>
    </row>
    <row r="1166" spans="1:24" ht="15" thickBot="1">
      <c r="A1166" s="47"/>
      <c r="B1166" s="13"/>
      <c r="C1166" s="14"/>
      <c r="D1166" s="14"/>
      <c r="E1166" s="14"/>
      <c r="F1166" s="13"/>
      <c r="G1166" s="14"/>
      <c r="H1166" s="14"/>
      <c r="I1166" s="14"/>
      <c r="J1166" s="238"/>
      <c r="K1166" s="238"/>
      <c r="L1166" s="14"/>
      <c r="M1166" s="238"/>
      <c r="N1166" s="238"/>
      <c r="O1166" s="238"/>
      <c r="P1166" s="238"/>
      <c r="Q1166" s="14"/>
      <c r="R1166" s="393" t="str">
        <f>R$10</f>
        <v xml:space="preserve"> </v>
      </c>
      <c r="S1166" s="394"/>
      <c r="T1166" s="238"/>
      <c r="U1166" s="13"/>
      <c r="V1166" s="67"/>
      <c r="X1166" s="370">
        <f t="shared" si="288"/>
        <v>0</v>
      </c>
    </row>
    <row r="1167" spans="1:24" ht="15">
      <c r="A1167" s="47"/>
      <c r="B1167" s="15" t="s">
        <v>2</v>
      </c>
      <c r="C1167" s="15" t="s">
        <v>370</v>
      </c>
      <c r="D1167" s="287" t="s">
        <v>334</v>
      </c>
      <c r="E1167" s="15" t="s">
        <v>371</v>
      </c>
      <c r="F1167" s="287" t="str">
        <f>F$11</f>
        <v>TOTAL</v>
      </c>
      <c r="G1167" s="242" t="s">
        <v>741</v>
      </c>
      <c r="H1167" s="242" t="s">
        <v>376</v>
      </c>
      <c r="I1167" s="15"/>
      <c r="J1167" s="242" t="s">
        <v>730</v>
      </c>
      <c r="K1167" s="242" t="s">
        <v>409</v>
      </c>
      <c r="L1167" s="15" t="s">
        <v>409</v>
      </c>
      <c r="M1167" s="242" t="s">
        <v>410</v>
      </c>
      <c r="N1167" s="242" t="s">
        <v>410</v>
      </c>
      <c r="O1167" s="242" t="s">
        <v>410</v>
      </c>
      <c r="P1167" s="242" t="s">
        <v>411</v>
      </c>
      <c r="Q1167" s="15" t="s">
        <v>412</v>
      </c>
      <c r="R1167" s="396" t="str">
        <f>R$11</f>
        <v>Wholesale</v>
      </c>
      <c r="S1167" s="13" t="str">
        <f>S$11</f>
        <v>Wholesale</v>
      </c>
      <c r="T1167" s="242"/>
      <c r="U1167" s="15" t="s">
        <v>10</v>
      </c>
      <c r="V1167" s="67"/>
      <c r="X1167" s="370"/>
    </row>
    <row r="1168" spans="1:24" ht="14.25">
      <c r="A1168" s="47"/>
      <c r="B1168" s="15"/>
      <c r="C1168" s="15"/>
      <c r="D1168" s="15"/>
      <c r="E1168" s="15"/>
      <c r="F1168" s="15" t="str">
        <f>F$12</f>
        <v>(Dist+Met+Cust)</v>
      </c>
      <c r="G1168" s="242" t="s">
        <v>742</v>
      </c>
      <c r="H1168" s="242" t="s">
        <v>743</v>
      </c>
      <c r="I1168" s="15"/>
      <c r="J1168" s="242"/>
      <c r="K1168" s="242" t="s">
        <v>731</v>
      </c>
      <c r="L1168" s="15" t="s">
        <v>732</v>
      </c>
      <c r="M1168" s="242" t="s">
        <v>731</v>
      </c>
      <c r="N1168" s="242" t="s">
        <v>732</v>
      </c>
      <c r="O1168" s="242" t="s">
        <v>414</v>
      </c>
      <c r="P1168" s="242"/>
      <c r="Q1168" s="15"/>
      <c r="R1168" s="235" t="str">
        <f>R$12</f>
        <v>XFMR</v>
      </c>
      <c r="S1168" s="15" t="str">
        <f>S$12</f>
        <v>DLS</v>
      </c>
      <c r="T1168" s="242"/>
      <c r="U1168" s="15"/>
      <c r="V1168" s="67"/>
      <c r="X1168" s="370"/>
    </row>
    <row r="1169" spans="1:24" ht="15" thickBot="1">
      <c r="A1169" s="47"/>
      <c r="B1169" s="16"/>
      <c r="C1169" s="16"/>
      <c r="D1169" s="16"/>
      <c r="E1169" s="16"/>
      <c r="F1169" s="16" t="s">
        <v>13</v>
      </c>
      <c r="G1169" s="16" t="s">
        <v>14</v>
      </c>
      <c r="H1169" s="16" t="s">
        <v>15</v>
      </c>
      <c r="I1169" s="16"/>
      <c r="J1169" s="243" t="str">
        <f t="shared" si="295" ref="J1169:Q1169">J$13</f>
        <v>(d)</v>
      </c>
      <c r="K1169" s="243" t="str">
        <f t="shared" si="295"/>
        <v>(e)</v>
      </c>
      <c r="L1169" s="16" t="str">
        <f t="shared" si="295"/>
        <v>(f)</v>
      </c>
      <c r="M1169" s="243" t="str">
        <f t="shared" si="295"/>
        <v>(g)</v>
      </c>
      <c r="N1169" s="243" t="str">
        <f t="shared" si="295"/>
        <v>(h)</v>
      </c>
      <c r="O1169" s="243" t="str">
        <f>O$13</f>
        <v>(i)</v>
      </c>
      <c r="P1169" s="243" t="str">
        <f t="shared" si="295"/>
        <v>(j)</v>
      </c>
      <c r="Q1169" s="243" t="str">
        <f t="shared" si="295"/>
        <v>(k)</v>
      </c>
      <c r="R1169" s="243" t="str">
        <f>R$13</f>
        <v>(l)</v>
      </c>
      <c r="S1169" s="16" t="str">
        <f>S$13</f>
        <v>(m)</v>
      </c>
      <c r="T1169" s="16"/>
      <c r="U1169" s="16" t="s">
        <v>734</v>
      </c>
      <c r="V1169" s="67"/>
      <c r="X1169" s="370"/>
    </row>
    <row r="1170" spans="1:24" ht="14.25">
      <c r="A1170" s="47"/>
      <c r="B1170" s="67"/>
      <c r="C1170" s="100"/>
      <c r="D1170" s="100"/>
      <c r="E1170" s="315"/>
      <c r="F1170" s="373"/>
      <c r="G1170" s="17"/>
      <c r="H1170" s="315"/>
      <c r="I1170" s="315"/>
      <c r="J1170" s="315"/>
      <c r="K1170" s="315"/>
      <c r="L1170" s="315"/>
      <c r="M1170" s="315"/>
      <c r="N1170" s="315"/>
      <c r="O1170" s="315"/>
      <c r="P1170" s="315"/>
      <c r="Q1170" s="315"/>
      <c r="R1170" s="315"/>
      <c r="S1170" s="315"/>
      <c r="T1170" s="315"/>
      <c r="U1170" s="1"/>
      <c r="V1170" s="67"/>
      <c r="X1170" s="370">
        <f t="shared" si="288"/>
        <v>0</v>
      </c>
    </row>
    <row r="1171" spans="1:24" ht="15">
      <c r="A1171" s="47"/>
      <c r="B1171" s="17">
        <f t="shared" si="296" ref="B1171:B1194">B1170+1</f>
        <v>1</v>
      </c>
      <c r="C1171" s="8" t="s">
        <v>724</v>
      </c>
      <c r="D1171" s="8"/>
      <c r="E1171" s="20" t="s">
        <v>335</v>
      </c>
      <c r="F1171" s="22"/>
      <c r="G1171" s="17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8"/>
      <c r="V1171" s="67"/>
      <c r="X1171" s="370">
        <f t="shared" si="288"/>
        <v>0</v>
      </c>
    </row>
    <row r="1172" spans="1:24" ht="15">
      <c r="A1172" s="47"/>
      <c r="B1172" s="17">
        <f t="shared" si="296"/>
        <v>2</v>
      </c>
      <c r="C1172" s="8" t="s">
        <v>336</v>
      </c>
      <c r="D1172" s="8"/>
      <c r="E1172" s="20"/>
      <c r="F1172" s="22"/>
      <c r="G1172" s="17"/>
      <c r="H1172" s="20"/>
      <c r="I1172" s="20"/>
      <c r="J1172" s="1059"/>
      <c r="K1172" s="1059"/>
      <c r="L1172" s="1059"/>
      <c r="M1172" s="1059"/>
      <c r="N1172" s="1059"/>
      <c r="O1172" s="1059"/>
      <c r="P1172" s="1059"/>
      <c r="Q1172" s="1059"/>
      <c r="R1172" s="1059"/>
      <c r="S1172" s="1059"/>
      <c r="T1172" s="20"/>
      <c r="U1172" s="8"/>
      <c r="V1172" s="67"/>
      <c r="X1172" s="370">
        <f t="shared" si="288"/>
        <v>0</v>
      </c>
    </row>
    <row r="1173" spans="1:24" ht="14.25">
      <c r="A1173" s="47"/>
      <c r="B1173" s="17">
        <f t="shared" si="296"/>
        <v>3</v>
      </c>
      <c r="C1173" s="1" t="s">
        <v>337</v>
      </c>
      <c r="D1173" s="1" t="s">
        <v>338</v>
      </c>
      <c r="E1173" s="17"/>
      <c r="F1173" s="118">
        <f>' WP II-I-1.4'!L1175</f>
        <v>17616778</v>
      </c>
      <c r="G1173" s="17" t="s">
        <v>805</v>
      </c>
      <c r="H1173" s="47" t="s">
        <v>320</v>
      </c>
      <c r="I1173" s="17"/>
      <c r="J1173" s="434">
        <f>'II-I-DIST'!J1173+'II-I-MET'!J1173+'II-I-TBILLTDCS'!J1173</f>
        <v>9856074.1384115722</v>
      </c>
      <c r="K1173" s="434">
        <f>'II-I-DIST'!K1173+'II-I-MET'!K1173+'II-I-TBILLTDCS'!K1173</f>
        <v>330223.70729911048</v>
      </c>
      <c r="L1173" s="434">
        <f>'II-I-DIST'!L1173+'II-I-MET'!L1173+'II-I-TBILLTDCS'!L1173</f>
        <v>6229907.3234708207</v>
      </c>
      <c r="M1173" s="434">
        <f>'II-I-DIST'!M1173+'II-I-MET'!M1173+'II-I-TBILLTDCS'!M1173</f>
        <v>2217.5949977993264</v>
      </c>
      <c r="N1173" s="434">
        <f>'II-I-DIST'!N1173+'II-I-MET'!N1173+'II-I-TBILLTDCS'!N1173</f>
        <v>938597.84889134672</v>
      </c>
      <c r="O1173" s="434">
        <f>'II-I-DIST'!O1173+'II-I-MET'!O1173+'II-I-TBILLTDCS'!O1173</f>
        <v>81197.921446107255</v>
      </c>
      <c r="P1173" s="434">
        <f>'II-I-DIST'!P1173+'II-I-MET'!P1173+'II-I-TBILLTDCS'!P1173</f>
        <v>18465.550947725143</v>
      </c>
      <c r="Q1173" s="434">
        <f>'II-I-DIST'!Q1173+'II-I-MET'!Q1173+'II-I-TBILLTDCS'!Q1173</f>
        <v>160093.91453551964</v>
      </c>
      <c r="R1173" s="434">
        <f>'II-I-DIST'!R1173+'II-I-MET'!R1173+'II-I-TBILLTDCS'!R1173</f>
        <v>0</v>
      </c>
      <c r="S1173" s="434">
        <f>'II-I-DIST'!S1173+'II-I-MET'!S1173+'II-I-TBILLTDCS'!S1173</f>
        <v>0</v>
      </c>
      <c r="T1173" s="17"/>
      <c r="U1173" s="118">
        <f t="shared" si="297" ref="U1173:U1184">SUM(I1173:T1173)</f>
        <v>17616778</v>
      </c>
      <c r="V1173" s="67"/>
      <c r="X1173" s="370">
        <f t="shared" si="288"/>
        <v>0</v>
      </c>
    </row>
    <row r="1174" spans="1:24" ht="14.25">
      <c r="A1174" s="47"/>
      <c r="B1174" s="17">
        <f t="shared" si="296"/>
        <v>4</v>
      </c>
      <c r="C1174" s="1" t="s">
        <v>339</v>
      </c>
      <c r="D1174" s="1" t="s">
        <v>340</v>
      </c>
      <c r="E1174" s="17"/>
      <c r="F1174" s="118">
        <f>' WP II-I-1.4'!L1176</f>
        <v>1070706.0600000001</v>
      </c>
      <c r="G1174" s="17" t="s">
        <v>805</v>
      </c>
      <c r="H1174" s="47" t="s">
        <v>320</v>
      </c>
      <c r="I1174" s="17"/>
      <c r="J1174" s="434">
        <f>'II-I-DIST'!J1174+'II-I-MET'!J1174+'II-I-TBILLTDCS'!J1174</f>
        <v>565535.25739891885</v>
      </c>
      <c r="K1174" s="434">
        <f>'II-I-DIST'!K1174+'II-I-MET'!K1174+'II-I-TBILLTDCS'!K1174</f>
        <v>19628.056795190128</v>
      </c>
      <c r="L1174" s="434">
        <f>'II-I-DIST'!L1174+'II-I-MET'!L1174+'II-I-TBILLTDCS'!L1174</f>
        <v>378764.05710957531</v>
      </c>
      <c r="M1174" s="434">
        <f>'II-I-DIST'!M1174+'II-I-MET'!M1174+'II-I-TBILLTDCS'!M1174</f>
        <v>143.01685733445896</v>
      </c>
      <c r="N1174" s="434">
        <f>'II-I-DIST'!N1174+'II-I-MET'!N1174+'II-I-TBILLTDCS'!N1174</f>
        <v>61823.07390620777</v>
      </c>
      <c r="O1174" s="434">
        <f>'II-I-DIST'!O1174+'II-I-MET'!O1174+'II-I-TBILLTDCS'!O1174</f>
        <v>6160.4757085900319</v>
      </c>
      <c r="P1174" s="434">
        <f>'II-I-DIST'!P1174+'II-I-MET'!P1174+'II-I-TBILLTDCS'!P1174</f>
        <v>11227.158425466565</v>
      </c>
      <c r="Q1174" s="434">
        <f>'II-I-DIST'!Q1174+'II-I-MET'!Q1174+'II-I-TBILLTDCS'!Q1174</f>
        <v>27424.963798717097</v>
      </c>
      <c r="R1174" s="434">
        <f>'II-I-DIST'!R1174+'II-I-MET'!R1174+'II-I-TBILLTDCS'!R1174</f>
        <v>0</v>
      </c>
      <c r="S1174" s="434">
        <f>'II-I-DIST'!S1174+'II-I-MET'!S1174+'II-I-TBILLTDCS'!S1174</f>
        <v>0</v>
      </c>
      <c r="T1174" s="17"/>
      <c r="U1174" s="118">
        <f t="shared" si="297"/>
        <v>1070706.0600000003</v>
      </c>
      <c r="V1174" s="67"/>
      <c r="X1174" s="370">
        <f t="shared" si="288"/>
        <v>0</v>
      </c>
    </row>
    <row r="1175" spans="1:24" ht="14.25">
      <c r="A1175" s="47"/>
      <c r="B1175" s="17">
        <f t="shared" si="296"/>
        <v>5</v>
      </c>
      <c r="C1175" s="1" t="s">
        <v>725</v>
      </c>
      <c r="D1175" s="28" t="s">
        <v>342</v>
      </c>
      <c r="E1175" s="17"/>
      <c r="F1175" s="118">
        <f>' WP II-I-1.4'!L1177</f>
        <v>22468503.440000001</v>
      </c>
      <c r="G1175" s="17" t="s">
        <v>805</v>
      </c>
      <c r="H1175" s="47" t="s">
        <v>320</v>
      </c>
      <c r="I1175" s="17"/>
      <c r="J1175" s="434">
        <f>'II-I-DIST'!J1175+'II-I-MET'!J1175+'II-I-TBILLTDCS'!J1175</f>
        <v>17615189.970523637</v>
      </c>
      <c r="K1175" s="434">
        <f>'II-I-DIST'!K1175+'II-I-MET'!K1175+'II-I-TBILLTDCS'!K1175</f>
        <v>1818533.4634893537</v>
      </c>
      <c r="L1175" s="434">
        <f>'II-I-DIST'!L1175+'II-I-MET'!L1175+'II-I-TBILLTDCS'!L1175</f>
        <v>2275095.8627025406</v>
      </c>
      <c r="M1175" s="434">
        <f>'II-I-DIST'!M1175+'II-I-MET'!M1175+'II-I-TBILLTDCS'!M1175</f>
        <v>33044.379989154695</v>
      </c>
      <c r="N1175" s="434">
        <f>'II-I-DIST'!N1175+'II-I-MET'!N1175+'II-I-TBILLTDCS'!N1175</f>
        <v>428627.18447859178</v>
      </c>
      <c r="O1175" s="434">
        <f>'II-I-DIST'!O1175+'II-I-MET'!O1175+'II-I-TBILLTDCS'!O1175</f>
        <v>14127.872844634074</v>
      </c>
      <c r="P1175" s="434">
        <f>'II-I-DIST'!P1175+'II-I-MET'!P1175+'II-I-TBILLTDCS'!P1175</f>
        <v>30755.292423318791</v>
      </c>
      <c r="Q1175" s="434">
        <f>'II-I-DIST'!Q1175+'II-I-MET'!Q1175+'II-I-TBILLTDCS'!Q1175</f>
        <v>253129.41354877056</v>
      </c>
      <c r="R1175" s="434">
        <f>'II-I-DIST'!R1175+'II-I-MET'!R1175+'II-I-TBILLTDCS'!R1175</f>
        <v>0</v>
      </c>
      <c r="S1175" s="434">
        <f>'II-I-DIST'!S1175+'II-I-MET'!S1175+'II-I-TBILLTDCS'!S1175</f>
        <v>0</v>
      </c>
      <c r="T1175" s="17"/>
      <c r="U1175" s="118">
        <f t="shared" si="297"/>
        <v>22468503.440000001</v>
      </c>
      <c r="V1175" s="67"/>
      <c r="X1175" s="370">
        <f t="shared" si="288"/>
        <v>0</v>
      </c>
    </row>
    <row r="1176" spans="1:24" ht="14.25">
      <c r="A1176" s="47"/>
      <c r="B1176" s="17">
        <f t="shared" si="296"/>
        <v>6</v>
      </c>
      <c r="C1176" s="1" t="s">
        <v>725</v>
      </c>
      <c r="D1176" s="1" t="s">
        <v>344</v>
      </c>
      <c r="E1176" s="17"/>
      <c r="F1176" s="118">
        <f>' WP II-I-1.4'!L1178</f>
        <v>456565.46000000002</v>
      </c>
      <c r="G1176" s="17" t="s">
        <v>805</v>
      </c>
      <c r="H1176" s="47" t="s">
        <v>320</v>
      </c>
      <c r="I1176" s="17"/>
      <c r="J1176" s="434">
        <f>'II-I-DIST'!J1176+'II-I-MET'!J1176+'II-I-TBILLTDCS'!J1176</f>
        <v>254558.23859217216</v>
      </c>
      <c r="K1176" s="434">
        <f>'II-I-DIST'!K1176+'II-I-MET'!K1176+'II-I-TBILLTDCS'!K1176</f>
        <v>8528.8690091961998</v>
      </c>
      <c r="L1176" s="434">
        <f>'II-I-DIST'!L1176+'II-I-MET'!L1176+'II-I-TBILLTDCS'!L1176</f>
        <v>160903.23719001462</v>
      </c>
      <c r="M1176" s="434">
        <f>'II-I-DIST'!M1176+'II-I-MET'!M1176+'II-I-TBILLTDCS'!M1176</f>
        <v>57.275043655625936</v>
      </c>
      <c r="N1176" s="434">
        <f>'II-I-DIST'!N1176+'II-I-MET'!N1176+'II-I-TBILLTDCS'!N1176</f>
        <v>24241.682013026049</v>
      </c>
      <c r="O1176" s="434">
        <f>'II-I-DIST'!O1176+'II-I-MET'!O1176+'II-I-TBILLTDCS'!O1176</f>
        <v>2097.1433017241675</v>
      </c>
      <c r="P1176" s="434">
        <f>'II-I-DIST'!P1176+'II-I-MET'!P1176+'II-I-TBILLTDCS'!P1176</f>
        <v>476.91992347822185</v>
      </c>
      <c r="Q1176" s="434">
        <f>'II-I-DIST'!Q1176+'II-I-MET'!Q1176+'II-I-TBILLTDCS'!Q1176</f>
        <v>4134.8334358263592</v>
      </c>
      <c r="R1176" s="434">
        <f>'II-I-DIST'!R1176+'II-I-MET'!R1176+'II-I-TBILLTDCS'!R1176</f>
        <v>251.35575048053053</v>
      </c>
      <c r="S1176" s="434">
        <f>'II-I-DIST'!S1176+'II-I-MET'!S1176+'II-I-TBILLTDCS'!S1176</f>
        <v>1315.9057404260163</v>
      </c>
      <c r="T1176" s="17"/>
      <c r="U1176" s="118">
        <f t="shared" si="297"/>
        <v>456565.45999999996</v>
      </c>
      <c r="V1176" s="67"/>
      <c r="X1176" s="370">
        <f t="shared" si="288"/>
        <v>0</v>
      </c>
    </row>
    <row r="1177" spans="1:24" ht="14.25">
      <c r="A1177" s="47"/>
      <c r="B1177" s="17">
        <f t="shared" si="296"/>
        <v>7</v>
      </c>
      <c r="C1177" s="1" t="s">
        <v>345</v>
      </c>
      <c r="D1177" s="1" t="s">
        <v>346</v>
      </c>
      <c r="E1177" s="17"/>
      <c r="F1177" s="290">
        <f>' WP II-I-1.4'!L1179</f>
        <v>8281656.0099999998</v>
      </c>
      <c r="G1177" s="17" t="s">
        <v>805</v>
      </c>
      <c r="H1177" s="47" t="s">
        <v>320</v>
      </c>
      <c r="I1177" s="17"/>
      <c r="J1177" s="434">
        <f>'II-I-DIST'!J1177+'II-I-MET'!J1177+'II-I-TBILLTDCS'!J1177</f>
        <v>4581449.4643650167</v>
      </c>
      <c r="K1177" s="434">
        <f>'II-I-DIST'!K1177+'II-I-MET'!K1177+'II-I-TBILLTDCS'!K1177</f>
        <v>111879.98407341298</v>
      </c>
      <c r="L1177" s="434">
        <f>'II-I-DIST'!L1177+'II-I-MET'!L1177+'II-I-TBILLTDCS'!L1177</f>
        <v>2949868.5679805726</v>
      </c>
      <c r="M1177" s="434">
        <f>'II-I-DIST'!M1177+'II-I-MET'!M1177+'II-I-TBILLTDCS'!M1177</f>
        <v>1361.0678993905046</v>
      </c>
      <c r="N1177" s="434">
        <f>'II-I-DIST'!N1177+'II-I-MET'!N1177+'II-I-TBILLTDCS'!N1177</f>
        <v>576072.4586007538</v>
      </c>
      <c r="O1177" s="434">
        <f>'II-I-DIST'!O1177+'II-I-MET'!O1177+'II-I-TBILLTDCS'!O1177</f>
        <v>0</v>
      </c>
      <c r="P1177" s="434">
        <f>'II-I-DIST'!P1177+'II-I-MET'!P1177+'II-I-TBILLTDCS'!P1177</f>
        <v>0</v>
      </c>
      <c r="Q1177" s="434">
        <f>'II-I-DIST'!Q1177+'II-I-MET'!Q1177+'II-I-TBILLTDCS'!Q1177</f>
        <v>29753.656137672187</v>
      </c>
      <c r="R1177" s="434">
        <f>'II-I-DIST'!R1177+'II-I-MET'!R1177+'II-I-TBILLTDCS'!R1177</f>
        <v>0</v>
      </c>
      <c r="S1177" s="434">
        <f>'II-I-DIST'!S1177+'II-I-MET'!S1177+'II-I-TBILLTDCS'!S1177</f>
        <v>31270.810943181481</v>
      </c>
      <c r="T1177" s="17"/>
      <c r="U1177" s="118">
        <f t="shared" si="297"/>
        <v>8281656.0099999998</v>
      </c>
      <c r="V1177" s="67"/>
      <c r="X1177" s="370">
        <f t="shared" si="288"/>
        <v>0</v>
      </c>
    </row>
    <row r="1178" spans="1:24" ht="14.25">
      <c r="A1178" s="47"/>
      <c r="B1178" s="17">
        <f t="shared" si="296"/>
        <v>8</v>
      </c>
      <c r="C1178" s="1" t="s">
        <v>372</v>
      </c>
      <c r="D1178" s="1" t="s">
        <v>959</v>
      </c>
      <c r="E1178" s="17" t="s">
        <v>961</v>
      </c>
      <c r="F1178" s="290">
        <f>' WP II-I-1.4'!L1180</f>
        <v>127189.3152</v>
      </c>
      <c r="G1178" s="17" t="s">
        <v>805</v>
      </c>
      <c r="H1178" s="47" t="s">
        <v>320</v>
      </c>
      <c r="I1178" s="17"/>
      <c r="J1178" s="434">
        <f>'II-I-DIST'!J1178+'II-I-MET'!J1178+'II-I-TBILLTDCS'!J1178</f>
        <v>70361.702936269779</v>
      </c>
      <c r="K1178" s="434">
        <f>'II-I-DIST'!K1178+'II-I-MET'!K1178+'II-I-TBILLTDCS'!K1178</f>
        <v>1718.2479617243007</v>
      </c>
      <c r="L1178" s="434">
        <f>'II-I-DIST'!L1178+'II-I-MET'!L1178+'II-I-TBILLTDCS'!L1178</f>
        <v>45303.954020598554</v>
      </c>
      <c r="M1178" s="434">
        <f>'II-I-DIST'!M1178+'II-I-MET'!M1178+'II-I-TBILLTDCS'!M1178</f>
        <v>20.903221995111672</v>
      </c>
      <c r="N1178" s="434">
        <f>'II-I-DIST'!N1178+'II-I-MET'!N1178+'II-I-TBILLTDCS'!N1178</f>
        <v>8847.2959304923152</v>
      </c>
      <c r="O1178" s="434">
        <f>'II-I-DIST'!O1178+'II-I-MET'!O1178+'II-I-TBILLTDCS'!O1178</f>
        <v>0</v>
      </c>
      <c r="P1178" s="434">
        <f>'II-I-DIST'!P1178+'II-I-MET'!P1178+'II-I-TBILLTDCS'!P1178</f>
        <v>0</v>
      </c>
      <c r="Q1178" s="434">
        <f>'II-I-DIST'!Q1178+'II-I-MET'!Q1178+'II-I-TBILLTDCS'!Q1178</f>
        <v>456.95536548212687</v>
      </c>
      <c r="R1178" s="434">
        <f>'II-I-DIST'!R1178+'II-I-MET'!R1178+'II-I-TBILLTDCS'!R1178</f>
        <v>0</v>
      </c>
      <c r="S1178" s="434">
        <f>'II-I-DIST'!S1178+'II-I-MET'!S1178+'II-I-TBILLTDCS'!S1178</f>
        <v>480.25576343781501</v>
      </c>
      <c r="T1178" s="17"/>
      <c r="U1178" s="118">
        <f t="shared" si="297"/>
        <v>127189.3152</v>
      </c>
      <c r="V1178" s="67"/>
      <c r="X1178" s="370">
        <f t="shared" si="288"/>
        <v>0</v>
      </c>
    </row>
    <row r="1179" spans="1:24" ht="14.25">
      <c r="A1179" s="47"/>
      <c r="B1179" s="17">
        <f t="shared" si="296"/>
        <v>9</v>
      </c>
      <c r="C1179" s="1" t="s">
        <v>374</v>
      </c>
      <c r="D1179" s="1" t="s">
        <v>960</v>
      </c>
      <c r="E1179" s="17" t="s">
        <v>961</v>
      </c>
      <c r="F1179" s="290">
        <f>' WP II-I-1.4'!L1181</f>
        <v>932721.64480000001</v>
      </c>
      <c r="G1179" s="17" t="s">
        <v>805</v>
      </c>
      <c r="H1179" s="47" t="s">
        <v>320</v>
      </c>
      <c r="I1179" s="17"/>
      <c r="J1179" s="434">
        <f>'II-I-DIST'!J1179+'II-I-MET'!J1179+'II-I-TBILLTDCS'!J1179</f>
        <v>526964.81183156511</v>
      </c>
      <c r="K1179" s="434">
        <f>'II-I-DIST'!K1179+'II-I-MET'!K1179+'II-I-TBILLTDCS'!K1179</f>
        <v>12868.594363756869</v>
      </c>
      <c r="L1179" s="434">
        <f>'II-I-DIST'!L1179+'II-I-MET'!L1179+'II-I-TBILLTDCS'!L1179</f>
        <v>339298.0642795717</v>
      </c>
      <c r="M1179" s="434">
        <f>'II-I-DIST'!M1179+'II-I-MET'!M1179+'II-I-TBILLTDCS'!M1179</f>
        <v>112.17576191845136</v>
      </c>
      <c r="N1179" s="434">
        <f>'II-I-DIST'!N1179+'II-I-MET'!N1179+'II-I-TBILLTDCS'!N1179</f>
        <v>47478.429983333648</v>
      </c>
      <c r="O1179" s="434">
        <f>'II-I-DIST'!O1179+'II-I-MET'!O1179+'II-I-TBILLTDCS'!O1179</f>
        <v>0</v>
      </c>
      <c r="P1179" s="434">
        <f>'II-I-DIST'!P1179+'II-I-MET'!P1179+'II-I-TBILLTDCS'!P1179</f>
        <v>0</v>
      </c>
      <c r="Q1179" s="434">
        <f>'II-I-DIST'!Q1179+'II-I-MET'!Q1179+'II-I-TBILLTDCS'!Q1179</f>
        <v>3422.3077062932571</v>
      </c>
      <c r="R1179" s="434">
        <f>'II-I-DIST'!R1179+'II-I-MET'!R1179+'II-I-TBILLTDCS'!R1179</f>
        <v>0</v>
      </c>
      <c r="S1179" s="434">
        <f>'II-I-DIST'!S1179+'II-I-MET'!S1179+'II-I-TBILLTDCS'!S1179</f>
        <v>2577.260873561163</v>
      </c>
      <c r="T1179" s="17"/>
      <c r="U1179" s="118">
        <f>SUM(I1179:T1179)</f>
        <v>932721.64480000024</v>
      </c>
      <c r="V1179" s="67"/>
      <c r="X1179" s="370">
        <f t="shared" si="288"/>
        <v>0</v>
      </c>
    </row>
    <row r="1180" spans="1:24" ht="14.25">
      <c r="A1180" s="47"/>
      <c r="B1180" s="17">
        <f t="shared" si="296"/>
        <v>10</v>
      </c>
      <c r="C1180" s="1" t="s">
        <v>349</v>
      </c>
      <c r="D1180" s="1" t="s">
        <v>350</v>
      </c>
      <c r="E1180" s="17"/>
      <c r="F1180" s="290">
        <f>' WP II-I-1.4'!L1182</f>
        <v>0</v>
      </c>
      <c r="G1180" s="17" t="s">
        <v>805</v>
      </c>
      <c r="H1180" s="47" t="s">
        <v>320</v>
      </c>
      <c r="I1180" s="17"/>
      <c r="J1180" s="434">
        <f>'II-I-DIST'!J1180+'II-I-MET'!J1180+'II-I-TBILLTDCS'!J1180</f>
        <v>0</v>
      </c>
      <c r="K1180" s="434">
        <f>'II-I-DIST'!K1180+'II-I-MET'!K1180+'II-I-TBILLTDCS'!K1180</f>
        <v>0</v>
      </c>
      <c r="L1180" s="434">
        <f>'II-I-DIST'!L1180+'II-I-MET'!L1180+'II-I-TBILLTDCS'!L1180</f>
        <v>0</v>
      </c>
      <c r="M1180" s="434">
        <f>'II-I-DIST'!M1180+'II-I-MET'!M1180+'II-I-TBILLTDCS'!M1180</f>
        <v>0</v>
      </c>
      <c r="N1180" s="434">
        <f>'II-I-DIST'!N1180+'II-I-MET'!N1180+'II-I-TBILLTDCS'!N1180</f>
        <v>0</v>
      </c>
      <c r="O1180" s="434">
        <f>'II-I-DIST'!O1180+'II-I-MET'!O1180+'II-I-TBILLTDCS'!O1180</f>
        <v>0</v>
      </c>
      <c r="P1180" s="434">
        <f>'II-I-DIST'!P1180+'II-I-MET'!P1180+'II-I-TBILLTDCS'!P1180</f>
        <v>0</v>
      </c>
      <c r="Q1180" s="434">
        <f>'II-I-DIST'!Q1180+'II-I-MET'!Q1180+'II-I-TBILLTDCS'!Q1180</f>
        <v>0</v>
      </c>
      <c r="R1180" s="434">
        <f>'II-I-DIST'!R1180+'II-I-MET'!R1180+'II-I-TBILLTDCS'!R1180</f>
        <v>0</v>
      </c>
      <c r="S1180" s="434">
        <f>'II-I-DIST'!S1180+'II-I-MET'!S1180+'II-I-TBILLTDCS'!S1180</f>
        <v>0</v>
      </c>
      <c r="T1180" s="17"/>
      <c r="U1180" s="118">
        <f t="shared" si="297"/>
        <v>0</v>
      </c>
      <c r="V1180" s="67"/>
      <c r="X1180" s="370">
        <f t="shared" si="288"/>
        <v>0</v>
      </c>
    </row>
    <row r="1181" spans="1:24" ht="14.25">
      <c r="A1181" s="47"/>
      <c r="B1181" s="17">
        <f t="shared" si="296"/>
        <v>11</v>
      </c>
      <c r="C1181" s="1" t="s">
        <v>351</v>
      </c>
      <c r="D1181" s="1" t="s">
        <v>352</v>
      </c>
      <c r="E1181" s="17"/>
      <c r="F1181" s="290">
        <f>' WP II-I-1.4'!L1183</f>
        <v>16700</v>
      </c>
      <c r="G1181" s="17" t="s">
        <v>805</v>
      </c>
      <c r="H1181" s="47" t="s">
        <v>320</v>
      </c>
      <c r="I1181" s="17"/>
      <c r="J1181" s="434">
        <f>'II-I-DIST'!J1181+'II-I-MET'!J1181+'II-I-TBILLTDCS'!J1181</f>
        <v>9295.1733033190121</v>
      </c>
      <c r="K1181" s="434">
        <f>'II-I-DIST'!K1181+'II-I-MET'!K1181+'II-I-TBILLTDCS'!K1181</f>
        <v>308.99373823140081</v>
      </c>
      <c r="L1181" s="434">
        <f>'II-I-DIST'!L1181+'II-I-MET'!L1181+'II-I-TBILLTDCS'!L1181</f>
        <v>5878.5301230167734</v>
      </c>
      <c r="M1181" s="434">
        <f>'II-I-DIST'!M1181+'II-I-MET'!M1181+'II-I-TBILLTDCS'!M1181</f>
        <v>2.1286880330577205</v>
      </c>
      <c r="N1181" s="434">
        <f>'II-I-DIST'!N1181+'II-I-MET'!N1181+'II-I-TBILLTDCS'!N1181</f>
        <v>900.96794535136712</v>
      </c>
      <c r="O1181" s="434">
        <f>'II-I-DIST'!O1181+'II-I-MET'!O1181+'II-I-TBILLTDCS'!O1181</f>
        <v>89.314569560404308</v>
      </c>
      <c r="P1181" s="434">
        <f>'II-I-DIST'!P1181+'II-I-MET'!P1181+'II-I-TBILLTDCS'!P1181</f>
        <v>16.912051385818415</v>
      </c>
      <c r="Q1181" s="434">
        <f>'II-I-DIST'!Q1181+'II-I-MET'!Q1181+'II-I-TBILLTDCS'!Q1181</f>
        <v>148.36763178301982</v>
      </c>
      <c r="R1181" s="434">
        <f>'II-I-DIST'!R1181+'II-I-MET'!R1181+'II-I-TBILLTDCS'!R1181</f>
        <v>10.70491017101403</v>
      </c>
      <c r="S1181" s="434">
        <f>'II-I-DIST'!S1181+'II-I-MET'!S1181+'II-I-TBILLTDCS'!S1181</f>
        <v>48.907039148134679</v>
      </c>
      <c r="T1181" s="17"/>
      <c r="U1181" s="118">
        <f t="shared" si="297"/>
        <v>16700.000000000004</v>
      </c>
      <c r="V1181" s="67"/>
      <c r="X1181" s="370">
        <f t="shared" si="288"/>
        <v>0</v>
      </c>
    </row>
    <row r="1182" spans="1:24" ht="14.25">
      <c r="A1182" s="47"/>
      <c r="B1182" s="17">
        <f t="shared" si="296"/>
        <v>12</v>
      </c>
      <c r="C1182" s="1" t="s">
        <v>353</v>
      </c>
      <c r="D1182" s="1" t="s">
        <v>354</v>
      </c>
      <c r="E1182" s="17"/>
      <c r="F1182" s="118">
        <f>' WP II-I-1.4'!L1184</f>
        <v>0</v>
      </c>
      <c r="G1182" s="17" t="s">
        <v>805</v>
      </c>
      <c r="H1182" s="47" t="s">
        <v>320</v>
      </c>
      <c r="I1182" s="17"/>
      <c r="J1182" s="434">
        <f>'II-I-DIST'!J1182+'II-I-MET'!J1182+'II-I-TBILLTDCS'!J1182</f>
        <v>0</v>
      </c>
      <c r="K1182" s="434">
        <f>'II-I-DIST'!K1182+'II-I-MET'!K1182+'II-I-TBILLTDCS'!K1182</f>
        <v>0</v>
      </c>
      <c r="L1182" s="434">
        <f>'II-I-DIST'!L1182+'II-I-MET'!L1182+'II-I-TBILLTDCS'!L1182</f>
        <v>0</v>
      </c>
      <c r="M1182" s="434">
        <f>'II-I-DIST'!M1182+'II-I-MET'!M1182+'II-I-TBILLTDCS'!M1182</f>
        <v>0</v>
      </c>
      <c r="N1182" s="434">
        <f>'II-I-DIST'!N1182+'II-I-MET'!N1182+'II-I-TBILLTDCS'!N1182</f>
        <v>0</v>
      </c>
      <c r="O1182" s="434">
        <f>'II-I-DIST'!O1182+'II-I-MET'!O1182+'II-I-TBILLTDCS'!O1182</f>
        <v>0</v>
      </c>
      <c r="P1182" s="434">
        <f>'II-I-DIST'!P1182+'II-I-MET'!P1182+'II-I-TBILLTDCS'!P1182</f>
        <v>0</v>
      </c>
      <c r="Q1182" s="434">
        <f>'II-I-DIST'!Q1182+'II-I-MET'!Q1182+'II-I-TBILLTDCS'!Q1182</f>
        <v>0</v>
      </c>
      <c r="R1182" s="434">
        <f>'II-I-DIST'!R1182+'II-I-MET'!R1182+'II-I-TBILLTDCS'!R1182</f>
        <v>0</v>
      </c>
      <c r="S1182" s="434">
        <f>'II-I-DIST'!S1182+'II-I-MET'!S1182+'II-I-TBILLTDCS'!S1182</f>
        <v>0</v>
      </c>
      <c r="T1182" s="17"/>
      <c r="U1182" s="118">
        <f t="shared" si="297"/>
        <v>0</v>
      </c>
      <c r="V1182" s="67"/>
      <c r="X1182" s="370">
        <f t="shared" si="288"/>
        <v>0</v>
      </c>
    </row>
    <row r="1183" spans="1:24" ht="14.25">
      <c r="A1183" s="47"/>
      <c r="B1183" s="17">
        <f t="shared" si="296"/>
        <v>13</v>
      </c>
      <c r="C1183" s="1" t="s">
        <v>355</v>
      </c>
      <c r="D1183" s="1" t="s">
        <v>356</v>
      </c>
      <c r="E1183" s="17"/>
      <c r="F1183" s="118">
        <f>' WP II-I-1.4'!L1185</f>
        <v>6086807.6699999981</v>
      </c>
      <c r="G1183" s="17" t="s">
        <v>805</v>
      </c>
      <c r="H1183" s="47" t="s">
        <v>320</v>
      </c>
      <c r="I1183" s="17"/>
      <c r="J1183" s="435">
        <f>'II-I-DIST'!J1183+'II-I-MET'!J1183+'II-I-TBILLTDCS'!J1183</f>
        <v>3393701.8343974659</v>
      </c>
      <c r="K1183" s="435">
        <f>'II-I-DIST'!K1183+'II-I-MET'!K1183+'II-I-TBILLTDCS'!K1183</f>
        <v>113704.58313162961</v>
      </c>
      <c r="L1183" s="435">
        <f>'II-I-DIST'!L1183+'II-I-MET'!L1183+'II-I-TBILLTDCS'!L1183</f>
        <v>2145118.5953839123</v>
      </c>
      <c r="M1183" s="435">
        <f>'II-I-DIST'!M1183+'II-I-MET'!M1183+'II-I-TBILLTDCS'!M1183</f>
        <v>763.5754466022214</v>
      </c>
      <c r="N1183" s="435">
        <f>'II-I-DIST'!N1183+'II-I-MET'!N1183+'II-I-TBILLTDCS'!N1183</f>
        <v>323183.57155310863</v>
      </c>
      <c r="O1183" s="435">
        <f>'II-I-DIST'!O1183+'II-I-MET'!O1183+'II-I-TBILLTDCS'!O1183</f>
        <v>27958.549326144344</v>
      </c>
      <c r="P1183" s="435">
        <f>'II-I-DIST'!P1183+'II-I-MET'!P1183+'II-I-TBILLTDCS'!P1183</f>
        <v>6358.1678916382616</v>
      </c>
      <c r="Q1183" s="435">
        <f>'II-I-DIST'!Q1183+'II-I-MET'!Q1183+'II-I-TBILLTDCS'!Q1183</f>
        <v>55124.485043963519</v>
      </c>
      <c r="R1183" s="435">
        <f>'II-I-DIST'!R1183+'II-I-MET'!R1183+'II-I-TBILLTDCS'!R1183</f>
        <v>3351.0071259518818</v>
      </c>
      <c r="S1183" s="435">
        <f>'II-I-DIST'!S1183+'II-I-MET'!S1183+'II-I-TBILLTDCS'!S1183</f>
        <v>17543.300699580082</v>
      </c>
      <c r="T1183" s="17"/>
      <c r="U1183" s="118">
        <f t="shared" si="297"/>
        <v>6086807.6699999962</v>
      </c>
      <c r="V1183" s="67"/>
      <c r="X1183" s="370">
        <f t="shared" si="288"/>
        <v>0</v>
      </c>
    </row>
    <row r="1184" spans="1:24" ht="15">
      <c r="A1184" s="47"/>
      <c r="B1184" s="17">
        <f t="shared" si="296"/>
        <v>14</v>
      </c>
      <c r="C1184" s="252"/>
      <c r="D1184" s="388" t="s">
        <v>491</v>
      </c>
      <c r="E1184" s="252"/>
      <c r="F1184" s="22">
        <f>SUM(F1173:F1183)</f>
        <v>57057627.599999994</v>
      </c>
      <c r="G1184" s="252"/>
      <c r="H1184" s="252"/>
      <c r="I1184" s="252"/>
      <c r="J1184" s="896">
        <f t="shared" si="298" ref="J1184:Q1184">SUM(J1173:J1183)</f>
        <v>36873130.591759935</v>
      </c>
      <c r="K1184" s="896">
        <f t="shared" si="298"/>
        <v>2417394.4998616055</v>
      </c>
      <c r="L1184" s="896">
        <f t="shared" si="298"/>
        <v>14530138.192260621</v>
      </c>
      <c r="M1184" s="896">
        <f t="shared" si="298"/>
        <v>37722.117905883446</v>
      </c>
      <c r="N1184" s="896">
        <f t="shared" si="298"/>
        <v>2409772.5133022121</v>
      </c>
      <c r="O1184" s="896">
        <f>SUM(O1173:O1183)</f>
        <v>131631.27719676026</v>
      </c>
      <c r="P1184" s="896">
        <f t="shared" si="298"/>
        <v>67300.001663012808</v>
      </c>
      <c r="Q1184" s="896">
        <f t="shared" si="298"/>
        <v>533688.89720402774</v>
      </c>
      <c r="R1184" s="896">
        <f>SUM(R1173:R1183)</f>
        <v>3613.0677866034262</v>
      </c>
      <c r="S1184" s="896">
        <f>SUM(S1173:S1183)</f>
        <v>53236.441059334698</v>
      </c>
      <c r="T1184" s="252"/>
      <c r="U1184" s="22">
        <f t="shared" si="297"/>
        <v>57057627.600000001</v>
      </c>
      <c r="V1184" s="67"/>
      <c r="W1184" s="1300" t="b">
        <f>' WP II-I-1.4'!$L$1186=U1184</f>
        <v>1</v>
      </c>
      <c r="X1184" s="370">
        <f t="shared" si="288"/>
        <v>0</v>
      </c>
    </row>
    <row r="1185" spans="1:24" ht="15" thickBot="1">
      <c r="A1185" s="47"/>
      <c r="B1185" s="17">
        <f t="shared" si="296"/>
        <v>15</v>
      </c>
      <c r="C1185" s="1"/>
      <c r="D1185" s="1"/>
      <c r="E1185" s="17"/>
      <c r="F1185" s="19"/>
      <c r="G1185" s="17"/>
      <c r="H1185" s="17"/>
      <c r="I1185" s="17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7"/>
      <c r="U1185" s="24"/>
      <c r="V1185" s="67"/>
      <c r="X1185" s="370">
        <f t="shared" si="288"/>
        <v>0</v>
      </c>
    </row>
    <row r="1186" spans="1:24" ht="15.75" thickBot="1">
      <c r="A1186" s="47"/>
      <c r="B1186" s="17">
        <f t="shared" si="296"/>
        <v>16</v>
      </c>
      <c r="C1186" s="284" t="s">
        <v>727</v>
      </c>
      <c r="D1186" s="316"/>
      <c r="E1186" s="316" t="s">
        <v>335</v>
      </c>
      <c r="F1186" s="255">
        <f>+F1184</f>
        <v>57057627.599999994</v>
      </c>
      <c r="G1186" s="316"/>
      <c r="H1186" s="444"/>
      <c r="I1186" s="1061"/>
      <c r="J1186" s="446">
        <f t="shared" si="299" ref="J1186:Q1186">+J1184</f>
        <v>36873130.591759935</v>
      </c>
      <c r="K1186" s="903">
        <f t="shared" si="299"/>
        <v>2417394.4998616055</v>
      </c>
      <c r="L1186" s="903">
        <f t="shared" si="299"/>
        <v>14530138.192260621</v>
      </c>
      <c r="M1186" s="903">
        <f t="shared" si="299"/>
        <v>37722.117905883446</v>
      </c>
      <c r="N1186" s="903">
        <f t="shared" si="299"/>
        <v>2409772.5133022121</v>
      </c>
      <c r="O1186" s="903">
        <f>+O1184</f>
        <v>131631.27719676026</v>
      </c>
      <c r="P1186" s="903">
        <f t="shared" si="299"/>
        <v>67300.001663012808</v>
      </c>
      <c r="Q1186" s="903">
        <f t="shared" si="299"/>
        <v>533688.89720402774</v>
      </c>
      <c r="R1186" s="903">
        <f>+R1184</f>
        <v>3613.0677866034262</v>
      </c>
      <c r="S1186" s="380">
        <f>+S1184</f>
        <v>53236.441059334698</v>
      </c>
      <c r="T1186" s="444"/>
      <c r="U1186" s="256">
        <f>SUM(I1186:T1186)</f>
        <v>57057627.600000001</v>
      </c>
      <c r="V1186" s="67"/>
      <c r="W1186" s="1300" t="b">
        <f>' WP II-I-1.4'!$L$1188=U1186</f>
        <v>1</v>
      </c>
      <c r="X1186" s="370">
        <f t="shared" si="288"/>
        <v>0</v>
      </c>
    </row>
    <row r="1187" spans="1:24" ht="15" thickBot="1">
      <c r="A1187" s="47"/>
      <c r="B1187" s="17">
        <f t="shared" si="296"/>
        <v>17</v>
      </c>
      <c r="C1187" s="67"/>
      <c r="D1187" s="67"/>
      <c r="E1187" s="67"/>
      <c r="F1187" s="67"/>
      <c r="G1187" s="67"/>
      <c r="H1187" s="67"/>
      <c r="I1187" s="67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67"/>
      <c r="U1187" s="67"/>
      <c r="V1187" s="67"/>
      <c r="X1187" s="370">
        <f t="shared" si="288"/>
        <v>0</v>
      </c>
    </row>
    <row r="1188" spans="1:24" ht="15.75" thickBot="1">
      <c r="A1188" s="159"/>
      <c r="B1188" s="17">
        <f t="shared" si="296"/>
        <v>18</v>
      </c>
      <c r="C1188" s="284" t="s">
        <v>511</v>
      </c>
      <c r="D1188" s="316"/>
      <c r="E1188" s="316"/>
      <c r="F1188" s="255">
        <f>F599+F1154</f>
        <v>4322572643.3927069</v>
      </c>
      <c r="G1188" s="316"/>
      <c r="H1188" s="444"/>
      <c r="I1188" s="1061"/>
      <c r="J1188" s="446">
        <f t="shared" si="300" ref="J1188:Q1188">J599+J1154</f>
        <v>2172322414.3097925</v>
      </c>
      <c r="K1188" s="903">
        <f t="shared" si="300"/>
        <v>90420922.012329891</v>
      </c>
      <c r="L1188" s="903">
        <f t="shared" si="300"/>
        <v>1465488550.4540532</v>
      </c>
      <c r="M1188" s="903">
        <f t="shared" si="300"/>
        <v>1656582.6472519455</v>
      </c>
      <c r="N1188" s="903">
        <f t="shared" si="300"/>
        <v>298216696.39593166</v>
      </c>
      <c r="O1188" s="903">
        <f>O599+O1154</f>
        <v>59781350.714293331</v>
      </c>
      <c r="P1188" s="903">
        <f t="shared" si="300"/>
        <v>164443760.99238187</v>
      </c>
      <c r="Q1188" s="903">
        <f t="shared" si="300"/>
        <v>61844329.201286063</v>
      </c>
      <c r="R1188" s="903">
        <f>R599+R1154</f>
        <v>1577067.3906258547</v>
      </c>
      <c r="S1188" s="380">
        <f>S599+S1154</f>
        <v>6820969.2747599166</v>
      </c>
      <c r="T1188" s="444"/>
      <c r="U1188" s="256">
        <f>SUM(I1188:T1188)</f>
        <v>4322572643.3927069</v>
      </c>
      <c r="V1188" s="129"/>
      <c r="W1188" s="1300" t="b">
        <f>' WP II-I-1.4'!$L$1190=U1188</f>
        <v>1</v>
      </c>
      <c r="X1188" s="370">
        <f t="shared" si="288"/>
        <v>0</v>
      </c>
    </row>
    <row r="1189" spans="1:24" ht="15" thickBot="1">
      <c r="A1189" s="47"/>
      <c r="B1189" s="17">
        <f t="shared" si="296"/>
        <v>19</v>
      </c>
      <c r="C1189" s="67"/>
      <c r="D1189" s="67"/>
      <c r="E1189" s="67"/>
      <c r="F1189" s="67"/>
      <c r="G1189" s="67"/>
      <c r="H1189" s="67"/>
      <c r="I1189" s="67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67"/>
      <c r="U1189" s="67"/>
      <c r="V1189" s="67"/>
      <c r="X1189" s="370">
        <f t="shared" si="288"/>
        <v>0</v>
      </c>
    </row>
    <row r="1190" spans="1:24" ht="15.75" thickBot="1">
      <c r="A1190" s="159"/>
      <c r="B1190" s="17">
        <f t="shared" si="296"/>
        <v>20</v>
      </c>
      <c r="C1190" s="284" t="s">
        <v>728</v>
      </c>
      <c r="D1190" s="316"/>
      <c r="E1190" s="316"/>
      <c r="F1190" s="255">
        <f>F1188-F1186</f>
        <v>4265515015.792707</v>
      </c>
      <c r="G1190" s="316"/>
      <c r="H1190" s="444"/>
      <c r="I1190" s="1061"/>
      <c r="J1190" s="446">
        <f t="shared" si="301" ref="J1190:Q1190">J1188-J1186</f>
        <v>2135449283.7180326</v>
      </c>
      <c r="K1190" s="903">
        <f t="shared" si="301"/>
        <v>88003527.512468278</v>
      </c>
      <c r="L1190" s="903">
        <f t="shared" si="301"/>
        <v>1450958412.2617927</v>
      </c>
      <c r="M1190" s="903">
        <f t="shared" si="301"/>
        <v>1618860.5293460621</v>
      </c>
      <c r="N1190" s="903">
        <f t="shared" si="301"/>
        <v>295806923.88262945</v>
      </c>
      <c r="O1190" s="903">
        <f>O1188-O1186</f>
        <v>59649719.437096573</v>
      </c>
      <c r="P1190" s="903">
        <f t="shared" si="301"/>
        <v>164376460.99071887</v>
      </c>
      <c r="Q1190" s="903">
        <f t="shared" si="301"/>
        <v>61310640.304082036</v>
      </c>
      <c r="R1190" s="903">
        <f>R1188-R1186</f>
        <v>1573454.3228392513</v>
      </c>
      <c r="S1190" s="380">
        <f>S1188-S1186</f>
        <v>6767732.8337005815</v>
      </c>
      <c r="T1190" s="444"/>
      <c r="U1190" s="256">
        <f>SUM(I1190:T1190)</f>
        <v>4265515015.792706</v>
      </c>
      <c r="V1190" s="129"/>
      <c r="W1190" s="1300" t="b">
        <f>' WP II-I-1.4'!$L$1192=U1190</f>
        <v>1</v>
      </c>
      <c r="X1190" s="370">
        <f t="shared" si="288"/>
        <v>0</v>
      </c>
    </row>
    <row r="1191" spans="1:24" ht="15" thickBot="1">
      <c r="A1191" s="47"/>
      <c r="B1191" s="17">
        <f t="shared" si="296"/>
        <v>21</v>
      </c>
      <c r="C1191" s="67"/>
      <c r="D1191" s="67"/>
      <c r="E1191" s="67"/>
      <c r="F1191" s="67"/>
      <c r="G1191" s="67"/>
      <c r="H1191" s="67"/>
      <c r="I1191" s="67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67"/>
      <c r="U1191" s="67"/>
      <c r="V1191" s="67"/>
      <c r="X1191" s="370">
        <f t="shared" si="288"/>
        <v>0</v>
      </c>
    </row>
    <row r="1192" spans="1:25" ht="15">
      <c r="A1192" s="159"/>
      <c r="B1192" s="17">
        <f t="shared" si="296"/>
        <v>22</v>
      </c>
      <c r="C1192" s="319" t="s">
        <v>1389</v>
      </c>
      <c r="D1192" s="305"/>
      <c r="E1192" s="305"/>
      <c r="F1192" s="306">
        <f>F1188-F622-'II-I-DIST'!F753*(0.727923)</f>
        <v>2668403996.1786718</v>
      </c>
      <c r="G1192" s="305"/>
      <c r="H1192" s="437"/>
      <c r="I1192" s="438"/>
      <c r="J1192" s="908">
        <f>J1188-J622-'II-I-DIST'!J753*(0.727923)</f>
        <v>1413309455.5579836</v>
      </c>
      <c r="K1192" s="908">
        <f>K1188-K622-'II-I-DIST'!K753*(0.727923)</f>
        <v>69194344.135670274</v>
      </c>
      <c r="L1192" s="908">
        <f>L1188-L622-'II-I-DIST'!L753*(0.727923)</f>
        <v>913752871.01299977</v>
      </c>
      <c r="M1192" s="908">
        <f>M1188-M622-'II-I-DIST'!M753*(0.727923)</f>
        <v>1436763.4047178391</v>
      </c>
      <c r="N1192" s="908">
        <f>N1188-N622-'II-I-DIST'!N753*(0.727923)</f>
        <v>159532074.65534213</v>
      </c>
      <c r="O1192" s="908">
        <f>O1188-O622-'II-I-DIST'!O753*(0.727923)</f>
        <v>14374080.151255883</v>
      </c>
      <c r="P1192" s="908">
        <f>P1188-P622-'II-I-DIST'!P753*(0.727923)</f>
        <v>26588880.736112095</v>
      </c>
      <c r="Q1192" s="908">
        <f>Q1188-Q622-'II-I-DIST'!Q753*(0.727923)</f>
        <v>61820696.28733062</v>
      </c>
      <c r="R1192" s="908">
        <f>R1188-R622-'II-I-DIST'!R753*(0.727923)</f>
        <v>1576462.5353050651</v>
      </c>
      <c r="S1192" s="908">
        <f>S1188-S622-'II-I-DIST'!S753*(0.727923)</f>
        <v>6818367.7019535303</v>
      </c>
      <c r="T1192" s="438"/>
      <c r="U1192" s="307">
        <f>SUM(I1192:T1192)</f>
        <v>2668403996.1786709</v>
      </c>
      <c r="V1192" s="129"/>
      <c r="W1192" s="1300">
        <f>' WP II-I-1.4'!$L$1194-U1192</f>
        <v>0.2972254753112793</v>
      </c>
      <c r="X1192" s="370">
        <f t="shared" si="288"/>
        <v>0</v>
      </c>
      <c r="Y1192" s="1120"/>
    </row>
    <row r="1193" spans="1:25" ht="14.25">
      <c r="A1193" s="47"/>
      <c r="B1193" s="17">
        <f t="shared" si="296"/>
        <v>23</v>
      </c>
      <c r="C1193" s="389"/>
      <c r="D1193" s="390"/>
      <c r="E1193" s="390"/>
      <c r="F1193" s="390"/>
      <c r="G1193" s="390"/>
      <c r="H1193" s="301"/>
      <c r="I1193" s="469"/>
      <c r="J1193" s="390"/>
      <c r="K1193" s="390"/>
      <c r="L1193" s="390"/>
      <c r="M1193" s="390"/>
      <c r="N1193" s="390"/>
      <c r="O1193" s="390"/>
      <c r="P1193" s="390"/>
      <c r="Q1193" s="390"/>
      <c r="R1193" s="390"/>
      <c r="S1193" s="390"/>
      <c r="T1193" s="469"/>
      <c r="U1193" s="301"/>
      <c r="V1193" s="67"/>
      <c r="X1193" s="370">
        <f>U1193-F1193</f>
        <v>0</v>
      </c>
      <c r="Y1193" s="1120"/>
    </row>
    <row r="1194" spans="1:25" ht="15.75" thickBot="1">
      <c r="A1194" s="159"/>
      <c r="B1194" s="17">
        <f t="shared" si="296"/>
        <v>24</v>
      </c>
      <c r="C1194" s="326" t="s">
        <v>1390</v>
      </c>
      <c r="D1194" s="311"/>
      <c r="E1194" s="311"/>
      <c r="F1194" s="312">
        <f>F1192-F1186</f>
        <v>2611346368.5786719</v>
      </c>
      <c r="G1194" s="311"/>
      <c r="H1194" s="440"/>
      <c r="I1194" s="441"/>
      <c r="J1194" s="312">
        <f>J1192-J1186</f>
        <v>1376436324.9662237</v>
      </c>
      <c r="K1194" s="312">
        <f>K1192-K1186</f>
        <v>66776949.635808669</v>
      </c>
      <c r="L1194" s="312">
        <f>L1192-L1186</f>
        <v>899222732.82073915</v>
      </c>
      <c r="M1194" s="312">
        <f>M1192-M1186</f>
        <v>1399041.2868119557</v>
      </c>
      <c r="N1194" s="312">
        <f t="shared" si="302" ref="N1194:S1194">N1192-N1186</f>
        <v>157122302.14203993</v>
      </c>
      <c r="O1194" s="312">
        <f t="shared" si="302"/>
        <v>14242448.874059124</v>
      </c>
      <c r="P1194" s="312">
        <f t="shared" si="302"/>
        <v>26521580.734449081</v>
      </c>
      <c r="Q1194" s="312">
        <f t="shared" si="302"/>
        <v>61287007.390126593</v>
      </c>
      <c r="R1194" s="312">
        <f t="shared" si="302"/>
        <v>1572849.4675184616</v>
      </c>
      <c r="S1194" s="312">
        <f t="shared" si="302"/>
        <v>6765131.2608941952</v>
      </c>
      <c r="T1194" s="441"/>
      <c r="U1194" s="313">
        <f>SUM(I1194:T1194)</f>
        <v>2611346368.5786705</v>
      </c>
      <c r="V1194" s="129"/>
      <c r="W1194" s="1300">
        <f>' WP II-I-1.4'!$L$1196-U1194</f>
        <v>0.2972264289855957</v>
      </c>
      <c r="X1194" s="370">
        <f>U1194-F1194</f>
        <v>0</v>
      </c>
      <c r="Y1194" s="1120"/>
    </row>
    <row r="1195" spans="1:25" ht="14.25">
      <c r="A1195" s="386"/>
      <c r="B1195" s="17"/>
      <c r="U1195" s="233"/>
      <c r="Y1195" s="1120"/>
    </row>
    <row r="1196" spans="1:21" ht="14.25">
      <c r="A1196" s="386"/>
      <c r="B1196" s="17"/>
      <c r="U1196" s="233"/>
    </row>
    <row r="1197" spans="1:21" ht="14.25">
      <c r="A1197" s="386"/>
      <c r="B1197" s="17"/>
      <c r="C1197" s="67"/>
      <c r="F1197" s="392"/>
      <c r="U1197" s="392"/>
    </row>
    <row r="1198" spans="1:21" ht="14.25">
      <c r="A1198" s="386"/>
      <c r="H1198" s="370"/>
      <c r="U1198" s="233"/>
    </row>
    <row r="1199" spans="1:1" ht="14.25">
      <c r="A1199" s="386"/>
    </row>
    <row r="1200" spans="1:1" ht="14.25">
      <c r="A1200" s="386"/>
    </row>
  </sheetData>
  <pageMargins left="0.5" right="0.5" top="1.5" bottom="0.75" header="1.5" footer="0.5"/>
  <pageSetup orientation="landscape" pageOrder="overThenDown" scale="49" r:id="rId1"/>
  <headerFooter alignWithMargins="0">
    <oddHeader xml:space="preserve">&amp;RSchedule II-I-1-TOT
Page &amp;P of &amp;N
</oddHeader>
  </headerFooter>
  <rowBreaks count="32" manualBreakCount="32">
    <brk id="40" min="1" max="21" man="1"/>
    <brk id="90" min="1" max="21" man="1"/>
    <brk id="118" min="1" max="21" man="1"/>
    <brk id="164" min="1" max="21" man="1"/>
    <brk id="195" min="1" max="21" man="1"/>
    <brk id="219" min="1" max="21" man="1"/>
    <brk id="238" min="1" max="21" man="1"/>
    <brk id="267" min="1" max="21" man="1"/>
    <brk id="316" min="1" max="21" man="1"/>
    <brk id="355" min="1" max="21" man="1"/>
    <brk id="375" min="1" max="21" man="1"/>
    <brk id="400" min="1" max="21" man="1"/>
    <brk id="422" min="1" max="21" man="1"/>
    <brk id="442" min="1" max="21" man="1"/>
    <brk id="465" min="1" max="21" man="1"/>
    <brk id="488" min="1" max="21" man="1"/>
    <brk id="552" min="1" max="21" man="1"/>
    <brk id="600" min="1" max="21" man="1"/>
    <brk id="641" min="1" max="21" man="1"/>
    <brk id="687" min="1" max="21" man="1"/>
    <brk id="731" min="1" max="21" man="1"/>
    <brk id="765" min="1" max="21" man="1"/>
    <brk id="805" min="1" max="21" man="1"/>
    <brk id="852" min="1" max="21" man="1"/>
    <brk id="902" min="1" max="21" man="1"/>
    <brk id="935" min="1" max="21" man="1"/>
    <brk id="956" min="1" max="21" man="1"/>
    <brk id="1005" min="1" max="21" man="1"/>
    <brk id="1041" min="1" max="21" man="1"/>
    <brk id="1073" min="1" max="21" man="1"/>
    <brk id="1131" min="1" max="21" man="1"/>
    <brk id="1158" min="1" max="21" man="1"/>
  </rowBreaks>
  <colBreaks count="1" manualBreakCount="1">
    <brk id="12" min="1" max="117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2"/>
  <dimension ref="A1:S139"/>
  <sheetViews>
    <sheetView view="pageBreakPreview" zoomScale="75" zoomScaleNormal="75" zoomScaleSheetLayoutView="75" workbookViewId="0" topLeftCell="B3">
      <selection pane="topLeft" activeCell="C9" sqref="C9"/>
    </sheetView>
  </sheetViews>
  <sheetFormatPr defaultRowHeight="14.25"/>
  <cols>
    <col min="1" max="1" width="1.5" customWidth="1"/>
    <col min="2" max="2" width="4.5" bestFit="1" customWidth="1"/>
    <col min="3" max="3" width="46.25" customWidth="1"/>
    <col min="4" max="4" width="14.75" bestFit="1" customWidth="1"/>
    <col min="5" max="5" width="1.5" customWidth="1"/>
    <col min="6" max="6" width="14.125" bestFit="1" customWidth="1"/>
    <col min="7" max="7" width="12.5" bestFit="1" customWidth="1"/>
    <col min="8" max="8" width="14.125" bestFit="1" customWidth="1"/>
    <col min="9" max="9" width="13.375" customWidth="1"/>
    <col min="10" max="10" width="12.5" bestFit="1" customWidth="1"/>
    <col min="11" max="11" width="15.125" customWidth="1"/>
    <col min="12" max="12" width="12.125" bestFit="1" customWidth="1"/>
    <col min="13" max="13" width="12.5" bestFit="1" customWidth="1"/>
    <col min="14" max="14" width="12.5" customWidth="1"/>
    <col min="15" max="15" width="16.5" customWidth="1"/>
    <col min="16" max="16" width="1.125" customWidth="1"/>
    <col min="17" max="17" width="18" customWidth="1"/>
    <col min="18" max="18" width="14.125" bestFit="1" customWidth="1"/>
    <col min="20" max="20" width="9.75" bestFit="1" customWidth="1"/>
  </cols>
  <sheetData>
    <row r="1" spans="1:17" ht="14.25">
      <c r="A1" s="67"/>
      <c r="B1" s="67"/>
      <c r="C1" s="67"/>
      <c r="D1" s="67"/>
      <c r="E1" s="67"/>
      <c r="F1" s="68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15">
      <c r="A2" s="67"/>
      <c r="B2" s="1245"/>
      <c r="C2" s="67"/>
      <c r="D2" s="67"/>
      <c r="E2" s="67"/>
      <c r="F2" s="68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ht="15">
      <c r="A3" s="67"/>
      <c r="B3" s="3" t="str">
        <f>'WP II-I-1.1'!B3</f>
        <v>2022 RATE CASE</v>
      </c>
      <c r="C3" s="4"/>
      <c r="D3" s="7"/>
      <c r="E3" s="7"/>
      <c r="F3" s="130"/>
      <c r="G3" s="5"/>
      <c r="H3" s="153"/>
      <c r="I3" s="5"/>
      <c r="J3" s="7"/>
      <c r="K3" s="5"/>
      <c r="L3" s="4"/>
      <c r="M3" s="7"/>
      <c r="N3" s="7"/>
      <c r="O3" s="7"/>
      <c r="P3" s="7"/>
      <c r="Q3" s="67"/>
    </row>
    <row r="4" spans="1:17" ht="15">
      <c r="A4" s="67"/>
      <c r="B4" s="3" t="str">
        <f>'WP II-I-1.1'!B4</f>
        <v>ONCOR ELECTRIC DELIVERY COMPANY LLC</v>
      </c>
      <c r="C4" s="4"/>
      <c r="D4" s="7"/>
      <c r="E4" s="7"/>
      <c r="F4" s="130"/>
      <c r="G4" s="130"/>
      <c r="H4" s="153"/>
      <c r="I4" s="5"/>
      <c r="J4" s="4"/>
      <c r="K4" s="5"/>
      <c r="L4" s="4"/>
      <c r="M4" s="4"/>
      <c r="N4" s="4"/>
      <c r="O4" s="4"/>
      <c r="P4" s="4"/>
      <c r="Q4" s="67"/>
    </row>
    <row r="5" spans="1:17" ht="15">
      <c r="A5" s="67"/>
      <c r="B5" s="3" t="str">
        <f>'WP II-I-1.1'!B5</f>
        <v>II-I-1:  CLASS REVENUE REQUIREMENT ANALYSIS</v>
      </c>
      <c r="C5" s="3"/>
      <c r="D5" s="7"/>
      <c r="E5" s="7"/>
      <c r="F5" s="130"/>
      <c r="G5" s="130"/>
      <c r="H5" s="153"/>
      <c r="I5" s="130"/>
      <c r="J5" s="7"/>
      <c r="K5" s="130"/>
      <c r="L5" s="7"/>
      <c r="M5" s="7"/>
      <c r="N5" s="7"/>
      <c r="O5" s="7"/>
      <c r="P5" s="7"/>
      <c r="Q5" s="67"/>
    </row>
    <row r="6" spans="1:17" ht="15">
      <c r="A6" s="67"/>
      <c r="B6" s="3" t="str">
        <f>'WP II-I-1.1'!B6</f>
        <v>TEST YEAR ENDING 12/31/2021</v>
      </c>
      <c r="C6" s="3"/>
      <c r="D6" s="7"/>
      <c r="E6" s="7"/>
      <c r="F6" s="130"/>
      <c r="G6" s="130"/>
      <c r="H6" s="135"/>
      <c r="I6" s="130"/>
      <c r="J6" s="7"/>
      <c r="K6" s="130"/>
      <c r="L6" s="7"/>
      <c r="M6" s="7"/>
      <c r="N6" s="7"/>
      <c r="O6" s="7"/>
      <c r="P6" s="7"/>
      <c r="Q6" s="67"/>
    </row>
    <row r="7" spans="1:17" ht="15">
      <c r="A7" s="67"/>
      <c r="B7" s="1498" t="str">
        <f>'WP II-I-1.1'!B7</f>
        <v>SPONSOR:  MATTHEW A. TROXLE</v>
      </c>
      <c r="C7" s="1498"/>
      <c r="D7" s="1498"/>
      <c r="E7" s="1498"/>
      <c r="F7" s="1498"/>
      <c r="G7" s="1498"/>
      <c r="H7" s="1498"/>
      <c r="I7" s="1498"/>
      <c r="J7" s="1498"/>
      <c r="K7" s="1498"/>
      <c r="L7" s="1498"/>
      <c r="M7" s="1498"/>
      <c r="N7" s="1498"/>
      <c r="O7" s="1498"/>
      <c r="P7" s="67"/>
      <c r="Q7" s="67"/>
    </row>
    <row r="8" spans="1:17" ht="15">
      <c r="A8" s="67"/>
      <c r="B8" s="3"/>
      <c r="C8" s="3"/>
      <c r="D8" s="7"/>
      <c r="E8" s="7"/>
      <c r="F8" s="130"/>
      <c r="G8" s="130"/>
      <c r="H8" s="135"/>
      <c r="I8" s="130"/>
      <c r="J8" s="7"/>
      <c r="K8" s="130"/>
      <c r="L8" s="7"/>
      <c r="M8" s="7"/>
      <c r="N8" s="7"/>
      <c r="O8" s="7"/>
      <c r="P8" s="7"/>
      <c r="Q8" s="67"/>
    </row>
    <row r="9" spans="1:17" ht="20.25">
      <c r="A9" s="67"/>
      <c r="B9" s="1241"/>
      <c r="C9" s="12"/>
      <c r="D9" s="12"/>
      <c r="E9" s="12"/>
      <c r="F9" s="68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spans="1:17" ht="15.75">
      <c r="A10" s="67"/>
      <c r="B10" s="131" t="s">
        <v>968</v>
      </c>
      <c r="C10" s="4"/>
      <c r="D10" s="4"/>
      <c r="E10" s="4"/>
      <c r="F10" s="7"/>
      <c r="G10" s="7"/>
      <c r="H10" s="137"/>
      <c r="I10" s="7"/>
      <c r="J10" s="7"/>
      <c r="K10" s="7"/>
      <c r="L10" s="7"/>
      <c r="M10" s="7"/>
      <c r="N10" s="7"/>
      <c r="O10" s="7"/>
      <c r="P10" s="7"/>
      <c r="Q10" s="67"/>
    </row>
    <row r="11" spans="1:17" ht="15" thickBot="1">
      <c r="A11" s="12"/>
      <c r="B11" s="12"/>
      <c r="C11" s="12"/>
      <c r="D11" s="12"/>
      <c r="E11" s="12"/>
      <c r="F11" s="11"/>
      <c r="G11" s="486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4.25">
      <c r="A12" s="67"/>
      <c r="B12" s="95"/>
      <c r="C12" s="96"/>
      <c r="D12" s="95"/>
      <c r="E12" s="95"/>
      <c r="F12" s="96"/>
      <c r="G12" s="96"/>
      <c r="H12" s="96"/>
      <c r="I12" s="96"/>
      <c r="J12" s="96"/>
      <c r="K12" s="96"/>
      <c r="L12" s="96"/>
      <c r="M12" s="139"/>
      <c r="N12" s="139"/>
      <c r="O12" s="139"/>
      <c r="P12" s="30"/>
      <c r="Q12" s="487"/>
    </row>
    <row r="13" spans="1:17" ht="14.25">
      <c r="A13" s="67"/>
      <c r="B13" s="97" t="s">
        <v>406</v>
      </c>
      <c r="C13" s="97" t="s">
        <v>4</v>
      </c>
      <c r="D13" s="97" t="s">
        <v>10</v>
      </c>
      <c r="E13" s="97"/>
      <c r="F13" s="97" t="s">
        <v>408</v>
      </c>
      <c r="G13" s="97" t="s">
        <v>409</v>
      </c>
      <c r="H13" s="97" t="s">
        <v>409</v>
      </c>
      <c r="I13" s="97" t="s">
        <v>97</v>
      </c>
      <c r="J13" s="97" t="s">
        <v>97</v>
      </c>
      <c r="K13" s="97" t="s">
        <v>410</v>
      </c>
      <c r="L13" s="97" t="s">
        <v>411</v>
      </c>
      <c r="M13" s="97" t="s">
        <v>412</v>
      </c>
      <c r="N13" s="97" t="s">
        <v>407</v>
      </c>
      <c r="O13" s="97" t="s">
        <v>407</v>
      </c>
      <c r="P13" s="17"/>
      <c r="Q13" s="488"/>
    </row>
    <row r="14" spans="1:17" ht="14.25">
      <c r="A14" s="67"/>
      <c r="B14" s="97"/>
      <c r="C14" s="97"/>
      <c r="D14" s="97" t="s">
        <v>413</v>
      </c>
      <c r="E14" s="97"/>
      <c r="F14" s="97"/>
      <c r="G14" s="98" t="s">
        <v>416</v>
      </c>
      <c r="H14" s="98" t="s">
        <v>417</v>
      </c>
      <c r="I14" s="98" t="s">
        <v>416</v>
      </c>
      <c r="J14" s="98" t="s">
        <v>417</v>
      </c>
      <c r="K14" s="98" t="s">
        <v>414</v>
      </c>
      <c r="L14" s="97"/>
      <c r="M14" s="97"/>
      <c r="N14" s="97" t="s">
        <v>414</v>
      </c>
      <c r="O14" s="97" t="s">
        <v>415</v>
      </c>
      <c r="P14" s="17"/>
      <c r="Q14" s="488"/>
    </row>
    <row r="15" spans="1:19" ht="15" thickBot="1">
      <c r="A15" s="67"/>
      <c r="B15" s="99"/>
      <c r="C15" s="99" t="s">
        <v>13</v>
      </c>
      <c r="D15" s="99" t="s">
        <v>14</v>
      </c>
      <c r="E15" s="99"/>
      <c r="F15" s="99" t="s">
        <v>15</v>
      </c>
      <c r="G15" s="99" t="s">
        <v>16</v>
      </c>
      <c r="H15" s="99" t="s">
        <v>17</v>
      </c>
      <c r="I15" s="99" t="s">
        <v>18</v>
      </c>
      <c r="J15" s="99" t="s">
        <v>19</v>
      </c>
      <c r="K15" s="99" t="s">
        <v>20</v>
      </c>
      <c r="L15" s="99" t="s">
        <v>21</v>
      </c>
      <c r="M15" s="99" t="s">
        <v>22</v>
      </c>
      <c r="N15" s="99" t="s">
        <v>418</v>
      </c>
      <c r="O15" s="99" t="s">
        <v>419</v>
      </c>
      <c r="P15" s="17"/>
      <c r="Q15" s="1243" t="s">
        <v>1298</v>
      </c>
      <c r="S15" s="728" t="s">
        <v>1001</v>
      </c>
    </row>
    <row r="16" spans="1:17" ht="14.25">
      <c r="A16" s="47"/>
      <c r="B16" s="100"/>
      <c r="C16" s="140"/>
      <c r="D16" s="140"/>
      <c r="E16" s="140"/>
      <c r="F16" s="315"/>
      <c r="G16" s="289"/>
      <c r="H16" s="289"/>
      <c r="I16" s="289"/>
      <c r="J16" s="289"/>
      <c r="K16" s="289"/>
      <c r="L16" s="289"/>
      <c r="M16" s="289"/>
      <c r="N16" s="19"/>
      <c r="O16" s="19"/>
      <c r="P16" s="19"/>
      <c r="Q16" s="19"/>
    </row>
    <row r="17" spans="1:19" ht="14.25">
      <c r="A17" s="47"/>
      <c r="B17" s="17">
        <f t="shared" si="0" ref="B17:B61">B16+1</f>
        <v>1</v>
      </c>
      <c r="C17" s="875" t="s">
        <v>1391</v>
      </c>
      <c r="D17" s="62">
        <f>SUM(E17:P17)</f>
        <v>896152761.5059644</v>
      </c>
      <c r="E17" s="62"/>
      <c r="F17" s="62">
        <f>'II-I-Total'!J764</f>
        <v>483153404.90592462</v>
      </c>
      <c r="G17" s="62">
        <f>'II-I-Total'!K764</f>
        <v>25581806.724642023</v>
      </c>
      <c r="H17" s="62">
        <f>'II-I-Total'!L764</f>
        <v>293075041.6751821</v>
      </c>
      <c r="I17" s="62">
        <f>'II-I-Total'!M764</f>
        <v>708892.88707676425</v>
      </c>
      <c r="J17" s="62">
        <f>'II-I-Total'!N764</f>
        <v>58455482.81455873</v>
      </c>
      <c r="K17" s="62">
        <f>'II-I-Total'!O764</f>
        <v>4509800.3083871379</v>
      </c>
      <c r="L17" s="62">
        <f>'II-I-Total'!P764</f>
        <v>1382339.9401632012</v>
      </c>
      <c r="M17" s="62">
        <f>'II-I-Total'!Q764</f>
        <v>26178262.057097033</v>
      </c>
      <c r="N17" s="62">
        <f>'II-I-Total'!R764</f>
        <v>528824.10686946625</v>
      </c>
      <c r="O17" s="66">
        <f>'II-I-Total'!S764</f>
        <v>2578906.0860632611</v>
      </c>
      <c r="P17" s="19"/>
      <c r="Q17" s="146">
        <f>IF(' WP II-I-1.4'!L764=D17,TRUE,' WP II-I-1.4'!L764-D17)</f>
        <v>2.384185791015625E-07</v>
      </c>
      <c r="S17" s="370">
        <f>SUM(F17:O17)-D17</f>
        <v>0</v>
      </c>
    </row>
    <row r="18" spans="1:19" ht="16.5">
      <c r="A18" s="47"/>
      <c r="B18" s="17">
        <f t="shared" si="0"/>
        <v>2</v>
      </c>
      <c r="C18" s="90" t="s">
        <v>865</v>
      </c>
      <c r="D18" s="894">
        <f t="shared" si="1" ref="D18:D26">SUM(E18:P18)</f>
        <v>1652522021.4399998</v>
      </c>
      <c r="E18" s="894"/>
      <c r="F18" s="894">
        <f>'II-I-Total'!J622</f>
        <v>758188212.5284481</v>
      </c>
      <c r="G18" s="894">
        <f>'II-I-Total'!K622</f>
        <v>21192617.197626065</v>
      </c>
      <c r="H18" s="894">
        <f>'II-I-Total'!L622</f>
        <v>551175463.58832192</v>
      </c>
      <c r="I18" s="894">
        <f>'II-I-Total'!M622</f>
        <v>219196.03634105407</v>
      </c>
      <c r="J18" s="894">
        <f>'II-I-Total'!N622</f>
        <v>138570539.70599067</v>
      </c>
      <c r="K18" s="894">
        <f>'II-I-Total'!O622</f>
        <v>45384309.083489172</v>
      </c>
      <c r="L18" s="894">
        <f>'II-I-Total'!P622</f>
        <v>137791683.29978278</v>
      </c>
      <c r="M18" s="894">
        <f>'II-I-Total'!Q622</f>
        <v>0</v>
      </c>
      <c r="N18" s="894">
        <f>'II-I-Total'!R622</f>
        <v>0</v>
      </c>
      <c r="O18" s="899">
        <f>'II-I-Total'!S622</f>
        <v>0</v>
      </c>
      <c r="P18" s="84"/>
      <c r="Q18" s="146" t="b">
        <f>IF(('WP II-I-1.1'!G199+'WP II-I-1.1'!H199+'WP II-I-1.1'!I199)=D18,TRUE,('WP II-I-1.1'!G199+'WP II-I-1.1'!H199+'WP II-I-1.1'!I199)-D18)</f>
        <v>1</v>
      </c>
      <c r="S18" s="370">
        <f t="shared" si="2" ref="S18:S82">SUM(F18:O18)-D18</f>
        <v>0</v>
      </c>
    </row>
    <row r="19" spans="1:19" s="386" customFormat="1" ht="14.25" customHeight="1">
      <c r="A19" s="47"/>
      <c r="B19" s="17">
        <f t="shared" si="0"/>
        <v>3</v>
      </c>
      <c r="C19" s="773" t="s">
        <v>1392</v>
      </c>
      <c r="D19" s="894">
        <f t="shared" si="1"/>
        <v>1646625.77403555</v>
      </c>
      <c r="E19" s="901"/>
      <c r="F19" s="894">
        <f>'II-I-DIST'!J753*0.727923</f>
        <v>824746.22336069902</v>
      </c>
      <c r="G19" s="894">
        <f>'II-I-DIST'!K753*0.727923</f>
        <v>33960.67903355274</v>
      </c>
      <c r="H19" s="894">
        <f>'II-I-DIST'!L753*0.727923</f>
        <v>560215.85273149016</v>
      </c>
      <c r="I19" s="894">
        <f>'II-I-DIST'!M753*0.727923</f>
        <v>623.20619305211824</v>
      </c>
      <c r="J19" s="894">
        <f>'II-I-DIST'!N753*0.727923</f>
        <v>114082.03459886929</v>
      </c>
      <c r="K19" s="894">
        <f>'II-I-DIST'!O753*0.727923</f>
        <v>22961.479548275718</v>
      </c>
      <c r="L19" s="894">
        <f>'II-I-DIST'!P753*0.727923</f>
        <v>63196.956486994015</v>
      </c>
      <c r="M19" s="894">
        <f>'II-I-DIST'!Q753*0.727923</f>
        <v>23632.913955440974</v>
      </c>
      <c r="N19" s="894">
        <f>'II-I-DIST'!R753*0.727923</f>
        <v>604.85532078952042</v>
      </c>
      <c r="O19" s="894">
        <f>'II-I-DIST'!S753*0.727923</f>
        <v>2601.5728063862907</v>
      </c>
      <c r="P19" s="901"/>
      <c r="Q19" s="146"/>
      <c r="S19" s="839"/>
    </row>
    <row r="20" spans="1:19" ht="15">
      <c r="A20" s="47"/>
      <c r="B20" s="17">
        <f t="shared" si="0"/>
        <v>4</v>
      </c>
      <c r="C20" s="489" t="s">
        <v>866</v>
      </c>
      <c r="D20" s="22">
        <f t="shared" si="1"/>
        <v>2550321408.7199998</v>
      </c>
      <c r="E20" s="22"/>
      <c r="F20" s="22">
        <f>SUM(F17:F19)</f>
        <v>1242166363.6577334</v>
      </c>
      <c r="G20" s="896">
        <f t="shared" si="3" ref="G20:O20">SUM(G17:G19)</f>
        <v>46808384.601301648</v>
      </c>
      <c r="H20" s="896">
        <f t="shared" si="3"/>
        <v>844810721.11623549</v>
      </c>
      <c r="I20" s="896">
        <f t="shared" si="3"/>
        <v>928712.12961087038</v>
      </c>
      <c r="J20" s="896">
        <f t="shared" si="3"/>
        <v>197140104.55514827</v>
      </c>
      <c r="K20" s="896">
        <f t="shared" si="3"/>
        <v>49917070.871424586</v>
      </c>
      <c r="L20" s="896">
        <f t="shared" si="3"/>
        <v>139237220.19643298</v>
      </c>
      <c r="M20" s="896">
        <f t="shared" si="3"/>
        <v>26201894.971052475</v>
      </c>
      <c r="N20" s="896">
        <f t="shared" si="3"/>
        <v>529428.96219025576</v>
      </c>
      <c r="O20" s="490">
        <f t="shared" si="3"/>
        <v>2581507.6588696474</v>
      </c>
      <c r="P20" s="19"/>
      <c r="Q20" s="146">
        <f>'II-I-Total'!$F$18-D20</f>
        <v>0</v>
      </c>
      <c r="S20" s="370">
        <f t="shared" si="2"/>
        <v>0</v>
      </c>
    </row>
    <row r="21" spans="1:19" ht="14.25">
      <c r="A21" s="47"/>
      <c r="B21" s="17">
        <f t="shared" si="0"/>
        <v>5</v>
      </c>
      <c r="C21" s="64" t="s">
        <v>867</v>
      </c>
      <c r="D21" s="19">
        <f t="shared" si="1"/>
        <v>546347839.99000013</v>
      </c>
      <c r="E21" s="19"/>
      <c r="F21" s="19">
        <f>'II-I-Total'!J22</f>
        <v>293773706.03282535</v>
      </c>
      <c r="G21" s="19">
        <f>'II-I-Total'!K22</f>
        <v>17898989.279674497</v>
      </c>
      <c r="H21" s="19">
        <f>'II-I-Total'!L22</f>
        <v>175240361.05862743</v>
      </c>
      <c r="I21" s="19">
        <f>'II-I-Total'!M22</f>
        <v>385591.23445296049</v>
      </c>
      <c r="J21" s="19">
        <f>'II-I-Total'!N22</f>
        <v>29457396.199803971</v>
      </c>
      <c r="K21" s="19">
        <f>'II-I-Total'!O22</f>
        <v>1951234.1505564619</v>
      </c>
      <c r="L21" s="19">
        <f>'II-I-Total'!P22</f>
        <v>869060.78685406793</v>
      </c>
      <c r="M21" s="19">
        <f>'II-I-Total'!Q22</f>
        <v>25252299.387269996</v>
      </c>
      <c r="N21" s="19">
        <f>'II-I-Total'!R22</f>
        <v>232807.75665253677</v>
      </c>
      <c r="O21" s="61">
        <f>'II-I-Total'!S22</f>
        <v>1286394.1032827827</v>
      </c>
      <c r="P21" s="19"/>
      <c r="Q21" s="146" t="b">
        <f>IF(' WP II-I-1.4'!L22=D21,TRUE,' WP II-I-1.4'!L22-D21)</f>
        <v>1</v>
      </c>
      <c r="S21" s="370">
        <f t="shared" si="2"/>
        <v>0</v>
      </c>
    </row>
    <row r="22" spans="1:19" ht="16.5">
      <c r="A22" s="47"/>
      <c r="B22" s="17">
        <f t="shared" si="0"/>
        <v>6</v>
      </c>
      <c r="C22" s="64" t="s">
        <v>868</v>
      </c>
      <c r="D22" s="84">
        <f t="shared" si="1"/>
        <v>460498198.7299999</v>
      </c>
      <c r="E22" s="84"/>
      <c r="F22" s="84">
        <f>'II-I-Total'!J24</f>
        <v>210697996.6051693</v>
      </c>
      <c r="G22" s="84">
        <f>'II-I-Total'!K24</f>
        <v>8641668.9486459792</v>
      </c>
      <c r="H22" s="84">
        <f>'II-I-Total'!L24</f>
        <v>178652944.13622558</v>
      </c>
      <c r="I22" s="84">
        <f>'II-I-Total'!M24</f>
        <v>71539.685166159703</v>
      </c>
      <c r="J22" s="84">
        <f>'II-I-Total'!N24</f>
        <v>28656331.881986994</v>
      </c>
      <c r="K22" s="84">
        <f>'II-I-Total'!O24</f>
        <v>3850802.1869688313</v>
      </c>
      <c r="L22" s="84">
        <f>'II-I-Total'!P24</f>
        <v>22791528.856317755</v>
      </c>
      <c r="M22" s="84">
        <f>'II-I-Total'!Q24</f>
        <v>5993922.560486896</v>
      </c>
      <c r="N22" s="84">
        <f>'II-I-Total'!R24</f>
        <v>330064.78976667323</v>
      </c>
      <c r="O22" s="79">
        <f>'II-I-Total'!S24</f>
        <v>811399.07926575246</v>
      </c>
      <c r="P22" s="84"/>
      <c r="Q22" s="146" t="b">
        <f>IF(' WP II-I-1.4'!L24=D22,TRUE,' WP II-I-1.4'!L24-D22)</f>
        <v>1</v>
      </c>
      <c r="S22" s="370">
        <f t="shared" si="2"/>
        <v>0</v>
      </c>
    </row>
    <row r="23" spans="1:19" ht="15">
      <c r="A23" s="47"/>
      <c r="B23" s="17">
        <f t="shared" si="0"/>
        <v>7</v>
      </c>
      <c r="C23" s="491" t="s">
        <v>491</v>
      </c>
      <c r="D23" s="22">
        <f t="shared" si="1"/>
        <v>3557167447.4399996</v>
      </c>
      <c r="E23" s="22"/>
      <c r="F23" s="22">
        <f t="shared" si="4" ref="F23:M23">SUM(F20:F22)</f>
        <v>1746638066.2957282</v>
      </c>
      <c r="G23" s="22">
        <f t="shared" si="4"/>
        <v>73349042.82962212</v>
      </c>
      <c r="H23" s="22">
        <f t="shared" si="4"/>
        <v>1198704026.3110886</v>
      </c>
      <c r="I23" s="22">
        <f t="shared" si="4"/>
        <v>1385843.0492299905</v>
      </c>
      <c r="J23" s="22">
        <f t="shared" si="4"/>
        <v>255253832.63693926</v>
      </c>
      <c r="K23" s="22">
        <f>SUM(K20:K22)</f>
        <v>55719107.208949879</v>
      </c>
      <c r="L23" s="22">
        <f t="shared" si="4"/>
        <v>162897809.8396048</v>
      </c>
      <c r="M23" s="22">
        <f t="shared" si="4"/>
        <v>57448116.918809369</v>
      </c>
      <c r="N23" s="22">
        <f>SUM(N20:N22)</f>
        <v>1092301.5086094658</v>
      </c>
      <c r="O23" s="490">
        <f>SUM(O20:O22)</f>
        <v>4679300.8414181825</v>
      </c>
      <c r="P23" s="19"/>
      <c r="Q23" s="146"/>
      <c r="S23" s="370">
        <f t="shared" si="2"/>
        <v>0</v>
      </c>
    </row>
    <row r="24" spans="1:19" ht="14.25">
      <c r="A24" s="47"/>
      <c r="B24" s="17">
        <f t="shared" si="0"/>
        <v>8</v>
      </c>
      <c r="C24" s="64" t="s">
        <v>869</v>
      </c>
      <c r="D24" s="19">
        <f t="shared" si="1"/>
        <v>683000510.00813818</v>
      </c>
      <c r="E24" s="19"/>
      <c r="F24" s="19">
        <f>'II-I-Total'!J27</f>
        <v>379834069.69047773</v>
      </c>
      <c r="G24" s="19">
        <f>'II-I-Total'!K27</f>
        <v>15300982.107665461</v>
      </c>
      <c r="H24" s="19">
        <f>'II-I-Total'!L27</f>
        <v>237996209.06867737</v>
      </c>
      <c r="I24" s="19">
        <f>'II-I-Total'!M27</f>
        <v>245203.69598301943</v>
      </c>
      <c r="J24" s="19">
        <f>'II-I-Total'!N27</f>
        <v>38356622.668801248</v>
      </c>
      <c r="K24" s="19">
        <f>'II-I-Total'!O27</f>
        <v>3620199.2762538223</v>
      </c>
      <c r="L24" s="19">
        <f>'II-I-Total'!P27</f>
        <v>1383463.2660256971</v>
      </c>
      <c r="M24" s="19">
        <f>'II-I-Total'!Q27</f>
        <v>3922745.944692445</v>
      </c>
      <c r="N24" s="19">
        <f>'II-I-Total'!R27</f>
        <v>432136.60320334812</v>
      </c>
      <c r="O24" s="61">
        <f>'II-I-Total'!S27</f>
        <v>1908877.6863581536</v>
      </c>
      <c r="P24" s="19"/>
      <c r="Q24" s="146" t="b">
        <f>IF(ROUND(' WP II-I-1.4'!L27-D24,2)=0,TRUE,' WP II-I-1.4'!L27-D24)</f>
        <v>1</v>
      </c>
      <c r="S24" s="370">
        <f t="shared" si="2"/>
        <v>0</v>
      </c>
    </row>
    <row r="25" spans="1:19" ht="16.5">
      <c r="A25" s="47"/>
      <c r="B25" s="17">
        <f t="shared" si="0"/>
        <v>9</v>
      </c>
      <c r="C25" s="492" t="s">
        <v>969</v>
      </c>
      <c r="D25" s="84">
        <f t="shared" si="1"/>
        <v>82404685.944568396</v>
      </c>
      <c r="E25" s="84"/>
      <c r="F25" s="84">
        <f>'II-I-Total'!J25</f>
        <v>45850278.323586799</v>
      </c>
      <c r="G25" s="84">
        <f>'II-I-Total'!K25</f>
        <v>1770897.0750423032</v>
      </c>
      <c r="H25" s="84">
        <f>'II-I-Total'!L25</f>
        <v>28788315.074287303</v>
      </c>
      <c r="I25" s="84">
        <f>'II-I-Total'!M25</f>
        <v>25535.902038935445</v>
      </c>
      <c r="J25" s="84">
        <f>'II-I-Total'!N25</f>
        <v>4606241.090191206</v>
      </c>
      <c r="K25" s="84">
        <f>'II-I-Total'!O25</f>
        <v>442044.22908963409</v>
      </c>
      <c r="L25" s="84">
        <f>'II-I-Total'!P25</f>
        <v>162487.88675137755</v>
      </c>
      <c r="M25" s="84">
        <f>'II-I-Total'!Q25</f>
        <v>473466.33778424712</v>
      </c>
      <c r="N25" s="84">
        <f>'II-I-Total'!R25</f>
        <v>52629.278813041012</v>
      </c>
      <c r="O25" s="79">
        <f>'II-I-Total'!S25</f>
        <v>232790.74698357988</v>
      </c>
      <c r="P25" s="84"/>
      <c r="Q25" s="146" t="b">
        <f>IF(ROUND(' WP II-I-1.4'!L25-D25,0)=0,TRUE,' WP II-I-1.4'!L25-D25)</f>
        <v>1</v>
      </c>
      <c r="S25" s="370">
        <f t="shared" si="2"/>
        <v>0</v>
      </c>
    </row>
    <row r="26" spans="1:19" ht="15">
      <c r="A26" s="147"/>
      <c r="B26" s="17">
        <f t="shared" si="0"/>
        <v>10</v>
      </c>
      <c r="C26" s="489" t="s">
        <v>870</v>
      </c>
      <c r="D26" s="493">
        <f t="shared" si="1"/>
        <v>4322572643.3927078</v>
      </c>
      <c r="E26" s="493"/>
      <c r="F26" s="493">
        <f t="shared" si="5" ref="F26:M26">SUM(F23:F25)</f>
        <v>2172322414.309793</v>
      </c>
      <c r="G26" s="493">
        <f t="shared" si="5"/>
        <v>90420922.012329891</v>
      </c>
      <c r="H26" s="493">
        <f t="shared" si="5"/>
        <v>1465488550.4540534</v>
      </c>
      <c r="I26" s="493">
        <f t="shared" si="5"/>
        <v>1656582.6472519452</v>
      </c>
      <c r="J26" s="493">
        <f t="shared" si="5"/>
        <v>298216696.39593166</v>
      </c>
      <c r="K26" s="493">
        <f>SUM(K23:K25)</f>
        <v>59781350.714293331</v>
      </c>
      <c r="L26" s="493">
        <f t="shared" si="5"/>
        <v>164443760.99238187</v>
      </c>
      <c r="M26" s="493">
        <f t="shared" si="5"/>
        <v>61844329.201286063</v>
      </c>
      <c r="N26" s="493">
        <f>SUM(N23:N25)</f>
        <v>1577067.390625855</v>
      </c>
      <c r="O26" s="494">
        <f>SUM(O23:O25)</f>
        <v>6820969.2747599166</v>
      </c>
      <c r="P26" s="493"/>
      <c r="Q26" s="146" t="b">
        <f>IF(ROUND(' WP II-I-1.4'!L1190-D26,0)=0,TRUE,' WP II-I-1.4'!L1190-D26)</f>
        <v>1</v>
      </c>
      <c r="S26" s="370">
        <f t="shared" si="2"/>
        <v>0</v>
      </c>
    </row>
    <row r="27" spans="1:19" ht="14.25">
      <c r="A27" s="47"/>
      <c r="B27" s="17">
        <f t="shared" si="0"/>
        <v>11</v>
      </c>
      <c r="C27" s="64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61"/>
      <c r="P27" s="19"/>
      <c r="Q27" s="146"/>
      <c r="S27" s="370">
        <f t="shared" si="2"/>
        <v>0</v>
      </c>
    </row>
    <row r="28" spans="1:19" ht="15">
      <c r="A28" s="47"/>
      <c r="B28" s="17">
        <f t="shared" si="0"/>
        <v>12</v>
      </c>
      <c r="C28" s="90" t="s">
        <v>512</v>
      </c>
      <c r="D28" s="19">
        <f>SUM(E28:P28)</f>
        <v>57057627.600000001</v>
      </c>
      <c r="E28" s="19"/>
      <c r="F28" s="19">
        <f>'II-I-Total'!J31</f>
        <v>36873130.591759935</v>
      </c>
      <c r="G28" s="19">
        <f>'II-I-Total'!K31</f>
        <v>2417394.4998616055</v>
      </c>
      <c r="H28" s="19">
        <f>'II-I-Total'!L31</f>
        <v>14530138.192260621</v>
      </c>
      <c r="I28" s="19">
        <f>'II-I-Total'!M31</f>
        <v>37722.117905883446</v>
      </c>
      <c r="J28" s="19">
        <f>'II-I-Total'!N31</f>
        <v>2409772.5133022121</v>
      </c>
      <c r="K28" s="19">
        <f>'II-I-Total'!O31</f>
        <v>131631.27719676026</v>
      </c>
      <c r="L28" s="19">
        <f>'II-I-Total'!P31</f>
        <v>67300.001663012808</v>
      </c>
      <c r="M28" s="19">
        <f>'II-I-Total'!Q31</f>
        <v>533688.89720402774</v>
      </c>
      <c r="N28" s="19">
        <f>'II-I-Total'!R31</f>
        <v>3613.0677866034262</v>
      </c>
      <c r="O28" s="61">
        <f>'II-I-Total'!S31</f>
        <v>53236.441059334698</v>
      </c>
      <c r="P28" s="22"/>
      <c r="Q28" s="146" t="b">
        <f>IF(' WP II-I-1.4'!L31=D28,TRUE,' WP II-I-1.4'!L31-D28)</f>
        <v>1</v>
      </c>
      <c r="S28" s="370">
        <f t="shared" si="2"/>
        <v>0</v>
      </c>
    </row>
    <row r="29" spans="1:19" ht="15">
      <c r="A29" s="47"/>
      <c r="B29" s="17">
        <f t="shared" si="0"/>
        <v>13</v>
      </c>
      <c r="C29" s="495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490"/>
      <c r="P29" s="22"/>
      <c r="Q29" s="146"/>
      <c r="S29" s="370">
        <f t="shared" si="2"/>
        <v>0</v>
      </c>
    </row>
    <row r="30" spans="1:19" ht="15">
      <c r="A30" s="47"/>
      <c r="B30" s="17">
        <f t="shared" si="0"/>
        <v>14</v>
      </c>
      <c r="C30" s="489" t="s">
        <v>871</v>
      </c>
      <c r="D30" s="22">
        <f>SUM(E30:P30)</f>
        <v>4265515015.792707</v>
      </c>
      <c r="E30" s="22"/>
      <c r="F30" s="22">
        <f t="shared" si="6" ref="F30:M30">F26-F28</f>
        <v>2135449283.7180331</v>
      </c>
      <c r="G30" s="22">
        <f t="shared" si="6"/>
        <v>88003527.512468278</v>
      </c>
      <c r="H30" s="22">
        <f t="shared" si="6"/>
        <v>1450958412.2617929</v>
      </c>
      <c r="I30" s="22">
        <f t="shared" si="6"/>
        <v>1618860.5293460619</v>
      </c>
      <c r="J30" s="22">
        <f t="shared" si="6"/>
        <v>295806923.88262945</v>
      </c>
      <c r="K30" s="22">
        <f>K26-K28</f>
        <v>59649719.437096573</v>
      </c>
      <c r="L30" s="22">
        <f t="shared" si="6"/>
        <v>164376460.99071887</v>
      </c>
      <c r="M30" s="22">
        <f t="shared" si="6"/>
        <v>61310640.304082036</v>
      </c>
      <c r="N30" s="22">
        <f>N26-N28</f>
        <v>1573454.3228392515</v>
      </c>
      <c r="O30" s="490">
        <f>O26-O28</f>
        <v>6767732.8337005815</v>
      </c>
      <c r="P30" s="22"/>
      <c r="Q30" s="146" t="b">
        <f>IF('II-I-Total'!U1190=D30,TRUE,'II-I-Total'!U1190-D30)</f>
        <v>1</v>
      </c>
      <c r="S30" s="370">
        <f t="shared" si="2"/>
        <v>0</v>
      </c>
    </row>
    <row r="31" spans="1:19" ht="15">
      <c r="A31" s="47"/>
      <c r="B31" s="17">
        <f t="shared" si="0"/>
        <v>15</v>
      </c>
      <c r="C31" s="495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490"/>
      <c r="P31" s="22"/>
      <c r="Q31" s="146"/>
      <c r="S31" s="370">
        <f t="shared" si="2"/>
        <v>0</v>
      </c>
    </row>
    <row r="32" spans="1:19" ht="14.25">
      <c r="A32" s="47"/>
      <c r="B32" s="17">
        <f t="shared" si="0"/>
        <v>16</v>
      </c>
      <c r="C32" s="64" t="s">
        <v>872</v>
      </c>
      <c r="D32" s="19">
        <f>SUM(E32:P32)</f>
        <v>0</v>
      </c>
      <c r="E32" s="19"/>
      <c r="F32" s="19">
        <f>'II-I Summary'!F103</f>
        <v>0</v>
      </c>
      <c r="G32" s="19">
        <f>'II-I Summary'!G103</f>
        <v>0</v>
      </c>
      <c r="H32" s="19">
        <f>'II-I Summary'!H103</f>
        <v>0</v>
      </c>
      <c r="I32" s="19">
        <f>'II-I Summary'!I103</f>
        <v>0</v>
      </c>
      <c r="J32" s="19">
        <f>'II-I Summary'!J103</f>
        <v>0</v>
      </c>
      <c r="K32" s="19">
        <f>'II-I Summary'!K103</f>
        <v>0</v>
      </c>
      <c r="L32" s="19">
        <f>'II-I Summary'!L103</f>
        <v>0</v>
      </c>
      <c r="M32" s="19">
        <f>'II-I Summary'!M103</f>
        <v>0</v>
      </c>
      <c r="N32" s="19">
        <f>'II-I Summary'!N103</f>
        <v>0</v>
      </c>
      <c r="O32" s="61">
        <f>'II-I Summary'!O103</f>
        <v>0</v>
      </c>
      <c r="P32" s="19"/>
      <c r="Q32" s="146"/>
      <c r="S32" s="370">
        <f t="shared" si="2"/>
        <v>0</v>
      </c>
    </row>
    <row r="33" spans="1:19" ht="16.5">
      <c r="A33" s="47"/>
      <c r="B33" s="17">
        <f t="shared" si="0"/>
        <v>17</v>
      </c>
      <c r="C33" s="64" t="s">
        <v>873</v>
      </c>
      <c r="D33" s="84">
        <f>SUM(E33:P33)</f>
        <v>0</v>
      </c>
      <c r="E33" s="84"/>
      <c r="F33" s="84">
        <f>'WP II-I-1.5'!F44</f>
        <v>0</v>
      </c>
      <c r="G33" s="84">
        <f>'WP II-I-1.5'!G44</f>
        <v>0</v>
      </c>
      <c r="H33" s="84">
        <f>'WP II-I-1.5'!H44</f>
        <v>0</v>
      </c>
      <c r="I33" s="84">
        <f>'WP II-I-1.5'!I44</f>
        <v>0</v>
      </c>
      <c r="J33" s="84">
        <f>'WP II-I-1.5'!J44</f>
        <v>0</v>
      </c>
      <c r="K33" s="84">
        <f>'WP II-I-1.5'!K44</f>
        <v>0</v>
      </c>
      <c r="L33" s="84">
        <f>'WP II-I-1.5'!L44</f>
        <v>0</v>
      </c>
      <c r="M33" s="84">
        <f>'WP II-I-1.5'!M44</f>
        <v>0</v>
      </c>
      <c r="N33" s="84">
        <f>'WP II-I-1.5'!N44</f>
        <v>0</v>
      </c>
      <c r="O33" s="79">
        <f>'WP II-I-1.5'!O44</f>
        <v>0</v>
      </c>
      <c r="P33" s="84"/>
      <c r="Q33" s="146"/>
      <c r="S33" s="370">
        <f t="shared" si="2"/>
        <v>0</v>
      </c>
    </row>
    <row r="34" spans="1:19" ht="15">
      <c r="A34" s="47"/>
      <c r="B34" s="17">
        <f t="shared" si="0"/>
        <v>18</v>
      </c>
      <c r="C34" s="491" t="s">
        <v>874</v>
      </c>
      <c r="D34" s="493">
        <f>SUM(E34:P34)</f>
        <v>0</v>
      </c>
      <c r="E34" s="493"/>
      <c r="F34" s="22">
        <f t="shared" si="7" ref="F34:M34">SUM(F32:F33)</f>
        <v>0</v>
      </c>
      <c r="G34" s="22">
        <f t="shared" si="7"/>
        <v>0</v>
      </c>
      <c r="H34" s="22">
        <f t="shared" si="7"/>
        <v>0</v>
      </c>
      <c r="I34" s="22">
        <f t="shared" si="7"/>
        <v>0</v>
      </c>
      <c r="J34" s="22">
        <f t="shared" si="7"/>
        <v>0</v>
      </c>
      <c r="K34" s="22">
        <f>SUM(K32:K33)</f>
        <v>0</v>
      </c>
      <c r="L34" s="22">
        <f t="shared" si="7"/>
        <v>0</v>
      </c>
      <c r="M34" s="22">
        <f t="shared" si="7"/>
        <v>0</v>
      </c>
      <c r="N34" s="22">
        <f>SUM(N32:N33)</f>
        <v>0</v>
      </c>
      <c r="O34" s="490">
        <f>SUM(O32:O33)</f>
        <v>0</v>
      </c>
      <c r="P34" s="22"/>
      <c r="Q34" s="146"/>
      <c r="S34" s="370">
        <f t="shared" si="2"/>
        <v>0</v>
      </c>
    </row>
    <row r="35" spans="1:19" ht="14.25">
      <c r="A35" s="47"/>
      <c r="B35" s="17">
        <f t="shared" si="0"/>
        <v>19</v>
      </c>
      <c r="C35" s="64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61"/>
      <c r="P35" s="19"/>
      <c r="Q35" s="146"/>
      <c r="S35" s="370">
        <f t="shared" si="2"/>
        <v>0</v>
      </c>
    </row>
    <row r="36" spans="1:19" ht="15">
      <c r="A36" s="47"/>
      <c r="B36" s="17">
        <f t="shared" si="0"/>
        <v>20</v>
      </c>
      <c r="C36" s="496" t="s">
        <v>875</v>
      </c>
      <c r="D36" s="497">
        <f>SUM(E36:P36)</f>
        <v>4265515015.792707</v>
      </c>
      <c r="E36" s="497"/>
      <c r="F36" s="497">
        <f t="shared" si="8" ref="F36:M36">F30+F34</f>
        <v>2135449283.7180331</v>
      </c>
      <c r="G36" s="497">
        <f t="shared" si="8"/>
        <v>88003527.512468278</v>
      </c>
      <c r="H36" s="497">
        <f t="shared" si="8"/>
        <v>1450958412.2617929</v>
      </c>
      <c r="I36" s="497">
        <f t="shared" si="8"/>
        <v>1618860.5293460619</v>
      </c>
      <c r="J36" s="497">
        <f t="shared" si="8"/>
        <v>295806923.88262945</v>
      </c>
      <c r="K36" s="497">
        <f>K30+K34</f>
        <v>59649719.437096573</v>
      </c>
      <c r="L36" s="497">
        <f t="shared" si="8"/>
        <v>164376460.99071887</v>
      </c>
      <c r="M36" s="497">
        <f t="shared" si="8"/>
        <v>61310640.304082036</v>
      </c>
      <c r="N36" s="497">
        <f>N30+N34</f>
        <v>1573454.3228392515</v>
      </c>
      <c r="O36" s="498">
        <f>O30+O34</f>
        <v>6767732.8337005815</v>
      </c>
      <c r="P36" s="22"/>
      <c r="Q36" s="146">
        <f>'WP II-I-1.1'!$G$477+'WP II-I-1.1'!$H$477+'WP II-I-1.1'!$I$477-D36-D34</f>
        <v>0</v>
      </c>
      <c r="S36" s="370">
        <f t="shared" si="2"/>
        <v>0</v>
      </c>
    </row>
    <row r="37" spans="1:19" ht="14.25">
      <c r="A37" s="47"/>
      <c r="B37" s="17">
        <f t="shared" si="0"/>
        <v>21</v>
      </c>
      <c r="C37" s="1"/>
      <c r="D37" s="17"/>
      <c r="E37" s="17"/>
      <c r="F37" s="17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46"/>
      <c r="S37" s="370">
        <f t="shared" si="2"/>
        <v>0</v>
      </c>
    </row>
    <row r="38" spans="1:19" ht="15">
      <c r="A38" s="147"/>
      <c r="B38" s="17">
        <f t="shared" si="0"/>
        <v>22</v>
      </c>
      <c r="C38" s="499" t="s">
        <v>1414</v>
      </c>
      <c r="D38" s="500">
        <f>SUM(E38:P38)</f>
        <v>3995965753.9520721</v>
      </c>
      <c r="E38" s="500"/>
      <c r="F38" s="501">
        <f>'II-I Summary'!F112</f>
        <v>1921088302</v>
      </c>
      <c r="G38" s="501">
        <f>'II-I Summary'!G112</f>
        <v>95557181</v>
      </c>
      <c r="H38" s="501">
        <f>'II-I Summary'!H112</f>
        <v>1496280417.6886501</v>
      </c>
      <c r="I38" s="501">
        <f>'II-I Summary'!I112</f>
        <v>1232285</v>
      </c>
      <c r="J38" s="501">
        <f>'II-I Summary'!J112</f>
        <v>272480697.46980089</v>
      </c>
      <c r="K38" s="501">
        <f>'II-I Summary'!K112</f>
        <v>31568642.908480335</v>
      </c>
      <c r="L38" s="501">
        <f>'II-I Summary'!L112</f>
        <v>114615137.75514101</v>
      </c>
      <c r="M38" s="501">
        <f>'II-I Summary'!M112</f>
        <v>60374542.129999995</v>
      </c>
      <c r="N38" s="501">
        <f>'II-I Summary'!N112</f>
        <v>608356</v>
      </c>
      <c r="O38" s="502">
        <f>'II-I Summary'!O112</f>
        <v>2160192</v>
      </c>
      <c r="P38" s="22"/>
      <c r="Q38" s="146"/>
      <c r="S38" s="370">
        <f t="shared" si="2"/>
        <v>0</v>
      </c>
    </row>
    <row r="39" spans="1:19" ht="15">
      <c r="A39" s="147"/>
      <c r="B39" s="17">
        <f t="shared" si="0"/>
        <v>23</v>
      </c>
      <c r="C39" s="495"/>
      <c r="D39" s="493"/>
      <c r="E39" s="493"/>
      <c r="F39" s="22"/>
      <c r="G39" s="22"/>
      <c r="H39" s="22"/>
      <c r="I39" s="22"/>
      <c r="J39" s="22"/>
      <c r="K39" s="22"/>
      <c r="L39" s="22"/>
      <c r="M39" s="22"/>
      <c r="N39" s="22"/>
      <c r="O39" s="490"/>
      <c r="P39" s="22"/>
      <c r="Q39" s="146"/>
      <c r="S39" s="370">
        <f t="shared" si="2"/>
        <v>0</v>
      </c>
    </row>
    <row r="40" spans="1:19" ht="15">
      <c r="A40" s="147"/>
      <c r="B40" s="17">
        <f t="shared" si="0"/>
        <v>24</v>
      </c>
      <c r="C40" s="495" t="s">
        <v>871</v>
      </c>
      <c r="D40" s="493">
        <f>SUM(E40:P40)</f>
        <v>4265515015.792707</v>
      </c>
      <c r="E40" s="493"/>
      <c r="F40" s="22">
        <f t="shared" si="9" ref="F40:M40">F30</f>
        <v>2135449283.7180331</v>
      </c>
      <c r="G40" s="22">
        <f t="shared" si="9"/>
        <v>88003527.512468278</v>
      </c>
      <c r="H40" s="22">
        <f t="shared" si="9"/>
        <v>1450958412.2617929</v>
      </c>
      <c r="I40" s="22">
        <f t="shared" si="9"/>
        <v>1618860.5293460619</v>
      </c>
      <c r="J40" s="22">
        <f t="shared" si="9"/>
        <v>295806923.88262945</v>
      </c>
      <c r="K40" s="22">
        <f>K30</f>
        <v>59649719.437096573</v>
      </c>
      <c r="L40" s="22">
        <f t="shared" si="9"/>
        <v>164376460.99071887</v>
      </c>
      <c r="M40" s="22">
        <f t="shared" si="9"/>
        <v>61310640.304082036</v>
      </c>
      <c r="N40" s="22">
        <f>N30</f>
        <v>1573454.3228392515</v>
      </c>
      <c r="O40" s="490">
        <f>O30</f>
        <v>6767732.8337005815</v>
      </c>
      <c r="P40" s="22"/>
      <c r="Q40" s="146"/>
      <c r="S40" s="370">
        <f t="shared" si="2"/>
        <v>0</v>
      </c>
    </row>
    <row r="41" spans="1:19" s="386" customFormat="1" ht="15">
      <c r="A41" s="147"/>
      <c r="B41" s="17">
        <f t="shared" si="0"/>
        <v>25</v>
      </c>
      <c r="C41" s="90" t="s">
        <v>876</v>
      </c>
      <c r="D41" s="63">
        <f>SUM(E41:P41)</f>
        <v>269549261.84063476</v>
      </c>
      <c r="E41" s="63"/>
      <c r="F41" s="19">
        <f t="shared" si="10" ref="F41:M41">F40-F38</f>
        <v>214360981.71803308</v>
      </c>
      <c r="G41" s="19">
        <f t="shared" si="10"/>
        <v>-7553653.4875317216</v>
      </c>
      <c r="H41" s="19">
        <f t="shared" si="10"/>
        <v>-45322005.426857233</v>
      </c>
      <c r="I41" s="19">
        <f t="shared" si="10"/>
        <v>386575.52934606187</v>
      </c>
      <c r="J41" s="19">
        <f t="shared" si="10"/>
        <v>23326226.412828565</v>
      </c>
      <c r="K41" s="19">
        <f>K40-K38</f>
        <v>28081076.528616238</v>
      </c>
      <c r="L41" s="19">
        <f t="shared" si="10"/>
        <v>49761323.235577866</v>
      </c>
      <c r="M41" s="19">
        <f t="shared" si="10"/>
        <v>936098.17408204079</v>
      </c>
      <c r="N41" s="19">
        <f>N40-N38</f>
        <v>965098.32283925149</v>
      </c>
      <c r="O41" s="61">
        <f>O40-O38</f>
        <v>4607540.8337005815</v>
      </c>
      <c r="P41" s="19"/>
      <c r="Q41" s="146"/>
      <c r="R41" s="1472"/>
      <c r="S41" s="839">
        <f t="shared" si="2"/>
        <v>0</v>
      </c>
    </row>
    <row r="42" spans="1:19" ht="15">
      <c r="A42" s="147"/>
      <c r="B42" s="17">
        <f t="shared" si="0"/>
        <v>26</v>
      </c>
      <c r="C42" s="90" t="s">
        <v>877</v>
      </c>
      <c r="D42" s="128">
        <f t="shared" si="11" ref="D42:M42">D41/D38</f>
        <v>0.067455348328259918</v>
      </c>
      <c r="E42" s="128"/>
      <c r="F42" s="128">
        <f t="shared" si="11"/>
        <v>0.11158309667227002</v>
      </c>
      <c r="G42" s="128">
        <f t="shared" si="11"/>
        <v>-0.079048517426772158</v>
      </c>
      <c r="H42" s="128">
        <f t="shared" si="11"/>
        <v>-0.030289780505760755</v>
      </c>
      <c r="I42" s="128">
        <f t="shared" si="11"/>
        <v>0.31370626871710838</v>
      </c>
      <c r="J42" s="128">
        <f t="shared" si="11"/>
        <v>0.0856068948348674</v>
      </c>
      <c r="K42" s="128">
        <f>K41/K38</f>
        <v>0.88952434889346399</v>
      </c>
      <c r="L42" s="128">
        <f t="shared" si="11"/>
        <v>0.434160131115367</v>
      </c>
      <c r="M42" s="128">
        <f t="shared" si="11"/>
        <v>0.015504849246995703</v>
      </c>
      <c r="N42" s="128">
        <f>N41/N38</f>
        <v>1.5864038866046386</v>
      </c>
      <c r="O42" s="503">
        <f>O41/O38</f>
        <v>2.132931162461754</v>
      </c>
      <c r="P42" s="128"/>
      <c r="Q42" s="146"/>
      <c r="R42" s="1471"/>
      <c r="S42" s="370">
        <f t="shared" si="2"/>
        <v>5.3926269922856713</v>
      </c>
    </row>
    <row r="43" spans="1:19" ht="15">
      <c r="A43" s="147"/>
      <c r="B43" s="17">
        <f t="shared" si="0"/>
        <v>27</v>
      </c>
      <c r="C43" s="90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503"/>
      <c r="P43" s="128"/>
      <c r="Q43" s="146"/>
      <c r="S43" s="370">
        <f t="shared" si="2"/>
        <v>0</v>
      </c>
    </row>
    <row r="44" spans="1:19" ht="15">
      <c r="A44" s="147"/>
      <c r="B44" s="17">
        <f t="shared" si="0"/>
        <v>28</v>
      </c>
      <c r="C44" s="489" t="s">
        <v>875</v>
      </c>
      <c r="D44" s="493">
        <f>SUM(E44:P44)</f>
        <v>4265515015.792707</v>
      </c>
      <c r="E44" s="493"/>
      <c r="F44" s="22">
        <f t="shared" si="12" ref="F44:M44">F36</f>
        <v>2135449283.7180331</v>
      </c>
      <c r="G44" s="22">
        <f t="shared" si="12"/>
        <v>88003527.512468278</v>
      </c>
      <c r="H44" s="22">
        <f t="shared" si="12"/>
        <v>1450958412.2617929</v>
      </c>
      <c r="I44" s="22">
        <f t="shared" si="12"/>
        <v>1618860.5293460619</v>
      </c>
      <c r="J44" s="22">
        <f t="shared" si="12"/>
        <v>295806923.88262945</v>
      </c>
      <c r="K44" s="22">
        <f>K36</f>
        <v>59649719.437096573</v>
      </c>
      <c r="L44" s="22">
        <f t="shared" si="12"/>
        <v>164376460.99071887</v>
      </c>
      <c r="M44" s="22">
        <f t="shared" si="12"/>
        <v>61310640.304082036</v>
      </c>
      <c r="N44" s="22">
        <f>N36</f>
        <v>1573454.3228392515</v>
      </c>
      <c r="O44" s="490">
        <f>O36</f>
        <v>6767732.8337005815</v>
      </c>
      <c r="P44" s="22"/>
      <c r="Q44" s="146"/>
      <c r="S44" s="370">
        <f t="shared" si="2"/>
        <v>0</v>
      </c>
    </row>
    <row r="45" spans="1:19" ht="15">
      <c r="A45" s="147"/>
      <c r="B45" s="17">
        <f t="shared" si="0"/>
        <v>29</v>
      </c>
      <c r="C45" s="90" t="s">
        <v>878</v>
      </c>
      <c r="D45" s="63">
        <f>SUM(E45:P45)</f>
        <v>269549261.84063476</v>
      </c>
      <c r="E45" s="63"/>
      <c r="F45" s="19">
        <f t="shared" si="13" ref="F45:M45">F44-F38</f>
        <v>214360981.71803308</v>
      </c>
      <c r="G45" s="19">
        <f t="shared" si="13"/>
        <v>-7553653.4875317216</v>
      </c>
      <c r="H45" s="19">
        <f t="shared" si="13"/>
        <v>-45322005.426857233</v>
      </c>
      <c r="I45" s="19">
        <f t="shared" si="13"/>
        <v>386575.52934606187</v>
      </c>
      <c r="J45" s="19">
        <f t="shared" si="13"/>
        <v>23326226.412828565</v>
      </c>
      <c r="K45" s="19">
        <f>K44-K38</f>
        <v>28081076.528616238</v>
      </c>
      <c r="L45" s="19">
        <f t="shared" si="13"/>
        <v>49761323.235577866</v>
      </c>
      <c r="M45" s="19">
        <f t="shared" si="13"/>
        <v>936098.17408204079</v>
      </c>
      <c r="N45" s="19">
        <f>N44-N38</f>
        <v>965098.32283925149</v>
      </c>
      <c r="O45" s="61">
        <f>O44-O38</f>
        <v>4607540.8337005815</v>
      </c>
      <c r="P45" s="19"/>
      <c r="Q45" s="146"/>
      <c r="S45" s="370">
        <f t="shared" si="2"/>
        <v>0</v>
      </c>
    </row>
    <row r="46" spans="1:19" ht="15">
      <c r="A46" s="147"/>
      <c r="B46" s="17">
        <f t="shared" si="0"/>
        <v>30</v>
      </c>
      <c r="C46" s="92" t="s">
        <v>877</v>
      </c>
      <c r="D46" s="504">
        <f t="shared" si="14" ref="D46:M46">D45/D38</f>
        <v>0.067455348328259918</v>
      </c>
      <c r="E46" s="504"/>
      <c r="F46" s="504">
        <f t="shared" si="14"/>
        <v>0.11158309667227002</v>
      </c>
      <c r="G46" s="504">
        <f t="shared" si="14"/>
        <v>-0.079048517426772158</v>
      </c>
      <c r="H46" s="504">
        <f t="shared" si="14"/>
        <v>-0.030289780505760755</v>
      </c>
      <c r="I46" s="504">
        <f t="shared" si="14"/>
        <v>0.31370626871710838</v>
      </c>
      <c r="J46" s="504">
        <f t="shared" si="14"/>
        <v>0.0856068948348674</v>
      </c>
      <c r="K46" s="504">
        <f>K45/K38</f>
        <v>0.88952434889346399</v>
      </c>
      <c r="L46" s="504">
        <f t="shared" si="14"/>
        <v>0.434160131115367</v>
      </c>
      <c r="M46" s="504">
        <f t="shared" si="14"/>
        <v>0.015504849246995703</v>
      </c>
      <c r="N46" s="504">
        <f>N45/N38</f>
        <v>1.5864038866046386</v>
      </c>
      <c r="O46" s="505">
        <f>O45/O38</f>
        <v>2.132931162461754</v>
      </c>
      <c r="P46" s="128"/>
      <c r="Q46" s="146"/>
      <c r="S46" s="370">
        <f t="shared" si="2"/>
        <v>5.3926269922856713</v>
      </c>
    </row>
    <row r="47" spans="1:19" ht="15">
      <c r="A47" s="147"/>
      <c r="B47" s="17">
        <f t="shared" si="0"/>
        <v>31</v>
      </c>
      <c r="C47" s="150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146"/>
      <c r="S47" s="370">
        <f t="shared" si="2"/>
        <v>0</v>
      </c>
    </row>
    <row r="48" spans="1:19" ht="15">
      <c r="A48" s="147"/>
      <c r="B48" s="17">
        <f t="shared" si="0"/>
        <v>32</v>
      </c>
      <c r="C48" s="506" t="s">
        <v>360</v>
      </c>
      <c r="D48" s="501">
        <f>SUM(E48:P48)</f>
        <v>9687950496.5693398</v>
      </c>
      <c r="E48" s="501"/>
      <c r="F48" s="507">
        <f>'II-I-Total'!J595</f>
        <v>5387717300.5741529</v>
      </c>
      <c r="G48" s="507">
        <f>'II-I-Total'!K595</f>
        <v>217035207.20092851</v>
      </c>
      <c r="H48" s="507">
        <f>'II-I-Total'!L595</f>
        <v>3375832752.7471981</v>
      </c>
      <c r="I48" s="507">
        <f>'II-I-Total'!M595</f>
        <v>3478066.6096882191</v>
      </c>
      <c r="J48" s="507">
        <f>'II-I-Total'!N595</f>
        <v>544065569.77023041</v>
      </c>
      <c r="K48" s="507">
        <f>'II-I-Total'!O595</f>
        <v>51350344.344025865</v>
      </c>
      <c r="L48" s="507">
        <f>'II-I-Total'!P595</f>
        <v>19623592.42589641</v>
      </c>
      <c r="M48" s="507">
        <f>'II-I-Total'!Q595</f>
        <v>55641786.449538231</v>
      </c>
      <c r="N48" s="507">
        <f>'II-I-Total'!R595</f>
        <v>6129597.2085581291</v>
      </c>
      <c r="O48" s="508">
        <f>'II-I-Total'!S595</f>
        <v>27076279.239122745</v>
      </c>
      <c r="P48" s="509"/>
      <c r="Q48" s="146" t="b">
        <f>IF(('WP II-I-1.1'!G459+'WP II-I-1.1'!H459+'WP II-I-1.1'!I459)=D48,TRUE,('WP II-I-1.1'!G459+'WP II-I-1.1'!H459+'WP II-I-1.1'!I459)-D48)</f>
        <v>1</v>
      </c>
      <c r="S48" s="370">
        <f t="shared" si="2"/>
        <v>0</v>
      </c>
    </row>
    <row r="49" spans="1:19" ht="15">
      <c r="A49" s="147"/>
      <c r="B49" s="17">
        <f t="shared" si="0"/>
        <v>33</v>
      </c>
      <c r="C49" s="489"/>
      <c r="D49" s="22"/>
      <c r="E49" s="22"/>
      <c r="F49" s="509"/>
      <c r="G49" s="509"/>
      <c r="H49" s="509"/>
      <c r="I49" s="509"/>
      <c r="J49" s="509"/>
      <c r="K49" s="509"/>
      <c r="L49" s="509"/>
      <c r="M49" s="509"/>
      <c r="N49" s="509"/>
      <c r="O49" s="510"/>
      <c r="P49" s="509"/>
      <c r="Q49" s="146"/>
      <c r="S49" s="370">
        <f t="shared" si="2"/>
        <v>0</v>
      </c>
    </row>
    <row r="50" spans="1:19" ht="15">
      <c r="A50" s="147"/>
      <c r="B50" s="17">
        <f t="shared" si="0"/>
        <v>34</v>
      </c>
      <c r="C50" s="489" t="s">
        <v>879</v>
      </c>
      <c r="D50" s="22">
        <f>SUM(E50:P50)</f>
        <v>462239171.85963708</v>
      </c>
      <c r="E50" s="22"/>
      <c r="F50" s="509">
        <f>'II-I Summary'!F135</f>
        <v>199138793.57648131</v>
      </c>
      <c r="G50" s="509">
        <f>'II-I Summary'!G135</f>
        <v>27361089.74269361</v>
      </c>
      <c r="H50" s="509">
        <f>'II-I Summary'!H135</f>
        <v>271515108.26914525</v>
      </c>
      <c r="I50" s="509">
        <f>'II-I Summary'!I135</f>
        <v>-56398.220132870498</v>
      </c>
      <c r="J50" s="509">
        <f>'II-I Summary'!J135</f>
        <v>19463852.443117298</v>
      </c>
      <c r="K50" s="509">
        <f>'II-I Summary'!K135</f>
        <v>-18593427.056626081</v>
      </c>
      <c r="L50" s="509">
        <f>'II-I Summary'!L135</f>
        <v>-37890639.62907625</v>
      </c>
      <c r="M50" s="509">
        <f>'II-I Summary'!M135</f>
        <v>3386603.3254935942</v>
      </c>
      <c r="N50" s="509">
        <f>'II-I Summary'!N135</f>
        <v>-329345.84191769431</v>
      </c>
      <c r="O50" s="510">
        <f>'II-I Summary'!O135</f>
        <v>-1756464.7495410342</v>
      </c>
      <c r="P50" s="509"/>
      <c r="Q50" s="146"/>
      <c r="S50" s="370">
        <f t="shared" si="2"/>
        <v>0</v>
      </c>
    </row>
    <row r="51" spans="1:19" ht="15">
      <c r="A51" s="147"/>
      <c r="B51" s="17">
        <f t="shared" si="0"/>
        <v>35</v>
      </c>
      <c r="C51" s="90" t="s">
        <v>880</v>
      </c>
      <c r="D51" s="511">
        <f t="shared" si="15" ref="D51:M51">D50/D48</f>
        <v>0.047712792506869585</v>
      </c>
      <c r="E51" s="511"/>
      <c r="F51" s="511">
        <f t="shared" si="15"/>
        <v>0.036961626319046044</v>
      </c>
      <c r="G51" s="511">
        <f t="shared" si="15"/>
        <v>0.12606751731926633</v>
      </c>
      <c r="H51" s="511">
        <f t="shared" si="15"/>
        <v>0.080429075773434167</v>
      </c>
      <c r="I51" s="511">
        <f t="shared" si="15"/>
        <v>-0.016215393913323054</v>
      </c>
      <c r="J51" s="511">
        <f t="shared" si="15"/>
        <v>0.035774828484988058</v>
      </c>
      <c r="K51" s="511">
        <f>K50/K48</f>
        <v>-0.36208962752144142</v>
      </c>
      <c r="L51" s="511">
        <f t="shared" si="15"/>
        <v>-1.9308717184257049</v>
      </c>
      <c r="M51" s="511">
        <f t="shared" si="15"/>
        <v>0.060864388826999988</v>
      </c>
      <c r="N51" s="511">
        <f>N50/N48</f>
        <v>-0.053730421545132266</v>
      </c>
      <c r="O51" s="512">
        <f>O50/O48</f>
        <v>-0.064870979281492394</v>
      </c>
      <c r="P51" s="511"/>
      <c r="Q51" s="146"/>
      <c r="S51" s="370">
        <f t="shared" si="2"/>
        <v>-2.135393496470229</v>
      </c>
    </row>
    <row r="52" spans="1:19" ht="15">
      <c r="A52" s="147"/>
      <c r="B52" s="17">
        <f t="shared" si="0"/>
        <v>36</v>
      </c>
      <c r="C52" s="90" t="s">
        <v>881</v>
      </c>
      <c r="D52" s="513">
        <f t="shared" si="16" ref="D52:M52">D51/$D$51</f>
        <v>1</v>
      </c>
      <c r="E52" s="513"/>
      <c r="F52" s="513">
        <f t="shared" si="16"/>
        <v>0.77466910606258033</v>
      </c>
      <c r="G52" s="513">
        <f t="shared" si="16"/>
        <v>2.6422162840524455</v>
      </c>
      <c r="H52" s="513">
        <f t="shared" si="16"/>
        <v>1.6856920659559838</v>
      </c>
      <c r="I52" s="513">
        <f t="shared" si="16"/>
        <v>-0.33985422066814464</v>
      </c>
      <c r="J52" s="513">
        <f t="shared" si="16"/>
        <v>0.74979531914501285</v>
      </c>
      <c r="K52" s="513">
        <f>K51/$D$51</f>
        <v>-7.5889422625873033</v>
      </c>
      <c r="L52" s="513">
        <f t="shared" si="16"/>
        <v>-40.468637800809965</v>
      </c>
      <c r="M52" s="513">
        <f t="shared" si="16"/>
        <v>1.2756408843233575</v>
      </c>
      <c r="N52" s="513">
        <f>N51/$D$51</f>
        <v>-1.1261219208118301</v>
      </c>
      <c r="O52" s="514">
        <f>O51/$D$51</f>
        <v>-1.3596139708685551</v>
      </c>
      <c r="P52" s="513"/>
      <c r="Q52" s="146"/>
      <c r="S52" s="370">
        <f t="shared" si="2"/>
        <v>-44.755156516206426</v>
      </c>
    </row>
    <row r="53" spans="1:19" ht="15">
      <c r="A53" s="147"/>
      <c r="B53" s="17">
        <f t="shared" si="0"/>
        <v>37</v>
      </c>
      <c r="C53" s="489"/>
      <c r="D53" s="22"/>
      <c r="E53" s="22"/>
      <c r="F53" s="509"/>
      <c r="G53" s="509"/>
      <c r="H53" s="509"/>
      <c r="I53" s="509"/>
      <c r="J53" s="509"/>
      <c r="K53" s="509"/>
      <c r="L53" s="509"/>
      <c r="M53" s="509"/>
      <c r="N53" s="509"/>
      <c r="O53" s="510"/>
      <c r="P53" s="509"/>
      <c r="Q53" s="146"/>
      <c r="S53" s="370">
        <f t="shared" si="2"/>
        <v>0</v>
      </c>
    </row>
    <row r="54" spans="1:19" ht="15">
      <c r="A54" s="147"/>
      <c r="B54" s="17">
        <f t="shared" si="0"/>
        <v>38</v>
      </c>
      <c r="C54" s="491" t="s">
        <v>869</v>
      </c>
      <c r="D54" s="22">
        <f>SUM(E54:P54)</f>
        <v>683000510.00813818</v>
      </c>
      <c r="E54" s="22"/>
      <c r="F54" s="509">
        <f t="shared" si="17" ref="F54:M54">F24</f>
        <v>379834069.69047773</v>
      </c>
      <c r="G54" s="509">
        <f t="shared" si="17"/>
        <v>15300982.107665461</v>
      </c>
      <c r="H54" s="509">
        <f t="shared" si="17"/>
        <v>237996209.06867737</v>
      </c>
      <c r="I54" s="509">
        <f t="shared" si="17"/>
        <v>245203.69598301943</v>
      </c>
      <c r="J54" s="509">
        <f t="shared" si="17"/>
        <v>38356622.668801248</v>
      </c>
      <c r="K54" s="509">
        <f>K24</f>
        <v>3620199.2762538223</v>
      </c>
      <c r="L54" s="509">
        <f t="shared" si="17"/>
        <v>1383463.2660256971</v>
      </c>
      <c r="M54" s="509">
        <f t="shared" si="17"/>
        <v>3922745.944692445</v>
      </c>
      <c r="N54" s="509">
        <f>N24</f>
        <v>432136.60320334812</v>
      </c>
      <c r="O54" s="510">
        <f>O24</f>
        <v>1908877.6863581536</v>
      </c>
      <c r="P54" s="509"/>
      <c r="Q54" s="146" t="b">
        <f>IF(D$24=D54,TRUE,D$24-D54)</f>
        <v>1</v>
      </c>
      <c r="S54" s="370">
        <f t="shared" si="2"/>
        <v>0</v>
      </c>
    </row>
    <row r="55" spans="1:19" ht="15">
      <c r="A55" s="147"/>
      <c r="B55" s="17">
        <f t="shared" si="0"/>
        <v>39</v>
      </c>
      <c r="C55" s="90" t="s">
        <v>882</v>
      </c>
      <c r="D55" s="511">
        <f>D24/D48</f>
        <v>0.070499999999999965</v>
      </c>
      <c r="E55" s="511"/>
      <c r="F55" s="511">
        <f t="shared" si="18" ref="F55:M55">F24/F48</f>
        <v>0.070499999999999993</v>
      </c>
      <c r="G55" s="511">
        <f t="shared" si="18"/>
        <v>0.070500000000000007</v>
      </c>
      <c r="H55" s="511">
        <f t="shared" si="18"/>
        <v>0.070499999999999965</v>
      </c>
      <c r="I55" s="511">
        <f t="shared" si="18"/>
        <v>0.070499999999999993</v>
      </c>
      <c r="J55" s="511">
        <f t="shared" si="18"/>
        <v>0.070500000000000007</v>
      </c>
      <c r="K55" s="511">
        <f>K24/K48</f>
        <v>0.070499999999999979</v>
      </c>
      <c r="L55" s="511">
        <f t="shared" si="18"/>
        <v>0.070500000000000007</v>
      </c>
      <c r="M55" s="511">
        <f t="shared" si="18"/>
        <v>0.070499999999999993</v>
      </c>
      <c r="N55" s="511">
        <f>N24/N48</f>
        <v>0.070500000000000007</v>
      </c>
      <c r="O55" s="512">
        <f>O24/O48</f>
        <v>0.070500000000000007</v>
      </c>
      <c r="P55" s="511"/>
      <c r="Q55" s="146"/>
      <c r="S55" s="370">
        <f t="shared" si="2"/>
        <v>0.63449999999999995</v>
      </c>
    </row>
    <row r="56" spans="1:19" ht="14.25">
      <c r="A56" s="67"/>
      <c r="B56" s="17">
        <f t="shared" si="0"/>
        <v>40</v>
      </c>
      <c r="C56" s="64" t="s">
        <v>883</v>
      </c>
      <c r="D56" s="513">
        <f t="shared" si="19" ref="D56:M56">D55/$D$55</f>
        <v>1</v>
      </c>
      <c r="E56" s="513"/>
      <c r="F56" s="513">
        <f t="shared" si="19"/>
        <v>1.0000000000000004</v>
      </c>
      <c r="G56" s="513">
        <f t="shared" si="19"/>
        <v>1.0000000000000007</v>
      </c>
      <c r="H56" s="513">
        <f t="shared" si="19"/>
        <v>1</v>
      </c>
      <c r="I56" s="513">
        <f t="shared" si="19"/>
        <v>1.0000000000000004</v>
      </c>
      <c r="J56" s="513">
        <f t="shared" si="19"/>
        <v>1.0000000000000007</v>
      </c>
      <c r="K56" s="513">
        <f>K55/$D$55</f>
        <v>1.0000000000000002</v>
      </c>
      <c r="L56" s="513">
        <f t="shared" si="19"/>
        <v>1.0000000000000007</v>
      </c>
      <c r="M56" s="513">
        <f t="shared" si="19"/>
        <v>1.0000000000000004</v>
      </c>
      <c r="N56" s="513">
        <f>N55/$D$55</f>
        <v>1.0000000000000007</v>
      </c>
      <c r="O56" s="514">
        <f>O55/$D$55</f>
        <v>1.0000000000000007</v>
      </c>
      <c r="P56" s="513"/>
      <c r="Q56" s="146"/>
      <c r="S56" s="370">
        <f t="shared" si="2"/>
        <v>9.0000000000000036</v>
      </c>
    </row>
    <row r="57" spans="1:19" ht="14.25">
      <c r="A57" s="67"/>
      <c r="B57" s="17">
        <f t="shared" si="0"/>
        <v>41</v>
      </c>
      <c r="C57" s="78"/>
      <c r="D57" s="12"/>
      <c r="E57" s="12"/>
      <c r="F57" s="11"/>
      <c r="G57" s="12"/>
      <c r="H57" s="12"/>
      <c r="I57" s="12"/>
      <c r="J57" s="12"/>
      <c r="K57" s="12"/>
      <c r="L57" s="12"/>
      <c r="M57" s="12"/>
      <c r="N57" s="12"/>
      <c r="O57" s="436"/>
      <c r="P57" s="12"/>
      <c r="Q57" s="12"/>
      <c r="S57" s="370">
        <f t="shared" si="2"/>
        <v>0</v>
      </c>
    </row>
    <row r="58" spans="1:19" ht="15">
      <c r="A58" s="67"/>
      <c r="B58" s="17">
        <f t="shared" si="0"/>
        <v>42</v>
      </c>
      <c r="C58" s="515" t="s">
        <v>884</v>
      </c>
      <c r="D58" s="22">
        <f>SUM(E58:P58)</f>
        <v>683000510.00813818</v>
      </c>
      <c r="E58" s="22"/>
      <c r="F58" s="516">
        <f t="shared" si="20" ref="F58:M58">F24+F32</f>
        <v>379834069.69047773</v>
      </c>
      <c r="G58" s="516">
        <f t="shared" si="20"/>
        <v>15300982.107665461</v>
      </c>
      <c r="H58" s="516">
        <f t="shared" si="20"/>
        <v>237996209.06867737</v>
      </c>
      <c r="I58" s="516">
        <f t="shared" si="20"/>
        <v>245203.69598301943</v>
      </c>
      <c r="J58" s="516">
        <f t="shared" si="20"/>
        <v>38356622.668801248</v>
      </c>
      <c r="K58" s="516">
        <f>K24+K32</f>
        <v>3620199.2762538223</v>
      </c>
      <c r="L58" s="516">
        <f t="shared" si="20"/>
        <v>1383463.2660256971</v>
      </c>
      <c r="M58" s="516">
        <f t="shared" si="20"/>
        <v>3922745.944692445</v>
      </c>
      <c r="N58" s="516">
        <f>N24+N32</f>
        <v>432136.60320334812</v>
      </c>
      <c r="O58" s="517">
        <f>O24+O32</f>
        <v>1908877.6863581536</v>
      </c>
      <c r="P58" s="516"/>
      <c r="Q58" s="146" t="b">
        <f>IF(D$24=D58,TRUE,D$24-D58)</f>
        <v>1</v>
      </c>
      <c r="S58" s="370">
        <f t="shared" si="2"/>
        <v>0</v>
      </c>
    </row>
    <row r="59" spans="1:19" ht="14.25">
      <c r="A59" s="67"/>
      <c r="B59" s="17">
        <f t="shared" si="0"/>
        <v>43</v>
      </c>
      <c r="C59" s="90" t="s">
        <v>885</v>
      </c>
      <c r="D59" s="511">
        <f t="shared" si="21" ref="D59:M59">D58/D48</f>
        <v>0.070499999999999965</v>
      </c>
      <c r="E59" s="511"/>
      <c r="F59" s="511">
        <f t="shared" si="21"/>
        <v>0.070499999999999993</v>
      </c>
      <c r="G59" s="511">
        <f t="shared" si="21"/>
        <v>0.070500000000000007</v>
      </c>
      <c r="H59" s="511">
        <f t="shared" si="21"/>
        <v>0.070499999999999965</v>
      </c>
      <c r="I59" s="511">
        <f t="shared" si="21"/>
        <v>0.070499999999999993</v>
      </c>
      <c r="J59" s="511">
        <f t="shared" si="21"/>
        <v>0.070500000000000007</v>
      </c>
      <c r="K59" s="511">
        <f>K58/K48</f>
        <v>0.070499999999999979</v>
      </c>
      <c r="L59" s="511">
        <f t="shared" si="21"/>
        <v>0.070500000000000007</v>
      </c>
      <c r="M59" s="511">
        <f t="shared" si="21"/>
        <v>0.070499999999999993</v>
      </c>
      <c r="N59" s="511">
        <f>N58/N48</f>
        <v>0.070500000000000007</v>
      </c>
      <c r="O59" s="512">
        <f>O58/O48</f>
        <v>0.070500000000000007</v>
      </c>
      <c r="P59" s="511"/>
      <c r="Q59" s="12"/>
      <c r="S59" s="370">
        <f t="shared" si="2"/>
        <v>0.63449999999999995</v>
      </c>
    </row>
    <row r="60" spans="1:19" ht="14.25">
      <c r="A60" s="67"/>
      <c r="B60" s="17">
        <f t="shared" si="0"/>
        <v>44</v>
      </c>
      <c r="C60" s="64" t="s">
        <v>886</v>
      </c>
      <c r="D60" s="513">
        <f t="shared" si="22" ref="D60:M60">D59/$D$59</f>
        <v>1</v>
      </c>
      <c r="E60" s="513"/>
      <c r="F60" s="513">
        <f t="shared" si="22"/>
        <v>1.0000000000000004</v>
      </c>
      <c r="G60" s="513">
        <f t="shared" si="22"/>
        <v>1.0000000000000007</v>
      </c>
      <c r="H60" s="513">
        <f t="shared" si="22"/>
        <v>1</v>
      </c>
      <c r="I60" s="513">
        <f t="shared" si="22"/>
        <v>1.0000000000000004</v>
      </c>
      <c r="J60" s="513">
        <f t="shared" si="22"/>
        <v>1.0000000000000007</v>
      </c>
      <c r="K60" s="513">
        <f>K59/$D$59</f>
        <v>1.0000000000000002</v>
      </c>
      <c r="L60" s="513">
        <f t="shared" si="22"/>
        <v>1.0000000000000007</v>
      </c>
      <c r="M60" s="513">
        <f t="shared" si="22"/>
        <v>1.0000000000000004</v>
      </c>
      <c r="N60" s="513">
        <f>N59/$D$59</f>
        <v>1.0000000000000007</v>
      </c>
      <c r="O60" s="514">
        <f>O59/$D$59</f>
        <v>1.0000000000000007</v>
      </c>
      <c r="P60" s="513"/>
      <c r="Q60" s="67"/>
      <c r="S60" s="370">
        <f t="shared" si="2"/>
        <v>9.0000000000000036</v>
      </c>
    </row>
    <row r="61" spans="1:19" ht="15">
      <c r="A61" s="67"/>
      <c r="B61" s="17">
        <f t="shared" si="0"/>
        <v>45</v>
      </c>
      <c r="C61" s="518" t="s">
        <v>887</v>
      </c>
      <c r="D61" s="896">
        <f>SUM(E61:P61)</f>
        <v>0</v>
      </c>
      <c r="E61" s="896"/>
      <c r="F61" s="516">
        <f t="shared" si="23" ref="F61:M61">F58-F54</f>
        <v>0</v>
      </c>
      <c r="G61" s="516">
        <f t="shared" si="23"/>
        <v>0</v>
      </c>
      <c r="H61" s="516">
        <f t="shared" si="23"/>
        <v>0</v>
      </c>
      <c r="I61" s="516">
        <f t="shared" si="23"/>
        <v>0</v>
      </c>
      <c r="J61" s="516">
        <f t="shared" si="23"/>
        <v>0</v>
      </c>
      <c r="K61" s="516">
        <f>K58-K54</f>
        <v>0</v>
      </c>
      <c r="L61" s="516">
        <f t="shared" si="23"/>
        <v>0</v>
      </c>
      <c r="M61" s="516">
        <f t="shared" si="23"/>
        <v>0</v>
      </c>
      <c r="N61" s="516">
        <f>N58-N54</f>
        <v>0</v>
      </c>
      <c r="O61" s="517">
        <f>O58-O54</f>
        <v>0</v>
      </c>
      <c r="P61" s="516"/>
      <c r="Q61" s="67"/>
      <c r="S61" s="370">
        <f t="shared" si="2"/>
        <v>0</v>
      </c>
    </row>
    <row r="62" spans="1:19" ht="14.25">
      <c r="A62" s="67"/>
      <c r="B62" s="17"/>
      <c r="C62" s="270"/>
      <c r="D62" s="270"/>
      <c r="E62" s="270"/>
      <c r="F62" s="272"/>
      <c r="G62" s="272"/>
      <c r="H62" s="1"/>
      <c r="I62" s="1"/>
      <c r="J62" s="519"/>
      <c r="K62" s="1"/>
      <c r="L62" s="519"/>
      <c r="M62" s="1"/>
      <c r="N62" s="1"/>
      <c r="O62" s="1"/>
      <c r="P62" s="1"/>
      <c r="Q62" s="1"/>
      <c r="S62" s="370">
        <f t="shared" si="2"/>
        <v>0</v>
      </c>
    </row>
    <row r="63" spans="1:19" ht="15">
      <c r="A63" s="67"/>
      <c r="B63" s="17">
        <f t="shared" si="24" ref="B63:B103">B62+1</f>
        <v>1</v>
      </c>
      <c r="C63" s="57" t="s">
        <v>888</v>
      </c>
      <c r="D63" s="270"/>
      <c r="E63" s="270"/>
      <c r="F63" s="272"/>
      <c r="G63" s="272"/>
      <c r="H63" s="1"/>
      <c r="I63" s="1"/>
      <c r="J63" s="519"/>
      <c r="K63" s="1"/>
      <c r="L63" s="519"/>
      <c r="M63" s="1"/>
      <c r="N63" s="1"/>
      <c r="O63" s="1"/>
      <c r="P63" s="1"/>
      <c r="Q63" s="1"/>
      <c r="S63" s="370">
        <f t="shared" si="2"/>
        <v>0</v>
      </c>
    </row>
    <row r="64" spans="1:19" ht="14.25">
      <c r="A64" s="67"/>
      <c r="B64" s="17">
        <f t="shared" si="24"/>
        <v>2</v>
      </c>
      <c r="C64" s="270"/>
      <c r="D64" s="270"/>
      <c r="E64" s="270"/>
      <c r="F64" s="272"/>
      <c r="G64" s="272"/>
      <c r="H64" s="1"/>
      <c r="I64" s="1"/>
      <c r="J64" s="519"/>
      <c r="K64" s="1"/>
      <c r="L64" s="519"/>
      <c r="M64" s="1"/>
      <c r="N64" s="1"/>
      <c r="O64" s="1"/>
      <c r="P64" s="1"/>
      <c r="Q64" s="1"/>
      <c r="S64" s="370">
        <f t="shared" si="2"/>
        <v>0</v>
      </c>
    </row>
    <row r="65" spans="1:19" ht="14.25">
      <c r="A65" s="67"/>
      <c r="B65" s="17">
        <f t="shared" si="24"/>
        <v>3</v>
      </c>
      <c r="C65" s="270" t="s">
        <v>922</v>
      </c>
      <c r="D65" s="263">
        <f>SUM(E65:P65)</f>
        <v>16393872127.300001</v>
      </c>
      <c r="E65" s="263"/>
      <c r="F65" s="263">
        <f>'II-I-Total'!J56</f>
        <v>8939701866.6954117</v>
      </c>
      <c r="G65" s="263">
        <f>'II-I-Total'!K56</f>
        <v>430856015.29398602</v>
      </c>
      <c r="H65" s="263">
        <f>'II-I-Total'!L56</f>
        <v>5480311958.0896311</v>
      </c>
      <c r="I65" s="263">
        <f>'II-I-Total'!M56</f>
        <v>5778301.2831323221</v>
      </c>
      <c r="J65" s="263">
        <f>'II-I-Total'!N56</f>
        <v>843333411.93265545</v>
      </c>
      <c r="K65" s="263">
        <f>'II-I-Total'!O56</f>
        <v>72295118.301758885</v>
      </c>
      <c r="L65" s="263">
        <f>'II-I-Total'!P56</f>
        <v>19946853.812918693</v>
      </c>
      <c r="M65" s="263">
        <f>'II-I-Total'!Q56</f>
        <v>550963352.77512157</v>
      </c>
      <c r="N65" s="263">
        <f>'II-I-Total'!R56</f>
        <v>8652324.5621774942</v>
      </c>
      <c r="O65" s="263">
        <f>'II-I-Total'!S56</f>
        <v>42032924.553204671</v>
      </c>
      <c r="P65" s="263"/>
      <c r="Q65" s="146" t="b">
        <f>IF(' WP II-I-1.4'!L56=D65,TRUE,' WP II-I-1.4'!L56-D65)</f>
        <v>1</v>
      </c>
      <c r="S65" s="370">
        <f t="shared" si="2"/>
        <v>0</v>
      </c>
    </row>
    <row r="66" spans="1:19" ht="14.25">
      <c r="A66" s="67"/>
      <c r="B66" s="17">
        <f t="shared" si="24"/>
        <v>4</v>
      </c>
      <c r="C66" s="270" t="s">
        <v>516</v>
      </c>
      <c r="D66" s="263">
        <f>SUM(E66:P66)</f>
        <v>534959372.4800002</v>
      </c>
      <c r="E66" s="263"/>
      <c r="F66" s="263">
        <f>'II-I-Total'!J58</f>
        <v>297908730.44144917</v>
      </c>
      <c r="G66" s="263">
        <f>'II-I-Total'!K58</f>
        <v>23708558.801479205</v>
      </c>
      <c r="H66" s="263">
        <f>'II-I-Total'!L58</f>
        <v>170497621.48057556</v>
      </c>
      <c r="I66" s="263">
        <f>'II-I-Total'!M58</f>
        <v>804374.90999616403</v>
      </c>
      <c r="J66" s="263">
        <f>'II-I-Total'!N58</f>
        <v>33717705.625009626</v>
      </c>
      <c r="K66" s="263">
        <f>'II-I-Total'!O58</f>
        <v>2309195.5155436457</v>
      </c>
      <c r="L66" s="263">
        <f>'II-I-Total'!P58</f>
        <v>1517679.4898304048</v>
      </c>
      <c r="M66" s="263">
        <f>'II-I-Total'!Q58</f>
        <v>3107884.364567019</v>
      </c>
      <c r="N66" s="263">
        <f>'II-I-Total'!R58</f>
        <v>274340.79078890686</v>
      </c>
      <c r="O66" s="263">
        <f>'II-I-Total'!S58</f>
        <v>1113281.0607604617</v>
      </c>
      <c r="P66" s="263"/>
      <c r="Q66" s="146" t="b">
        <f>IF(' WP II-I-1.4'!L58=D66,TRUE,' WP II-I-1.4'!L58-D66)</f>
        <v>1</v>
      </c>
      <c r="S66" s="370">
        <f t="shared" si="2"/>
        <v>0</v>
      </c>
    </row>
    <row r="67" spans="1:19" ht="14.25">
      <c r="A67" s="67"/>
      <c r="B67" s="17">
        <f t="shared" si="24"/>
        <v>5</v>
      </c>
      <c r="C67" s="270" t="s">
        <v>517</v>
      </c>
      <c r="D67" s="520">
        <f>SUM(E67:P67)</f>
        <v>108581708.62000001</v>
      </c>
      <c r="E67" s="520"/>
      <c r="F67" s="520">
        <f>'II-I-Total'!J59</f>
        <v>60478625.224259637</v>
      </c>
      <c r="G67" s="520">
        <f>'II-I-Total'!K59</f>
        <v>5195568.2886560494</v>
      </c>
      <c r="H67" s="520">
        <f>'II-I-Total'!L59</f>
        <v>34116669.829920247</v>
      </c>
      <c r="I67" s="520">
        <f>'II-I-Total'!M59</f>
        <v>183691.8053203962</v>
      </c>
      <c r="J67" s="520">
        <f>'II-I-Total'!N59</f>
        <v>6979194.9849865735</v>
      </c>
      <c r="K67" s="520">
        <f>'II-I-Total'!O59</f>
        <v>453461.26675616775</v>
      </c>
      <c r="L67" s="520">
        <f>'II-I-Total'!P59</f>
        <v>335135.58113027614</v>
      </c>
      <c r="M67" s="520">
        <f>'II-I-Total'!Q59</f>
        <v>572147.61147050653</v>
      </c>
      <c r="N67" s="520">
        <f>'II-I-Total'!R59</f>
        <v>53789.359872921224</v>
      </c>
      <c r="O67" s="520">
        <f>'II-I-Total'!S59</f>
        <v>213424.66762723753</v>
      </c>
      <c r="P67" s="263"/>
      <c r="Q67" s="146" t="b">
        <f>IF(' WP II-I-1.4'!L59=D67,TRUE,' WP II-I-1.4'!L59-D67)</f>
        <v>1</v>
      </c>
      <c r="S67" s="370">
        <f t="shared" si="2"/>
        <v>0</v>
      </c>
    </row>
    <row r="68" spans="1:19" ht="15">
      <c r="A68" s="67"/>
      <c r="B68" s="17">
        <f t="shared" si="24"/>
        <v>6</v>
      </c>
      <c r="C68" s="270" t="s">
        <v>518</v>
      </c>
      <c r="D68" s="39">
        <f>SUM(E68:P68)</f>
        <v>17037413208.399998</v>
      </c>
      <c r="E68" s="39"/>
      <c r="F68" s="39">
        <f t="shared" si="25" ref="F68:M68">SUM(F65:F67)</f>
        <v>9298089222.3611202</v>
      </c>
      <c r="G68" s="39">
        <f t="shared" si="25"/>
        <v>459760142.3841213</v>
      </c>
      <c r="H68" s="39">
        <f t="shared" si="25"/>
        <v>5684926249.4001265</v>
      </c>
      <c r="I68" s="39">
        <f t="shared" si="25"/>
        <v>6766367.9984488823</v>
      </c>
      <c r="J68" s="39">
        <f t="shared" si="25"/>
        <v>884030312.54265165</v>
      </c>
      <c r="K68" s="39">
        <f>SUM(K65:K67)</f>
        <v>75057775.084058687</v>
      </c>
      <c r="L68" s="39">
        <f t="shared" si="25"/>
        <v>21799668.883879375</v>
      </c>
      <c r="M68" s="39">
        <f t="shared" si="25"/>
        <v>554643384.75115907</v>
      </c>
      <c r="N68" s="39">
        <f>SUM(N65:N67)</f>
        <v>8980454.7128393222</v>
      </c>
      <c r="O68" s="39">
        <f>SUM(O65:O67)</f>
        <v>43359630.281592369</v>
      </c>
      <c r="P68" s="263"/>
      <c r="Q68" s="146"/>
      <c r="S68" s="370">
        <f t="shared" si="2"/>
        <v>0</v>
      </c>
    </row>
    <row r="69" spans="1:19" ht="14.25">
      <c r="A69" s="67"/>
      <c r="B69" s="17">
        <f t="shared" si="24"/>
        <v>7</v>
      </c>
      <c r="C69" s="270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146"/>
      <c r="S69" s="370">
        <f t="shared" si="2"/>
        <v>0</v>
      </c>
    </row>
    <row r="70" spans="1:19" ht="14.25">
      <c r="A70" s="67"/>
      <c r="B70" s="17">
        <f t="shared" si="24"/>
        <v>8</v>
      </c>
      <c r="C70" s="270" t="s">
        <v>519</v>
      </c>
      <c r="D70" s="263">
        <f>SUM(E70:P70)</f>
        <v>6571378311.1500015</v>
      </c>
      <c r="E70" s="263"/>
      <c r="F70" s="263">
        <f>'II-I-Total'!J62</f>
        <v>3472257573.3834515</v>
      </c>
      <c r="G70" s="263">
        <f>'II-I-Total'!K62</f>
        <v>224281797.3307969</v>
      </c>
      <c r="H70" s="263">
        <f>'II-I-Total'!L62</f>
        <v>2054746510.247797</v>
      </c>
      <c r="I70" s="263">
        <f>'II-I-Total'!M62</f>
        <v>3202533.9838215066</v>
      </c>
      <c r="J70" s="263">
        <f>'II-I-Total'!N62</f>
        <v>304675731.90298271</v>
      </c>
      <c r="K70" s="263">
        <f>'II-I-Total'!O62</f>
        <v>20754987.257787425</v>
      </c>
      <c r="L70" s="263">
        <f>'II-I-Total'!P62</f>
        <v>8244831.2473591398</v>
      </c>
      <c r="M70" s="263">
        <f>'II-I-Total'!Q62</f>
        <v>466652716.42371094</v>
      </c>
      <c r="N70" s="263">
        <f>'II-I-Total'!R62</f>
        <v>2479287.9781749751</v>
      </c>
      <c r="O70" s="263">
        <f>'II-I-Total'!S62</f>
        <v>14082341.394118035</v>
      </c>
      <c r="P70" s="263"/>
      <c r="Q70" s="146" t="b">
        <f>IF(' WP II-I-1.4'!L62=D70,TRUE,' WP II-I-1.4'!L62-D70)</f>
        <v>1</v>
      </c>
      <c r="S70" s="370">
        <f t="shared" si="2"/>
        <v>0</v>
      </c>
    </row>
    <row r="71" spans="1:19" ht="14.25">
      <c r="A71" s="67"/>
      <c r="B71" s="17">
        <f t="shared" si="24"/>
        <v>9</v>
      </c>
      <c r="C71" s="270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146"/>
      <c r="S71" s="370">
        <f t="shared" si="2"/>
        <v>0</v>
      </c>
    </row>
    <row r="72" spans="1:19" ht="14.25">
      <c r="A72" s="67"/>
      <c r="B72" s="17">
        <f t="shared" si="24"/>
        <v>10</v>
      </c>
      <c r="C72" s="42" t="s">
        <v>889</v>
      </c>
      <c r="D72" s="263">
        <f>SUM(E72:P72)</f>
        <v>10466034897.249998</v>
      </c>
      <c r="E72" s="263"/>
      <c r="F72" s="263">
        <f>+F68-F70</f>
        <v>5825831648.9776688</v>
      </c>
      <c r="G72" s="263">
        <f t="shared" si="26" ref="G72:M72">+G68-G70</f>
        <v>235478345.0533244</v>
      </c>
      <c r="H72" s="263">
        <f t="shared" si="26"/>
        <v>3630179739.1523294</v>
      </c>
      <c r="I72" s="263">
        <f t="shared" si="26"/>
        <v>3563834.0146273756</v>
      </c>
      <c r="J72" s="263">
        <f t="shared" si="26"/>
        <v>579354580.63966894</v>
      </c>
      <c r="K72" s="263">
        <f>+K68-K70</f>
        <v>54302787.826271266</v>
      </c>
      <c r="L72" s="263">
        <f t="shared" si="26"/>
        <v>13554837.636520235</v>
      </c>
      <c r="M72" s="263">
        <f t="shared" si="26"/>
        <v>87990668.32744813</v>
      </c>
      <c r="N72" s="263">
        <f>+N68-N70</f>
        <v>6501166.734664347</v>
      </c>
      <c r="O72" s="263">
        <f>+O68-O70</f>
        <v>29277288.887474336</v>
      </c>
      <c r="P72" s="263"/>
      <c r="Q72" s="146"/>
      <c r="S72" s="370">
        <f t="shared" si="2"/>
        <v>0</v>
      </c>
    </row>
    <row r="73" spans="1:19" ht="14.25">
      <c r="A73" s="67"/>
      <c r="B73" s="17">
        <f t="shared" si="24"/>
        <v>11</v>
      </c>
      <c r="C73" s="270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146"/>
      <c r="S73" s="370">
        <f t="shared" si="2"/>
        <v>0</v>
      </c>
    </row>
    <row r="74" spans="1:19" ht="15">
      <c r="A74" s="67"/>
      <c r="B74" s="17">
        <f t="shared" si="24"/>
        <v>12</v>
      </c>
      <c r="C74" s="36" t="s">
        <v>521</v>
      </c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146"/>
      <c r="S74" s="370">
        <f t="shared" si="2"/>
        <v>0</v>
      </c>
    </row>
    <row r="75" spans="1:19" ht="14.25">
      <c r="A75" s="67"/>
      <c r="B75" s="17">
        <f t="shared" si="24"/>
        <v>13</v>
      </c>
      <c r="C75" s="43" t="s">
        <v>116</v>
      </c>
      <c r="D75" s="263">
        <f t="shared" si="27" ref="D75:D83">SUM(E75:P75)</f>
        <v>0</v>
      </c>
      <c r="E75" s="263"/>
      <c r="F75" s="263">
        <f>'II-I-Total'!J68</f>
        <v>0</v>
      </c>
      <c r="G75" s="263">
        <f>'II-I-Total'!K68</f>
        <v>0</v>
      </c>
      <c r="H75" s="263">
        <f>'II-I-Total'!L68</f>
        <v>0</v>
      </c>
      <c r="I75" s="263">
        <f>'II-I-Total'!M68</f>
        <v>0</v>
      </c>
      <c r="J75" s="263">
        <f>'II-I-Total'!N68</f>
        <v>0</v>
      </c>
      <c r="K75" s="263">
        <f>'II-I-Total'!O68</f>
        <v>0</v>
      </c>
      <c r="L75" s="263">
        <f>'II-I-Total'!P68</f>
        <v>0</v>
      </c>
      <c r="M75" s="263">
        <f>'II-I-Total'!Q68</f>
        <v>0</v>
      </c>
      <c r="N75" s="263">
        <f>'II-I-Total'!R68</f>
        <v>0</v>
      </c>
      <c r="O75" s="263">
        <f>'II-I-Total'!S68</f>
        <v>0</v>
      </c>
      <c r="P75" s="263"/>
      <c r="Q75" s="146" t="b">
        <f>IF(' WP II-I-1.4'!L68=D75,TRUE,' WP II-I-1.4'!L68-D75)</f>
        <v>1</v>
      </c>
      <c r="S75" s="370">
        <f t="shared" si="2"/>
        <v>0</v>
      </c>
    </row>
    <row r="76" spans="1:19" ht="14.25">
      <c r="A76" s="67"/>
      <c r="B76" s="17">
        <f t="shared" si="24"/>
        <v>14</v>
      </c>
      <c r="C76" s="43" t="s">
        <v>118</v>
      </c>
      <c r="D76" s="263">
        <f t="shared" si="27"/>
        <v>1745979.3399999996</v>
      </c>
      <c r="E76" s="263"/>
      <c r="F76" s="263">
        <f>'II-I-Total'!J69</f>
        <v>918949.05612198694</v>
      </c>
      <c r="G76" s="263">
        <f>'II-I-Total'!K69</f>
        <v>22440.93415476655</v>
      </c>
      <c r="H76" s="263">
        <f>'II-I-Total'!L69</f>
        <v>591685.87524851703</v>
      </c>
      <c r="I76" s="263">
        <f>'II-I-Total'!M69</f>
        <v>334.50441386345329</v>
      </c>
      <c r="J76" s="263">
        <f>'II-I-Total'!N69</f>
        <v>141579.1087229487</v>
      </c>
      <c r="K76" s="263">
        <f>'II-I-Total'!O69</f>
        <v>51199.922597649958</v>
      </c>
      <c r="L76" s="263">
        <f>'II-I-Total'!P69</f>
        <v>0</v>
      </c>
      <c r="M76" s="263">
        <f>'II-I-Total'!Q69</f>
        <v>5968.0008339198394</v>
      </c>
      <c r="N76" s="263">
        <f>'II-I-Total'!R69</f>
        <v>6136.6311775150507</v>
      </c>
      <c r="O76" s="263">
        <f>'II-I-Total'!S69</f>
        <v>7685.3067288325165</v>
      </c>
      <c r="P76" s="263"/>
      <c r="Q76" s="146" t="b">
        <f>IF(' WP II-I-1.4'!L69=D76,TRUE,' WP II-I-1.4'!L69-D76)</f>
        <v>1</v>
      </c>
      <c r="S76" s="370">
        <f t="shared" si="2"/>
        <v>0</v>
      </c>
    </row>
    <row r="77" spans="1:19" ht="14.25">
      <c r="A77" s="67"/>
      <c r="B77" s="17">
        <f t="shared" si="24"/>
        <v>15</v>
      </c>
      <c r="C77" s="43" t="s">
        <v>522</v>
      </c>
      <c r="D77" s="263">
        <f t="shared" si="27"/>
        <v>0</v>
      </c>
      <c r="E77" s="263"/>
      <c r="F77" s="263">
        <f>'II-I-Total'!J70</f>
        <v>0</v>
      </c>
      <c r="G77" s="263">
        <f>'II-I-Total'!K70</f>
        <v>0</v>
      </c>
      <c r="H77" s="263">
        <f>'II-I-Total'!L70</f>
        <v>0</v>
      </c>
      <c r="I77" s="263">
        <f>'II-I-Total'!M70</f>
        <v>0</v>
      </c>
      <c r="J77" s="263">
        <f>'II-I-Total'!N70</f>
        <v>0</v>
      </c>
      <c r="K77" s="263">
        <f>'II-I-Total'!O70</f>
        <v>0</v>
      </c>
      <c r="L77" s="263">
        <f>'II-I-Total'!P70</f>
        <v>0</v>
      </c>
      <c r="M77" s="263">
        <f>'II-I-Total'!Q70</f>
        <v>0</v>
      </c>
      <c r="N77" s="263">
        <f>'II-I-Total'!R70</f>
        <v>0</v>
      </c>
      <c r="O77" s="263">
        <f>'II-I-Total'!S70</f>
        <v>0</v>
      </c>
      <c r="P77" s="263"/>
      <c r="Q77" s="146" t="b">
        <f>IF(' WP II-I-1.4'!L70=D77,TRUE,' WP II-I-1.4'!L70-D77)</f>
        <v>1</v>
      </c>
      <c r="S77" s="370">
        <f t="shared" si="2"/>
        <v>0</v>
      </c>
    </row>
    <row r="78" spans="1:19" ht="14.25">
      <c r="A78" s="67"/>
      <c r="B78" s="17">
        <f t="shared" si="24"/>
        <v>16</v>
      </c>
      <c r="C78" s="43" t="s">
        <v>524</v>
      </c>
      <c r="D78" s="263">
        <f t="shared" si="27"/>
        <v>74796187.73999995</v>
      </c>
      <c r="E78" s="263"/>
      <c r="F78" s="263">
        <f>'II-I-Total'!J71</f>
        <v>40747701.920247979</v>
      </c>
      <c r="G78" s="263">
        <f>'II-I-Total'!K71</f>
        <v>1654265.3506130565</v>
      </c>
      <c r="H78" s="263">
        <f>'II-I-Total'!L71</f>
        <v>25381208.777047392</v>
      </c>
      <c r="I78" s="263">
        <f>'II-I-Total'!M71</f>
        <v>9167.6393458609873</v>
      </c>
      <c r="J78" s="263">
        <f>'II-I-Total'!N71</f>
        <v>3721746.0001039128</v>
      </c>
      <c r="K78" s="263">
        <f>'II-I-Total'!O71</f>
        <v>340329.75567960716</v>
      </c>
      <c r="L78" s="263">
        <f>'II-I-Total'!P71</f>
        <v>67916.736598132062</v>
      </c>
      <c r="M78" s="263">
        <f>'II-I-Total'!Q71</f>
        <v>2631405.8795316732</v>
      </c>
      <c r="N78" s="263">
        <f>'II-I-Total'!R71</f>
        <v>40789.395565958082</v>
      </c>
      <c r="O78" s="263">
        <f>'II-I-Total'!S71</f>
        <v>201656.28526640055</v>
      </c>
      <c r="P78" s="263"/>
      <c r="Q78" s="146">
        <f>IF(' WP II-I-1.4'!L71=D78,TRUE,' WP II-I-1.4'!L71-D78)</f>
        <v>4.4703483581542969E-08</v>
      </c>
      <c r="S78" s="370">
        <f t="shared" si="2"/>
        <v>0</v>
      </c>
    </row>
    <row r="79" spans="1:19" ht="14.25">
      <c r="A79" s="67"/>
      <c r="B79" s="17">
        <f t="shared" si="24"/>
        <v>17</v>
      </c>
      <c r="C79" s="43" t="s">
        <v>123</v>
      </c>
      <c r="D79" s="263">
        <f t="shared" si="27"/>
        <v>-16280093.57000001</v>
      </c>
      <c r="E79" s="263"/>
      <c r="F79" s="263">
        <f>'II-I-Total'!J72</f>
        <v>-7625839.0663234713</v>
      </c>
      <c r="G79" s="263">
        <f>'II-I-Total'!K72</f>
        <v>-184146.95343877364</v>
      </c>
      <c r="H79" s="263">
        <f>'II-I-Total'!L72</f>
        <v>-5475610.0792162586</v>
      </c>
      <c r="I79" s="263">
        <f>'II-I-Total'!M72</f>
        <v>-1015.3781894974011</v>
      </c>
      <c r="J79" s="263">
        <f>'II-I-Total'!N72</f>
        <v>-1327565.4475834633</v>
      </c>
      <c r="K79" s="263">
        <f>'II-I-Total'!O72</f>
        <v>-399194.90434583469</v>
      </c>
      <c r="L79" s="263">
        <f>'II-I-Total'!P72</f>
        <v>-1166777.3119368467</v>
      </c>
      <c r="M79" s="263">
        <f>'II-I-Total'!Q72</f>
        <v>-88778.188313451727</v>
      </c>
      <c r="N79" s="263">
        <f>'II-I-Total'!R72</f>
        <v>-1701.8399989633667</v>
      </c>
      <c r="O79" s="263">
        <f>'II-I-Total'!S72</f>
        <v>-9464.400653447301</v>
      </c>
      <c r="P79" s="263"/>
      <c r="Q79" s="146" t="b">
        <f>IF(' WP II-I-1.4'!L72=D79,TRUE,' WP II-I-1.4'!L72-D79)</f>
        <v>1</v>
      </c>
      <c r="S79" s="370">
        <f t="shared" si="2"/>
        <v>0</v>
      </c>
    </row>
    <row r="80" spans="1:19" ht="14.25">
      <c r="A80" s="67"/>
      <c r="B80" s="17">
        <f t="shared" si="24"/>
        <v>18</v>
      </c>
      <c r="C80" s="43" t="s">
        <v>125</v>
      </c>
      <c r="D80" s="263">
        <f t="shared" si="27"/>
        <v>104576672.73615383</v>
      </c>
      <c r="E80" s="263"/>
      <c r="F80" s="263">
        <f>'II-I-Total'!J73</f>
        <v>41996472.030183576</v>
      </c>
      <c r="G80" s="263">
        <f>'II-I-Total'!K73</f>
        <v>1500195.2321651203</v>
      </c>
      <c r="H80" s="263">
        <f>'II-I-Total'!L73</f>
        <v>43969878.771360263</v>
      </c>
      <c r="I80" s="263">
        <f>'II-I-Total'!M73</f>
        <v>758.93271398874992</v>
      </c>
      <c r="J80" s="263">
        <f>'II-I-Total'!N73</f>
        <v>7070030.0261587268</v>
      </c>
      <c r="K80" s="263">
        <f>'II-I-Total'!O73</f>
        <v>1112421.7067687342</v>
      </c>
      <c r="L80" s="263">
        <f>'II-I-Total'!P73</f>
        <v>8332812.0589810628</v>
      </c>
      <c r="M80" s="263">
        <f>'II-I-Total'!Q73</f>
        <v>382811.32329457736</v>
      </c>
      <c r="N80" s="263">
        <f>'II-I-Total'!R73</f>
        <v>84880.332742595871</v>
      </c>
      <c r="O80" s="263">
        <f>'II-I-Total'!S73</f>
        <v>126412.32178517949</v>
      </c>
      <c r="P80" s="263"/>
      <c r="Q80" s="146" t="b">
        <f>IF(' WP II-I-1.4'!L73=D80,TRUE,' WP II-I-1.4'!L73-D80)</f>
        <v>1</v>
      </c>
      <c r="S80" s="370">
        <f t="shared" si="2"/>
        <v>0</v>
      </c>
    </row>
    <row r="81" spans="1:19" ht="14.25">
      <c r="A81" s="67"/>
      <c r="B81" s="17">
        <f t="shared" si="24"/>
        <v>19</v>
      </c>
      <c r="C81" s="43" t="s">
        <v>525</v>
      </c>
      <c r="D81" s="263">
        <f t="shared" si="27"/>
        <v>-3096684.4399999999</v>
      </c>
      <c r="E81" s="263"/>
      <c r="F81" s="263">
        <f>'II-I-Total'!J74</f>
        <v>-1486339.8732912485</v>
      </c>
      <c r="G81" s="263">
        <f>'II-I-Total'!K74</f>
        <v>-36296.740288185494</v>
      </c>
      <c r="H81" s="263">
        <f>'II-I-Total'!L74</f>
        <v>-957013.12601202459</v>
      </c>
      <c r="I81" s="263">
        <f>'II-I-Total'!M74</f>
        <v>-541.03896707323975</v>
      </c>
      <c r="J81" s="263">
        <f>'II-I-Total'!N74</f>
        <v>-228994.92971677968</v>
      </c>
      <c r="K81" s="263">
        <f>'II-I-Total'!O74</f>
        <v>-82812.519322301494</v>
      </c>
      <c r="L81" s="263">
        <f>'II-I-Total'!P74</f>
        <v>-272677.28345938149</v>
      </c>
      <c r="M81" s="263">
        <f>'II-I-Total'!Q74</f>
        <v>-9652.8502251521495</v>
      </c>
      <c r="N81" s="263">
        <f>'II-I-Total'!R74</f>
        <v>-9925.5987544232848</v>
      </c>
      <c r="O81" s="263">
        <f>'II-I-Total'!S74</f>
        <v>-12430.479963430034</v>
      </c>
      <c r="P81" s="263"/>
      <c r="Q81" s="146" t="b">
        <f>IF(' WP II-I-1.4'!L74=D81,TRUE,' WP II-I-1.4'!L74-D81)</f>
        <v>1</v>
      </c>
      <c r="S81" s="370">
        <f t="shared" si="2"/>
        <v>0</v>
      </c>
    </row>
    <row r="82" spans="1:19" ht="14.25">
      <c r="A82" s="67"/>
      <c r="B82" s="17">
        <f t="shared" si="24"/>
        <v>20</v>
      </c>
      <c r="C82" s="43" t="s">
        <v>526</v>
      </c>
      <c r="D82" s="263">
        <f t="shared" si="27"/>
        <v>314699496.47318721</v>
      </c>
      <c r="E82" s="263"/>
      <c r="F82" s="263">
        <f>'II-I-Total'!J75</f>
        <v>172287681.55731773</v>
      </c>
      <c r="G82" s="263">
        <f>'II-I-Total'!K75</f>
        <v>14057648.17265727</v>
      </c>
      <c r="H82" s="263">
        <f>'II-I-Total'!L75</f>
        <v>98867929.052208155</v>
      </c>
      <c r="I82" s="263">
        <f>'II-I-Total'!M75</f>
        <v>494228.67905201175</v>
      </c>
      <c r="J82" s="263">
        <f>'II-I-Total'!N75</f>
        <v>21128603.755417481</v>
      </c>
      <c r="K82" s="263">
        <f>'II-I-Total'!O75</f>
        <v>1504600.5241801408</v>
      </c>
      <c r="L82" s="263">
        <f>'II-I-Total'!P75</f>
        <v>835047.17749318725</v>
      </c>
      <c r="M82" s="263">
        <f>'II-I-Total'!Q75</f>
        <v>4732279.9733454734</v>
      </c>
      <c r="N82" s="263">
        <f>'II-I-Total'!R75</f>
        <v>163489.39363318728</v>
      </c>
      <c r="O82" s="263">
        <f>'II-I-Total'!S75</f>
        <v>627988.18788259546</v>
      </c>
      <c r="P82" s="263"/>
      <c r="Q82" s="146" t="b">
        <f>IF(' WP II-I-1.4'!L75=D82,TRUE,' WP II-I-1.4'!L75-D82)</f>
        <v>1</v>
      </c>
      <c r="S82" s="370">
        <f t="shared" si="2"/>
        <v>0</v>
      </c>
    </row>
    <row r="83" spans="1:19" ht="14.25">
      <c r="A83" s="67"/>
      <c r="B83" s="17">
        <f t="shared" si="24"/>
        <v>21</v>
      </c>
      <c r="C83" s="1" t="s">
        <v>527</v>
      </c>
      <c r="D83" s="520">
        <f t="shared" si="27"/>
        <v>-1254525958.9599989</v>
      </c>
      <c r="E83" s="520"/>
      <c r="F83" s="520">
        <f>'II-I-Total'!J76</f>
        <v>-684952974.02777207</v>
      </c>
      <c r="G83" s="520">
        <f>'II-I-Total'!K76</f>
        <v>-35457243.848259106</v>
      </c>
      <c r="H83" s="520">
        <f>'II-I-Total'!L76</f>
        <v>-416725065.67576814</v>
      </c>
      <c r="I83" s="520">
        <f>'II-I-Total'!M76</f>
        <v>-588700.74330831098</v>
      </c>
      <c r="J83" s="520">
        <f>'II-I-Total'!N76</f>
        <v>-65794409.382541195</v>
      </c>
      <c r="K83" s="520">
        <f>'II-I-Total'!O76</f>
        <v>-5478987.9678034149</v>
      </c>
      <c r="L83" s="520">
        <f>'II-I-Total'!P76</f>
        <v>-1727566.5882999734</v>
      </c>
      <c r="M83" s="520">
        <f>'II-I-Total'!Q76</f>
        <v>-40002916.016376942</v>
      </c>
      <c r="N83" s="520">
        <f>'II-I-Total'!R76</f>
        <v>-655237.84047208657</v>
      </c>
      <c r="O83" s="520">
        <f>'II-I-Total'!S76</f>
        <v>-3142856.869397718</v>
      </c>
      <c r="P83" s="263"/>
      <c r="Q83" s="146" t="b">
        <f>IF(ROUND(' WP II-I-1.4'!L76-D83,2)=0,TRUE,' WP II-I-1.4'!L76-D83)</f>
        <v>1</v>
      </c>
      <c r="S83" s="370">
        <f t="shared" si="28" ref="S83:S138">SUM(F83:O83)-D83</f>
        <v>0</v>
      </c>
    </row>
    <row r="84" spans="1:19" ht="14.25">
      <c r="A84" s="67"/>
      <c r="B84" s="17">
        <f t="shared" si="24"/>
        <v>22</v>
      </c>
      <c r="C84" s="1"/>
      <c r="D84" s="263"/>
      <c r="E84" s="263"/>
      <c r="F84" s="1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4"/>
      <c r="S84" s="370">
        <f t="shared" si="28"/>
        <v>0</v>
      </c>
    </row>
    <row r="85" spans="1:19" ht="15">
      <c r="A85" s="67"/>
      <c r="B85" s="17">
        <f t="shared" si="24"/>
        <v>23</v>
      </c>
      <c r="C85" s="297" t="s">
        <v>491</v>
      </c>
      <c r="D85" s="39">
        <f>SUM(E85:P85)</f>
        <v>-778084400.68065798</v>
      </c>
      <c r="E85" s="39"/>
      <c r="F85" s="39">
        <f t="shared" si="29" ref="F85:M85">SUM(F74:F83)</f>
        <v>-438114348.40351552</v>
      </c>
      <c r="G85" s="39">
        <f t="shared" si="29"/>
        <v>-18443137.852395851</v>
      </c>
      <c r="H85" s="39">
        <f t="shared" si="29"/>
        <v>-254346986.40513209</v>
      </c>
      <c r="I85" s="39">
        <f t="shared" si="29"/>
        <v>-85767.404939156666</v>
      </c>
      <c r="J85" s="39">
        <f t="shared" si="29"/>
        <v>-35289010.869438365</v>
      </c>
      <c r="K85" s="39">
        <f>SUM(K74:K83)</f>
        <v>-2952443.4822454192</v>
      </c>
      <c r="L85" s="39">
        <f t="shared" si="29"/>
        <v>6068754.7893761806</v>
      </c>
      <c r="M85" s="39">
        <f t="shared" si="29"/>
        <v>-32348881.877909902</v>
      </c>
      <c r="N85" s="39">
        <f>SUM(N74:N83)</f>
        <v>-371569.52610621694</v>
      </c>
      <c r="O85" s="39">
        <f>SUM(O74:O83)</f>
        <v>-2201009.6483515874</v>
      </c>
      <c r="P85" s="263"/>
      <c r="Q85" s="24"/>
      <c r="S85" s="370">
        <f t="shared" si="28"/>
        <v>0</v>
      </c>
    </row>
    <row r="86" spans="1:19" ht="14.25">
      <c r="A86" s="67"/>
      <c r="B86" s="17">
        <f t="shared" si="24"/>
        <v>24</v>
      </c>
      <c r="C86" s="42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4"/>
      <c r="S86" s="370">
        <f t="shared" si="28"/>
        <v>0</v>
      </c>
    </row>
    <row r="87" spans="1:19" ht="15">
      <c r="A87" s="67"/>
      <c r="B87" s="17">
        <f t="shared" si="24"/>
        <v>25</v>
      </c>
      <c r="C87" s="48" t="s">
        <v>529</v>
      </c>
      <c r="D87" s="39">
        <f>SUM(E87:P87)</f>
        <v>9687950496.5693398</v>
      </c>
      <c r="E87" s="39"/>
      <c r="F87" s="39">
        <f>+F72+F85</f>
        <v>5387717300.5741529</v>
      </c>
      <c r="G87" s="39">
        <f t="shared" si="30" ref="G87:M87">+G72+G85</f>
        <v>217035207.20092854</v>
      </c>
      <c r="H87" s="39">
        <f t="shared" si="30"/>
        <v>3375832752.7471972</v>
      </c>
      <c r="I87" s="39">
        <f t="shared" si="30"/>
        <v>3478066.6096882191</v>
      </c>
      <c r="J87" s="39">
        <f t="shared" si="30"/>
        <v>544065569.77023053</v>
      </c>
      <c r="K87" s="39">
        <f>+K72+K85</f>
        <v>51350344.34402585</v>
      </c>
      <c r="L87" s="39">
        <f t="shared" si="30"/>
        <v>19623592.425896414</v>
      </c>
      <c r="M87" s="39">
        <f t="shared" si="30"/>
        <v>55641786.449538231</v>
      </c>
      <c r="N87" s="39">
        <f>+N72+N85</f>
        <v>6129597.2085581301</v>
      </c>
      <c r="O87" s="39">
        <f>+O72+O85</f>
        <v>27076279.239122748</v>
      </c>
      <c r="P87" s="263"/>
      <c r="Q87" s="24" t="b">
        <f>D48=D87</f>
        <v>1</v>
      </c>
      <c r="S87" s="370">
        <f t="shared" si="28"/>
        <v>0</v>
      </c>
    </row>
    <row r="88" spans="1:19" ht="15">
      <c r="A88" s="67"/>
      <c r="B88" s="17">
        <f t="shared" si="24"/>
        <v>26</v>
      </c>
      <c r="C88" s="48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4"/>
      <c r="S88" s="370">
        <f t="shared" si="28"/>
        <v>0</v>
      </c>
    </row>
    <row r="89" spans="1:19" ht="14.25">
      <c r="A89" s="67"/>
      <c r="B89" s="17">
        <f t="shared" si="24"/>
        <v>27</v>
      </c>
      <c r="C89" s="42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4"/>
      <c r="S89" s="370">
        <f t="shared" si="28"/>
        <v>0</v>
      </c>
    </row>
    <row r="90" spans="1:19" ht="15">
      <c r="A90" s="67"/>
      <c r="B90" s="17">
        <f t="shared" si="24"/>
        <v>28</v>
      </c>
      <c r="C90" s="521" t="s">
        <v>890</v>
      </c>
      <c r="D90" s="522"/>
      <c r="E90" s="522"/>
      <c r="F90" s="522"/>
      <c r="G90" s="522"/>
      <c r="H90" s="522"/>
      <c r="I90" s="522"/>
      <c r="J90" s="522"/>
      <c r="K90" s="522"/>
      <c r="L90" s="522"/>
      <c r="M90" s="522"/>
      <c r="N90" s="522"/>
      <c r="O90" s="523"/>
      <c r="P90" s="1"/>
      <c r="Q90" s="24"/>
      <c r="S90" s="370">
        <f t="shared" si="28"/>
        <v>0</v>
      </c>
    </row>
    <row r="91" spans="1:19" ht="14.25">
      <c r="A91" s="67"/>
      <c r="B91" s="17">
        <f t="shared" si="24"/>
        <v>29</v>
      </c>
      <c r="C91" s="524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463"/>
      <c r="P91" s="263"/>
      <c r="Q91" s="24"/>
      <c r="S91" s="370">
        <f t="shared" si="28"/>
        <v>0</v>
      </c>
    </row>
    <row r="92" spans="1:19" ht="14.25">
      <c r="A92" s="67"/>
      <c r="B92" s="17">
        <f t="shared" si="24"/>
        <v>30</v>
      </c>
      <c r="C92" s="524" t="s">
        <v>882</v>
      </c>
      <c r="D92" s="365">
        <f>' WP II-I-1.4'!L597</f>
        <v>0.070499999999999993</v>
      </c>
      <c r="E92" s="365"/>
      <c r="F92" s="365">
        <f t="shared" si="31" ref="F92:O92">$D$92</f>
        <v>0.070499999999999993</v>
      </c>
      <c r="G92" s="365">
        <f t="shared" si="31"/>
        <v>0.070499999999999993</v>
      </c>
      <c r="H92" s="365">
        <f t="shared" si="31"/>
        <v>0.070499999999999993</v>
      </c>
      <c r="I92" s="365">
        <f t="shared" si="31"/>
        <v>0.070499999999999993</v>
      </c>
      <c r="J92" s="365">
        <f t="shared" si="31"/>
        <v>0.070499999999999993</v>
      </c>
      <c r="K92" s="365">
        <f t="shared" si="31"/>
        <v>0.070499999999999993</v>
      </c>
      <c r="L92" s="365">
        <f t="shared" si="31"/>
        <v>0.070499999999999993</v>
      </c>
      <c r="M92" s="365">
        <f t="shared" si="31"/>
        <v>0.070499999999999993</v>
      </c>
      <c r="N92" s="365">
        <f t="shared" si="31"/>
        <v>0.070499999999999993</v>
      </c>
      <c r="O92" s="525">
        <f t="shared" si="31"/>
        <v>0.070499999999999993</v>
      </c>
      <c r="P92" s="365"/>
      <c r="Q92" s="24"/>
      <c r="S92" s="370">
        <f t="shared" si="28"/>
        <v>0.63449999999999995</v>
      </c>
    </row>
    <row r="93" spans="1:19" ht="14.25">
      <c r="A93" s="67"/>
      <c r="B93" s="17">
        <f t="shared" si="24"/>
        <v>31</v>
      </c>
      <c r="C93" s="64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463"/>
      <c r="P93" s="263"/>
      <c r="Q93" s="24"/>
      <c r="S93" s="370">
        <f t="shared" si="28"/>
        <v>0</v>
      </c>
    </row>
    <row r="94" spans="1:19" ht="14.25">
      <c r="A94" s="67"/>
      <c r="B94" s="17">
        <f t="shared" si="24"/>
        <v>32</v>
      </c>
      <c r="C94" s="526" t="s">
        <v>891</v>
      </c>
      <c r="D94" s="520">
        <f>SUM(E94:P94)</f>
        <v>683000510.00813818</v>
      </c>
      <c r="E94" s="520"/>
      <c r="F94" s="520">
        <f t="shared" si="32" ref="F94:M94">F87*F92</f>
        <v>379834069.69047773</v>
      </c>
      <c r="G94" s="520">
        <f t="shared" si="32"/>
        <v>15300982.107665461</v>
      </c>
      <c r="H94" s="520">
        <f t="shared" si="32"/>
        <v>237996209.06867737</v>
      </c>
      <c r="I94" s="520">
        <f t="shared" si="32"/>
        <v>245203.69598301943</v>
      </c>
      <c r="J94" s="520">
        <f t="shared" si="32"/>
        <v>38356622.668801248</v>
      </c>
      <c r="K94" s="520">
        <f>K87*K92</f>
        <v>3620199.2762538223</v>
      </c>
      <c r="L94" s="520">
        <f t="shared" si="32"/>
        <v>1383463.2660256971</v>
      </c>
      <c r="M94" s="520">
        <f t="shared" si="32"/>
        <v>3922745.944692445</v>
      </c>
      <c r="N94" s="520">
        <f>N87*N92</f>
        <v>432136.60320334812</v>
      </c>
      <c r="O94" s="462">
        <f>O87*O92</f>
        <v>1908877.6863581536</v>
      </c>
      <c r="P94" s="263"/>
      <c r="Q94" s="146" t="b">
        <f>IF(ROUND('II-I-Total'!U599-D94,2)=0,TRUE,'II-I-Total'!U599-D94)</f>
        <v>1</v>
      </c>
      <c r="S94" s="370">
        <f t="shared" si="28"/>
        <v>0</v>
      </c>
    </row>
    <row r="95" spans="1:19" ht="14.25">
      <c r="A95" s="67"/>
      <c r="B95" s="17">
        <f t="shared" si="24"/>
        <v>33</v>
      </c>
      <c r="C95" s="1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146"/>
      <c r="S95" s="370">
        <f t="shared" si="28"/>
        <v>0</v>
      </c>
    </row>
    <row r="96" spans="1:19" ht="14.25">
      <c r="A96" s="67"/>
      <c r="B96" s="17">
        <f t="shared" si="24"/>
        <v>34</v>
      </c>
      <c r="C96" s="1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146"/>
      <c r="S96" s="370">
        <f t="shared" si="28"/>
        <v>0</v>
      </c>
    </row>
    <row r="97" spans="1:19" ht="15">
      <c r="A97" s="67"/>
      <c r="B97" s="17">
        <f t="shared" si="24"/>
        <v>35</v>
      </c>
      <c r="C97" s="527" t="s">
        <v>892</v>
      </c>
      <c r="D97" s="522"/>
      <c r="E97" s="522"/>
      <c r="F97" s="522"/>
      <c r="G97" s="522"/>
      <c r="H97" s="522"/>
      <c r="I97" s="522"/>
      <c r="J97" s="522"/>
      <c r="K97" s="522"/>
      <c r="L97" s="522"/>
      <c r="M97" s="522"/>
      <c r="N97" s="522"/>
      <c r="O97" s="523"/>
      <c r="P97" s="1"/>
      <c r="Q97" s="146"/>
      <c r="S97" s="370">
        <f t="shared" si="28"/>
        <v>0</v>
      </c>
    </row>
    <row r="98" spans="1:19" ht="14.25">
      <c r="A98" s="67"/>
      <c r="B98" s="17">
        <f t="shared" si="24"/>
        <v>36</v>
      </c>
      <c r="C98" s="64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463"/>
      <c r="P98" s="263"/>
      <c r="Q98" s="146"/>
      <c r="S98" s="370">
        <f t="shared" si="28"/>
        <v>0</v>
      </c>
    </row>
    <row r="99" spans="1:19" ht="14.25">
      <c r="A99" s="67"/>
      <c r="B99" s="17">
        <f t="shared" si="24"/>
        <v>37</v>
      </c>
      <c r="C99" s="64" t="s">
        <v>885</v>
      </c>
      <c r="D99" s="365">
        <f t="shared" si="33" ref="D99:M99">D101/D87</f>
        <v>0.070499999999999965</v>
      </c>
      <c r="E99" s="365"/>
      <c r="F99" s="365">
        <f t="shared" si="33"/>
        <v>0.070499999999999993</v>
      </c>
      <c r="G99" s="365">
        <f t="shared" si="33"/>
        <v>0.070499999999999993</v>
      </c>
      <c r="H99" s="365">
        <f t="shared" si="33"/>
        <v>0.070499999999999993</v>
      </c>
      <c r="I99" s="365">
        <f t="shared" si="33"/>
        <v>0.070499999999999993</v>
      </c>
      <c r="J99" s="365">
        <f t="shared" si="33"/>
        <v>0.070499999999999993</v>
      </c>
      <c r="K99" s="365">
        <f>K101/K87</f>
        <v>0.070499999999999993</v>
      </c>
      <c r="L99" s="365">
        <f t="shared" si="33"/>
        <v>0.070499999999999993</v>
      </c>
      <c r="M99" s="365">
        <f t="shared" si="33"/>
        <v>0.070499999999999993</v>
      </c>
      <c r="N99" s="365">
        <f>N101/N87</f>
        <v>0.070499999999999993</v>
      </c>
      <c r="O99" s="525">
        <f>O101/O87</f>
        <v>0.070499999999999993</v>
      </c>
      <c r="P99" s="365"/>
      <c r="Q99" s="146"/>
      <c r="S99" s="370">
        <f t="shared" si="28"/>
        <v>0.63449999999999995</v>
      </c>
    </row>
    <row r="100" spans="1:19" ht="14.25">
      <c r="A100" s="67"/>
      <c r="B100" s="17">
        <f t="shared" si="24"/>
        <v>38</v>
      </c>
      <c r="C100" s="64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463"/>
      <c r="P100" s="263"/>
      <c r="Q100" s="146"/>
      <c r="S100" s="370">
        <f t="shared" si="28"/>
        <v>0</v>
      </c>
    </row>
    <row r="101" spans="1:19" ht="14.25">
      <c r="A101" s="67"/>
      <c r="B101" s="17">
        <f t="shared" si="24"/>
        <v>39</v>
      </c>
      <c r="C101" s="64" t="s">
        <v>884</v>
      </c>
      <c r="D101" s="263">
        <f>SUM(E101:P101)</f>
        <v>683000510.00813818</v>
      </c>
      <c r="E101" s="263"/>
      <c r="F101" s="263">
        <f>'WP II-I-1.5'!F51</f>
        <v>379834069.69047773</v>
      </c>
      <c r="G101" s="263">
        <f>'WP II-I-1.5'!G51</f>
        <v>15300982.107665461</v>
      </c>
      <c r="H101" s="263">
        <f>'WP II-I-1.5'!H51</f>
        <v>237996209.06867737</v>
      </c>
      <c r="I101" s="263">
        <f>'WP II-I-1.5'!I51</f>
        <v>245203.69598301943</v>
      </c>
      <c r="J101" s="263">
        <f>'WP II-I-1.5'!J51</f>
        <v>38356622.668801248</v>
      </c>
      <c r="K101" s="263">
        <f>'WP II-I-1.5'!K51</f>
        <v>3620199.2762538223</v>
      </c>
      <c r="L101" s="263">
        <f>'WP II-I-1.5'!L51</f>
        <v>1383463.2660256971</v>
      </c>
      <c r="M101" s="263">
        <f>'WP II-I-1.5'!M51</f>
        <v>3922745.944692445</v>
      </c>
      <c r="N101" s="263">
        <f>'WP II-I-1.5'!N51</f>
        <v>432136.60320334812</v>
      </c>
      <c r="O101" s="463">
        <f>'WP II-I-1.5'!O51</f>
        <v>1908877.6863581536</v>
      </c>
      <c r="P101" s="263"/>
      <c r="Q101" s="146" t="b">
        <f>IF(ROUND(' WP II-I-1.4'!L599-D101,2)=0,TRUE,' WP II-I-1.4'!L599-D101)</f>
        <v>1</v>
      </c>
      <c r="S101" s="370">
        <f t="shared" si="28"/>
        <v>0</v>
      </c>
    </row>
    <row r="102" spans="1:19" ht="17.25" customHeight="1">
      <c r="A102" s="67"/>
      <c r="B102" s="17">
        <f t="shared" si="24"/>
        <v>40</v>
      </c>
      <c r="C102" s="64" t="s">
        <v>893</v>
      </c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463"/>
      <c r="P102" s="263"/>
      <c r="Q102" s="146"/>
      <c r="S102" s="370">
        <f t="shared" si="28"/>
        <v>0</v>
      </c>
    </row>
    <row r="103" spans="1:19" ht="17.25" customHeight="1">
      <c r="A103" s="67"/>
      <c r="B103" s="17">
        <f t="shared" si="24"/>
        <v>41</v>
      </c>
      <c r="C103" s="526" t="s">
        <v>887</v>
      </c>
      <c r="D103" s="520">
        <f>SUM(E103:P103)</f>
        <v>0</v>
      </c>
      <c r="E103" s="520"/>
      <c r="F103" s="520">
        <f t="shared" si="34" ref="F103:M103">F101-F94</f>
        <v>0</v>
      </c>
      <c r="G103" s="520">
        <f t="shared" si="34"/>
        <v>0</v>
      </c>
      <c r="H103" s="520">
        <f t="shared" si="34"/>
        <v>0</v>
      </c>
      <c r="I103" s="520">
        <f t="shared" si="34"/>
        <v>0</v>
      </c>
      <c r="J103" s="520">
        <f t="shared" si="34"/>
        <v>0</v>
      </c>
      <c r="K103" s="520">
        <f>K101-K94</f>
        <v>0</v>
      </c>
      <c r="L103" s="520">
        <f t="shared" si="34"/>
        <v>0</v>
      </c>
      <c r="M103" s="520">
        <f t="shared" si="34"/>
        <v>0</v>
      </c>
      <c r="N103" s="520">
        <f>N101-N94</f>
        <v>0</v>
      </c>
      <c r="O103" s="462">
        <f>O101-O94</f>
        <v>0</v>
      </c>
      <c r="P103" s="263"/>
      <c r="Q103" s="146"/>
      <c r="S103" s="370">
        <f t="shared" si="28"/>
        <v>0</v>
      </c>
    </row>
    <row r="104" spans="1:19" ht="17.25" customHeight="1">
      <c r="A104" s="67"/>
      <c r="B104" s="17"/>
      <c r="C104" s="528"/>
      <c r="D104" s="528"/>
      <c r="E104" s="528"/>
      <c r="F104" s="17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S104" s="370">
        <f t="shared" si="28"/>
        <v>0</v>
      </c>
    </row>
    <row r="105" spans="1:19" ht="17.25" customHeight="1">
      <c r="A105" s="67"/>
      <c r="B105" s="17">
        <v>1</v>
      </c>
      <c r="C105" s="57" t="s">
        <v>894</v>
      </c>
      <c r="D105" s="894"/>
      <c r="E105" s="19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9"/>
      <c r="Q105" s="47"/>
      <c r="S105" s="370">
        <f t="shared" si="28"/>
        <v>0</v>
      </c>
    </row>
    <row r="106" spans="1:19" ht="17.25" customHeight="1">
      <c r="A106" s="67"/>
      <c r="B106" s="17">
        <f t="shared" si="35" ref="B106:B138">B105+1</f>
        <v>2</v>
      </c>
      <c r="C106" s="47"/>
      <c r="D106" s="19"/>
      <c r="E106" s="19"/>
      <c r="F106" s="17"/>
      <c r="G106" s="30"/>
      <c r="H106" s="30"/>
      <c r="I106" s="30"/>
      <c r="J106" s="30"/>
      <c r="K106" s="30"/>
      <c r="L106" s="17"/>
      <c r="M106" s="17"/>
      <c r="N106" s="17"/>
      <c r="O106" s="17"/>
      <c r="P106" s="19"/>
      <c r="Q106" s="47"/>
      <c r="S106" s="370">
        <f t="shared" si="28"/>
        <v>0</v>
      </c>
    </row>
    <row r="107" spans="1:19" ht="17.25" customHeight="1">
      <c r="A107" s="67"/>
      <c r="B107" s="17">
        <f t="shared" si="35"/>
        <v>3</v>
      </c>
      <c r="C107" s="12"/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146" t="b">
        <f>IF('WP II-I-2.2'!P72=D107,TRUE,'WP II-I-2.2'!P72-D107)</f>
        <v>1</v>
      </c>
      <c r="S107" s="370">
        <f t="shared" si="28"/>
        <v>0</v>
      </c>
    </row>
    <row r="108" spans="1:19" ht="17.25" customHeight="1">
      <c r="A108" s="67"/>
      <c r="B108" s="17">
        <f t="shared" si="35"/>
        <v>4</v>
      </c>
      <c r="C108" s="12" t="s">
        <v>895</v>
      </c>
      <c r="D108" s="529">
        <f t="shared" si="36" ref="D108:D112">SUM(E108:P108)</f>
        <v>1641672523</v>
      </c>
      <c r="E108" s="529"/>
      <c r="F108" s="529">
        <f>'WP II-I-2.2'!E73</f>
        <v>771619863</v>
      </c>
      <c r="G108" s="529">
        <f>'WP II-I-2.2'!F73</f>
        <v>20855235</v>
      </c>
      <c r="H108" s="529">
        <f>'WP II-I-2.2'!G73</f>
        <v>616792422</v>
      </c>
      <c r="I108" s="529">
        <f>'WP II-I-2.2'!H73</f>
        <v>189054</v>
      </c>
      <c r="J108" s="529">
        <f>'WP II-I-2.2'!I73</f>
        <v>106138547</v>
      </c>
      <c r="K108" s="529">
        <f>'WP II-I-2.2'!J73</f>
        <v>24415314</v>
      </c>
      <c r="L108" s="529">
        <f>'WP II-I-2.2'!K73</f>
        <v>101662088</v>
      </c>
      <c r="M108" s="529">
        <f>'WP II-I-2.2'!L73</f>
        <v>0</v>
      </c>
      <c r="N108" s="529">
        <f>'WP II-I-2.2'!M73</f>
        <v>0</v>
      </c>
      <c r="O108" s="529">
        <f>'WP II-I-2.2'!N73</f>
        <v>0</v>
      </c>
      <c r="P108" s="529"/>
      <c r="Q108" s="146" t="b">
        <f>IF('WP II-I-2.2'!P73=D108,TRUE,'WP II-I-2.2'!P73-D108)</f>
        <v>1</v>
      </c>
      <c r="S108" s="370">
        <f t="shared" si="28"/>
        <v>0</v>
      </c>
    </row>
    <row r="109" spans="1:19" ht="17.25" customHeight="1">
      <c r="A109" s="67"/>
      <c r="B109" s="17">
        <f t="shared" si="35"/>
        <v>5</v>
      </c>
      <c r="C109" s="12" t="s">
        <v>896</v>
      </c>
      <c r="D109" s="529">
        <f t="shared" si="36"/>
        <v>2084083489.7620726</v>
      </c>
      <c r="E109" s="529"/>
      <c r="F109" s="529">
        <f>'WP II-I-2.2'!E74</f>
        <v>1015748505</v>
      </c>
      <c r="G109" s="529">
        <f>'WP II-I-2.2'!F74</f>
        <v>45038287</v>
      </c>
      <c r="H109" s="529">
        <f>'WP II-I-2.2'!G74</f>
        <v>781594740.68865013</v>
      </c>
      <c r="I109" s="529">
        <f>'WP II-I-2.2'!H74</f>
        <v>123349</v>
      </c>
      <c r="J109" s="529">
        <f>'WP II-I-2.2'!I74</f>
        <v>161899609.46980089</v>
      </c>
      <c r="K109" s="529">
        <f>'WP II-I-2.2'!J74</f>
        <v>6529733.9084803341</v>
      </c>
      <c r="L109" s="529">
        <f>'WP II-I-2.2'!K74</f>
        <v>11530329.755141007</v>
      </c>
      <c r="M109" s="529">
        <f>'WP II-I-2.2'!L74</f>
        <v>59091424.939999998</v>
      </c>
      <c r="N109" s="529">
        <f>'WP II-I-2.2'!M74</f>
        <v>544013</v>
      </c>
      <c r="O109" s="529">
        <f>'WP II-I-2.2'!N74</f>
        <v>1983497</v>
      </c>
      <c r="P109" s="529"/>
      <c r="Q109" s="146" t="b">
        <f>IF('WP II-I-2.2'!P74=D109,TRUE,'WP II-I-2.2'!P74-D109)</f>
        <v>1</v>
      </c>
      <c r="S109" s="370">
        <f t="shared" si="28"/>
        <v>0</v>
      </c>
    </row>
    <row r="110" spans="1:19" ht="14.25">
      <c r="A110" s="67"/>
      <c r="B110" s="17">
        <f t="shared" si="35"/>
        <v>6</v>
      </c>
      <c r="C110" s="12" t="s">
        <v>897</v>
      </c>
      <c r="D110" s="529">
        <f t="shared" si="36"/>
        <v>68856145.189999998</v>
      </c>
      <c r="E110" s="529"/>
      <c r="F110" s="529">
        <f>'WP II-I-2.2'!E75</f>
        <v>35189456</v>
      </c>
      <c r="G110" s="529">
        <f>'WP II-I-2.2'!F75</f>
        <v>7488978</v>
      </c>
      <c r="H110" s="529">
        <f>'WP II-I-2.2'!G75</f>
        <v>22598269</v>
      </c>
      <c r="I110" s="529">
        <f>'WP II-I-2.2'!H75</f>
        <v>231459</v>
      </c>
      <c r="J110" s="529">
        <f>'WP II-I-2.2'!I75</f>
        <v>1337400</v>
      </c>
      <c r="K110" s="529">
        <f>'WP II-I-2.2'!J75</f>
        <v>235825</v>
      </c>
      <c r="L110" s="529">
        <f>'WP II-I-2.2'!K75</f>
        <v>550491</v>
      </c>
      <c r="M110" s="529">
        <f>'WP II-I-2.2'!L75</f>
        <v>1158944.1899999999</v>
      </c>
      <c r="N110" s="529">
        <f>'WP II-I-2.2'!M75</f>
        <v>18966</v>
      </c>
      <c r="O110" s="529">
        <f>'WP II-I-2.2'!N75</f>
        <v>46357</v>
      </c>
      <c r="P110" s="529"/>
      <c r="Q110" s="146" t="b">
        <f>IF('WP II-I-2.2'!P75=D110,TRUE,'WP II-I-2.2'!P75-D110)</f>
        <v>1</v>
      </c>
      <c r="S110" s="370">
        <f t="shared" si="28"/>
        <v>0</v>
      </c>
    </row>
    <row r="111" spans="1:19" ht="14.25">
      <c r="A111" s="67"/>
      <c r="B111" s="17">
        <f t="shared" si="35"/>
        <v>7</v>
      </c>
      <c r="C111" s="12" t="s">
        <v>898</v>
      </c>
      <c r="D111" s="530">
        <f t="shared" si="36"/>
        <v>201353596</v>
      </c>
      <c r="E111" s="530"/>
      <c r="F111" s="530">
        <f>'WP II-I-2.2'!E76</f>
        <v>98530478</v>
      </c>
      <c r="G111" s="530">
        <f>'WP II-I-2.2'!F76</f>
        <v>22174681</v>
      </c>
      <c r="H111" s="530">
        <f>'WP II-I-2.2'!G76</f>
        <v>75294986</v>
      </c>
      <c r="I111" s="530">
        <f>'WP II-I-2.2'!H76</f>
        <v>688423</v>
      </c>
      <c r="J111" s="530">
        <f>'WP II-I-2.2'!I76</f>
        <v>3105141</v>
      </c>
      <c r="K111" s="530">
        <f>'WP II-I-2.2'!J76</f>
        <v>387770</v>
      </c>
      <c r="L111" s="530">
        <f>'WP II-I-2.2'!K76</f>
        <v>872229</v>
      </c>
      <c r="M111" s="530">
        <f>'WP II-I-2.2'!L76</f>
        <v>124173</v>
      </c>
      <c r="N111" s="530">
        <f>'WP II-I-2.2'!M76</f>
        <v>45377</v>
      </c>
      <c r="O111" s="530">
        <f>'WP II-I-2.2'!N76</f>
        <v>130338</v>
      </c>
      <c r="P111" s="530"/>
      <c r="Q111" s="146" t="b">
        <f>IF('WP II-I-2.2'!P76=D111,TRUE,'WP II-I-2.2'!P76-D111)</f>
        <v>1</v>
      </c>
      <c r="S111" s="370">
        <f t="shared" si="28"/>
        <v>0</v>
      </c>
    </row>
    <row r="112" spans="1:19" ht="15">
      <c r="A112" s="67"/>
      <c r="B112" s="17">
        <f t="shared" si="35"/>
        <v>8</v>
      </c>
      <c r="C112" s="49" t="s">
        <v>899</v>
      </c>
      <c r="D112" s="531">
        <f t="shared" si="36"/>
        <v>3995965753.9520721</v>
      </c>
      <c r="E112" s="531"/>
      <c r="F112" s="531">
        <f t="shared" si="37" ref="F112:M112">SUM(F107:F111)</f>
        <v>1921088302</v>
      </c>
      <c r="G112" s="531">
        <f t="shared" si="37"/>
        <v>95557181</v>
      </c>
      <c r="H112" s="531">
        <f t="shared" si="37"/>
        <v>1496280417.6886501</v>
      </c>
      <c r="I112" s="531">
        <f t="shared" si="37"/>
        <v>1232285</v>
      </c>
      <c r="J112" s="531">
        <f t="shared" si="37"/>
        <v>272480697.46980089</v>
      </c>
      <c r="K112" s="531">
        <f>SUM(K107:K111)</f>
        <v>31568642.908480335</v>
      </c>
      <c r="L112" s="531">
        <f t="shared" si="37"/>
        <v>114615137.75514101</v>
      </c>
      <c r="M112" s="531">
        <f t="shared" si="37"/>
        <v>60374542.129999995</v>
      </c>
      <c r="N112" s="531">
        <f>SUM(N107:N111)</f>
        <v>608356</v>
      </c>
      <c r="O112" s="531">
        <f>SUM(O107:O111)</f>
        <v>2160192</v>
      </c>
      <c r="P112" s="531"/>
      <c r="Q112" s="146"/>
      <c r="S112" s="370">
        <f t="shared" si="28"/>
        <v>0</v>
      </c>
    </row>
    <row r="113" spans="1:19" ht="14.25">
      <c r="A113" s="67"/>
      <c r="B113" s="17">
        <f t="shared" si="35"/>
        <v>9</v>
      </c>
      <c r="C113" s="12"/>
      <c r="D113" s="529"/>
      <c r="E113" s="529"/>
      <c r="F113" s="529"/>
      <c r="G113" s="529"/>
      <c r="H113" s="529"/>
      <c r="I113" s="529"/>
      <c r="J113" s="529"/>
      <c r="K113" s="529"/>
      <c r="L113" s="529"/>
      <c r="M113" s="529"/>
      <c r="N113" s="529"/>
      <c r="O113" s="529"/>
      <c r="P113" s="529"/>
      <c r="Q113" s="146"/>
      <c r="S113" s="370">
        <f t="shared" si="28"/>
        <v>0</v>
      </c>
    </row>
    <row r="114" spans="1:19" ht="14.25">
      <c r="A114" s="67"/>
      <c r="B114" s="17">
        <f t="shared" si="35"/>
        <v>10</v>
      </c>
      <c r="C114" s="12" t="s">
        <v>900</v>
      </c>
      <c r="D114" s="529">
        <f t="shared" si="38" ref="D114:D122">SUM(E114:P114)</f>
        <v>22468503.439999998</v>
      </c>
      <c r="E114" s="529"/>
      <c r="F114" s="529">
        <f>'WP II-I-2.2'!E81</f>
        <v>9915350.5680720005</v>
      </c>
      <c r="G114" s="529">
        <f>'WP II-I-2.2'!F81</f>
        <v>9403068.6896400005</v>
      </c>
      <c r="H114" s="529">
        <f>'WP II-I-2.2'!G81</f>
        <v>2617580.6507600001</v>
      </c>
      <c r="I114" s="529">
        <f>'WP II-I-2.2'!H81</f>
        <v>31455.904816000002</v>
      </c>
      <c r="J114" s="529">
        <f>'WP II-I-2.2'!I81</f>
        <v>181994.87786400001</v>
      </c>
      <c r="K114" s="529">
        <f>'WP II-I-2.2'!J81</f>
        <v>2246.8503440000004</v>
      </c>
      <c r="L114" s="529">
        <f>'WP II-I-2.2'!K81</f>
        <v>4493.7006880000008</v>
      </c>
      <c r="M114" s="529">
        <f>'WP II-I-2.2'!L81</f>
        <v>312312.19781599997</v>
      </c>
      <c r="N114" s="529">
        <f>'WP II-I-2.2'!M81</f>
        <v>0</v>
      </c>
      <c r="O114" s="529">
        <f>'WP II-I-2.2'!N81</f>
        <v>0</v>
      </c>
      <c r="P114" s="529"/>
      <c r="Q114" s="146" t="b">
        <f>IF('WP II-I-2.2'!P85=D114,TRUE,'WP II-I-2.2'!P85-D114)</f>
        <v>1</v>
      </c>
      <c r="S114" s="370">
        <f t="shared" si="28"/>
        <v>0</v>
      </c>
    </row>
    <row r="115" spans="1:19" ht="14.25">
      <c r="A115" s="67"/>
      <c r="B115" s="17">
        <f t="shared" si="35"/>
        <v>11</v>
      </c>
      <c r="C115" s="12" t="s">
        <v>901</v>
      </c>
      <c r="D115" s="530">
        <f t="shared" si="38"/>
        <v>16972346.159999847</v>
      </c>
      <c r="E115" s="530"/>
      <c r="F115" s="530">
        <f>'WP II-I-2.2'!E86</f>
        <v>8296394.4151379736</v>
      </c>
      <c r="G115" s="530">
        <f>'WP II-I-2.2'!F86</f>
        <v>539168.18119295791</v>
      </c>
      <c r="H115" s="530">
        <f>'WP II-I-2.2'!G86</f>
        <v>6347785.6790570021</v>
      </c>
      <c r="I115" s="530">
        <f>'WP II-I-2.2'!H86</f>
        <v>7529.615906312677</v>
      </c>
      <c r="J115" s="530">
        <f>'WP II-I-2.2'!I86</f>
        <v>1200589.8042405464</v>
      </c>
      <c r="K115" s="530">
        <f>'WP II-I-2.2'!J86</f>
        <v>51629.810782443987</v>
      </c>
      <c r="L115" s="530">
        <f>'WP II-I-2.2'!K86</f>
        <v>93489.830604697578</v>
      </c>
      <c r="M115" s="530">
        <f>'WP II-I-2.2'!L86</f>
        <v>435758.82307791163</v>
      </c>
      <c r="N115" s="530">
        <f>'WP II-I-2.2'!M86</f>
        <v>0</v>
      </c>
      <c r="O115" s="530">
        <f>'WP II-I-2.2'!N86</f>
        <v>0</v>
      </c>
      <c r="P115" s="530"/>
      <c r="Q115" s="146" t="b">
        <f>IF('WP II-I-2.2'!P86=D115,TRUE,'WP II-I-2.2'!P86-D115)</f>
        <v>1</v>
      </c>
      <c r="S115" s="370">
        <f t="shared" si="28"/>
        <v>0</v>
      </c>
    </row>
    <row r="116" spans="1:19" ht="15">
      <c r="A116" s="67"/>
      <c r="B116" s="17">
        <f t="shared" si="35"/>
        <v>12</v>
      </c>
      <c r="C116" s="49" t="s">
        <v>902</v>
      </c>
      <c r="D116" s="531">
        <f t="shared" si="38"/>
        <v>4035406603.552072</v>
      </c>
      <c r="E116" s="531"/>
      <c r="F116" s="531">
        <f t="shared" si="39" ref="F116:M116">SUM(F112:F115)</f>
        <v>1939300046.9832101</v>
      </c>
      <c r="G116" s="531">
        <f t="shared" si="39"/>
        <v>105499417.87083297</v>
      </c>
      <c r="H116" s="531">
        <f t="shared" si="39"/>
        <v>1505245784.018467</v>
      </c>
      <c r="I116" s="531">
        <f t="shared" si="39"/>
        <v>1271270.5207223126</v>
      </c>
      <c r="J116" s="531">
        <f t="shared" si="39"/>
        <v>273863282.15190542</v>
      </c>
      <c r="K116" s="531">
        <f>SUM(K112:K115)</f>
        <v>31622519.569606777</v>
      </c>
      <c r="L116" s="531">
        <f t="shared" si="39"/>
        <v>114713121.28643371</v>
      </c>
      <c r="M116" s="531">
        <f t="shared" si="39"/>
        <v>61122613.150893904</v>
      </c>
      <c r="N116" s="531">
        <f>SUM(N112:N115)</f>
        <v>608356</v>
      </c>
      <c r="O116" s="531">
        <f>SUM(O112:O115)</f>
        <v>2160192</v>
      </c>
      <c r="P116" s="531"/>
      <c r="Q116" s="146" t="b">
        <f>IF('WP II-I-2.2'!S87=D116,TRUE,'WP II-I-2.2'!S87-D116)</f>
        <v>1</v>
      </c>
      <c r="S116" s="370">
        <f t="shared" si="28"/>
        <v>0</v>
      </c>
    </row>
    <row r="117" spans="1:19" ht="23.25" customHeight="1">
      <c r="A117" s="67"/>
      <c r="B117" s="17">
        <f t="shared" si="35"/>
        <v>13</v>
      </c>
      <c r="C117" s="730" t="s">
        <v>1411</v>
      </c>
      <c r="D117" s="532">
        <f t="shared" si="38"/>
        <v>1646625.77403555</v>
      </c>
      <c r="E117" s="19"/>
      <c r="F117" s="532">
        <f>'II-I Summary'!F19</f>
        <v>824746.22336069902</v>
      </c>
      <c r="G117" s="532">
        <f>'II-I Summary'!G19</f>
        <v>33960.67903355274</v>
      </c>
      <c r="H117" s="532">
        <f>'II-I Summary'!H19</f>
        <v>560215.85273149016</v>
      </c>
      <c r="I117" s="532">
        <f>'II-I Summary'!I19</f>
        <v>623.20619305211824</v>
      </c>
      <c r="J117" s="532">
        <f>'II-I Summary'!J19</f>
        <v>114082.03459886929</v>
      </c>
      <c r="K117" s="532">
        <f>'II-I Summary'!K19</f>
        <v>22961.479548275718</v>
      </c>
      <c r="L117" s="532">
        <f>'II-I Summary'!L19</f>
        <v>63196.956486994015</v>
      </c>
      <c r="M117" s="532">
        <f>'II-I Summary'!M19</f>
        <v>23632.913955440974</v>
      </c>
      <c r="N117" s="532">
        <f>'II-I Summary'!N19</f>
        <v>604.85532078952042</v>
      </c>
      <c r="O117" s="532">
        <f>'II-I Summary'!O19</f>
        <v>2601.5728063862907</v>
      </c>
      <c r="P117" s="19"/>
      <c r="Q117" s="146"/>
      <c r="S117" s="370">
        <f t="shared" si="28"/>
        <v>0</v>
      </c>
    </row>
    <row r="118" spans="1:19" ht="14.25">
      <c r="A118" s="67"/>
      <c r="B118" s="17">
        <f t="shared" si="35"/>
        <v>14</v>
      </c>
      <c r="C118" s="733" t="s">
        <v>1409</v>
      </c>
      <c r="D118" s="532">
        <f t="shared" si="38"/>
        <v>896152761.5059644</v>
      </c>
      <c r="E118" s="532"/>
      <c r="F118" s="532">
        <f>'II-I Summary'!F17</f>
        <v>483153404.90592462</v>
      </c>
      <c r="G118" s="532">
        <f>'II-I Summary'!G17</f>
        <v>25581806.724642023</v>
      </c>
      <c r="H118" s="532">
        <f>'II-I Summary'!H17</f>
        <v>293075041.6751821</v>
      </c>
      <c r="I118" s="532">
        <f>'II-I Summary'!I17</f>
        <v>708892.88707676425</v>
      </c>
      <c r="J118" s="532">
        <f>'II-I Summary'!J17</f>
        <v>58455482.81455873</v>
      </c>
      <c r="K118" s="532">
        <f>'II-I Summary'!K17</f>
        <v>4509800.3083871379</v>
      </c>
      <c r="L118" s="532">
        <f>'II-I Summary'!L17</f>
        <v>1382339.9401632012</v>
      </c>
      <c r="M118" s="532">
        <f>'II-I Summary'!M17</f>
        <v>26178262.057097033</v>
      </c>
      <c r="N118" s="532">
        <f>'II-I Summary'!N17</f>
        <v>528824.10686946625</v>
      </c>
      <c r="O118" s="532">
        <f>'II-I Summary'!O17</f>
        <v>2578906.0860632611</v>
      </c>
      <c r="P118" s="532"/>
      <c r="Q118" s="146" t="b">
        <f>IF('II-I-Total'!U764=D118,TRUE,'II-I-Total'!U764-D118)</f>
        <v>1</v>
      </c>
      <c r="S118" s="370">
        <f t="shared" si="28"/>
        <v>0</v>
      </c>
    </row>
    <row r="119" spans="1:19" ht="14.25">
      <c r="A119" s="67"/>
      <c r="B119" s="17">
        <f t="shared" si="35"/>
        <v>15</v>
      </c>
      <c r="C119" s="28" t="s">
        <v>903</v>
      </c>
      <c r="D119" s="532">
        <f t="shared" si="38"/>
        <v>1652522021.4399998</v>
      </c>
      <c r="E119" s="532"/>
      <c r="F119" s="532">
        <f>'II-I Summary'!F18</f>
        <v>758188212.5284481</v>
      </c>
      <c r="G119" s="532">
        <f>'II-I Summary'!G18</f>
        <v>21192617.197626065</v>
      </c>
      <c r="H119" s="532">
        <f>'II-I Summary'!H18</f>
        <v>551175463.58832192</v>
      </c>
      <c r="I119" s="532">
        <f>'II-I Summary'!I18</f>
        <v>219196.03634105407</v>
      </c>
      <c r="J119" s="532">
        <f>'II-I Summary'!J18</f>
        <v>138570539.70599067</v>
      </c>
      <c r="K119" s="532">
        <f>'II-I Summary'!K18</f>
        <v>45384309.083489172</v>
      </c>
      <c r="L119" s="532">
        <f>'II-I Summary'!L18</f>
        <v>137791683.29978278</v>
      </c>
      <c r="M119" s="532">
        <f>'II-I Summary'!M18</f>
        <v>0</v>
      </c>
      <c r="N119" s="532">
        <f>'II-I Summary'!N18</f>
        <v>0</v>
      </c>
      <c r="O119" s="532">
        <f>'II-I Summary'!O18</f>
        <v>0</v>
      </c>
      <c r="P119" s="532"/>
      <c r="Q119" s="146" t="b">
        <f>IF('II-I-Total'!U622=D119,TRUE,'II-I-Total'!U622-D119)</f>
        <v>1</v>
      </c>
      <c r="S119" s="370">
        <f t="shared" si="28"/>
        <v>0</v>
      </c>
    </row>
    <row r="120" spans="1:19" ht="14.25">
      <c r="A120" s="67"/>
      <c r="B120" s="17">
        <f t="shared" si="35"/>
        <v>16</v>
      </c>
      <c r="C120" s="1" t="s">
        <v>904</v>
      </c>
      <c r="D120" s="532">
        <f t="shared" si="38"/>
        <v>546347839.99000013</v>
      </c>
      <c r="E120" s="532"/>
      <c r="F120" s="532">
        <f>'II-I Summary'!F21</f>
        <v>293773706.03282535</v>
      </c>
      <c r="G120" s="532">
        <f>'II-I Summary'!G21</f>
        <v>17898989.279674497</v>
      </c>
      <c r="H120" s="532">
        <f>'II-I Summary'!H21</f>
        <v>175240361.05862743</v>
      </c>
      <c r="I120" s="532">
        <f>'II-I Summary'!I21</f>
        <v>385591.23445296049</v>
      </c>
      <c r="J120" s="532">
        <f>'II-I Summary'!J21</f>
        <v>29457396.199803971</v>
      </c>
      <c r="K120" s="532">
        <f>'II-I Summary'!K21</f>
        <v>1951234.1505564619</v>
      </c>
      <c r="L120" s="532">
        <f>'II-I Summary'!L21</f>
        <v>869060.78685406793</v>
      </c>
      <c r="M120" s="532">
        <f>'II-I Summary'!M21</f>
        <v>25252299.387269996</v>
      </c>
      <c r="N120" s="532">
        <f>'II-I Summary'!N21</f>
        <v>232807.75665253677</v>
      </c>
      <c r="O120" s="532">
        <f>'II-I Summary'!O21</f>
        <v>1286394.1032827827</v>
      </c>
      <c r="P120" s="532"/>
      <c r="Q120" s="146" t="b">
        <f>IF('II-I-Total'!U1040=D120,TRUE,'II-I-Total'!U1040-D120)</f>
        <v>1</v>
      </c>
      <c r="S120" s="370">
        <f t="shared" si="28"/>
        <v>0</v>
      </c>
    </row>
    <row r="121" spans="1:19" ht="14.25">
      <c r="A121" s="67"/>
      <c r="B121" s="17">
        <f t="shared" si="35"/>
        <v>17</v>
      </c>
      <c r="C121" s="1" t="s">
        <v>905</v>
      </c>
      <c r="D121" s="533">
        <f t="shared" si="38"/>
        <v>460498198.7299999</v>
      </c>
      <c r="E121" s="533"/>
      <c r="F121" s="533">
        <f>'II-I Summary'!F22</f>
        <v>210697996.6051693</v>
      </c>
      <c r="G121" s="533">
        <f>'II-I Summary'!G22</f>
        <v>8641668.9486459792</v>
      </c>
      <c r="H121" s="533">
        <f>'II-I Summary'!H22</f>
        <v>178652944.13622558</v>
      </c>
      <c r="I121" s="533">
        <f>'II-I Summary'!I22</f>
        <v>71539.685166159703</v>
      </c>
      <c r="J121" s="533">
        <f>'II-I Summary'!J22</f>
        <v>28656331.881986994</v>
      </c>
      <c r="K121" s="533">
        <f>'II-I Summary'!K22</f>
        <v>3850802.1869688313</v>
      </c>
      <c r="L121" s="533">
        <f>'II-I Summary'!L22</f>
        <v>22791528.856317755</v>
      </c>
      <c r="M121" s="533">
        <f>'II-I Summary'!M22</f>
        <v>5993922.560486896</v>
      </c>
      <c r="N121" s="533">
        <f>'II-I Summary'!N22</f>
        <v>330064.78976667323</v>
      </c>
      <c r="O121" s="533">
        <f>'II-I Summary'!O22</f>
        <v>811399.07926575246</v>
      </c>
      <c r="P121" s="533"/>
      <c r="Q121" s="146" t="b">
        <f>IF('II-I-Total'!U1072=D121,TRUE,'II-I-Total'!U1072-D121)</f>
        <v>1</v>
      </c>
      <c r="S121" s="370">
        <f t="shared" si="28"/>
        <v>0</v>
      </c>
    </row>
    <row r="122" spans="1:19" ht="15">
      <c r="A122" s="67"/>
      <c r="B122" s="17">
        <f t="shared" si="35"/>
        <v>18</v>
      </c>
      <c r="C122" s="8" t="s">
        <v>906</v>
      </c>
      <c r="D122" s="509">
        <f t="shared" si="38"/>
        <v>3557167447.4399996</v>
      </c>
      <c r="E122" s="509"/>
      <c r="F122" s="509">
        <f>SUM(F117:F121)</f>
        <v>1746638066.2957282</v>
      </c>
      <c r="G122" s="509">
        <f t="shared" si="40" ref="G122:O122">SUM(G117:G121)</f>
        <v>73349042.82962212</v>
      </c>
      <c r="H122" s="509">
        <f t="shared" si="40"/>
        <v>1198704026.3110886</v>
      </c>
      <c r="I122" s="509">
        <f t="shared" si="40"/>
        <v>1385843.0492299907</v>
      </c>
      <c r="J122" s="509">
        <f t="shared" si="40"/>
        <v>255253832.63693926</v>
      </c>
      <c r="K122" s="509">
        <f t="shared" si="40"/>
        <v>55719107.208949879</v>
      </c>
      <c r="L122" s="509">
        <f t="shared" si="40"/>
        <v>162897809.8396048</v>
      </c>
      <c r="M122" s="509">
        <f t="shared" si="40"/>
        <v>57448116.918809369</v>
      </c>
      <c r="N122" s="509">
        <f t="shared" si="40"/>
        <v>1092301.5086094658</v>
      </c>
      <c r="O122" s="509">
        <f t="shared" si="40"/>
        <v>4679300.8414181825</v>
      </c>
      <c r="P122" s="509"/>
      <c r="Q122" s="146"/>
      <c r="S122" s="370">
        <f>SUM(F122:O122)-D122</f>
        <v>0</v>
      </c>
    </row>
    <row r="123" spans="1:19" ht="15">
      <c r="A123" s="67"/>
      <c r="B123" s="17">
        <f t="shared" si="35"/>
        <v>19</v>
      </c>
      <c r="C123" s="8"/>
      <c r="D123" s="534"/>
      <c r="E123" s="534"/>
      <c r="F123" s="534"/>
      <c r="G123" s="534"/>
      <c r="H123" s="534"/>
      <c r="I123" s="534"/>
      <c r="J123" s="534"/>
      <c r="K123" s="534"/>
      <c r="L123" s="534"/>
      <c r="M123" s="534"/>
      <c r="N123" s="534"/>
      <c r="O123" s="534"/>
      <c r="P123" s="534"/>
      <c r="Q123" s="146"/>
      <c r="S123" s="370">
        <f t="shared" si="28"/>
        <v>0</v>
      </c>
    </row>
    <row r="124" spans="1:19" ht="15">
      <c r="A124" s="67"/>
      <c r="B124" s="17">
        <f t="shared" si="35"/>
        <v>20</v>
      </c>
      <c r="C124" s="8" t="s">
        <v>907</v>
      </c>
      <c r="D124" s="509">
        <f>SUM(E124:P124)</f>
        <v>478239156.11207223</v>
      </c>
      <c r="E124" s="509"/>
      <c r="F124" s="509">
        <f t="shared" si="41" ref="F124:M124">F116-F122</f>
        <v>192661980.68748188</v>
      </c>
      <c r="G124" s="509">
        <f t="shared" si="41"/>
        <v>32150375.041210845</v>
      </c>
      <c r="H124" s="509">
        <f t="shared" si="41"/>
        <v>306541757.70737839</v>
      </c>
      <c r="I124" s="509">
        <f t="shared" si="41"/>
        <v>-114572.52850767807</v>
      </c>
      <c r="J124" s="509">
        <f t="shared" si="41"/>
        <v>18609449.51496616</v>
      </c>
      <c r="K124" s="509">
        <f>K116-K122</f>
        <v>-24096587.639343102</v>
      </c>
      <c r="L124" s="509">
        <f t="shared" si="41"/>
        <v>-48184688.553171083</v>
      </c>
      <c r="M124" s="509">
        <f t="shared" si="41"/>
        <v>3674496.2320845351</v>
      </c>
      <c r="N124" s="509">
        <f>N116-N122</f>
        <v>-483945.50860946579</v>
      </c>
      <c r="O124" s="509">
        <f>O116-O122</f>
        <v>-2519108.8414181825</v>
      </c>
      <c r="P124" s="509"/>
      <c r="Q124" s="146"/>
      <c r="S124" s="370">
        <f t="shared" si="28"/>
        <v>0</v>
      </c>
    </row>
    <row r="125" spans="1:19" ht="14.25">
      <c r="A125" s="67"/>
      <c r="B125" s="17">
        <f t="shared" si="35"/>
        <v>21</v>
      </c>
      <c r="C125" s="12" t="s">
        <v>908</v>
      </c>
      <c r="D125" s="532">
        <f>SUM(E125:P125)</f>
        <v>262769019.45999995</v>
      </c>
      <c r="E125" s="532"/>
      <c r="F125" s="535">
        <f>'II-I-Total'!J1099</f>
        <v>146133152.76033109</v>
      </c>
      <c r="G125" s="535">
        <f>'II-I-Total'!K1099</f>
        <v>5941190.8607198168</v>
      </c>
      <c r="H125" s="535">
        <f>'II-I-Total'!L1099</f>
        <v>91492993.005649447</v>
      </c>
      <c r="I125" s="535">
        <f>'II-I-Total'!M1099</f>
        <v>97215.846374248518</v>
      </c>
      <c r="J125" s="535">
        <f>'II-I-Total'!N1099</f>
        <v>14775252.417063708</v>
      </c>
      <c r="K125" s="535">
        <f>'II-I-Total'!O1099</f>
        <v>1390497.5415576333</v>
      </c>
      <c r="L125" s="535">
        <f>'II-I-Total'!P1099</f>
        <v>535811.88789907028</v>
      </c>
      <c r="M125" s="535">
        <f>'II-I-Total'!Q1099</f>
        <v>1504329.9034356845</v>
      </c>
      <c r="N125" s="535">
        <f>'II-I-Total'!R1099</f>
        <v>165969.94507331404</v>
      </c>
      <c r="O125" s="535">
        <f>'II-I-Total'!S1099</f>
        <v>732605.29189591575</v>
      </c>
      <c r="P125" s="535"/>
      <c r="Q125" s="146" t="b">
        <f>IF('II-I-Total'!F1099=D125,TRUE,'II-I-Total'!F1099-D125)</f>
        <v>1</v>
      </c>
      <c r="S125" s="370">
        <f t="shared" si="28"/>
        <v>0</v>
      </c>
    </row>
    <row r="126" spans="1:19" ht="14.25">
      <c r="A126" s="67"/>
      <c r="B126" s="17">
        <f t="shared" si="35"/>
        <v>22</v>
      </c>
      <c r="C126" s="12" t="s">
        <v>909</v>
      </c>
      <c r="D126" s="536">
        <f>SUM(E126:P126)</f>
        <v>-961519.44999999972</v>
      </c>
      <c r="E126" s="536"/>
      <c r="F126" s="537">
        <f>'II-I-Total'!J1109</f>
        <v>-445758.37354556867</v>
      </c>
      <c r="G126" s="537">
        <f>'II-I-Total'!K1109</f>
        <v>-44879.883453962451</v>
      </c>
      <c r="H126" s="537">
        <f>'II-I-Total'!L1109</f>
        <v>-393865.23211494554</v>
      </c>
      <c r="I126" s="537">
        <f>'II-I-Total'!M1109</f>
        <v>-1861.0789999212916</v>
      </c>
      <c r="J126" s="537">
        <f>'II-I-Total'!N1109</f>
        <v>-47294.327265580767</v>
      </c>
      <c r="K126" s="537">
        <f>'II-I-Total'!O1109</f>
        <v>3786.9734609199695</v>
      </c>
      <c r="L126" s="537">
        <f>'II-I-Total'!P1109</f>
        <v>-1671.9277012216644</v>
      </c>
      <c r="M126" s="537">
        <f>'II-I-Total'!Q1109</f>
        <v>-27976.510166974338</v>
      </c>
      <c r="N126" s="537">
        <f>'II-I-Total'!R1109</f>
        <v>-115.76019225506434</v>
      </c>
      <c r="O126" s="537">
        <f>'II-I-Total'!S1109</f>
        <v>-1883.3300204899115</v>
      </c>
      <c r="P126" s="537"/>
      <c r="Q126" s="146" t="b">
        <f>IF('II-I-Total'!F1109=D126,TRUE,'II-I-Total'!F1109-D126)</f>
        <v>1</v>
      </c>
      <c r="S126" s="370">
        <f t="shared" si="28"/>
        <v>0</v>
      </c>
    </row>
    <row r="127" spans="1:19" ht="15">
      <c r="A127" s="67"/>
      <c r="B127" s="17">
        <f t="shared" si="35"/>
        <v>23</v>
      </c>
      <c r="C127" s="49" t="s">
        <v>435</v>
      </c>
      <c r="D127" s="538">
        <f>SUM(E127:P127)</f>
        <v>214508617.20207235</v>
      </c>
      <c r="E127" s="538"/>
      <c r="F127" s="538">
        <f t="shared" si="42" ref="F127:M127">F124-F125+F126</f>
        <v>46083069.553605214</v>
      </c>
      <c r="G127" s="538">
        <f t="shared" si="42"/>
        <v>26164304.297037069</v>
      </c>
      <c r="H127" s="538">
        <f t="shared" si="42"/>
        <v>214654899.469614</v>
      </c>
      <c r="I127" s="538">
        <f t="shared" si="42"/>
        <v>-213649.45388184788</v>
      </c>
      <c r="J127" s="538">
        <f t="shared" si="42"/>
        <v>3786902.7706368719</v>
      </c>
      <c r="K127" s="538">
        <f>K124-K125+K126</f>
        <v>-25483298.207439814</v>
      </c>
      <c r="L127" s="538">
        <f t="shared" si="42"/>
        <v>-48722172.368771374</v>
      </c>
      <c r="M127" s="538">
        <f t="shared" si="42"/>
        <v>2142189.818481876</v>
      </c>
      <c r="N127" s="538">
        <f>N124-N125+N126</f>
        <v>-650031.21387503482</v>
      </c>
      <c r="O127" s="538">
        <f>O124-O125+O126</f>
        <v>-3253597.4633345883</v>
      </c>
      <c r="P127" s="538"/>
      <c r="Q127" s="146"/>
      <c r="S127" s="370">
        <f t="shared" si="28"/>
        <v>0</v>
      </c>
    </row>
    <row r="128" spans="1:19" ht="14.25">
      <c r="A128" s="67"/>
      <c r="B128" s="17">
        <f t="shared" si="35"/>
        <v>24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6"/>
      <c r="S128" s="370">
        <f t="shared" si="28"/>
        <v>0</v>
      </c>
    </row>
    <row r="129" spans="1:19" ht="14.25">
      <c r="A129" s="67"/>
      <c r="B129" s="17">
        <f t="shared" si="35"/>
        <v>25</v>
      </c>
      <c r="C129" s="12" t="s">
        <v>427</v>
      </c>
      <c r="D129" s="539">
        <f>0.21</f>
        <v>0.20999999999999999</v>
      </c>
      <c r="E129" s="539"/>
      <c r="F129" s="539">
        <f t="shared" si="43" ref="F129:O129">0.21</f>
        <v>0.20999999999999999</v>
      </c>
      <c r="G129" s="539">
        <f t="shared" si="43"/>
        <v>0.20999999999999999</v>
      </c>
      <c r="H129" s="539">
        <f t="shared" si="43"/>
        <v>0.20999999999999999</v>
      </c>
      <c r="I129" s="539">
        <f t="shared" si="43"/>
        <v>0.20999999999999999</v>
      </c>
      <c r="J129" s="539">
        <f t="shared" si="43"/>
        <v>0.20999999999999999</v>
      </c>
      <c r="K129" s="539">
        <f t="shared" si="43"/>
        <v>0.20999999999999999</v>
      </c>
      <c r="L129" s="539">
        <f t="shared" si="43"/>
        <v>0.20999999999999999</v>
      </c>
      <c r="M129" s="539">
        <f t="shared" si="43"/>
        <v>0.20999999999999999</v>
      </c>
      <c r="N129" s="539">
        <f t="shared" si="43"/>
        <v>0.20999999999999999</v>
      </c>
      <c r="O129" s="539">
        <f t="shared" si="43"/>
        <v>0.20999999999999999</v>
      </c>
      <c r="P129" s="539"/>
      <c r="Q129" s="146"/>
      <c r="S129" s="370">
        <f t="shared" si="28"/>
        <v>1.8900000000000001</v>
      </c>
    </row>
    <row r="130" spans="1:19" ht="14.25">
      <c r="A130" s="67"/>
      <c r="B130" s="17">
        <f t="shared" si="35"/>
        <v>26</v>
      </c>
      <c r="C130" s="12" t="s">
        <v>717</v>
      </c>
      <c r="D130" s="540">
        <f>SUM(E130:P130)</f>
        <v>45046809.612435199</v>
      </c>
      <c r="E130" s="540"/>
      <c r="F130" s="121">
        <f t="shared" si="44" ref="F130:M130">F127*F129</f>
        <v>9677444.6062570941</v>
      </c>
      <c r="G130" s="121">
        <f t="shared" si="44"/>
        <v>5494503.9023777843</v>
      </c>
      <c r="H130" s="121">
        <f t="shared" si="44"/>
        <v>45077528.888618939</v>
      </c>
      <c r="I130" s="121">
        <f t="shared" si="44"/>
        <v>-44866.385315188054</v>
      </c>
      <c r="J130" s="121">
        <f t="shared" si="44"/>
        <v>795249.58183374302</v>
      </c>
      <c r="K130" s="121">
        <f>K127*K129</f>
        <v>-5351492.6235623611</v>
      </c>
      <c r="L130" s="121">
        <f t="shared" si="44"/>
        <v>-10231656.197441988</v>
      </c>
      <c r="M130" s="121">
        <f t="shared" si="44"/>
        <v>449859.86188119394</v>
      </c>
      <c r="N130" s="121">
        <f>N127*N129</f>
        <v>-136506.55491375731</v>
      </c>
      <c r="O130" s="121">
        <f>O127*O129</f>
        <v>-683255.46730026358</v>
      </c>
      <c r="P130" s="121"/>
      <c r="Q130" s="146"/>
      <c r="S130" s="370">
        <f t="shared" si="28"/>
        <v>0</v>
      </c>
    </row>
    <row r="131" spans="1:19" ht="14.25">
      <c r="A131" s="67"/>
      <c r="B131" s="17">
        <f t="shared" si="35"/>
        <v>27</v>
      </c>
      <c r="C131" s="12" t="s">
        <v>910</v>
      </c>
      <c r="D131" s="541">
        <f>SUM(E131:P131)</f>
        <v>29197084.460000016</v>
      </c>
      <c r="E131" s="541"/>
      <c r="F131" s="535">
        <f>'II-I-Total'!J1121</f>
        <v>16237819.827433344</v>
      </c>
      <c r="G131" s="535">
        <f>'II-I-Total'!K1121</f>
        <v>708530.06661897502</v>
      </c>
      <c r="H131" s="535">
        <f>'II-I-Total'!L1121</f>
        <v>10103308.750578098</v>
      </c>
      <c r="I131" s="535">
        <f>'II-I-Total'!M1121</f>
        <v>13358.970260264701</v>
      </c>
      <c r="J131" s="535">
        <f>'II-I-Total'!N1121</f>
        <v>1658072.2288219719</v>
      </c>
      <c r="K131" s="535">
        <f>'II-I-Total'!O1121</f>
        <v>152466.68217817269</v>
      </c>
      <c r="L131" s="535">
        <f>'II-I-Total'!P1121</f>
        <v>62693.356951066147</v>
      </c>
      <c r="M131" s="535">
        <f>'II-I-Total'!Q1121</f>
        <v>162835.73874473883</v>
      </c>
      <c r="N131" s="535">
        <f>'II-I-Total'!R1121</f>
        <v>18188.464757910333</v>
      </c>
      <c r="O131" s="535">
        <f>'II-I-Total'!S1121</f>
        <v>79810.373655471441</v>
      </c>
      <c r="P131" s="535"/>
      <c r="Q131" s="146" t="b">
        <f>IF('II-I-Total'!F1121=D131,TRUE,'II-I-Total'!F1121-D131)</f>
        <v>1</v>
      </c>
      <c r="S131" s="370">
        <f t="shared" si="28"/>
        <v>0</v>
      </c>
    </row>
    <row r="132" spans="1:19" ht="14.25">
      <c r="A132" s="67"/>
      <c r="B132" s="17">
        <f t="shared" si="35"/>
        <v>28</v>
      </c>
      <c r="C132" s="12" t="s">
        <v>911</v>
      </c>
      <c r="D132" s="536">
        <f>SUM(E132:P132)</f>
        <v>150259.10000000004</v>
      </c>
      <c r="E132" s="536"/>
      <c r="F132" s="537">
        <f>'II-I-Total'!J1128</f>
        <v>83562.332176824115</v>
      </c>
      <c r="G132" s="537">
        <f>'II-I-Total'!K1128</f>
        <v>3311.4627584271702</v>
      </c>
      <c r="H132" s="537">
        <f>'II-I-Total'!L1128</f>
        <v>52429.300192310526</v>
      </c>
      <c r="I132" s="537">
        <f>'II-I-Total'!M1128</f>
        <v>51.04720064518424</v>
      </c>
      <c r="J132" s="537">
        <f>'II-I-Total'!N1128</f>
        <v>8419.7188370901822</v>
      </c>
      <c r="K132" s="537">
        <f>'II-I-Total'!O1128</f>
        <v>798.72302351180588</v>
      </c>
      <c r="L132" s="537">
        <f>'II-I-Total'!P1128</f>
        <v>300.63029822213957</v>
      </c>
      <c r="M132" s="537">
        <f>'II-I-Total'!Q1128</f>
        <v>868.7834544859279</v>
      </c>
      <c r="N132" s="537">
        <f>'II-I-Total'!R1128</f>
        <v>95.352979896203152</v>
      </c>
      <c r="O132" s="537">
        <f>'II-I-Total'!S1128</f>
        <v>421.7490785867646</v>
      </c>
      <c r="P132" s="537"/>
      <c r="Q132" s="146" t="b">
        <f>IF(ROUND('II-I-Total'!F1128-D132,2)=0,TRUE,'II-I-Total'!F1128-D132)</f>
        <v>1</v>
      </c>
      <c r="S132" s="370">
        <f t="shared" si="28"/>
        <v>0</v>
      </c>
    </row>
    <row r="133" spans="1:19" ht="15">
      <c r="A133" s="67"/>
      <c r="B133" s="17">
        <f t="shared" si="35"/>
        <v>29</v>
      </c>
      <c r="C133" s="49" t="s">
        <v>912</v>
      </c>
      <c r="D133" s="542">
        <f>SUM(E133:P133)</f>
        <v>15999984.252435183</v>
      </c>
      <c r="E133" s="542"/>
      <c r="F133" s="543">
        <f t="shared" si="45" ref="F133:M133">F130-F131+F132</f>
        <v>-6476812.8889994258</v>
      </c>
      <c r="G133" s="543">
        <f t="shared" si="45"/>
        <v>4789285.2985172365</v>
      </c>
      <c r="H133" s="543">
        <f t="shared" si="45"/>
        <v>35026649.438233152</v>
      </c>
      <c r="I133" s="543">
        <f t="shared" si="45"/>
        <v>-58174.308374807573</v>
      </c>
      <c r="J133" s="543">
        <f t="shared" si="45"/>
        <v>-854402.92815113871</v>
      </c>
      <c r="K133" s="543">
        <f>K130-K131+K132</f>
        <v>-5503160.5827170219</v>
      </c>
      <c r="L133" s="543">
        <f t="shared" si="45"/>
        <v>-10294048.924094832</v>
      </c>
      <c r="M133" s="543">
        <f t="shared" si="45"/>
        <v>287892.90659094101</v>
      </c>
      <c r="N133" s="543">
        <f>N130-N131+N132</f>
        <v>-154599.66669177145</v>
      </c>
      <c r="O133" s="543">
        <f>O130-O131+O132</f>
        <v>-762644.09187714825</v>
      </c>
      <c r="P133" s="543"/>
      <c r="Q133" s="146"/>
      <c r="S133" s="370">
        <f t="shared" si="28"/>
        <v>0</v>
      </c>
    </row>
    <row r="134" spans="1:19" ht="14.25">
      <c r="A134" s="67"/>
      <c r="B134" s="17">
        <f t="shared" si="35"/>
        <v>30</v>
      </c>
      <c r="C134" s="1"/>
      <c r="D134" s="532"/>
      <c r="E134" s="532"/>
      <c r="F134" s="532"/>
      <c r="G134" s="532"/>
      <c r="H134" s="532"/>
      <c r="I134" s="532"/>
      <c r="J134" s="532"/>
      <c r="K134" s="532"/>
      <c r="L134" s="532"/>
      <c r="M134" s="532"/>
      <c r="N134" s="532"/>
      <c r="O134" s="532"/>
      <c r="P134" s="532"/>
      <c r="Q134" s="146"/>
      <c r="S134" s="370">
        <f t="shared" si="28"/>
        <v>0</v>
      </c>
    </row>
    <row r="135" spans="1:19" ht="15">
      <c r="A135" s="67"/>
      <c r="B135" s="17">
        <f t="shared" si="35"/>
        <v>31</v>
      </c>
      <c r="C135" s="49" t="s">
        <v>913</v>
      </c>
      <c r="D135" s="544">
        <f>SUM(E135:P135)</f>
        <v>462239171.85963708</v>
      </c>
      <c r="E135" s="544"/>
      <c r="F135" s="544">
        <f t="shared" si="46" ref="F135:M135">F124-F133</f>
        <v>199138793.57648131</v>
      </c>
      <c r="G135" s="544">
        <f t="shared" si="46"/>
        <v>27361089.74269361</v>
      </c>
      <c r="H135" s="544">
        <f t="shared" si="46"/>
        <v>271515108.26914525</v>
      </c>
      <c r="I135" s="544">
        <f t="shared" si="46"/>
        <v>-56398.220132870498</v>
      </c>
      <c r="J135" s="544">
        <f t="shared" si="46"/>
        <v>19463852.443117298</v>
      </c>
      <c r="K135" s="544">
        <f>K124-K133</f>
        <v>-18593427.056626081</v>
      </c>
      <c r="L135" s="544">
        <f t="shared" si="46"/>
        <v>-37890639.62907625</v>
      </c>
      <c r="M135" s="544">
        <f t="shared" si="46"/>
        <v>3386603.3254935942</v>
      </c>
      <c r="N135" s="544">
        <f>N124-N133</f>
        <v>-329345.84191769431</v>
      </c>
      <c r="O135" s="544">
        <f>O124-O133</f>
        <v>-1756464.7495410342</v>
      </c>
      <c r="P135" s="544"/>
      <c r="Q135" s="146"/>
      <c r="S135" s="370">
        <f t="shared" si="28"/>
        <v>0</v>
      </c>
    </row>
    <row r="136" spans="1:19" ht="15">
      <c r="A136" s="67"/>
      <c r="B136" s="17">
        <f t="shared" si="35"/>
        <v>32</v>
      </c>
      <c r="C136" s="49" t="s">
        <v>360</v>
      </c>
      <c r="D136" s="509">
        <f>SUM(E136:P136)</f>
        <v>9687950496.5693398</v>
      </c>
      <c r="E136" s="509"/>
      <c r="F136" s="509">
        <f>'II-I Summary'!F87</f>
        <v>5387717300.5741529</v>
      </c>
      <c r="G136" s="509">
        <f>'II-I Summary'!G87</f>
        <v>217035207.20092854</v>
      </c>
      <c r="H136" s="509">
        <f>'II-I Summary'!H87</f>
        <v>3375832752.7471972</v>
      </c>
      <c r="I136" s="509">
        <f>'II-I Summary'!I87</f>
        <v>3478066.6096882191</v>
      </c>
      <c r="J136" s="509">
        <f>'II-I Summary'!J87</f>
        <v>544065569.77023053</v>
      </c>
      <c r="K136" s="509">
        <f>'II-I Summary'!K87</f>
        <v>51350344.34402585</v>
      </c>
      <c r="L136" s="509">
        <f>'II-I Summary'!L87</f>
        <v>19623592.425896414</v>
      </c>
      <c r="M136" s="509">
        <f>'II-I Summary'!M87</f>
        <v>55641786.449538231</v>
      </c>
      <c r="N136" s="509">
        <f>'II-I Summary'!N87</f>
        <v>6129597.2085581301</v>
      </c>
      <c r="O136" s="509">
        <f>'II-I Summary'!O87</f>
        <v>27076279.239122748</v>
      </c>
      <c r="P136" s="509"/>
      <c r="Q136" s="146" t="b">
        <f>IF('II-I-Total'!U595=D136,TRUE,'II-I-Total'!U595-D136)</f>
        <v>1</v>
      </c>
      <c r="S136" s="370">
        <f t="shared" si="28"/>
        <v>0</v>
      </c>
    </row>
    <row r="137" spans="1:19" ht="15">
      <c r="A137" s="67"/>
      <c r="B137" s="17">
        <f t="shared" si="35"/>
        <v>33</v>
      </c>
      <c r="C137" s="49" t="s">
        <v>157</v>
      </c>
      <c r="D137" s="545">
        <f t="shared" si="47" ref="D137:M137">D135/D136</f>
        <v>0.047712792506869585</v>
      </c>
      <c r="E137" s="545"/>
      <c r="F137" s="545">
        <f t="shared" si="47"/>
        <v>0.036961626319046044</v>
      </c>
      <c r="G137" s="545">
        <f t="shared" si="47"/>
        <v>0.1260675173192663</v>
      </c>
      <c r="H137" s="545">
        <f t="shared" si="47"/>
        <v>0.080429075773434194</v>
      </c>
      <c r="I137" s="545">
        <f t="shared" si="47"/>
        <v>-0.016215393913323054</v>
      </c>
      <c r="J137" s="545">
        <f t="shared" si="47"/>
        <v>0.035774828484988051</v>
      </c>
      <c r="K137" s="545">
        <f>K135/K136</f>
        <v>-0.36208962752144153</v>
      </c>
      <c r="L137" s="545">
        <f t="shared" si="47"/>
        <v>-1.9308717184257047</v>
      </c>
      <c r="M137" s="545">
        <f t="shared" si="47"/>
        <v>0.060864388826999988</v>
      </c>
      <c r="N137" s="545">
        <f>N135/N136</f>
        <v>-0.053730421545132259</v>
      </c>
      <c r="O137" s="545">
        <f>O135/O136</f>
        <v>-0.06487097928149238</v>
      </c>
      <c r="P137" s="545"/>
      <c r="Q137" s="146"/>
      <c r="S137" s="370">
        <f t="shared" si="28"/>
        <v>-2.135393496470229</v>
      </c>
    </row>
    <row r="138" spans="1:19" ht="15">
      <c r="A138" s="67"/>
      <c r="B138" s="17">
        <f t="shared" si="35"/>
        <v>34</v>
      </c>
      <c r="C138" s="49" t="s">
        <v>914</v>
      </c>
      <c r="D138" s="546">
        <f t="shared" si="48" ref="D138:M138">D137/$D$137</f>
        <v>1</v>
      </c>
      <c r="E138" s="546"/>
      <c r="F138" s="546">
        <f t="shared" si="48"/>
        <v>0.77466910606258033</v>
      </c>
      <c r="G138" s="546">
        <f t="shared" si="48"/>
        <v>2.642216284052445</v>
      </c>
      <c r="H138" s="546">
        <f t="shared" si="48"/>
        <v>1.6856920659559842</v>
      </c>
      <c r="I138" s="546">
        <f t="shared" si="48"/>
        <v>-0.33985422066814464</v>
      </c>
      <c r="J138" s="546">
        <f t="shared" si="48"/>
        <v>0.74979531914501274</v>
      </c>
      <c r="K138" s="546">
        <f>K137/$D$137</f>
        <v>-7.588942262587306</v>
      </c>
      <c r="L138" s="546">
        <f t="shared" si="48"/>
        <v>-40.468637800809958</v>
      </c>
      <c r="M138" s="546">
        <f t="shared" si="48"/>
        <v>1.2756408843233575</v>
      </c>
      <c r="N138" s="546">
        <f>N137/$D$137</f>
        <v>-1.1261219208118298</v>
      </c>
      <c r="O138" s="546">
        <f>O137/$D$137</f>
        <v>-1.3596139708685546</v>
      </c>
      <c r="P138" s="546"/>
      <c r="Q138" s="146"/>
      <c r="S138" s="370">
        <f t="shared" si="28"/>
        <v>-44.755156516206412</v>
      </c>
    </row>
    <row r="139" spans="1:17" ht="14.25">
      <c r="A139" s="67"/>
      <c r="B139" s="67"/>
      <c r="C139" s="67"/>
      <c r="D139" s="67"/>
      <c r="E139" s="67"/>
      <c r="F139" s="68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</row>
  </sheetData>
  <mergeCells count="1">
    <mergeCell ref="B7:O7"/>
  </mergeCells>
  <printOptions horizontalCentered="1"/>
  <pageMargins left="0.5" right="0.5" top="1.5" bottom="0.5" header="1.5" footer="0.5"/>
  <pageSetup fitToHeight="3" orientation="landscape" scale="51" r:id="rId1"/>
  <headerFooter alignWithMargins="0">
    <oddHeader>&amp;RII-I Summary
Page &amp;P of &amp;N</oddHeader>
  </headerFooter>
  <rowBreaks count="2" manualBreakCount="2">
    <brk id="61" min="2" max="15" man="1"/>
    <brk id="104" min="1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AJ207"/>
  <sheetViews>
    <sheetView view="pageBreakPreview" zoomScaleNormal="100" zoomScaleSheetLayoutView="100" workbookViewId="0" topLeftCell="A1">
      <selection pane="topLeft" activeCell="B5" sqref="B5:Z5"/>
    </sheetView>
  </sheetViews>
  <sheetFormatPr defaultColWidth="9.005" defaultRowHeight="14.25"/>
  <cols>
    <col min="1" max="1" width="21.75" style="939" customWidth="1"/>
    <col min="2" max="2" width="23" style="977" customWidth="1"/>
    <col min="3" max="3" width="2.5" style="977" customWidth="1"/>
    <col min="4" max="4" width="16.625" style="977" customWidth="1"/>
    <col min="5" max="5" width="1.625" style="977" customWidth="1"/>
    <col min="6" max="6" width="13.75" style="977" customWidth="1"/>
    <col min="7" max="7" width="1.375" style="977" customWidth="1"/>
    <col min="8" max="8" width="15.625" style="977" customWidth="1"/>
    <col min="9" max="9" width="2.625" style="977" customWidth="1"/>
    <col min="10" max="10" width="14.625" style="977" customWidth="1"/>
    <col min="11" max="11" width="11.75" style="977" customWidth="1"/>
    <col min="12" max="12" width="14.625" style="977" customWidth="1"/>
    <col min="13" max="13" width="2.625" style="977" customWidth="1"/>
    <col min="14" max="14" width="14.625" style="977" customWidth="1"/>
    <col min="15" max="15" width="2.625" style="977" customWidth="1"/>
    <col min="16" max="16" width="15.75" style="977" customWidth="1"/>
    <col min="17" max="17" width="2.625" style="977" customWidth="1"/>
    <col min="18" max="18" width="17.625" style="977" customWidth="1"/>
    <col min="19" max="19" width="2.625" style="977" customWidth="1"/>
    <col min="20" max="20" width="16.625" style="977" customWidth="1"/>
    <col min="21" max="21" width="2.625" style="977" customWidth="1"/>
    <col min="22" max="22" width="17.625" style="977" customWidth="1"/>
    <col min="23" max="23" width="2.625" style="977" customWidth="1"/>
    <col min="24" max="24" width="15.625" style="977" customWidth="1"/>
    <col min="25" max="25" width="1.5" style="977" customWidth="1"/>
    <col min="26" max="26" width="12.375" style="977" customWidth="1"/>
    <col min="27" max="27" width="13.375" style="977" customWidth="1"/>
    <col min="28" max="28" width="15.625" style="977" customWidth="1"/>
    <col min="29" max="29" width="2.625" style="977" customWidth="1"/>
    <col min="30" max="30" width="14.625" style="977" customWidth="1"/>
    <col min="31" max="31" width="2.625" style="977" customWidth="1"/>
    <col min="32" max="32" width="14.625" style="977" customWidth="1"/>
    <col min="33" max="33" width="2.625" style="977" customWidth="1"/>
    <col min="34" max="34" width="15.625" style="977" customWidth="1"/>
    <col min="35" max="35" width="2.625" style="977" customWidth="1"/>
    <col min="36" max="36" width="14.625" style="977" customWidth="1"/>
    <col min="37" max="16384" width="9" style="977"/>
  </cols>
  <sheetData>
    <row r="1" spans="1:26" ht="15">
      <c r="A1" s="1245"/>
      <c r="B1" s="1499" t="s">
        <v>1332</v>
      </c>
      <c r="C1" s="1499"/>
      <c r="D1" s="1499"/>
      <c r="E1" s="1499"/>
      <c r="F1" s="1499"/>
      <c r="G1" s="1499"/>
      <c r="H1" s="1499"/>
      <c r="I1" s="1499"/>
      <c r="J1" s="1499"/>
      <c r="K1" s="1499"/>
      <c r="L1" s="1499"/>
      <c r="M1" s="1499"/>
      <c r="N1" s="1499"/>
      <c r="O1" s="1499"/>
      <c r="P1" s="1499"/>
      <c r="Q1" s="1499"/>
      <c r="R1" s="1499"/>
      <c r="S1" s="1499"/>
      <c r="T1" s="1499"/>
      <c r="U1" s="1499"/>
      <c r="V1" s="1499"/>
      <c r="W1" s="1499"/>
      <c r="X1" s="1499"/>
      <c r="Y1" s="1499"/>
      <c r="Z1" s="1499"/>
    </row>
    <row r="2" spans="1:26" ht="15">
      <c r="A2" s="1245"/>
      <c r="B2" s="1499" t="s">
        <v>1</v>
      </c>
      <c r="C2" s="1499"/>
      <c r="D2" s="1499"/>
      <c r="E2" s="1499"/>
      <c r="F2" s="1499"/>
      <c r="G2" s="1499"/>
      <c r="H2" s="1499"/>
      <c r="I2" s="1499"/>
      <c r="J2" s="1499"/>
      <c r="K2" s="1499"/>
      <c r="L2" s="1499"/>
      <c r="M2" s="1499"/>
      <c r="N2" s="1499"/>
      <c r="O2" s="1499"/>
      <c r="P2" s="1499"/>
      <c r="Q2" s="1499"/>
      <c r="R2" s="1499"/>
      <c r="S2" s="1499"/>
      <c r="T2" s="1499"/>
      <c r="U2" s="1499"/>
      <c r="V2" s="1499"/>
      <c r="W2" s="1499"/>
      <c r="X2" s="1499"/>
      <c r="Y2" s="1499"/>
      <c r="Z2" s="1499"/>
    </row>
    <row r="3" spans="2:26" ht="14.25">
      <c r="B3" s="1499" t="s">
        <v>984</v>
      </c>
      <c r="C3" s="1499"/>
      <c r="D3" s="1499"/>
      <c r="E3" s="1499"/>
      <c r="F3" s="1499"/>
      <c r="G3" s="1499"/>
      <c r="H3" s="1499"/>
      <c r="I3" s="1499"/>
      <c r="J3" s="1499"/>
      <c r="K3" s="1499"/>
      <c r="L3" s="1499"/>
      <c r="M3" s="1499"/>
      <c r="N3" s="1499"/>
      <c r="O3" s="1499"/>
      <c r="P3" s="1499"/>
      <c r="Q3" s="1499"/>
      <c r="R3" s="1499"/>
      <c r="S3" s="1499"/>
      <c r="T3" s="1499"/>
      <c r="U3" s="1499"/>
      <c r="V3" s="1499"/>
      <c r="W3" s="1499"/>
      <c r="X3" s="1499"/>
      <c r="Y3" s="1499"/>
      <c r="Z3" s="1499"/>
    </row>
    <row r="4" spans="2:26" ht="14.25">
      <c r="B4" s="1499" t="s">
        <v>1333</v>
      </c>
      <c r="C4" s="1499"/>
      <c r="D4" s="1499"/>
      <c r="E4" s="1499"/>
      <c r="F4" s="1499"/>
      <c r="G4" s="1499"/>
      <c r="H4" s="1499"/>
      <c r="I4" s="1499"/>
      <c r="J4" s="1499"/>
      <c r="K4" s="1499"/>
      <c r="L4" s="1499"/>
      <c r="M4" s="1499"/>
      <c r="N4" s="1499"/>
      <c r="O4" s="1499"/>
      <c r="P4" s="1499"/>
      <c r="Q4" s="1499"/>
      <c r="R4" s="1499"/>
      <c r="S4" s="1499"/>
      <c r="T4" s="1499"/>
      <c r="U4" s="1499"/>
      <c r="V4" s="1499"/>
      <c r="W4" s="1499"/>
      <c r="X4" s="1499"/>
      <c r="Y4" s="1499"/>
      <c r="Z4" s="1499"/>
    </row>
    <row r="5" spans="2:26" ht="14.25">
      <c r="B5" s="1499" t="s">
        <v>1202</v>
      </c>
      <c r="C5" s="1499"/>
      <c r="D5" s="1499"/>
      <c r="E5" s="1499"/>
      <c r="F5" s="1499"/>
      <c r="G5" s="1499"/>
      <c r="H5" s="1499"/>
      <c r="I5" s="1499"/>
      <c r="J5" s="1499"/>
      <c r="K5" s="1499"/>
      <c r="L5" s="1499"/>
      <c r="M5" s="1499"/>
      <c r="N5" s="1499"/>
      <c r="O5" s="1499"/>
      <c r="P5" s="1499"/>
      <c r="Q5" s="1499"/>
      <c r="R5" s="1499"/>
      <c r="S5" s="1499"/>
      <c r="T5" s="1499"/>
      <c r="U5" s="1499"/>
      <c r="V5" s="1499"/>
      <c r="W5" s="1499"/>
      <c r="X5" s="1499"/>
      <c r="Y5" s="1499"/>
      <c r="Z5" s="1499"/>
    </row>
    <row r="6" spans="2:26" ht="14.25">
      <c r="B6" s="996"/>
      <c r="C6" s="996"/>
      <c r="D6" s="996"/>
      <c r="E6" s="996"/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</row>
    <row r="7" spans="2:26" ht="14.25">
      <c r="B7" s="1499" t="s">
        <v>1186</v>
      </c>
      <c r="C7" s="1499"/>
      <c r="D7" s="1499"/>
      <c r="E7" s="1499"/>
      <c r="F7" s="1499"/>
      <c r="G7" s="1499"/>
      <c r="H7" s="1499"/>
      <c r="I7" s="1499"/>
      <c r="J7" s="1499"/>
      <c r="K7" s="1499"/>
      <c r="L7" s="1499"/>
      <c r="M7" s="1499"/>
      <c r="N7" s="1499"/>
      <c r="O7" s="1499"/>
      <c r="P7" s="1499"/>
      <c r="Q7" s="1499"/>
      <c r="R7" s="1499"/>
      <c r="S7" s="1499"/>
      <c r="T7" s="1499"/>
      <c r="U7" s="1499"/>
      <c r="V7" s="1499"/>
      <c r="W7" s="1499"/>
      <c r="X7" s="1499"/>
      <c r="Y7" s="1499"/>
      <c r="Z7" s="1499"/>
    </row>
    <row r="8" spans="26:34" ht="14.25">
      <c r="Z8" s="979"/>
      <c r="AD8" s="979"/>
      <c r="AF8" s="980"/>
      <c r="AH8" s="979"/>
    </row>
    <row r="9" spans="4:36" ht="15">
      <c r="D9" s="979" t="s">
        <v>1140</v>
      </c>
      <c r="E9" s="979"/>
      <c r="F9" s="979" t="s">
        <v>1141</v>
      </c>
      <c r="G9" s="979"/>
      <c r="H9" s="979" t="s">
        <v>1142</v>
      </c>
      <c r="J9" s="979" t="s">
        <v>1143</v>
      </c>
      <c r="L9" s="979" t="s">
        <v>1144</v>
      </c>
      <c r="N9" s="979" t="s">
        <v>1145</v>
      </c>
      <c r="P9" s="981" t="s">
        <v>1146</v>
      </c>
      <c r="R9" s="981" t="s">
        <v>1147</v>
      </c>
      <c r="T9" s="979" t="s">
        <v>1148</v>
      </c>
      <c r="U9" s="979"/>
      <c r="V9" s="979" t="s">
        <v>1149</v>
      </c>
      <c r="X9" s="979" t="s">
        <v>1150</v>
      </c>
      <c r="AB9" s="979"/>
      <c r="AD9" s="980"/>
      <c r="AF9" s="979"/>
      <c r="AH9" s="980"/>
      <c r="AJ9" s="979"/>
    </row>
    <row r="10" spans="1:34" ht="18">
      <c r="A10" s="999" t="s">
        <v>406</v>
      </c>
      <c r="B10" s="982" t="s">
        <v>1151</v>
      </c>
      <c r="D10" s="982" t="s">
        <v>1152</v>
      </c>
      <c r="E10" s="980"/>
      <c r="F10" s="982" t="s">
        <v>1153</v>
      </c>
      <c r="G10" s="980"/>
      <c r="H10" s="982" t="s">
        <v>913</v>
      </c>
      <c r="J10" s="982" t="s">
        <v>1154</v>
      </c>
      <c r="L10" s="982" t="s">
        <v>1155</v>
      </c>
      <c r="N10" s="982" t="s">
        <v>1156</v>
      </c>
      <c r="P10" s="982" t="s">
        <v>1157</v>
      </c>
      <c r="R10" s="982" t="s">
        <v>1158</v>
      </c>
      <c r="T10" s="983" t="s">
        <v>1159</v>
      </c>
      <c r="U10" s="983"/>
      <c r="V10" s="983" t="s">
        <v>1160</v>
      </c>
      <c r="X10" s="983" t="s">
        <v>1161</v>
      </c>
      <c r="AF10" s="979"/>
      <c r="AH10" s="979"/>
    </row>
    <row r="12" spans="1:36" ht="14.25">
      <c r="A12" s="939">
        <v>1</v>
      </c>
      <c r="B12" s="977" t="s">
        <v>730</v>
      </c>
      <c r="D12" s="984">
        <f>'II-I-Total'!J79</f>
        <v>5387717300.5741529</v>
      </c>
      <c r="E12" s="984"/>
      <c r="F12" s="985"/>
      <c r="G12" s="984"/>
      <c r="H12" s="984">
        <f>'II-I-Total'!J83</f>
        <v>379834069.69047773</v>
      </c>
      <c r="J12" s="984">
        <f>'II-I-Total'!J22</f>
        <v>293773706.03282535</v>
      </c>
      <c r="L12" s="984">
        <f>'II-I-Total'!J25</f>
        <v>45850278.323586799</v>
      </c>
      <c r="N12" s="984">
        <f>'II-I-Total'!J1064+'II-I-Total'!J1068</f>
        <v>89438446.397069708</v>
      </c>
      <c r="P12" s="984">
        <f>SUM(H12:N12)</f>
        <v>808896500.44395959</v>
      </c>
      <c r="R12" s="986"/>
      <c r="T12" s="984">
        <f>ROUND(P12*R12,0)</f>
        <v>0</v>
      </c>
      <c r="U12" s="984"/>
      <c r="V12" s="984">
        <f>'II-I-Total'!J352</f>
        <v>5825831648.9776688</v>
      </c>
      <c r="X12" s="987">
        <f>V12/$V$32</f>
        <v>0.55664171829853482</v>
      </c>
      <c r="Z12" s="984"/>
      <c r="AF12" s="984"/>
      <c r="AH12" s="984"/>
      <c r="AJ12" s="988"/>
    </row>
    <row r="13" spans="4:34" ht="14.25">
      <c r="D13" s="984"/>
      <c r="E13" s="984"/>
      <c r="F13" s="984"/>
      <c r="G13" s="984"/>
      <c r="H13" s="984"/>
      <c r="J13" s="984"/>
      <c r="L13" s="984"/>
      <c r="N13" s="984"/>
      <c r="P13" s="984"/>
      <c r="T13" s="984"/>
      <c r="U13" s="984"/>
      <c r="V13" s="984"/>
      <c r="X13" s="987"/>
      <c r="Z13" s="984"/>
      <c r="AF13" s="984"/>
      <c r="AH13" s="984"/>
    </row>
    <row r="14" spans="1:36" ht="14.25">
      <c r="A14" s="939">
        <f>A12+1</f>
        <v>2</v>
      </c>
      <c r="B14" s="977" t="s">
        <v>1162</v>
      </c>
      <c r="D14" s="984">
        <f>'II-I-Total'!K79</f>
        <v>217035207.20092854</v>
      </c>
      <c r="E14" s="984"/>
      <c r="F14" s="985"/>
      <c r="G14" s="984"/>
      <c r="H14" s="984">
        <f>'II-I-Total'!K83</f>
        <v>15300982.107665461</v>
      </c>
      <c r="J14" s="984">
        <f>'II-I-Total'!K22</f>
        <v>17898989.279674497</v>
      </c>
      <c r="L14" s="984">
        <f>'II-I-Total'!K25</f>
        <v>1770897.0750423032</v>
      </c>
      <c r="N14" s="984">
        <f>'II-I-Total'!K1064+'II-I-Total'!K1068</f>
        <v>4154562.7736830674</v>
      </c>
      <c r="P14" s="984">
        <f t="shared" si="0" ref="P14:P28">SUM(H14:N14)</f>
        <v>39125431.236065328</v>
      </c>
      <c r="R14" s="986"/>
      <c r="T14" s="984">
        <f t="shared" si="1" ref="T14:T30">ROUND(P14*R14,0)</f>
        <v>0</v>
      </c>
      <c r="U14" s="984"/>
      <c r="V14" s="984">
        <f>'II-I-Total'!K352</f>
        <v>235478345.05332434</v>
      </c>
      <c r="X14" s="987">
        <f>V14/$V$32</f>
        <v>0.022499289116186441</v>
      </c>
      <c r="Z14" s="984"/>
      <c r="AF14" s="984"/>
      <c r="AH14" s="984"/>
      <c r="AJ14" s="988"/>
    </row>
    <row r="15" spans="4:34" ht="14.25">
      <c r="D15" s="984"/>
      <c r="E15" s="984"/>
      <c r="F15" s="984"/>
      <c r="G15" s="984"/>
      <c r="H15" s="984"/>
      <c r="J15" s="984"/>
      <c r="L15" s="984"/>
      <c r="N15" s="984"/>
      <c r="P15" s="984"/>
      <c r="T15" s="984"/>
      <c r="U15" s="984"/>
      <c r="V15" s="984"/>
      <c r="X15" s="987"/>
      <c r="Z15" s="984"/>
      <c r="AF15" s="984"/>
      <c r="AH15" s="984"/>
    </row>
    <row r="16" spans="1:36" ht="14.25">
      <c r="A16" s="939">
        <f>A14+1</f>
        <v>3</v>
      </c>
      <c r="B16" s="977" t="s">
        <v>1163</v>
      </c>
      <c r="D16" s="984">
        <f>'II-I-Total'!L79</f>
        <v>3375832752.7471972</v>
      </c>
      <c r="E16" s="984"/>
      <c r="F16" s="985"/>
      <c r="G16" s="984"/>
      <c r="H16" s="984">
        <f>'II-I-Total'!L83</f>
        <v>237996209.06867737</v>
      </c>
      <c r="J16" s="984">
        <f>'II-I-Total'!L22</f>
        <v>175240361.05862743</v>
      </c>
      <c r="L16" s="984">
        <f>'II-I-Total'!L25</f>
        <v>28788315.074287303</v>
      </c>
      <c r="N16" s="984">
        <f>'II-I-Total'!L1064+'II-I-Total'!L1068</f>
        <v>55064232.044690281</v>
      </c>
      <c r="P16" s="984">
        <f t="shared" si="0"/>
        <v>497089117.24628234</v>
      </c>
      <c r="R16" s="986"/>
      <c r="T16" s="984">
        <f t="shared" si="1"/>
        <v>0</v>
      </c>
      <c r="U16" s="984"/>
      <c r="V16" s="984">
        <f>'II-I-Total'!L352</f>
        <v>3630179739.1523304</v>
      </c>
      <c r="X16" s="987">
        <f>V16/$V$32</f>
        <v>0.3468533952725667</v>
      </c>
      <c r="Z16" s="984"/>
      <c r="AF16" s="984"/>
      <c r="AH16" s="984"/>
      <c r="AJ16" s="988"/>
    </row>
    <row r="17" spans="4:34" ht="14.25">
      <c r="D17" s="984"/>
      <c r="E17" s="984"/>
      <c r="F17" s="984"/>
      <c r="G17" s="984"/>
      <c r="H17" s="984"/>
      <c r="J17" s="984"/>
      <c r="L17" s="984"/>
      <c r="N17" s="984"/>
      <c r="P17" s="984"/>
      <c r="T17" s="984"/>
      <c r="U17" s="984"/>
      <c r="V17" s="984"/>
      <c r="X17" s="987"/>
      <c r="Z17" s="984"/>
      <c r="AF17" s="984"/>
      <c r="AH17" s="984"/>
    </row>
    <row r="18" spans="1:36" ht="14.25">
      <c r="A18" s="939">
        <f>A16+1</f>
        <v>4</v>
      </c>
      <c r="B18" s="977" t="s">
        <v>1164</v>
      </c>
      <c r="D18" s="984">
        <f>'II-I-Total'!M79</f>
        <v>3478066.6096882191</v>
      </c>
      <c r="E18" s="984"/>
      <c r="F18" s="985"/>
      <c r="G18" s="984"/>
      <c r="H18" s="984">
        <f>'II-I-Total'!M83</f>
        <v>245203.69598301943</v>
      </c>
      <c r="J18" s="984">
        <f>'II-I-Total'!M22</f>
        <v>385591.23445296049</v>
      </c>
      <c r="L18" s="984">
        <f>'II-I-Total'!M25</f>
        <v>25535.902038935445</v>
      </c>
      <c r="N18" s="984">
        <f>'II-I-Total'!M1064+'II-I-Total'!M1068</f>
        <v>55351.814301274921</v>
      </c>
      <c r="P18" s="984">
        <f t="shared" si="0"/>
        <v>711682.64677619038</v>
      </c>
      <c r="R18" s="986"/>
      <c r="T18" s="984">
        <f t="shared" si="1"/>
        <v>0</v>
      </c>
      <c r="U18" s="984"/>
      <c r="V18" s="984">
        <f>'II-I-Total'!M352</f>
        <v>3563834.0146273756</v>
      </c>
      <c r="X18" s="987">
        <f>V18/$V$32</f>
        <v>0.00034051424915120345</v>
      </c>
      <c r="Z18" s="984"/>
      <c r="AF18" s="984"/>
      <c r="AH18" s="984"/>
      <c r="AJ18" s="988"/>
    </row>
    <row r="19" spans="4:34" ht="14.25">
      <c r="D19" s="984"/>
      <c r="E19" s="984"/>
      <c r="F19" s="984"/>
      <c r="G19" s="984"/>
      <c r="H19" s="984"/>
      <c r="J19" s="984"/>
      <c r="L19" s="984"/>
      <c r="N19" s="984"/>
      <c r="P19" s="984"/>
      <c r="T19" s="984"/>
      <c r="U19" s="984"/>
      <c r="V19" s="984"/>
      <c r="Z19" s="984"/>
      <c r="AF19" s="984"/>
      <c r="AH19" s="984"/>
    </row>
    <row r="20" spans="1:36" ht="14.25">
      <c r="A20" s="939">
        <f>A18+1</f>
        <v>5</v>
      </c>
      <c r="B20" s="977" t="s">
        <v>1165</v>
      </c>
      <c r="D20" s="984">
        <f>'II-I-Total'!N79</f>
        <v>544065569.77023053</v>
      </c>
      <c r="E20" s="984"/>
      <c r="F20" s="985"/>
      <c r="G20" s="984"/>
      <c r="H20" s="984">
        <f>'II-I-Total'!N83</f>
        <v>38356622.668801248</v>
      </c>
      <c r="J20" s="984">
        <f>'II-I-Total'!N22</f>
        <v>29457396.199803971</v>
      </c>
      <c r="L20" s="984">
        <f>'II-I-Total'!N25</f>
        <v>4606241.090191206</v>
      </c>
      <c r="N20" s="984">
        <f>'II-I-Total'!N1064+'II-I-Total'!N1068</f>
        <v>8513196.2250935622</v>
      </c>
      <c r="P20" s="984">
        <f t="shared" si="0"/>
        <v>80933456.183889985</v>
      </c>
      <c r="R20" s="986"/>
      <c r="T20" s="984">
        <f t="shared" si="1"/>
        <v>0</v>
      </c>
      <c r="U20" s="984"/>
      <c r="V20" s="984">
        <f>'II-I-Total'!N352</f>
        <v>579354580.63966882</v>
      </c>
      <c r="X20" s="987">
        <f>V20/$V$32</f>
        <v>0.055355689745683639</v>
      </c>
      <c r="Z20" s="984"/>
      <c r="AF20" s="984"/>
      <c r="AH20" s="984"/>
      <c r="AJ20" s="988"/>
    </row>
    <row r="21" spans="4:34" ht="14.25">
      <c r="D21" s="984"/>
      <c r="E21" s="984"/>
      <c r="F21" s="984"/>
      <c r="G21" s="984"/>
      <c r="H21" s="984"/>
      <c r="J21" s="984"/>
      <c r="L21" s="984"/>
      <c r="N21" s="984"/>
      <c r="P21" s="984"/>
      <c r="T21" s="984"/>
      <c r="U21" s="984"/>
      <c r="V21" s="984"/>
      <c r="X21" s="987"/>
      <c r="Z21" s="984"/>
      <c r="AF21" s="984"/>
      <c r="AH21" s="984"/>
    </row>
    <row r="22" spans="1:36" ht="14.25">
      <c r="A22" s="939">
        <f>A20+1</f>
        <v>6</v>
      </c>
      <c r="B22" s="977" t="s">
        <v>1166</v>
      </c>
      <c r="D22" s="984">
        <f>'II-I-Total'!O79</f>
        <v>51350344.34402585</v>
      </c>
      <c r="E22" s="984"/>
      <c r="F22" s="985"/>
      <c r="G22" s="984"/>
      <c r="H22" s="984">
        <f>'II-I-Total'!O83</f>
        <v>3620199.2762538223</v>
      </c>
      <c r="J22" s="984">
        <f>'II-I-Total'!O22</f>
        <v>1951234.1505564619</v>
      </c>
      <c r="L22" s="984">
        <f>'II-I-Total'!O25</f>
        <v>442044.22908963409</v>
      </c>
      <c r="N22" s="984">
        <f>'II-I-Total'!O1064+'II-I-Total'!O1068</f>
        <v>745471.27166322456</v>
      </c>
      <c r="P22" s="984">
        <f t="shared" si="0"/>
        <v>6758948.927563143</v>
      </c>
      <c r="R22" s="986"/>
      <c r="T22" s="984">
        <f t="shared" si="1"/>
        <v>0</v>
      </c>
      <c r="U22" s="984"/>
      <c r="V22" s="984">
        <f>'II-I-Total'!O352</f>
        <v>54302787.826271288</v>
      </c>
      <c r="X22" s="987">
        <f>V22/$V$32</f>
        <v>0.0051884776192118003</v>
      </c>
      <c r="Z22" s="984"/>
      <c r="AF22" s="984"/>
      <c r="AH22" s="984"/>
      <c r="AJ22" s="988"/>
    </row>
    <row r="23" spans="4:34" ht="14.25">
      <c r="D23" s="984"/>
      <c r="E23" s="984"/>
      <c r="F23" s="984"/>
      <c r="G23" s="984"/>
      <c r="H23" s="984"/>
      <c r="J23" s="984"/>
      <c r="L23" s="984"/>
      <c r="N23" s="984"/>
      <c r="P23" s="984"/>
      <c r="T23" s="984"/>
      <c r="U23" s="984"/>
      <c r="V23" s="984"/>
      <c r="X23" s="987"/>
      <c r="Z23" s="984"/>
      <c r="AF23" s="984"/>
      <c r="AH23" s="984"/>
    </row>
    <row r="24" spans="1:36" ht="14.25">
      <c r="A24" s="939">
        <f>A22+1</f>
        <v>7</v>
      </c>
      <c r="B24" s="977" t="s">
        <v>411</v>
      </c>
      <c r="D24" s="984">
        <f>'II-I-Total'!P79</f>
        <v>19623592.425896414</v>
      </c>
      <c r="E24" s="984"/>
      <c r="F24" s="985"/>
      <c r="G24" s="984"/>
      <c r="H24" s="984">
        <f>'II-I-Total'!P83</f>
        <v>1383463.2660256971</v>
      </c>
      <c r="J24" s="984">
        <f>'II-I-Total'!P22</f>
        <v>869060.78685406793</v>
      </c>
      <c r="L24" s="984">
        <f>'II-I-Total'!P25</f>
        <v>162487.88675137755</v>
      </c>
      <c r="N24" s="984">
        <f>'II-I-Total'!P1064+'II-I-Total'!P1068</f>
        <v>214413.10884447343</v>
      </c>
      <c r="P24" s="984">
        <f t="shared" si="0"/>
        <v>2629425.0484756161</v>
      </c>
      <c r="R24" s="986"/>
      <c r="T24" s="984">
        <f t="shared" si="1"/>
        <v>0</v>
      </c>
      <c r="U24" s="984"/>
      <c r="V24" s="984">
        <f>'II-I-Total'!P352</f>
        <v>13554837.636520231</v>
      </c>
      <c r="X24" s="987">
        <f>V24/$V$32</f>
        <v>0.0012951263558352772</v>
      </c>
      <c r="Z24" s="984"/>
      <c r="AF24" s="984"/>
      <c r="AH24" s="984"/>
      <c r="AJ24" s="988"/>
    </row>
    <row r="25" spans="4:34" ht="14.25">
      <c r="D25" s="984"/>
      <c r="E25" s="984"/>
      <c r="F25" s="984"/>
      <c r="G25" s="984"/>
      <c r="H25" s="984"/>
      <c r="J25" s="984"/>
      <c r="L25" s="984"/>
      <c r="N25" s="984"/>
      <c r="P25" s="984"/>
      <c r="T25" s="984"/>
      <c r="U25" s="984"/>
      <c r="V25" s="984"/>
      <c r="X25" s="987"/>
      <c r="Z25" s="984"/>
      <c r="AF25" s="984"/>
      <c r="AH25" s="984"/>
    </row>
    <row r="26" spans="1:36" ht="14.25">
      <c r="A26" s="939">
        <f>A24+1</f>
        <v>8</v>
      </c>
      <c r="B26" s="977" t="s">
        <v>412</v>
      </c>
      <c r="D26" s="984">
        <f>'II-I-Total'!Q79</f>
        <v>55641786.449538231</v>
      </c>
      <c r="E26" s="984"/>
      <c r="F26" s="985"/>
      <c r="G26" s="984"/>
      <c r="H26" s="984">
        <f>'II-I-Total'!Q83</f>
        <v>3922745.944692445</v>
      </c>
      <c r="J26" s="984">
        <f>'II-I-Total'!Q22</f>
        <v>25252299.387269996</v>
      </c>
      <c r="L26" s="984">
        <f>'II-I-Total'!Q25</f>
        <v>473466.33778424712</v>
      </c>
      <c r="N26" s="984">
        <f>'II-I-Total'!Q1064+'II-I-Total'!Q1068</f>
        <v>4801841.5897321403</v>
      </c>
      <c r="P26" s="984">
        <f t="shared" si="0"/>
        <v>34450353.259478822</v>
      </c>
      <c r="R26" s="986"/>
      <c r="T26" s="984">
        <f t="shared" si="1"/>
        <v>0</v>
      </c>
      <c r="U26" s="984"/>
      <c r="V26" s="984">
        <f>'II-I-Total'!Q352</f>
        <v>87990668.32744813</v>
      </c>
      <c r="X26" s="987">
        <f>V26/$V$32</f>
        <v>0.0084072592143341809</v>
      </c>
      <c r="Z26" s="984"/>
      <c r="AF26" s="984"/>
      <c r="AH26" s="984"/>
      <c r="AJ26" s="988"/>
    </row>
    <row r="27" spans="4:34" ht="14.25">
      <c r="D27" s="984"/>
      <c r="E27" s="984"/>
      <c r="F27" s="984"/>
      <c r="G27" s="984"/>
      <c r="H27" s="984"/>
      <c r="J27" s="984"/>
      <c r="L27" s="984"/>
      <c r="N27" s="984"/>
      <c r="P27" s="984"/>
      <c r="T27" s="984"/>
      <c r="U27" s="984"/>
      <c r="V27" s="984"/>
      <c r="Z27" s="984"/>
      <c r="AF27" s="984"/>
      <c r="AH27" s="984"/>
    </row>
    <row r="28" spans="1:36" ht="14.25">
      <c r="A28" s="939">
        <f>A26+1</f>
        <v>9</v>
      </c>
      <c r="B28" s="977" t="s">
        <v>1167</v>
      </c>
      <c r="D28" s="984">
        <f>'II-I-Total'!R79</f>
        <v>6129597.2085581301</v>
      </c>
      <c r="E28" s="984"/>
      <c r="F28" s="985"/>
      <c r="G28" s="984"/>
      <c r="H28" s="984">
        <f>'II-I-Total'!R83</f>
        <v>432136.60320334812</v>
      </c>
      <c r="J28" s="984">
        <f>'II-I-Total'!R22</f>
        <v>232807.75665253677</v>
      </c>
      <c r="L28" s="984">
        <f>'II-I-Total'!R25</f>
        <v>52629.278813041012</v>
      </c>
      <c r="N28" s="984">
        <f>'II-I-Total'!R1064+'II-I-Total'!R1068</f>
        <v>89158.030137250069</v>
      </c>
      <c r="P28" s="984">
        <f t="shared" si="0"/>
        <v>806731.66880617605</v>
      </c>
      <c r="R28" s="986"/>
      <c r="T28" s="984">
        <f t="shared" si="1"/>
        <v>0</v>
      </c>
      <c r="U28" s="984"/>
      <c r="V28" s="984">
        <f>'II-I-Total'!R352</f>
        <v>6501166.7346643461</v>
      </c>
      <c r="X28" s="987">
        <f>V28/$V$32</f>
        <v>0.00062116807353399515</v>
      </c>
      <c r="Z28" s="984"/>
      <c r="AF28" s="984"/>
      <c r="AH28" s="984"/>
      <c r="AJ28" s="988"/>
    </row>
    <row r="29" spans="4:34" ht="14.25">
      <c r="D29" s="984"/>
      <c r="E29" s="984"/>
      <c r="F29" s="984"/>
      <c r="G29" s="984"/>
      <c r="H29" s="984"/>
      <c r="J29" s="984"/>
      <c r="L29" s="984"/>
      <c r="N29" s="984"/>
      <c r="P29" s="984"/>
      <c r="T29" s="984"/>
      <c r="U29" s="984"/>
      <c r="V29" s="984"/>
      <c r="X29" s="987"/>
      <c r="Z29" s="984"/>
      <c r="AF29" s="984"/>
      <c r="AH29" s="984"/>
    </row>
    <row r="30" spans="1:34" ht="15" thickBot="1">
      <c r="A30" s="939">
        <f>A28+1</f>
        <v>10</v>
      </c>
      <c r="B30" s="977" t="s">
        <v>1168</v>
      </c>
      <c r="D30" s="989">
        <f>'II-I-Total'!S79</f>
        <v>27076279.239122748</v>
      </c>
      <c r="E30" s="984"/>
      <c r="F30" s="985"/>
      <c r="G30" s="984"/>
      <c r="H30" s="989">
        <f>'II-I-Total'!S83</f>
        <v>1908877.6863581536</v>
      </c>
      <c r="J30" s="989">
        <f>'II-I-Total'!S22</f>
        <v>1286394.1032827827</v>
      </c>
      <c r="L30" s="989">
        <f>'II-I-Total'!S25</f>
        <v>232790.74698357988</v>
      </c>
      <c r="N30" s="989">
        <f>'II-I-Total'!S1064+'II-I-Total'!S1068</f>
        <v>426525.28478501469</v>
      </c>
      <c r="P30" s="989">
        <f>SUM(H30:N30)</f>
        <v>3854587.8214095305</v>
      </c>
      <c r="R30" s="986"/>
      <c r="T30" s="989">
        <f t="shared" si="1"/>
        <v>0</v>
      </c>
      <c r="U30" s="984"/>
      <c r="V30" s="989">
        <f>'II-I-Total'!S352</f>
        <v>29277288.887474332</v>
      </c>
      <c r="X30" s="987">
        <f>V30/$V$32</f>
        <v>0.0027973620549619116</v>
      </c>
      <c r="AF30" s="979"/>
      <c r="AH30" s="979"/>
    </row>
    <row r="31" spans="4:16" ht="15" thickTop="1">
      <c r="D31" s="984"/>
      <c r="E31" s="984"/>
      <c r="F31" s="984"/>
      <c r="G31" s="984"/>
      <c r="H31" s="984"/>
      <c r="J31" s="984"/>
      <c r="L31" s="984"/>
      <c r="N31" s="984"/>
      <c r="P31" s="984"/>
    </row>
    <row r="32" spans="1:32" ht="14.25">
      <c r="A32" s="939">
        <f>A30+1</f>
        <v>11</v>
      </c>
      <c r="B32" s="977" t="s">
        <v>10</v>
      </c>
      <c r="D32" s="984">
        <f>SUM(D12:D30)</f>
        <v>9687950496.5693398</v>
      </c>
      <c r="E32" s="984"/>
      <c r="F32" s="990">
        <f>'II-I-Total'!F81</f>
        <v>0.070499999999999993</v>
      </c>
      <c r="G32" s="984"/>
      <c r="H32" s="984">
        <f>SUM(H12:H30)</f>
        <v>683000510.00813818</v>
      </c>
      <c r="J32" s="984">
        <f>SUM(J12:J30)</f>
        <v>546347839.99000013</v>
      </c>
      <c r="L32" s="984">
        <f>SUM(L12:L30)</f>
        <v>82404685.944568396</v>
      </c>
      <c r="N32" s="984">
        <f>SUM(N12:N30)</f>
        <v>163503198.53999999</v>
      </c>
      <c r="O32" s="984"/>
      <c r="P32" s="984">
        <f>SUM(P12:P30)</f>
        <v>1475256234.4827063</v>
      </c>
      <c r="R32" s="984"/>
      <c r="T32" s="991">
        <f>SUM(T12:T30)</f>
        <v>0</v>
      </c>
      <c r="U32" s="991"/>
      <c r="V32" s="991">
        <f>SUM(V12:V30)</f>
        <v>10466034897.249998</v>
      </c>
      <c r="Z32" s="991"/>
      <c r="AB32" s="991"/>
      <c r="AD32" s="984"/>
      <c r="AF32" s="984"/>
    </row>
    <row r="33" spans="12:14" ht="14.25">
      <c r="L33" s="990">
        <f>L32/H32</f>
        <v>0.12065098742545084</v>
      </c>
      <c r="N33" s="990">
        <f>D58/D32</f>
        <v>0.027086458385639681</v>
      </c>
    </row>
    <row r="34" spans="1:22" ht="15">
      <c r="A34" s="939">
        <f>A32+1</f>
        <v>12</v>
      </c>
      <c r="B34" s="992" t="s">
        <v>1169</v>
      </c>
      <c r="L34" s="984">
        <f>H58*L33</f>
        <v>2232051.0966192591</v>
      </c>
      <c r="N34" s="984">
        <f>N32*N33</f>
        <v>4428722.583172692</v>
      </c>
      <c r="V34" s="992" t="s">
        <v>1169</v>
      </c>
    </row>
    <row r="35" spans="4:22" ht="14.25">
      <c r="D35" s="979" t="s">
        <v>1140</v>
      </c>
      <c r="E35" s="979"/>
      <c r="F35" s="979" t="s">
        <v>1141</v>
      </c>
      <c r="G35" s="979"/>
      <c r="H35" s="979" t="s">
        <v>1142</v>
      </c>
      <c r="J35" s="979" t="s">
        <v>1143</v>
      </c>
      <c r="L35" s="979" t="s">
        <v>1144</v>
      </c>
      <c r="N35" s="979" t="s">
        <v>1145</v>
      </c>
      <c r="P35" s="981" t="s">
        <v>1146</v>
      </c>
      <c r="R35" s="981" t="s">
        <v>1147</v>
      </c>
      <c r="T35" s="979" t="s">
        <v>1148</v>
      </c>
      <c r="V35" s="979" t="s">
        <v>1149</v>
      </c>
    </row>
    <row r="36" spans="1:22" ht="18">
      <c r="A36" s="939">
        <f>A34+1</f>
        <v>13</v>
      </c>
      <c r="B36" s="982" t="s">
        <v>1151</v>
      </c>
      <c r="D36" s="982" t="s">
        <v>1152</v>
      </c>
      <c r="E36" s="980"/>
      <c r="F36" s="982" t="s">
        <v>1153</v>
      </c>
      <c r="G36" s="980"/>
      <c r="H36" s="982" t="s">
        <v>913</v>
      </c>
      <c r="J36" s="982" t="s">
        <v>1154</v>
      </c>
      <c r="L36" s="982" t="s">
        <v>1155</v>
      </c>
      <c r="N36" s="982" t="s">
        <v>1156</v>
      </c>
      <c r="P36" s="982" t="s">
        <v>1157</v>
      </c>
      <c r="R36" s="982" t="s">
        <v>1158</v>
      </c>
      <c r="T36" s="983" t="s">
        <v>1159</v>
      </c>
      <c r="V36" s="983" t="s">
        <v>1160</v>
      </c>
    </row>
    <row r="38" spans="1:22" ht="14.25">
      <c r="A38" s="939">
        <f>A36+1</f>
        <v>14</v>
      </c>
      <c r="B38" s="977" t="s">
        <v>730</v>
      </c>
      <c r="D38" s="984">
        <f>D153</f>
        <v>146101756.24805486</v>
      </c>
      <c r="F38" s="985"/>
      <c r="H38" s="984">
        <f>D38/$D$58*$H$58</f>
        <v>10300173.815487865</v>
      </c>
      <c r="J38" s="984">
        <f>D185</f>
        <v>18091931.170043156</v>
      </c>
      <c r="L38" s="984">
        <f>H38/$H$58*$L$34</f>
        <v>1242726.1414923845</v>
      </c>
      <c r="N38" s="984">
        <f>D38/$D$58*$N$34</f>
        <v>2465754.1827167221</v>
      </c>
      <c r="P38" s="984">
        <f>SUM(H38:N38)</f>
        <v>32100585.30974013</v>
      </c>
      <c r="V38" s="984">
        <f>D38</f>
        <v>146101756.24805486</v>
      </c>
    </row>
    <row r="39" spans="4:16" ht="14.25">
      <c r="D39" s="990">
        <f>D38/D12</f>
        <v>0.02711756168655791</v>
      </c>
      <c r="H39" s="984"/>
      <c r="L39" s="984"/>
      <c r="P39" s="984"/>
    </row>
    <row r="40" spans="1:22" ht="14.25">
      <c r="A40" s="939">
        <f>A38+1</f>
        <v>15</v>
      </c>
      <c r="B40" s="977" t="s">
        <v>1162</v>
      </c>
      <c r="D40" s="984">
        <f>D155</f>
        <v>8584573.5844475962</v>
      </c>
      <c r="F40" s="985"/>
      <c r="H40" s="984">
        <f>D40/$D$58*$H$58</f>
        <v>605212.43770355545</v>
      </c>
      <c r="J40" s="984">
        <f>D187</f>
        <v>2440500.3270570254</v>
      </c>
      <c r="L40" s="984">
        <f>H40/$H$58*$L$34</f>
        <v>73019.478211098118</v>
      </c>
      <c r="N40" s="984">
        <f>D40/$D$58*$N$34</f>
        <v>144881.54534400377</v>
      </c>
      <c r="P40" s="984">
        <f t="shared" si="2" ref="P40:P56">SUM(H40:N40)</f>
        <v>3263613.7883156831</v>
      </c>
      <c r="V40" s="984">
        <f>D40</f>
        <v>8584573.5844475962</v>
      </c>
    </row>
    <row r="41" spans="4:22" ht="14.25">
      <c r="D41" s="990">
        <f>D40/D14</f>
        <v>0.039553829515319619</v>
      </c>
      <c r="H41" s="984"/>
      <c r="L41" s="984"/>
      <c r="P41" s="984"/>
      <c r="V41" s="984"/>
    </row>
    <row r="42" spans="1:22" ht="14.25">
      <c r="A42" s="939">
        <f>A40+1</f>
        <v>16</v>
      </c>
      <c r="B42" s="977" t="s">
        <v>1163</v>
      </c>
      <c r="D42" s="984">
        <f>D157</f>
        <v>87563182.766074225</v>
      </c>
      <c r="F42" s="985"/>
      <c r="H42" s="984">
        <f>D42/$D$58*$H$58</f>
        <v>6173204.3850082317</v>
      </c>
      <c r="J42" s="984">
        <f>D189</f>
        <v>9056197.4608660657</v>
      </c>
      <c r="L42" s="984">
        <f>H42/$H$58*$L$34</f>
        <v>744803.20463036606</v>
      </c>
      <c r="N42" s="984">
        <f>D42/$D$58*$N$34</f>
        <v>1477800.7445089207</v>
      </c>
      <c r="P42" s="984">
        <f t="shared" si="2"/>
        <v>17452005.795013584</v>
      </c>
      <c r="V42" s="984">
        <f t="shared" si="3" ref="V42:V58">D42</f>
        <v>87563182.766074225</v>
      </c>
    </row>
    <row r="43" spans="4:22" ht="14.25">
      <c r="D43" s="990">
        <f>D42/D16</f>
        <v>0.025938246702185336</v>
      </c>
      <c r="H43" s="984"/>
      <c r="L43" s="984"/>
      <c r="P43" s="984"/>
      <c r="V43" s="984"/>
    </row>
    <row r="44" spans="1:22" ht="14.25">
      <c r="A44" s="939">
        <f>A42+1</f>
        <v>17</v>
      </c>
      <c r="B44" s="977" t="s">
        <v>1164</v>
      </c>
      <c r="D44" s="984">
        <f>D159</f>
        <v>232238.41659822935</v>
      </c>
      <c r="F44" s="985"/>
      <c r="H44" s="984">
        <f>D44/$D$58*$H$58</f>
        <v>16372.808370175166</v>
      </c>
      <c r="J44" s="984">
        <f>D191</f>
        <v>102209.57034541972</v>
      </c>
      <c r="L44" s="984">
        <f>H44/$H$58*$L$34</f>
        <v>1975.3954967893201</v>
      </c>
      <c r="N44" s="984">
        <f>D44/$D$58*$N$34</f>
        <v>3919.4795587696203</v>
      </c>
      <c r="P44" s="984">
        <f t="shared" si="2"/>
        <v>124477.25377115382</v>
      </c>
      <c r="V44" s="984">
        <f t="shared" si="3"/>
        <v>232238.41659822935</v>
      </c>
    </row>
    <row r="45" spans="4:22" ht="14.25">
      <c r="D45" s="990">
        <f>D44/D18</f>
        <v>0.066772273984438635</v>
      </c>
      <c r="H45" s="984"/>
      <c r="L45" s="984"/>
      <c r="P45" s="984"/>
      <c r="V45" s="984"/>
    </row>
    <row r="46" spans="1:22" ht="14.25">
      <c r="A46" s="939">
        <f>A44+1</f>
        <v>18</v>
      </c>
      <c r="B46" s="977" t="s">
        <v>1165</v>
      </c>
      <c r="D46" s="984">
        <f>D161</f>
        <v>15468855.784697739</v>
      </c>
      <c r="F46" s="985"/>
      <c r="H46" s="984">
        <f>D46/$D$58*$H$58</f>
        <v>1090554.3328211904</v>
      </c>
      <c r="J46" s="984">
        <f>D193</f>
        <v>2398630.3445597426</v>
      </c>
      <c r="L46" s="984">
        <f>H46/$H$58*$L$34</f>
        <v>131576.45709598035</v>
      </c>
      <c r="N46" s="984">
        <f>D46/$D$58*$N$34</f>
        <v>261067.33301823694</v>
      </c>
      <c r="P46" s="984">
        <f t="shared" si="2"/>
        <v>3881828.4674951499</v>
      </c>
      <c r="V46" s="984">
        <f t="shared" si="3"/>
        <v>15468855.784697739</v>
      </c>
    </row>
    <row r="47" spans="4:22" ht="14.25">
      <c r="D47" s="990">
        <f>D46/D20</f>
        <v>0.028431969681945758</v>
      </c>
      <c r="H47" s="984"/>
      <c r="L47" s="984"/>
      <c r="P47" s="984"/>
      <c r="V47" s="984"/>
    </row>
    <row r="48" spans="1:22" ht="14.25">
      <c r="A48" s="939">
        <f>A46+1</f>
        <v>19</v>
      </c>
      <c r="B48" s="977" t="s">
        <v>1166</v>
      </c>
      <c r="D48" s="984">
        <f>D163</f>
        <v>1254437.5592610792</v>
      </c>
      <c r="F48" s="985"/>
      <c r="H48" s="984">
        <f>D48/$D$58*$H$58</f>
        <v>88437.84792790607</v>
      </c>
      <c r="J48" s="984">
        <f>D195</f>
        <v>100129.3098397743</v>
      </c>
      <c r="L48" s="984">
        <f>H48/$H$58*$L$34</f>
        <v>10670.113678283728</v>
      </c>
      <c r="N48" s="984">
        <f>D48/$D$58*$N$34</f>
        <v>21171.098405233188</v>
      </c>
      <c r="P48" s="984">
        <f t="shared" si="2"/>
        <v>220408.36985119726</v>
      </c>
      <c r="V48" s="984">
        <f t="shared" si="3"/>
        <v>1254437.5592610792</v>
      </c>
    </row>
    <row r="49" spans="4:22" ht="14.25">
      <c r="D49" s="990">
        <f>D48/D22</f>
        <v>0.024428999947047517</v>
      </c>
      <c r="H49" s="984"/>
      <c r="L49" s="984"/>
      <c r="P49" s="984"/>
      <c r="V49" s="984"/>
    </row>
    <row r="50" spans="1:22" ht="14.25">
      <c r="A50" s="939">
        <f>A48+1</f>
        <v>20</v>
      </c>
      <c r="B50" s="977" t="s">
        <v>411</v>
      </c>
      <c r="D50" s="984">
        <f>D165</f>
        <v>529274.91036423761</v>
      </c>
      <c r="F50" s="985"/>
      <c r="H50" s="984">
        <f>D50/$D$58*$H$58</f>
        <v>37313.881180678749</v>
      </c>
      <c r="J50" s="984">
        <f>D197</f>
        <v>162888.63245946431</v>
      </c>
      <c r="L50" s="984">
        <f>H50/$H$58*$L$34</f>
        <v>4501.956609124838</v>
      </c>
      <c r="N50" s="984">
        <f>D50/$D$58*$N$34</f>
        <v>8932.5539784879365</v>
      </c>
      <c r="P50" s="984">
        <f t="shared" si="2"/>
        <v>213637.02422775584</v>
      </c>
      <c r="V50" s="984">
        <f t="shared" si="3"/>
        <v>529274.91036423761</v>
      </c>
    </row>
    <row r="51" spans="4:22" ht="14.25">
      <c r="D51" s="990">
        <f>D50/D24</f>
        <v>0.026971356664836566</v>
      </c>
      <c r="H51" s="984"/>
      <c r="L51" s="984"/>
      <c r="P51" s="984"/>
      <c r="V51" s="984"/>
    </row>
    <row r="52" spans="1:22" ht="14.25">
      <c r="A52" s="939">
        <f>A50+1</f>
        <v>21</v>
      </c>
      <c r="B52" s="977" t="s">
        <v>412</v>
      </c>
      <c r="D52" s="984">
        <f>D167</f>
        <v>1882171.1781031096</v>
      </c>
      <c r="F52" s="985"/>
      <c r="H52" s="984">
        <f>D52/$D$58*$H$58</f>
        <v>132693.0680562692</v>
      </c>
      <c r="J52" s="984">
        <f>D199</f>
        <v>61527.072570379794</v>
      </c>
      <c r="L52" s="984">
        <f>H52/$H$58*$L$34</f>
        <v>16009.549685501426</v>
      </c>
      <c r="N52" s="984">
        <f>D52/$D$58*$N$34</f>
        <v>31765.336531047975</v>
      </c>
      <c r="P52" s="984">
        <f t="shared" si="2"/>
        <v>241995.0268431984</v>
      </c>
      <c r="V52" s="984">
        <f t="shared" si="3"/>
        <v>1882171.1781031096</v>
      </c>
    </row>
    <row r="53" spans="4:22" ht="14.25">
      <c r="D53" s="990">
        <f>D52/D26</f>
        <v>0.033826577078183109</v>
      </c>
      <c r="H53" s="984"/>
      <c r="L53" s="984"/>
      <c r="P53" s="984"/>
      <c r="V53" s="984"/>
    </row>
    <row r="54" spans="1:22" ht="14.25">
      <c r="A54" s="939">
        <f>A52+1</f>
        <v>22</v>
      </c>
      <c r="B54" s="977" t="s">
        <v>1167</v>
      </c>
      <c r="D54" s="984">
        <f>D169</f>
        <v>149695.82928236161</v>
      </c>
      <c r="F54" s="985"/>
      <c r="H54" s="984">
        <f>D54/$D$58*$H$58</f>
        <v>10553.555964406492</v>
      </c>
      <c r="J54" s="984">
        <f>D201</f>
        <v>11677.312806075415</v>
      </c>
      <c r="L54" s="984">
        <f>H54/$H$58*$L$34</f>
        <v>1273.2969479553995</v>
      </c>
      <c r="N54" s="984">
        <f>D54/$D$58*$N$34</f>
        <v>2526.4112264437326</v>
      </c>
      <c r="P54" s="984">
        <f t="shared" si="2"/>
        <v>26030.576944881042</v>
      </c>
      <c r="V54" s="984">
        <f t="shared" si="3"/>
        <v>149695.82928236161</v>
      </c>
    </row>
    <row r="55" spans="4:22" ht="14.25">
      <c r="D55" s="990">
        <f>D54/D28</f>
        <v>0.024421805249022991</v>
      </c>
      <c r="H55" s="984"/>
      <c r="P55" s="984"/>
      <c r="V55" s="984"/>
    </row>
    <row r="56" spans="1:22" ht="15" thickBot="1">
      <c r="A56" s="939">
        <f>A54+1</f>
        <v>23</v>
      </c>
      <c r="B56" s="977" t="s">
        <v>1168</v>
      </c>
      <c r="D56" s="989">
        <f>D171</f>
        <v>646081.39311659103</v>
      </c>
      <c r="F56" s="985"/>
      <c r="H56" s="989">
        <f>D56/$D$58*$H$58</f>
        <v>45548.738214719662</v>
      </c>
      <c r="J56" s="989">
        <f>D203</f>
        <v>34687.879452904985</v>
      </c>
      <c r="L56" s="989">
        <f>H56/$H$58*$L$34</f>
        <v>5495.5002415892941</v>
      </c>
      <c r="N56" s="989">
        <f>D56/$D$58*$N$34</f>
        <v>10903.892864558848</v>
      </c>
      <c r="P56" s="989">
        <f t="shared" si="2"/>
        <v>96636.010773772781</v>
      </c>
      <c r="V56" s="989">
        <f t="shared" si="3"/>
        <v>646081.39311659103</v>
      </c>
    </row>
    <row r="57" spans="4:22" ht="15" thickTop="1">
      <c r="D57" s="990">
        <f>D56/D30</f>
        <v>0.02386152792304869</v>
      </c>
      <c r="H57" s="984"/>
      <c r="V57" s="984"/>
    </row>
    <row r="58" spans="1:22" ht="14.25">
      <c r="A58" s="939">
        <f>A56+1</f>
        <v>24</v>
      </c>
      <c r="B58" s="977" t="s">
        <v>10</v>
      </c>
      <c r="D58" s="984">
        <f>SUM(D38:D56)</f>
        <v>262412267.96746269</v>
      </c>
      <c r="F58" s="990">
        <f>F32</f>
        <v>0.070499999999999993</v>
      </c>
      <c r="H58" s="984">
        <f>D58*F58</f>
        <v>18500064.891706116</v>
      </c>
      <c r="J58" s="984">
        <f>SUM(J38:J56)</f>
        <v>32460379.080000009</v>
      </c>
      <c r="L58" s="984">
        <f>SUM(L38:L56)</f>
        <v>2232051.0940890731</v>
      </c>
      <c r="M58" s="984"/>
      <c r="N58" s="984">
        <f>SUM(N38:N56)</f>
        <v>4428722.5781524256</v>
      </c>
      <c r="O58" s="984"/>
      <c r="P58" s="984">
        <f>SUM(P38:P56)</f>
        <v>57621217.622976497</v>
      </c>
      <c r="V58" s="984">
        <f t="shared" si="3"/>
        <v>262412267.96746269</v>
      </c>
    </row>
    <row r="59" spans="4:4" ht="14.25">
      <c r="D59" s="990">
        <f>D58/D32</f>
        <v>0.027086458385639681</v>
      </c>
    </row>
    <row r="60" spans="2:22" ht="15">
      <c r="B60" s="992" t="s">
        <v>1170</v>
      </c>
      <c r="V60" s="992" t="s">
        <v>1171</v>
      </c>
    </row>
    <row r="62" spans="4:24" ht="15">
      <c r="D62" s="979" t="s">
        <v>1140</v>
      </c>
      <c r="E62" s="979"/>
      <c r="F62" s="979" t="s">
        <v>1141</v>
      </c>
      <c r="G62" s="979"/>
      <c r="H62" s="979" t="s">
        <v>1142</v>
      </c>
      <c r="J62" s="979" t="s">
        <v>1143</v>
      </c>
      <c r="L62" s="979" t="s">
        <v>1144</v>
      </c>
      <c r="N62" s="979" t="s">
        <v>1145</v>
      </c>
      <c r="P62" s="981" t="s">
        <v>1146</v>
      </c>
      <c r="R62" s="981" t="s">
        <v>1147</v>
      </c>
      <c r="T62" s="979" t="s">
        <v>1148</v>
      </c>
      <c r="V62" s="979" t="s">
        <v>1149</v>
      </c>
      <c r="X62" s="979" t="s">
        <v>1150</v>
      </c>
    </row>
    <row r="63" spans="1:24" ht="18">
      <c r="A63" s="939">
        <v>1</v>
      </c>
      <c r="B63" s="982" t="s">
        <v>1151</v>
      </c>
      <c r="D63" s="982" t="s">
        <v>1152</v>
      </c>
      <c r="E63" s="980"/>
      <c r="F63" s="982" t="s">
        <v>1153</v>
      </c>
      <c r="G63" s="980"/>
      <c r="H63" s="982" t="s">
        <v>913</v>
      </c>
      <c r="J63" s="982" t="s">
        <v>1154</v>
      </c>
      <c r="L63" s="982" t="s">
        <v>1155</v>
      </c>
      <c r="N63" s="982" t="s">
        <v>1156</v>
      </c>
      <c r="P63" s="982" t="s">
        <v>1157</v>
      </c>
      <c r="R63" s="982" t="s">
        <v>1158</v>
      </c>
      <c r="T63" s="983" t="s">
        <v>1159</v>
      </c>
      <c r="V63" s="983" t="s">
        <v>1160</v>
      </c>
      <c r="X63" s="983" t="s">
        <v>1161</v>
      </c>
    </row>
    <row r="65" spans="1:28" ht="14.25">
      <c r="A65" s="939">
        <f>A63+1</f>
        <v>2</v>
      </c>
      <c r="B65" s="977" t="s">
        <v>730</v>
      </c>
      <c r="D65" s="984">
        <f>D12-D38</f>
        <v>5241615544.3260984</v>
      </c>
      <c r="H65" s="984">
        <f>H12-H38</f>
        <v>369533895.87498987</v>
      </c>
      <c r="J65" s="984">
        <f>J12-J38</f>
        <v>275681774.86278218</v>
      </c>
      <c r="L65" s="984">
        <f>L12-L38</f>
        <v>44607552.182094418</v>
      </c>
      <c r="N65" s="984">
        <f>N12-N38</f>
        <v>86972692.21435298</v>
      </c>
      <c r="P65" s="984">
        <f>SUM(H65:N65)</f>
        <v>776795915.13421941</v>
      </c>
      <c r="R65" s="986">
        <f>R12</f>
        <v>0</v>
      </c>
      <c r="T65" s="984">
        <f>ROUND(P65*R65,0)</f>
        <v>0</v>
      </c>
      <c r="V65" s="984">
        <f>V12-V38</f>
        <v>5679729892.7296143</v>
      </c>
      <c r="X65" s="987">
        <f>V65/$V$85</f>
        <v>0.55663856837122194</v>
      </c>
      <c r="Z65" s="984"/>
      <c r="AB65" s="984"/>
    </row>
    <row r="66" spans="22:28" ht="14.25">
      <c r="V66" s="984"/>
      <c r="X66" s="987"/>
      <c r="Z66" s="984"/>
      <c r="AB66" s="984"/>
    </row>
    <row r="67" spans="1:28" ht="14.25">
      <c r="A67" s="939">
        <f>A65+1</f>
        <v>3</v>
      </c>
      <c r="B67" s="977" t="s">
        <v>1162</v>
      </c>
      <c r="D67" s="984">
        <f>D14-D40</f>
        <v>208450633.61648095</v>
      </c>
      <c r="H67" s="984">
        <f>H14-H40</f>
        <v>14695769.669961905</v>
      </c>
      <c r="J67" s="984">
        <f>J14-J40</f>
        <v>15458488.95261747</v>
      </c>
      <c r="L67" s="984">
        <f>L14-L40</f>
        <v>1697877.5968312051</v>
      </c>
      <c r="N67" s="984">
        <f>N14-N40</f>
        <v>4009681.2283390635</v>
      </c>
      <c r="P67" s="984">
        <f>SUM(H67:N67)</f>
        <v>35861817.447749645</v>
      </c>
      <c r="R67" s="986">
        <f>R14</f>
        <v>0</v>
      </c>
      <c r="T67" s="984">
        <f>ROUND(P67*R67,0)</f>
        <v>0</v>
      </c>
      <c r="V67" s="984">
        <f t="shared" si="4" ref="V67:V83">V14-V40</f>
        <v>226893771.46887675</v>
      </c>
      <c r="X67" s="987">
        <f t="shared" si="5" ref="X67:X83">V67/$V$85</f>
        <v>0.022236589856931638</v>
      </c>
      <c r="Z67" s="984"/>
      <c r="AB67" s="984"/>
    </row>
    <row r="68" spans="22:28" ht="14.25">
      <c r="V68" s="984"/>
      <c r="X68" s="987"/>
      <c r="Z68" s="984"/>
      <c r="AB68" s="984"/>
    </row>
    <row r="69" spans="1:28" ht="14.25">
      <c r="A69" s="939">
        <f>A67+1</f>
        <v>4</v>
      </c>
      <c r="B69" s="977" t="s">
        <v>1163</v>
      </c>
      <c r="D69" s="984">
        <f>D16-D42</f>
        <v>3288269569.981123</v>
      </c>
      <c r="H69" s="984">
        <f>H16-H42</f>
        <v>231823004.68366912</v>
      </c>
      <c r="J69" s="984">
        <f>J16-J42</f>
        <v>166184163.59776136</v>
      </c>
      <c r="L69" s="984">
        <f>L16-L42</f>
        <v>28043511.869656935</v>
      </c>
      <c r="N69" s="984">
        <f>N16-N42</f>
        <v>53586431.300181359</v>
      </c>
      <c r="P69" s="984">
        <f>SUM(H69:N69)</f>
        <v>479637111.45126879</v>
      </c>
      <c r="R69" s="986">
        <f>R16</f>
        <v>0</v>
      </c>
      <c r="T69" s="984">
        <f>ROUND(P69*R69,0)</f>
        <v>0</v>
      </c>
      <c r="V69" s="984">
        <f t="shared" si="4"/>
        <v>3542616556.3862562</v>
      </c>
      <c r="X69" s="987">
        <f t="shared" si="5"/>
        <v>0.34719204002275778</v>
      </c>
      <c r="Z69" s="984"/>
      <c r="AB69" s="984"/>
    </row>
    <row r="70" spans="22:28" ht="14.25">
      <c r="V70" s="984"/>
      <c r="X70" s="987"/>
      <c r="Z70" s="984"/>
      <c r="AB70" s="984"/>
    </row>
    <row r="71" spans="1:28" ht="14.25">
      <c r="A71" s="939">
        <f>A69+1</f>
        <v>5</v>
      </c>
      <c r="B71" s="977" t="s">
        <v>1164</v>
      </c>
      <c r="D71" s="984">
        <f>D18-D44</f>
        <v>3245828.1930899899</v>
      </c>
      <c r="H71" s="984">
        <f>H18-H44</f>
        <v>228830.88761284426</v>
      </c>
      <c r="J71" s="984">
        <f>J18-J44</f>
        <v>283381.66410754074</v>
      </c>
      <c r="L71" s="984">
        <f>L18-L44</f>
        <v>23560.506542146126</v>
      </c>
      <c r="N71" s="984">
        <f>N18-N44</f>
        <v>51432.3347425053</v>
      </c>
      <c r="P71" s="984">
        <f>SUM(H71:N71)</f>
        <v>587205.3930050364</v>
      </c>
      <c r="R71" s="986">
        <f>R18</f>
        <v>0</v>
      </c>
      <c r="T71" s="984">
        <f>ROUND(P71*R71,0)</f>
        <v>0</v>
      </c>
      <c r="V71" s="984">
        <f t="shared" si="4"/>
        <v>3331595.5980291464</v>
      </c>
      <c r="X71" s="987">
        <f t="shared" si="5"/>
        <v>0.00032651105582550159</v>
      </c>
      <c r="Z71" s="984"/>
      <c r="AB71" s="984"/>
    </row>
    <row r="72" spans="22:28" ht="14.25">
      <c r="V72" s="984"/>
      <c r="X72" s="987"/>
      <c r="Z72" s="984"/>
      <c r="AB72" s="984"/>
    </row>
    <row r="73" spans="1:28" ht="14.25">
      <c r="A73" s="939">
        <f>A71+1</f>
        <v>6</v>
      </c>
      <c r="B73" s="977" t="s">
        <v>1165</v>
      </c>
      <c r="D73" s="984">
        <f>D20-D46</f>
        <v>528596713.98553282</v>
      </c>
      <c r="H73" s="984">
        <f>H20-H46</f>
        <v>37266068.335980058</v>
      </c>
      <c r="J73" s="984">
        <f>J20-J46</f>
        <v>27058765.855244227</v>
      </c>
      <c r="L73" s="984">
        <f>L20-L46</f>
        <v>4474664.6330952253</v>
      </c>
      <c r="N73" s="984">
        <f>N20-N46</f>
        <v>8252128.8920753254</v>
      </c>
      <c r="P73" s="984">
        <f>SUM(H73:N73)</f>
        <v>77051627.716394842</v>
      </c>
      <c r="R73" s="986">
        <f>R20</f>
        <v>0</v>
      </c>
      <c r="T73" s="984">
        <f>ROUND(P73*R73,0)</f>
        <v>0</v>
      </c>
      <c r="V73" s="984">
        <f t="shared" si="4"/>
        <v>563885724.85497105</v>
      </c>
      <c r="X73" s="987">
        <f t="shared" si="5"/>
        <v>0.055263286905601845</v>
      </c>
      <c r="Z73" s="984"/>
      <c r="AB73" s="984"/>
    </row>
    <row r="74" spans="22:28" ht="14.25">
      <c r="V74" s="984"/>
      <c r="X74" s="987"/>
      <c r="Z74" s="984"/>
      <c r="AB74" s="984"/>
    </row>
    <row r="75" spans="1:28" ht="14.25">
      <c r="A75" s="939">
        <f>A73+1</f>
        <v>7</v>
      </c>
      <c r="B75" s="977" t="s">
        <v>1166</v>
      </c>
      <c r="D75" s="984">
        <f>D22-D48</f>
        <v>50095906.784764774</v>
      </c>
      <c r="H75" s="984">
        <f>H22-H48</f>
        <v>3531761.4283259162</v>
      </c>
      <c r="J75" s="984">
        <f>J22-J48</f>
        <v>1851104.8407166875</v>
      </c>
      <c r="L75" s="984">
        <f>L22-L48</f>
        <v>431374.11541135039</v>
      </c>
      <c r="N75" s="984">
        <f>N22-N48</f>
        <v>724300.17325799132</v>
      </c>
      <c r="P75" s="984">
        <f>SUM(H75:N75)</f>
        <v>6538540.5577119458</v>
      </c>
      <c r="R75" s="986">
        <f>R22</f>
        <v>0</v>
      </c>
      <c r="T75" s="984">
        <f>ROUND(P75*R75,0)</f>
        <v>0</v>
      </c>
      <c r="V75" s="984">
        <f t="shared" si="4"/>
        <v>53048350.267010212</v>
      </c>
      <c r="X75" s="987">
        <f t="shared" si="5"/>
        <v>0.0051989721878996789</v>
      </c>
      <c r="Z75" s="984"/>
      <c r="AB75" s="984"/>
    </row>
    <row r="76" spans="22:28" ht="14.25">
      <c r="V76" s="984"/>
      <c r="X76" s="987"/>
      <c r="Z76" s="984"/>
      <c r="AB76" s="984"/>
    </row>
    <row r="77" spans="1:28" ht="14.25">
      <c r="A77" s="939">
        <f>A75+1</f>
        <v>8</v>
      </c>
      <c r="B77" s="977" t="s">
        <v>411</v>
      </c>
      <c r="D77" s="984">
        <f>D24-D50</f>
        <v>19094317.515532177</v>
      </c>
      <c r="H77" s="984">
        <f>H24-H50</f>
        <v>1346149.3848450184</v>
      </c>
      <c r="J77" s="984">
        <f>J24-J50</f>
        <v>706172.15439460357</v>
      </c>
      <c r="L77" s="984">
        <f>L24-L50</f>
        <v>157985.93014225271</v>
      </c>
      <c r="N77" s="984">
        <f>N24-N50</f>
        <v>205480.5548659855</v>
      </c>
      <c r="P77" s="984">
        <f>SUM(H77:N77)</f>
        <v>2415788.0242478601</v>
      </c>
      <c r="R77" s="986">
        <f>R24</f>
        <v>0</v>
      </c>
      <c r="T77" s="984">
        <f>ROUND(P77*R77,0)</f>
        <v>0</v>
      </c>
      <c r="V77" s="984">
        <f t="shared" si="4"/>
        <v>13025562.726155993</v>
      </c>
      <c r="X77" s="987">
        <f t="shared" si="5"/>
        <v>0.0012765625698852555</v>
      </c>
      <c r="Z77" s="984"/>
      <c r="AB77" s="984"/>
    </row>
    <row r="78" spans="22:28" ht="14.25">
      <c r="V78" s="984"/>
      <c r="X78" s="987"/>
      <c r="Z78" s="984"/>
      <c r="AB78" s="984"/>
    </row>
    <row r="79" spans="1:28" ht="14.25">
      <c r="A79" s="939">
        <f>A77+1</f>
        <v>9</v>
      </c>
      <c r="B79" s="977" t="s">
        <v>412</v>
      </c>
      <c r="D79" s="984">
        <f>D26-D52</f>
        <v>53759615.271435119</v>
      </c>
      <c r="H79" s="984">
        <f>H26-H52</f>
        <v>3790052.8766361759</v>
      </c>
      <c r="J79" s="984">
        <f>J26-J52</f>
        <v>25190772.314699616</v>
      </c>
      <c r="L79" s="984">
        <f>L26-L52</f>
        <v>457456.78809874569</v>
      </c>
      <c r="N79" s="984">
        <f>N26-N52</f>
        <v>4770076.2532010926</v>
      </c>
      <c r="P79" s="984">
        <f>SUM(H79:N79)</f>
        <v>34208358.232635632</v>
      </c>
      <c r="R79" s="986">
        <f>R26</f>
        <v>0</v>
      </c>
      <c r="T79" s="984">
        <f>ROUND(P79*R79,0)</f>
        <v>0</v>
      </c>
      <c r="V79" s="984">
        <f t="shared" si="4"/>
        <v>86108497.149345025</v>
      </c>
      <c r="X79" s="987">
        <f t="shared" si="5"/>
        <v>0.0084390123268297916</v>
      </c>
      <c r="Z79" s="984"/>
      <c r="AB79" s="984"/>
    </row>
    <row r="80" spans="22:28" ht="14.25">
      <c r="V80" s="984"/>
      <c r="X80" s="987"/>
      <c r="Z80" s="984"/>
      <c r="AB80" s="984"/>
    </row>
    <row r="81" spans="1:28" ht="14.25">
      <c r="A81" s="939">
        <f>A79+1</f>
        <v>10</v>
      </c>
      <c r="B81" s="977" t="s">
        <v>1167</v>
      </c>
      <c r="D81" s="984">
        <f>D28-D54</f>
        <v>5979901.3792757681</v>
      </c>
      <c r="H81" s="984">
        <f>H28-H54</f>
        <v>421583.04723894165</v>
      </c>
      <c r="J81" s="984">
        <f>J28-J54</f>
        <v>221130.44384646136</v>
      </c>
      <c r="L81" s="984">
        <f>L28-L54</f>
        <v>51355.98186508561</v>
      </c>
      <c r="N81" s="984">
        <f>N28-N54</f>
        <v>86631.618910806341</v>
      </c>
      <c r="P81" s="984">
        <f>SUM(H81:N81)</f>
        <v>780701.09186129505</v>
      </c>
      <c r="R81" s="986">
        <f>R28</f>
        <v>0</v>
      </c>
      <c r="T81" s="984">
        <f>ROUND(P81*R81,0)</f>
        <v>0</v>
      </c>
      <c r="V81" s="984">
        <f t="shared" si="4"/>
        <v>6351470.9053819841</v>
      </c>
      <c r="X81" s="987">
        <f t="shared" si="5"/>
        <v>0.00062247214895710251</v>
      </c>
      <c r="Z81" s="984"/>
      <c r="AB81" s="984"/>
    </row>
    <row r="82" spans="22:28" ht="14.25">
      <c r="V82" s="984"/>
      <c r="X82" s="987"/>
      <c r="Z82" s="984"/>
      <c r="AB82" s="984"/>
    </row>
    <row r="83" spans="1:28" ht="15" thickBot="1">
      <c r="A83" s="939">
        <f>A81+1</f>
        <v>11</v>
      </c>
      <c r="B83" s="977" t="s">
        <v>1168</v>
      </c>
      <c r="D83" s="989">
        <f>D30-D56</f>
        <v>26430197.846006159</v>
      </c>
      <c r="H83" s="989">
        <f>H30-H56</f>
        <v>1863328.948143434</v>
      </c>
      <c r="J83" s="989">
        <f>J30-J56</f>
        <v>1251706.2238298778</v>
      </c>
      <c r="L83" s="989">
        <f>L30-L56</f>
        <v>227295.24674199059</v>
      </c>
      <c r="N83" s="989">
        <f>N30-N56</f>
        <v>415621.39192045585</v>
      </c>
      <c r="P83" s="989">
        <f>SUM(H83:N83)</f>
        <v>3757951.8106357581</v>
      </c>
      <c r="R83" s="986">
        <f>R30</f>
        <v>0</v>
      </c>
      <c r="T83" s="989">
        <f>ROUND(P83*R83,0)</f>
        <v>0</v>
      </c>
      <c r="V83" s="989">
        <f t="shared" si="4"/>
        <v>28631207.494357742</v>
      </c>
      <c r="X83" s="987">
        <f t="shared" si="5"/>
        <v>0.0028059845540893209</v>
      </c>
      <c r="Z83" s="984"/>
      <c r="AB83" s="984"/>
    </row>
    <row r="84" ht="15" thickTop="1"/>
    <row r="85" spans="1:26" ht="14.25">
      <c r="A85" s="939">
        <f>A83+1</f>
        <v>12</v>
      </c>
      <c r="B85" s="977" t="s">
        <v>10</v>
      </c>
      <c r="D85" s="984">
        <f>D32-D58</f>
        <v>9425538228.6018772</v>
      </c>
      <c r="F85" s="990">
        <f>F58</f>
        <v>0.070499999999999993</v>
      </c>
      <c r="H85" s="984">
        <f>H32-H58</f>
        <v>664500445.11643207</v>
      </c>
      <c r="J85" s="984">
        <f>SUM(J65:J83)</f>
        <v>513887460.91000003</v>
      </c>
      <c r="K85" s="984"/>
      <c r="L85" s="984">
        <f>SUM(L65:L83)</f>
        <v>80172634.850479349</v>
      </c>
      <c r="M85" s="984"/>
      <c r="N85" s="984">
        <f>SUM(N65:N83)</f>
        <v>159074475.96184757</v>
      </c>
      <c r="O85" s="984"/>
      <c r="P85" s="984">
        <f>SUM(P65:P83)</f>
        <v>1417635016.8597305</v>
      </c>
      <c r="T85" s="984">
        <f>SUM(T65:T83)</f>
        <v>0</v>
      </c>
      <c r="V85" s="984">
        <f>SUM(V65:V83)</f>
        <v>10203622629.58</v>
      </c>
      <c r="Z85" s="991"/>
    </row>
    <row r="87" spans="1:1" ht="14.25">
      <c r="A87" s="939">
        <v>13</v>
      </c>
    </row>
    <row r="88" spans="2:2" ht="14.25">
      <c r="B88" s="977" t="s">
        <v>1172</v>
      </c>
    </row>
    <row r="89" spans="1:2" ht="14.25">
      <c r="A89" s="939">
        <f>A87+1</f>
        <v>14</v>
      </c>
      <c r="B89" s="977" t="s">
        <v>1173</v>
      </c>
    </row>
    <row r="90" spans="12:12" ht="14.25">
      <c r="L90" s="730">
        <f>L94/96087005</f>
        <v>0.12336714002065108</v>
      </c>
    </row>
    <row r="91" spans="1:24" ht="15">
      <c r="A91" s="939">
        <f>A89+1</f>
        <v>15</v>
      </c>
      <c r="B91" s="993" t="s">
        <v>1174</v>
      </c>
      <c r="F91" s="984"/>
      <c r="H91" s="984"/>
      <c r="J91" s="984"/>
      <c r="L91" s="994"/>
      <c r="N91" s="984"/>
      <c r="P91" s="984"/>
      <c r="R91" s="984"/>
      <c r="T91" s="984"/>
      <c r="V91" s="984"/>
      <c r="X91" s="984"/>
    </row>
    <row r="92" spans="11:12" ht="14.25">
      <c r="K92" s="980">
        <v>391</v>
      </c>
      <c r="L92" s="730"/>
    </row>
    <row r="93" spans="1:24" ht="14.25">
      <c r="A93" s="939">
        <f>A91+1</f>
        <v>16</v>
      </c>
      <c r="B93" s="982" t="s">
        <v>1151</v>
      </c>
      <c r="D93" s="980" t="s">
        <v>10</v>
      </c>
      <c r="F93" s="980">
        <v>388</v>
      </c>
      <c r="H93" s="980">
        <v>389</v>
      </c>
      <c r="J93" s="980">
        <v>390</v>
      </c>
      <c r="K93" s="728" t="s">
        <v>1175</v>
      </c>
      <c r="L93" s="980">
        <v>391</v>
      </c>
      <c r="N93" s="980">
        <v>392</v>
      </c>
      <c r="P93" s="980">
        <v>393</v>
      </c>
      <c r="R93" s="980">
        <v>394</v>
      </c>
      <c r="T93" s="980">
        <v>395</v>
      </c>
      <c r="V93" s="980">
        <v>396</v>
      </c>
      <c r="X93" s="980">
        <v>398</v>
      </c>
    </row>
    <row r="94" spans="11:12" ht="15">
      <c r="K94" s="728" t="s">
        <v>1176</v>
      </c>
      <c r="L94" s="995">
        <v>11853979</v>
      </c>
    </row>
    <row r="95" spans="1:24" ht="14.25">
      <c r="A95" s="939">
        <f>A93+1</f>
        <v>17</v>
      </c>
      <c r="B95" s="977" t="s">
        <v>730</v>
      </c>
      <c r="D95" s="984">
        <f>SUM(E95:X95)</f>
        <v>166899506.08426097</v>
      </c>
      <c r="F95" s="984">
        <f>'II-I-Total'!J179</f>
        <v>14407617.211370427</v>
      </c>
      <c r="H95" s="984">
        <f>'II-I-Total'!J180</f>
        <v>45702.065010244172</v>
      </c>
      <c r="J95" s="984">
        <f>'II-I-Total'!J181</f>
        <v>100167498.91347337</v>
      </c>
      <c r="K95" s="986">
        <f>'II-I-Total'!J182/'II-I-Total'!F182</f>
        <v>0.55703607092968255</v>
      </c>
      <c r="L95" s="984">
        <f>K95*$L$94</f>
        <v>6603093.8870429676</v>
      </c>
      <c r="N95" s="984">
        <f>'II-I-Total'!J183</f>
        <v>7077929.0518187257</v>
      </c>
      <c r="P95" s="984">
        <f>'II-I-Total'!J184</f>
        <v>2117458.6355521148</v>
      </c>
      <c r="R95" s="984">
        <f>'II-I-Total'!J185</f>
        <v>15894021.427814692</v>
      </c>
      <c r="T95" s="984">
        <f>'II-I-Total'!J186</f>
        <v>11954261.779772451</v>
      </c>
      <c r="V95" s="984">
        <f>'II-I-Total'!J187</f>
        <v>4763766.9281484904</v>
      </c>
      <c r="X95" s="984">
        <f>'II-I-Total'!J190</f>
        <v>3868155.6272213925</v>
      </c>
    </row>
    <row r="96" spans="4:24" ht="14.25">
      <c r="D96" s="984"/>
      <c r="F96" s="984"/>
      <c r="H96" s="984"/>
      <c r="J96" s="984"/>
      <c r="K96" s="986"/>
      <c r="L96" s="984"/>
      <c r="N96" s="984"/>
      <c r="P96" s="984"/>
      <c r="R96" s="984"/>
      <c r="T96" s="984"/>
      <c r="V96" s="984"/>
      <c r="X96" s="984"/>
    </row>
    <row r="97" spans="1:24" ht="14.25">
      <c r="A97" s="939">
        <f>A95+1</f>
        <v>18</v>
      </c>
      <c r="B97" s="977" t="s">
        <v>1162</v>
      </c>
      <c r="D97" s="984">
        <f>SUM(E97:X97)</f>
        <v>9668018.8225272745</v>
      </c>
      <c r="F97" s="984">
        <f>'II-I-Total'!K179</f>
        <v>914785.50202723802</v>
      </c>
      <c r="H97" s="984">
        <f>'II-I-Total'!K180</f>
        <v>1745.471274693628</v>
      </c>
      <c r="J97" s="984">
        <f>'II-I-Total'!K181</f>
        <v>5918961.6846540989</v>
      </c>
      <c r="K97" s="986">
        <f>'II-I-Total'!K182/'II-I-Total'!F182</f>
        <v>0.059698752221315536</v>
      </c>
      <c r="L97" s="984">
        <f>K97*$L$94</f>
        <v>707667.75515767769</v>
      </c>
      <c r="N97" s="984">
        <f>'II-I-Total'!K183</f>
        <v>235287.24912285185</v>
      </c>
      <c r="P97" s="984">
        <f>'II-I-Total'!K184</f>
        <v>109165.94630265309</v>
      </c>
      <c r="R97" s="984">
        <f>'II-I-Total'!K185</f>
        <v>701555.53166622994</v>
      </c>
      <c r="T97" s="984">
        <f>'II-I-Total'!K186</f>
        <v>649349.79164351255</v>
      </c>
      <c r="V97" s="984">
        <f>'II-I-Total'!K187</f>
        <v>221099.46841624822</v>
      </c>
      <c r="X97" s="984">
        <f>'II-I-Total'!K190</f>
        <v>208400.36256331982</v>
      </c>
    </row>
    <row r="98" spans="4:24" ht="14.25">
      <c r="D98" s="984"/>
      <c r="F98" s="984"/>
      <c r="H98" s="984"/>
      <c r="J98" s="984"/>
      <c r="K98" s="986"/>
      <c r="L98" s="984"/>
      <c r="N98" s="984"/>
      <c r="P98" s="984"/>
      <c r="R98" s="984"/>
      <c r="T98" s="984"/>
      <c r="V98" s="984"/>
      <c r="X98" s="984"/>
    </row>
    <row r="99" spans="1:24" ht="14.25">
      <c r="A99" s="939">
        <f>A97+1</f>
        <v>19</v>
      </c>
      <c r="B99" s="977" t="s">
        <v>1163</v>
      </c>
      <c r="D99" s="984">
        <f>SUM(E99:X99)</f>
        <v>100207664.22980902</v>
      </c>
      <c r="F99" s="984">
        <f>'II-I-Total'!L179</f>
        <v>8546411.2094582543</v>
      </c>
      <c r="H99" s="984">
        <f>'II-I-Total'!L180</f>
        <v>28609.817534668044</v>
      </c>
      <c r="J99" s="984">
        <f>'II-I-Total'!L181</f>
        <v>59990111.30252406</v>
      </c>
      <c r="K99" s="986">
        <f>'II-I-Total'!L182/'II-I-Total'!F182</f>
        <v>0.29886476929312505</v>
      </c>
      <c r="L99" s="984">
        <f t="shared" si="6" ref="L99:L115">K99*$L$94</f>
        <v>3542736.6990405493</v>
      </c>
      <c r="N99" s="984">
        <f>'II-I-Total'!L183</f>
        <v>4476282.2361617619</v>
      </c>
      <c r="P99" s="984">
        <f>'II-I-Total'!L184</f>
        <v>1288839.796905271</v>
      </c>
      <c r="R99" s="984">
        <f>'II-I-Total'!L185</f>
        <v>9827153.0964195691</v>
      </c>
      <c r="T99" s="984">
        <f>'II-I-Total'!L186</f>
        <v>7233368.9413832929</v>
      </c>
      <c r="V99" s="984">
        <f>'II-I-Total'!L187</f>
        <v>2931353.9762842567</v>
      </c>
      <c r="X99" s="984">
        <f>'II-I-Total'!L190</f>
        <v>2342796.8552325857</v>
      </c>
    </row>
    <row r="100" spans="4:24" ht="14.25">
      <c r="D100" s="984"/>
      <c r="F100" s="984"/>
      <c r="H100" s="984"/>
      <c r="J100" s="984"/>
      <c r="K100" s="986"/>
      <c r="L100" s="984"/>
      <c r="N100" s="984"/>
      <c r="P100" s="984"/>
      <c r="R100" s="984"/>
      <c r="T100" s="984"/>
      <c r="V100" s="984"/>
      <c r="X100" s="984"/>
    </row>
    <row r="101" spans="1:24" ht="14.25">
      <c r="A101" s="939">
        <f>A99+1</f>
        <v>20</v>
      </c>
      <c r="B101" s="977" t="s">
        <v>1164</v>
      </c>
      <c r="D101" s="984">
        <f t="shared" si="7" ref="D101:D113">SUM(E101:X101)</f>
        <v>257908.32062870706</v>
      </c>
      <c r="F101" s="984">
        <f>'II-I-Total'!M179</f>
        <v>26540.125410126067</v>
      </c>
      <c r="H101" s="984">
        <f>'II-I-Total'!M180</f>
        <v>22.529382165545478</v>
      </c>
      <c r="J101" s="984">
        <f>'II-I-Total'!M181</f>
        <v>161002.28542616838</v>
      </c>
      <c r="K101" s="986">
        <f>'II-I-Total'!M182/'II-I-Total'!F182</f>
        <v>0.0023235127398789964</v>
      </c>
      <c r="L101" s="984">
        <f t="shared" si="6"/>
        <v>27542.871224758084</v>
      </c>
      <c r="N101" s="984">
        <f>'II-I-Total'!M183</f>
        <v>1620.9168328317517</v>
      </c>
      <c r="P101" s="984">
        <f>'II-I-Total'!M184</f>
        <v>2552.6233859568433</v>
      </c>
      <c r="R101" s="984">
        <f>'II-I-Total'!M185</f>
        <v>12875.546345843435</v>
      </c>
      <c r="T101" s="984">
        <f>'II-I-Total'!M186</f>
        <v>16173.131908803627</v>
      </c>
      <c r="V101" s="984">
        <f>'II-I-Total'!M187</f>
        <v>4436.4957346253705</v>
      </c>
      <c r="X101" s="984">
        <f>'II-I-Total'!M190</f>
        <v>5141.7926539152086</v>
      </c>
    </row>
    <row r="102" spans="4:24" ht="14.25">
      <c r="D102" s="984"/>
      <c r="F102" s="984"/>
      <c r="H102" s="984"/>
      <c r="J102" s="984"/>
      <c r="K102" s="986"/>
      <c r="L102" s="984"/>
      <c r="N102" s="984"/>
      <c r="P102" s="984"/>
      <c r="R102" s="984"/>
      <c r="T102" s="984"/>
      <c r="V102" s="984"/>
      <c r="X102" s="984"/>
    </row>
    <row r="103" spans="1:24" ht="14.25">
      <c r="A103" s="939">
        <f>A101+1</f>
        <v>21</v>
      </c>
      <c r="B103" s="977" t="s">
        <v>1165</v>
      </c>
      <c r="D103" s="984">
        <f t="shared" si="7"/>
        <v>17622262.416288119</v>
      </c>
      <c r="F103" s="984">
        <f>'II-I-Total'!N179</f>
        <v>1549368.9545349267</v>
      </c>
      <c r="H103" s="984">
        <f>'II-I-Total'!N180</f>
        <v>4509.1783974436757</v>
      </c>
      <c r="J103" s="984">
        <f>'II-I-Total'!N181</f>
        <v>10617165.413420061</v>
      </c>
      <c r="K103" s="986">
        <f>'II-I-Total'!N182/'II-I-Total'!F182</f>
        <v>0.068435963107556105</v>
      </c>
      <c r="L103" s="984">
        <f t="shared" si="6"/>
        <v>811238.46952174476</v>
      </c>
      <c r="N103" s="984">
        <f>'II-I-Total'!N183</f>
        <v>686053.60944511346</v>
      </c>
      <c r="P103" s="984">
        <f>'II-I-Total'!N184</f>
        <v>218842.02970181603</v>
      </c>
      <c r="R103" s="984">
        <f>'II-I-Total'!N185</f>
        <v>1601329.9822100124</v>
      </c>
      <c r="T103" s="984">
        <f>'II-I-Total'!N186</f>
        <v>1247077.9370683646</v>
      </c>
      <c r="V103" s="984">
        <f>'II-I-Total'!N187</f>
        <v>483749.59293635772</v>
      </c>
      <c r="X103" s="984">
        <f>'II-I-Total'!N190</f>
        <v>402927.18061631441</v>
      </c>
    </row>
    <row r="104" spans="4:24" ht="14.25">
      <c r="D104" s="984"/>
      <c r="F104" s="984"/>
      <c r="H104" s="984"/>
      <c r="J104" s="984"/>
      <c r="K104" s="986"/>
      <c r="L104" s="984"/>
      <c r="N104" s="984"/>
      <c r="P104" s="984"/>
      <c r="R104" s="984"/>
      <c r="T104" s="984"/>
      <c r="V104" s="984"/>
      <c r="X104" s="984"/>
    </row>
    <row r="105" spans="1:24" ht="14.25">
      <c r="A105" s="939">
        <f>A103+1</f>
        <v>22</v>
      </c>
      <c r="B105" s="977" t="s">
        <v>1166</v>
      </c>
      <c r="D105" s="984">
        <f t="shared" si="7"/>
        <v>1438562.4114862797</v>
      </c>
      <c r="F105" s="984">
        <f>'II-I-Total'!O179</f>
        <v>120969.90937248134</v>
      </c>
      <c r="H105" s="984">
        <f>'II-I-Total'!O180</f>
        <v>430.07045683895581</v>
      </c>
      <c r="J105" s="984">
        <f>'II-I-Total'!O181</f>
        <v>858706.06832547986</v>
      </c>
      <c r="K105" s="986">
        <f>'II-I-Total'!O182/'II-I-Total'!F182</f>
        <v>0.003701831270927749</v>
      </c>
      <c r="L105" s="984">
        <f t="shared" si="6"/>
        <v>43881.430147120846</v>
      </c>
      <c r="N105" s="984">
        <f>'II-I-Total'!O183</f>
        <v>68009.725694575813</v>
      </c>
      <c r="P105" s="984">
        <f>'II-I-Total'!O184</f>
        <v>18791.861739659991</v>
      </c>
      <c r="R105" s="984">
        <f>'II-I-Total'!O185</f>
        <v>145779.04858993151</v>
      </c>
      <c r="T105" s="984">
        <f>'II-I-Total'!O186</f>
        <v>104766.29852044201</v>
      </c>
      <c r="V105" s="984">
        <f>'II-I-Total'!O187</f>
        <v>43258.976877429435</v>
      </c>
      <c r="X105" s="984">
        <f>'II-I-Total'!O190</f>
        <v>33969.018060488539</v>
      </c>
    </row>
    <row r="106" spans="4:24" ht="14.25">
      <c r="D106" s="984"/>
      <c r="F106" s="984"/>
      <c r="H106" s="984"/>
      <c r="J106" s="984"/>
      <c r="K106" s="986"/>
      <c r="L106" s="984"/>
      <c r="N106" s="984"/>
      <c r="P106" s="984"/>
      <c r="R106" s="984"/>
      <c r="T106" s="984"/>
      <c r="V106" s="984"/>
      <c r="X106" s="984"/>
    </row>
    <row r="107" spans="1:24" ht="14.25">
      <c r="A107" s="939">
        <f>A105+1</f>
        <v>23</v>
      </c>
      <c r="B107" s="977" t="s">
        <v>411</v>
      </c>
      <c r="D107" s="984">
        <f t="shared" si="7"/>
        <v>594824.18574493402</v>
      </c>
      <c r="F107" s="984">
        <f>'II-I-Total'!P179</f>
        <v>57015.634994028609</v>
      </c>
      <c r="H107" s="984">
        <f>'II-I-Total'!P180</f>
        <v>99.14015978233806</v>
      </c>
      <c r="J107" s="984">
        <f>'II-I-Total'!P181</f>
        <v>365229.69616420817</v>
      </c>
      <c r="K107" s="986">
        <f>'II-I-Total'!P182/'II-I-Total'!F182</f>
        <v>0.0039238740260214558</v>
      </c>
      <c r="L107" s="984">
        <f t="shared" si="6"/>
        <v>46513.520303103789</v>
      </c>
      <c r="N107" s="984">
        <f>'II-I-Total'!P183</f>
        <v>12877.898660242672</v>
      </c>
      <c r="P107" s="984">
        <f>'II-I-Total'!P184</f>
        <v>6593.0120383107242</v>
      </c>
      <c r="R107" s="984">
        <f>'II-I-Total'!P185</f>
        <v>41158.685302599697</v>
      </c>
      <c r="T107" s="984">
        <f>'II-I-Total'!P186</f>
        <v>39556.719915802649</v>
      </c>
      <c r="V107" s="984">
        <f>'II-I-Total'!P187</f>
        <v>13101.398671048766</v>
      </c>
      <c r="X107" s="984">
        <f>'II-I-Total'!P190</f>
        <v>12678.475611932641</v>
      </c>
    </row>
    <row r="108" spans="4:24" ht="14.25">
      <c r="D108" s="984"/>
      <c r="F108" s="984"/>
      <c r="H108" s="984"/>
      <c r="J108" s="984"/>
      <c r="K108" s="986"/>
      <c r="L108" s="984"/>
      <c r="N108" s="984"/>
      <c r="P108" s="984"/>
      <c r="R108" s="984"/>
      <c r="T108" s="984"/>
      <c r="V108" s="984"/>
      <c r="X108" s="984"/>
    </row>
    <row r="109" spans="1:24" ht="14.25">
      <c r="A109" s="939">
        <f>A107+1</f>
        <v>24</v>
      </c>
      <c r="B109" s="977" t="s">
        <v>412</v>
      </c>
      <c r="D109" s="984">
        <f t="shared" si="7"/>
        <v>2166479.8793396265</v>
      </c>
      <c r="F109" s="984">
        <f>'II-I-Total'!Q179</f>
        <v>177598.56391897961</v>
      </c>
      <c r="H109" s="984">
        <f>'II-I-Total'!Q180</f>
        <v>701.49975536382783</v>
      </c>
      <c r="J109" s="984">
        <f>'II-I-Total'!Q181</f>
        <v>1286718.7389734672</v>
      </c>
      <c r="K109" s="986">
        <f>'II-I-Total'!Q182/'II-I-Total'!F182</f>
        <v>0.0040027429990495524</v>
      </c>
      <c r="L109" s="984">
        <f t="shared" si="6"/>
        <v>47448.431453130412</v>
      </c>
      <c r="N109" s="984">
        <f>'II-I-Total'!Q183</f>
        <v>112976.43810165529</v>
      </c>
      <c r="P109" s="984">
        <f>'II-I-Total'!Q184</f>
        <v>28999.947161282507</v>
      </c>
      <c r="R109" s="984">
        <f>'II-I-Total'!Q185</f>
        <v>232264.03449100614</v>
      </c>
      <c r="T109" s="984">
        <f>'II-I-Total'!Q186</f>
        <v>159631.92541143435</v>
      </c>
      <c r="V109" s="984">
        <f>'II-I-Total'!Q187</f>
        <v>68274.305818162597</v>
      </c>
      <c r="X109" s="984">
        <f>'II-I-Total'!Q190</f>
        <v>51865.990252401709</v>
      </c>
    </row>
    <row r="110" spans="4:24" ht="14.25">
      <c r="D110" s="984"/>
      <c r="F110" s="984"/>
      <c r="H110" s="984"/>
      <c r="J110" s="984"/>
      <c r="K110" s="986"/>
      <c r="L110" s="984"/>
      <c r="N110" s="984"/>
      <c r="P110" s="984"/>
      <c r="R110" s="984"/>
      <c r="T110" s="984"/>
      <c r="V110" s="984"/>
      <c r="X110" s="984"/>
    </row>
    <row r="111" spans="1:24" ht="14.25">
      <c r="A111" s="939">
        <f>A109+1</f>
        <v>25</v>
      </c>
      <c r="B111" s="977" t="s">
        <v>1167</v>
      </c>
      <c r="D111" s="984">
        <f t="shared" si="7"/>
        <v>171695.31100630964</v>
      </c>
      <c r="F111" s="984">
        <f>'II-I-Total'!R179</f>
        <v>14422.260991151745</v>
      </c>
      <c r="H111" s="984">
        <f>'II-I-Total'!R180</f>
        <v>51.506803903521735</v>
      </c>
      <c r="J111" s="984">
        <f>'II-I-Total'!R181</f>
        <v>102465.41779866874</v>
      </c>
      <c r="K111" s="986">
        <f>'II-I-Total'!R182/'II-I-Total'!F182</f>
        <v>0.00043643670922667327</v>
      </c>
      <c r="L111" s="984">
        <f t="shared" si="6"/>
        <v>5173.5115860020915</v>
      </c>
      <c r="N111" s="984">
        <f>'II-I-Total'!R183</f>
        <v>8151.3912892269991</v>
      </c>
      <c r="P111" s="984">
        <f>'II-I-Total'!R184</f>
        <v>2245.4947575915094</v>
      </c>
      <c r="R111" s="984">
        <f>'II-I-Total'!R185</f>
        <v>17442.035568710664</v>
      </c>
      <c r="T111" s="984">
        <f>'II-I-Total'!R186</f>
        <v>12512.533084248898</v>
      </c>
      <c r="V111" s="984">
        <f>'II-I-Total'!R187</f>
        <v>5173.8122559177364</v>
      </c>
      <c r="X111" s="984">
        <f>'II-I-Total'!R190</f>
        <v>4057.3464344510212</v>
      </c>
    </row>
    <row r="112" spans="4:24" ht="14.25">
      <c r="D112" s="984"/>
      <c r="F112" s="984"/>
      <c r="H112" s="984"/>
      <c r="J112" s="984"/>
      <c r="K112" s="986"/>
      <c r="L112" s="984"/>
      <c r="N112" s="984"/>
      <c r="P112" s="984"/>
      <c r="R112" s="984"/>
      <c r="T112" s="984"/>
      <c r="V112" s="984"/>
      <c r="X112" s="984"/>
    </row>
    <row r="113" spans="1:24" ht="14.25">
      <c r="A113" s="939">
        <f>A111+1</f>
        <v>26</v>
      </c>
      <c r="B113" s="977" t="s">
        <v>1168</v>
      </c>
      <c r="D113" s="984">
        <f t="shared" si="7"/>
        <v>742610.88890879019</v>
      </c>
      <c r="F113" s="984">
        <f>'II-I-Total'!S179</f>
        <v>61467.70792238992</v>
      </c>
      <c r="H113" s="984">
        <f>'II-I-Total'!S180</f>
        <v>233.0212248962965</v>
      </c>
      <c r="J113" s="984">
        <f>'II-I-Total'!S181</f>
        <v>441856.15924043686</v>
      </c>
      <c r="K113" s="986">
        <f>'II-I-Total'!S182/'II-I-Total'!F182</f>
        <v>0.0015760467032164087</v>
      </c>
      <c r="L113" s="984">
        <f t="shared" si="6"/>
        <v>18682.424522946541</v>
      </c>
      <c r="N113" s="984">
        <f>'II-I-Total'!S183</f>
        <v>37240.892873015633</v>
      </c>
      <c r="P113" s="984">
        <f>'II-I-Total'!S184</f>
        <v>9865.4124553440997</v>
      </c>
      <c r="R113" s="984">
        <f>'II-I-Total'!S185</f>
        <v>77929.121591403979</v>
      </c>
      <c r="T113" s="984">
        <f>'II-I-Total'!S186</f>
        <v>54608.711291647429</v>
      </c>
      <c r="V113" s="984">
        <f>'II-I-Total'!S187</f>
        <v>23000.714857464201</v>
      </c>
      <c r="X113" s="984">
        <f>'II-I-Total'!S190</f>
        <v>17726.72135319866</v>
      </c>
    </row>
    <row r="114" spans="4:24" ht="14.25">
      <c r="D114" s="984"/>
      <c r="F114" s="984"/>
      <c r="H114" s="984"/>
      <c r="J114" s="984"/>
      <c r="K114" s="986"/>
      <c r="L114" s="984"/>
      <c r="N114" s="984"/>
      <c r="P114" s="984"/>
      <c r="R114" s="984"/>
      <c r="T114" s="984"/>
      <c r="V114" s="984"/>
      <c r="X114" s="984"/>
    </row>
    <row r="115" spans="1:24" ht="14.25">
      <c r="A115" s="939">
        <f>A113+1</f>
        <v>27</v>
      </c>
      <c r="B115" s="978" t="s">
        <v>10</v>
      </c>
      <c r="D115" s="984">
        <f>SUM(E115:X115)</f>
        <v>299769532.55000001</v>
      </c>
      <c r="F115" s="984">
        <f>'II-I-Total'!F179</f>
        <v>25876197.079999998</v>
      </c>
      <c r="H115" s="984">
        <f>'II-I-Total'!F180</f>
        <v>82104.300000000003</v>
      </c>
      <c r="J115" s="984">
        <f>'II-I-Total'!F181</f>
        <v>179909715.68000001</v>
      </c>
      <c r="K115" s="986">
        <f>SUM(K95:K113)</f>
        <v>1</v>
      </c>
      <c r="L115" s="984">
        <f t="shared" si="6"/>
        <v>11853979</v>
      </c>
      <c r="N115" s="984">
        <f>'II-I-Total'!F183</f>
        <v>12716429.41</v>
      </c>
      <c r="P115" s="984">
        <f>'II-I-Total'!F184</f>
        <v>3803354.7600000002</v>
      </c>
      <c r="R115" s="984">
        <f>'II-I-Total'!F185</f>
        <v>28551508.509999998</v>
      </c>
      <c r="T115" s="984">
        <f>'II-I-Total'!F186</f>
        <v>21471307.77</v>
      </c>
      <c r="V115" s="984">
        <f>'II-I-Total'!F187</f>
        <v>8557215.6699999999</v>
      </c>
      <c r="X115" s="984">
        <f>'II-I-Total'!F190</f>
        <v>6947719.3699999992</v>
      </c>
    </row>
    <row r="116" spans="4:24" ht="14.25">
      <c r="D116" s="984"/>
      <c r="F116" s="984"/>
      <c r="H116" s="984"/>
      <c r="J116" s="984"/>
      <c r="K116" s="986"/>
      <c r="L116" s="984"/>
      <c r="N116" s="984"/>
      <c r="P116" s="984"/>
      <c r="R116" s="984"/>
      <c r="T116" s="984"/>
      <c r="V116" s="984"/>
      <c r="X116" s="984"/>
    </row>
    <row r="117" spans="1:24" ht="14.25">
      <c r="A117" s="939">
        <f>A115+1</f>
        <v>28</v>
      </c>
      <c r="B117" s="977" t="s">
        <v>1177</v>
      </c>
      <c r="D117" s="984"/>
      <c r="F117" s="984">
        <f>SUM(F95:F113)</f>
        <v>25876197.080000006</v>
      </c>
      <c r="H117" s="984">
        <f>SUM(H95:H113)</f>
        <v>82104.300000000003</v>
      </c>
      <c r="J117" s="984">
        <f>SUM(J95:J113)</f>
        <v>179909715.68000001</v>
      </c>
      <c r="K117" s="986"/>
      <c r="L117" s="984">
        <f>SUM(L95:L113)</f>
        <v>11853979</v>
      </c>
      <c r="N117" s="984">
        <f>SUM(N95:N113)</f>
        <v>12716429.410000002</v>
      </c>
      <c r="P117" s="984">
        <f>SUM(P95:P113)</f>
        <v>3803354.7600000002</v>
      </c>
      <c r="R117" s="984">
        <f>SUM(R95:R113)</f>
        <v>28551508.510000002</v>
      </c>
      <c r="T117" s="984">
        <f>SUM(T95:T113)</f>
        <v>21471307.77</v>
      </c>
      <c r="V117" s="984">
        <f>SUM(V95:V113)</f>
        <v>8557215.6700000018</v>
      </c>
      <c r="X117" s="984">
        <f>SUM(X95:X113)</f>
        <v>6947719.3700000001</v>
      </c>
    </row>
    <row r="119" spans="2:12" ht="14.25">
      <c r="B119" s="730"/>
      <c r="L119" s="730"/>
    </row>
    <row r="120" spans="1:12" ht="15">
      <c r="A120" s="939">
        <v>1</v>
      </c>
      <c r="B120" s="993" t="s">
        <v>1178</v>
      </c>
      <c r="K120" s="980">
        <v>391</v>
      </c>
      <c r="L120" s="819">
        <f>L123/43241285</f>
        <v>0.018130772015678996</v>
      </c>
    </row>
    <row r="121" spans="11:12" ht="14.25">
      <c r="K121" s="728" t="s">
        <v>1175</v>
      </c>
      <c r="L121" s="730"/>
    </row>
    <row r="122" spans="1:24" ht="14.25">
      <c r="A122" s="939">
        <f>A120+1</f>
        <v>2</v>
      </c>
      <c r="B122" s="982" t="s">
        <v>1151</v>
      </c>
      <c r="D122" s="980" t="s">
        <v>10</v>
      </c>
      <c r="F122" s="980">
        <v>388</v>
      </c>
      <c r="H122" s="980">
        <v>389</v>
      </c>
      <c r="J122" s="980">
        <v>390</v>
      </c>
      <c r="K122" s="728" t="s">
        <v>1176</v>
      </c>
      <c r="L122" s="980">
        <v>391</v>
      </c>
      <c r="N122" s="980">
        <v>392</v>
      </c>
      <c r="P122" s="980">
        <v>393</v>
      </c>
      <c r="R122" s="980">
        <v>394</v>
      </c>
      <c r="T122" s="980">
        <v>395</v>
      </c>
      <c r="V122" s="980">
        <v>396</v>
      </c>
      <c r="X122" s="980">
        <v>398</v>
      </c>
    </row>
    <row r="123" spans="12:12" ht="15">
      <c r="L123" s="995">
        <v>783997.88</v>
      </c>
    </row>
    <row r="124" spans="1:24" ht="14.25">
      <c r="A124" s="939">
        <f>A122+1</f>
        <v>3</v>
      </c>
      <c r="B124" s="977" t="s">
        <v>730</v>
      </c>
      <c r="C124" s="984"/>
      <c r="D124" s="984">
        <f>SUM(E124:X124)</f>
        <v>20797749.836237099</v>
      </c>
      <c r="F124" s="984">
        <f>'II-I-Total'!J333</f>
        <v>0</v>
      </c>
      <c r="H124" s="984">
        <f>'II-I-Total'!J334</f>
        <v>7636.3316144940854</v>
      </c>
      <c r="J124" s="984">
        <f>'II-I-Total'!J335</f>
        <v>8431275.8044070806</v>
      </c>
      <c r="K124" s="986">
        <f>'II-I-Total'!J336/'II-I-Total'!F336</f>
        <v>0.55706708987252618</v>
      </c>
      <c r="L124" s="984">
        <f>K124*$L$123</f>
        <v>436739.41747783002</v>
      </c>
      <c r="N124" s="984">
        <f>'II-I-Total'!J337</f>
        <v>1608474.1750405002</v>
      </c>
      <c r="P124" s="984">
        <f>'II-I-Total'!J338</f>
        <v>421441.56807269156</v>
      </c>
      <c r="R124" s="984">
        <f>'II-I-Total'!J339</f>
        <v>6135300.1124326009</v>
      </c>
      <c r="T124" s="984">
        <f>'II-I-Total'!J340</f>
        <v>1895280.154701568</v>
      </c>
      <c r="V124" s="984">
        <f>'II-I-Total'!J341</f>
        <v>1482264.4530437663</v>
      </c>
      <c r="X124" s="984">
        <f>'II-I-Total'!J345</f>
        <v>379337.26237947686</v>
      </c>
    </row>
    <row r="125" spans="3:24" ht="14.25">
      <c r="C125" s="984"/>
      <c r="D125" s="984"/>
      <c r="F125" s="984"/>
      <c r="H125" s="984"/>
      <c r="J125" s="984"/>
      <c r="K125" s="986"/>
      <c r="L125" s="984"/>
      <c r="N125" s="984"/>
      <c r="P125" s="984"/>
      <c r="R125" s="984"/>
      <c r="T125" s="984"/>
      <c r="V125" s="984"/>
      <c r="X125" s="984"/>
    </row>
    <row r="126" spans="1:24" ht="14.25">
      <c r="A126" s="939">
        <f>A124+1</f>
        <v>4</v>
      </c>
      <c r="B126" s="977" t="s">
        <v>1162</v>
      </c>
      <c r="C126" s="984"/>
      <c r="D126" s="984">
        <f t="shared" si="8" ref="D126:D144">SUM(E126:X126)</f>
        <v>1083445.2403125509</v>
      </c>
      <c r="F126" s="984">
        <f>'II-I-Total'!K333</f>
        <v>0</v>
      </c>
      <c r="H126" s="984">
        <f>'II-I-Total'!K334</f>
        <v>291.65022121495093</v>
      </c>
      <c r="J126" s="984">
        <f>'II-I-Total'!K335</f>
        <v>498599.16490319883</v>
      </c>
      <c r="K126" s="986">
        <f>'II-I-Total'!K336/'II-I-Total'!F336</f>
        <v>0.061931621945645478</v>
      </c>
      <c r="L126" s="984">
        <f t="shared" si="9" ref="L126:L144">K126*$L$123</f>
        <v>48554.260310347527</v>
      </c>
      <c r="N126" s="984">
        <f>'II-I-Total'!K337</f>
        <v>53469.519284483555</v>
      </c>
      <c r="P126" s="984">
        <f>'II-I-Total'!K338</f>
        <v>21727.492989173294</v>
      </c>
      <c r="R126" s="984">
        <f>'II-I-Total'!K339</f>
        <v>268619.28925165895</v>
      </c>
      <c r="T126" s="984">
        <f>'II-I-Total'!K340</f>
        <v>102950.71275520636</v>
      </c>
      <c r="V126" s="984">
        <f>'II-I-Total'!K341</f>
        <v>68795.952584983635</v>
      </c>
      <c r="X126" s="984">
        <f>'II-I-Total'!K345</f>
        <v>20437.136080662101</v>
      </c>
    </row>
    <row r="127" spans="3:24" ht="14.25">
      <c r="C127" s="984"/>
      <c r="D127" s="984"/>
      <c r="F127" s="984"/>
      <c r="H127" s="984"/>
      <c r="J127" s="984"/>
      <c r="K127" s="986"/>
      <c r="L127" s="984"/>
      <c r="N127" s="984"/>
      <c r="P127" s="984"/>
      <c r="R127" s="984"/>
      <c r="T127" s="984"/>
      <c r="V127" s="984"/>
      <c r="X127" s="984"/>
    </row>
    <row r="128" spans="1:24" ht="14.25">
      <c r="A128" s="939">
        <f>A126+1</f>
        <v>5</v>
      </c>
      <c r="B128" s="977" t="s">
        <v>1163</v>
      </c>
      <c r="C128" s="984"/>
      <c r="D128" s="984">
        <f t="shared" si="8"/>
        <v>12644481.460859308</v>
      </c>
      <c r="F128" s="984">
        <f>'II-I-Total'!L333</f>
        <v>0</v>
      </c>
      <c r="H128" s="984">
        <f>'II-I-Total'!L334</f>
        <v>4780.3973030687739</v>
      </c>
      <c r="J128" s="984">
        <f>'II-I-Total'!L335</f>
        <v>5048968.4388059396</v>
      </c>
      <c r="K128" s="986">
        <f>'II-I-Total'!L336/'II-I-Total'!F336</f>
        <v>0.29598925229594453</v>
      </c>
      <c r="L128" s="984">
        <f t="shared" si="9"/>
        <v>232054.94630280565</v>
      </c>
      <c r="N128" s="984">
        <f>'II-I-Total'!L337</f>
        <v>1017244.4968501976</v>
      </c>
      <c r="P128" s="984">
        <f>'II-I-Total'!L338</f>
        <v>256520.08298676851</v>
      </c>
      <c r="R128" s="984">
        <f>'II-I-Total'!L339</f>
        <v>3796250.8783935145</v>
      </c>
      <c r="T128" s="984">
        <f>'II-I-Total'!L340</f>
        <v>1146809.4695032267</v>
      </c>
      <c r="V128" s="984">
        <f>'II-I-Total'!L341</f>
        <v>912102.09534822602</v>
      </c>
      <c r="X128" s="984">
        <f>'II-I-Total'!L345</f>
        <v>229750.35937630734</v>
      </c>
    </row>
    <row r="129" spans="3:24" ht="14.25">
      <c r="C129" s="984"/>
      <c r="D129" s="984"/>
      <c r="F129" s="984"/>
      <c r="H129" s="984"/>
      <c r="J129" s="984"/>
      <c r="K129" s="986"/>
      <c r="L129" s="984"/>
      <c r="N129" s="984"/>
      <c r="P129" s="984"/>
      <c r="R129" s="984"/>
      <c r="T129" s="984"/>
      <c r="V129" s="984"/>
      <c r="X129" s="984"/>
    </row>
    <row r="130" spans="1:24" ht="14.25">
      <c r="A130" s="939">
        <f>A128+1</f>
        <v>6</v>
      </c>
      <c r="B130" s="977" t="s">
        <v>1164</v>
      </c>
      <c r="C130" s="984"/>
      <c r="D130" s="984">
        <f t="shared" si="8"/>
        <v>25669.904149494338</v>
      </c>
      <c r="F130" s="984">
        <f>'II-I-Total'!M333</f>
        <v>0</v>
      </c>
      <c r="H130" s="984">
        <f>'II-I-Total'!M334</f>
        <v>3.7644446485498455</v>
      </c>
      <c r="J130" s="984">
        <f>'II-I-Total'!M335</f>
        <v>13572.626443312682</v>
      </c>
      <c r="K130" s="986">
        <f>'II-I-Total'!M336/'II-I-Total'!F336</f>
        <v>0.0024425293864380688</v>
      </c>
      <c r="L130" s="984">
        <f t="shared" si="9"/>
        <v>1914.9378608051466</v>
      </c>
      <c r="N130" s="984">
        <f>'II-I-Total'!M337</f>
        <v>368.35673915498944</v>
      </c>
      <c r="P130" s="984">
        <f>'II-I-Total'!M338</f>
        <v>508.05318606369161</v>
      </c>
      <c r="R130" s="984">
        <f>'II-I-Total'!M339</f>
        <v>4853.333634046101</v>
      </c>
      <c r="T130" s="984">
        <f>'II-I-Total'!M340</f>
        <v>2564.1579846332447</v>
      </c>
      <c r="V130" s="984">
        <f>'II-I-Total'!M341</f>
        <v>1380.4327711801095</v>
      </c>
      <c r="X130" s="984">
        <f>'II-I-Total'!M345</f>
        <v>504.23864312043639</v>
      </c>
    </row>
    <row r="131" spans="3:24" ht="14.25">
      <c r="C131" s="984"/>
      <c r="D131" s="984"/>
      <c r="F131" s="984"/>
      <c r="H131" s="984"/>
      <c r="J131" s="984"/>
      <c r="K131" s="986"/>
      <c r="L131" s="984"/>
      <c r="N131" s="984"/>
      <c r="P131" s="984"/>
      <c r="R131" s="984"/>
      <c r="T131" s="984"/>
      <c r="V131" s="984"/>
      <c r="X131" s="984"/>
    </row>
    <row r="132" spans="1:24" ht="14.25">
      <c r="A132" s="939">
        <f>A130+1</f>
        <v>7</v>
      </c>
      <c r="B132" s="977" t="s">
        <v>1165</v>
      </c>
      <c r="C132" s="984"/>
      <c r="D132" s="984">
        <f t="shared" si="8"/>
        <v>2153406.6323761381</v>
      </c>
      <c r="F132" s="984">
        <f>'II-I-Total'!N333</f>
        <v>0</v>
      </c>
      <c r="H132" s="984">
        <f>'II-I-Total'!N334</f>
        <v>753.43616357388419</v>
      </c>
      <c r="J132" s="984">
        <f>'II-I-Total'!N335</f>
        <v>893802.28611654451</v>
      </c>
      <c r="K132" s="986">
        <f>'II-I-Total'!N336/'II-I-Total'!F336</f>
        <v>0.069221723234805035</v>
      </c>
      <c r="L132" s="984">
        <f t="shared" si="9"/>
        <v>54269.684266033888</v>
      </c>
      <c r="N132" s="984">
        <f>'II-I-Total'!N337</f>
        <v>155907.11709694719</v>
      </c>
      <c r="P132" s="984">
        <f>'II-I-Total'!N338</f>
        <v>43556.519420677221</v>
      </c>
      <c r="R132" s="984">
        <f>'II-I-Total'!N339</f>
        <v>617366.12118798634</v>
      </c>
      <c r="T132" s="984">
        <f>'II-I-Total'!N340</f>
        <v>197717.10775850876</v>
      </c>
      <c r="V132" s="984">
        <f>'II-I-Total'!N341</f>
        <v>150520.55169427092</v>
      </c>
      <c r="X132" s="984">
        <f>'II-I-Total'!N345</f>
        <v>39513.739449871806</v>
      </c>
    </row>
    <row r="133" spans="3:24" ht="14.25">
      <c r="C133" s="984"/>
      <c r="D133" s="984"/>
      <c r="F133" s="984"/>
      <c r="H133" s="984"/>
      <c r="J133" s="984"/>
      <c r="K133" s="986"/>
      <c r="L133" s="984"/>
      <c r="N133" s="984"/>
      <c r="P133" s="984"/>
      <c r="R133" s="984"/>
      <c r="T133" s="984"/>
      <c r="V133" s="984"/>
      <c r="X133" s="984"/>
    </row>
    <row r="134" spans="1:24" ht="14.25">
      <c r="A134" s="939">
        <f>A132+1</f>
        <v>8</v>
      </c>
      <c r="B134" s="977" t="s">
        <v>1166</v>
      </c>
      <c r="C134" s="984"/>
      <c r="D134" s="984">
        <f t="shared" si="8"/>
        <v>184124.85213604584</v>
      </c>
      <c r="F134" s="984">
        <f>'II-I-Total'!O333</f>
        <v>0</v>
      </c>
      <c r="H134" s="984">
        <f>'II-I-Total'!O334</f>
        <v>71.860206490993733</v>
      </c>
      <c r="J134" s="984">
        <f>'II-I-Total'!O335</f>
        <v>72263.192465067579</v>
      </c>
      <c r="K134" s="986">
        <f>'II-I-Total'!O336/'II-I-Total'!F336</f>
        <v>0.0036126768421986086</v>
      </c>
      <c r="L134" s="984">
        <f t="shared" si="9"/>
        <v>2832.3309854088038</v>
      </c>
      <c r="N134" s="984">
        <f>'II-I-Total'!O337</f>
        <v>15455.352353836395</v>
      </c>
      <c r="P134" s="984">
        <f>'II-I-Total'!O338</f>
        <v>3740.17775026866</v>
      </c>
      <c r="R134" s="984">
        <f>'II-I-Total'!O339</f>
        <v>56360.407472716797</v>
      </c>
      <c r="T134" s="984">
        <f>'II-I-Total'!O340</f>
        <v>16610.10025047401</v>
      </c>
      <c r="V134" s="984">
        <f>'II-I-Total'!O341</f>
        <v>13460.197491548615</v>
      </c>
      <c r="X134" s="984">
        <f>'II-I-Total'!O345</f>
        <v>3331.2295475571518</v>
      </c>
    </row>
    <row r="135" spans="3:24" ht="14.25">
      <c r="C135" s="984"/>
      <c r="D135" s="984"/>
      <c r="F135" s="984"/>
      <c r="H135" s="984"/>
      <c r="J135" s="984"/>
      <c r="K135" s="986"/>
      <c r="L135" s="984"/>
      <c r="N135" s="984"/>
      <c r="P135" s="984"/>
      <c r="R135" s="984"/>
      <c r="T135" s="984"/>
      <c r="V135" s="984"/>
      <c r="X135" s="984"/>
    </row>
    <row r="136" spans="1:24" ht="14.25">
      <c r="A136" s="939">
        <f>A134+1</f>
        <v>9</v>
      </c>
      <c r="B136" s="977" t="s">
        <v>411</v>
      </c>
      <c r="C136" s="984"/>
      <c r="D136" s="984">
        <f t="shared" si="8"/>
        <v>65549.275538481204</v>
      </c>
      <c r="F136" s="984">
        <f>'II-I-Total'!P333</f>
        <v>0</v>
      </c>
      <c r="H136" s="984">
        <f>'II-I-Total'!P334</f>
        <v>16.565302730283939</v>
      </c>
      <c r="J136" s="984">
        <f>'II-I-Total'!P335</f>
        <v>30769.569577882328</v>
      </c>
      <c r="K136" s="986">
        <f>'II-I-Total'!P336/'II-I-Total'!F336</f>
        <v>0.0040816587293220777</v>
      </c>
      <c r="L136" s="984">
        <f t="shared" si="9"/>
        <v>3200.0117906720029</v>
      </c>
      <c r="N136" s="984">
        <f>'II-I-Total'!P337</f>
        <v>2926.5293947057071</v>
      </c>
      <c r="P136" s="984">
        <f>'II-I-Total'!P338</f>
        <v>1312.218944901445</v>
      </c>
      <c r="R136" s="984">
        <f>'II-I-Total'!P339</f>
        <v>15732.99667721355</v>
      </c>
      <c r="T136" s="984">
        <f>'II-I-Total'!P340</f>
        <v>6271.4927462456026</v>
      </c>
      <c r="V136" s="984">
        <f>'II-I-Total'!P341</f>
        <v>4076.5507434578349</v>
      </c>
      <c r="X136" s="984">
        <f>'II-I-Total'!P345</f>
        <v>1243.3362790137128</v>
      </c>
    </row>
    <row r="137" spans="3:24" ht="14.25">
      <c r="C137" s="984"/>
      <c r="D137" s="984"/>
      <c r="F137" s="984"/>
      <c r="H137" s="984"/>
      <c r="J137" s="984"/>
      <c r="K137" s="986"/>
      <c r="L137" s="984"/>
      <c r="N137" s="984"/>
      <c r="P137" s="984"/>
      <c r="R137" s="984"/>
      <c r="T137" s="984"/>
      <c r="V137" s="984"/>
      <c r="X137" s="984"/>
    </row>
    <row r="138" spans="1:24" ht="14.25">
      <c r="A138" s="939">
        <f>A136+1</f>
        <v>10</v>
      </c>
      <c r="B138" s="977" t="s">
        <v>412</v>
      </c>
      <c r="C138" s="984"/>
      <c r="D138" s="984">
        <f t="shared" si="8"/>
        <v>284308.7009590785</v>
      </c>
      <c r="F138" s="984">
        <f>'II-I-Total'!Q333</f>
        <v>0</v>
      </c>
      <c r="H138" s="984">
        <f>'II-I-Total'!Q334</f>
        <v>117.21313646773918</v>
      </c>
      <c r="J138" s="984">
        <f>'II-I-Total'!Q335</f>
        <v>108257.93648935715</v>
      </c>
      <c r="K138" s="986">
        <f>'II-I-Total'!Q336/'II-I-Total'!F336</f>
        <v>0.0037253047961446858</v>
      </c>
      <c r="L138" s="984">
        <f t="shared" si="9"/>
        <v>2920.6310625312658</v>
      </c>
      <c r="N138" s="984">
        <f>'II-I-Total'!Q337</f>
        <v>25674.131761447927</v>
      </c>
      <c r="P138" s="984">
        <f>'II-I-Total'!Q338</f>
        <v>5771.9111920049154</v>
      </c>
      <c r="R138" s="984">
        <f>'II-I-Total'!Q339</f>
        <v>89928.000375616655</v>
      </c>
      <c r="T138" s="984">
        <f>'II-I-Total'!Q340</f>
        <v>25308.733087674624</v>
      </c>
      <c r="V138" s="984">
        <f>'II-I-Total'!Q341</f>
        <v>21243.813553739219</v>
      </c>
      <c r="X138" s="984">
        <f>'II-I-Total'!Q345</f>
        <v>5086.3265749342136</v>
      </c>
    </row>
    <row r="139" spans="3:24" ht="14.25">
      <c r="C139" s="984"/>
      <c r="D139" s="984"/>
      <c r="F139" s="984"/>
      <c r="H139" s="984"/>
      <c r="J139" s="984"/>
      <c r="K139" s="986"/>
      <c r="L139" s="984"/>
      <c r="N139" s="984"/>
      <c r="P139" s="984"/>
      <c r="R139" s="984"/>
      <c r="T139" s="984"/>
      <c r="V139" s="984"/>
      <c r="X139" s="984"/>
    </row>
    <row r="140" spans="1:24" ht="14.25">
      <c r="A140" s="939">
        <f>A138+1</f>
        <v>11</v>
      </c>
      <c r="B140" s="977" t="s">
        <v>1167</v>
      </c>
      <c r="C140" s="984"/>
      <c r="D140" s="984">
        <f t="shared" si="8"/>
        <v>21999.481712869358</v>
      </c>
      <c r="F140" s="984">
        <f>'II-I-Total'!R333</f>
        <v>0</v>
      </c>
      <c r="H140" s="984">
        <f>'II-I-Total'!R334</f>
        <v>8.6062399118209854</v>
      </c>
      <c r="J140" s="984">
        <f>'II-I-Total'!R335</f>
        <v>8622.7551470670442</v>
      </c>
      <c r="K140" s="986">
        <f>'II-I-Total'!R336/'II-I-Total'!F336</f>
        <v>0.00042535802751229266</v>
      </c>
      <c r="L140" s="984">
        <f t="shared" si="9"/>
        <v>333.47979181061913</v>
      </c>
      <c r="N140" s="984">
        <f>'II-I-Total'!R337</f>
        <v>1852.4207128076075</v>
      </c>
      <c r="P140" s="984">
        <f>'II-I-Total'!R338</f>
        <v>446.92482559336253</v>
      </c>
      <c r="R140" s="984">
        <f>'II-I-Total'!R339</f>
        <v>6743.7614591026695</v>
      </c>
      <c r="T140" s="984">
        <f>'II-I-Total'!R340</f>
        <v>1983.7908932236703</v>
      </c>
      <c r="V140" s="984">
        <f>'II-I-Total'!R341</f>
        <v>1609.851637136866</v>
      </c>
      <c r="X140" s="984">
        <f>'II-I-Total'!R345</f>
        <v>397.89058085767033</v>
      </c>
    </row>
    <row r="141" spans="3:24" ht="14.25">
      <c r="C141" s="984"/>
      <c r="D141" s="984"/>
      <c r="F141" s="984"/>
      <c r="H141" s="984"/>
      <c r="J141" s="984"/>
      <c r="K141" s="986"/>
      <c r="L141" s="984"/>
      <c r="N141" s="984"/>
      <c r="P141" s="984"/>
      <c r="R141" s="984"/>
      <c r="T141" s="984"/>
      <c r="V141" s="984"/>
      <c r="X141" s="984"/>
    </row>
    <row r="142" spans="1:24" ht="14.25">
      <c r="A142" s="939">
        <f>A140+1</f>
        <v>12</v>
      </c>
      <c r="B142" s="977" t="s">
        <v>1168</v>
      </c>
      <c r="C142" s="984"/>
      <c r="D142" s="984">
        <f t="shared" si="8"/>
        <v>96529.495718937469</v>
      </c>
      <c r="F142" s="984">
        <f>'II-I-Total'!S333</f>
        <v>0</v>
      </c>
      <c r="H142" s="984">
        <f>'II-I-Total'!S334</f>
        <v>38.935367398918061</v>
      </c>
      <c r="J142" s="984">
        <f>'II-I-Total'!S335</f>
        <v>37178.995644549483</v>
      </c>
      <c r="K142" s="986">
        <f>'II-I-Total'!S336/'II-I-Total'!F336</f>
        <v>0.0015027848694628841</v>
      </c>
      <c r="L142" s="984">
        <f t="shared" si="9"/>
        <v>1178.1801517549779</v>
      </c>
      <c r="N142" s="984">
        <f>'II-I-Total'!S337</f>
        <v>8463.0707659189466</v>
      </c>
      <c r="P142" s="984">
        <f>'II-I-Total'!S338</f>
        <v>1963.530631857401</v>
      </c>
      <c r="R142" s="984">
        <f>'II-I-Total'!S339</f>
        <v>30153.719115544416</v>
      </c>
      <c r="T142" s="984">
        <f>'II-I-Total'!S340</f>
        <v>8657.9003192392083</v>
      </c>
      <c r="V142" s="984">
        <f>'II-I-Total'!S341</f>
        <v>7156.7611316904813</v>
      </c>
      <c r="X142" s="984">
        <f>'II-I-Total'!S345</f>
        <v>1738.4010881987579</v>
      </c>
    </row>
    <row r="143" spans="4:24" ht="14.25">
      <c r="D143" s="984"/>
      <c r="F143" s="984"/>
      <c r="H143" s="984"/>
      <c r="J143" s="984"/>
      <c r="K143" s="986"/>
      <c r="L143" s="984"/>
      <c r="N143" s="984"/>
      <c r="P143" s="984"/>
      <c r="R143" s="984"/>
      <c r="T143" s="984"/>
      <c r="V143" s="984"/>
      <c r="X143" s="984"/>
    </row>
    <row r="144" spans="1:24" ht="14.25">
      <c r="A144" s="939">
        <f>A142+1</f>
        <v>13</v>
      </c>
      <c r="B144" s="978" t="s">
        <v>10</v>
      </c>
      <c r="D144" s="984">
        <f t="shared" si="8"/>
        <v>37357264.879999995</v>
      </c>
      <c r="F144" s="984">
        <f>'II-I-Total'!F333</f>
        <v>0</v>
      </c>
      <c r="H144" s="984">
        <f>'II-I-Total'!F334</f>
        <v>13718.76</v>
      </c>
      <c r="J144" s="984">
        <f>'II-I-Total'!F335</f>
        <v>15143310.770000001</v>
      </c>
      <c r="K144" s="986">
        <f>SUM(K124:K142)</f>
        <v>0.99999999999999978</v>
      </c>
      <c r="L144" s="984">
        <f t="shared" si="9"/>
        <v>783997.87999999989</v>
      </c>
      <c r="N144" s="984">
        <f>'II-I-Total'!F337</f>
        <v>2889835.1699999999</v>
      </c>
      <c r="P144" s="984">
        <f>'II-I-Total'!F338</f>
        <v>756988.47999999998</v>
      </c>
      <c r="R144" s="984">
        <f>'II-I-Total'!F339</f>
        <v>11021308.620000001</v>
      </c>
      <c r="T144" s="984">
        <f>'II-I-Total'!F340</f>
        <v>3404153.6200000001</v>
      </c>
      <c r="V144" s="984">
        <f>'II-I-Total'!F341</f>
        <v>2662610.6600000001</v>
      </c>
      <c r="X144" s="984">
        <f>'II-I-Total'!F345</f>
        <v>681339.92000000004</v>
      </c>
    </row>
    <row r="145" spans="4:24" ht="14.25">
      <c r="D145" s="984"/>
      <c r="F145" s="984"/>
      <c r="H145" s="984"/>
      <c r="J145" s="984"/>
      <c r="L145" s="984"/>
      <c r="N145" s="984"/>
      <c r="P145" s="984"/>
      <c r="R145" s="984"/>
      <c r="T145" s="984"/>
      <c r="V145" s="984"/>
      <c r="X145" s="984"/>
    </row>
    <row r="146" spans="1:24" ht="14.25">
      <c r="A146" s="939">
        <f>A144+1</f>
        <v>14</v>
      </c>
      <c r="B146" s="977" t="s">
        <v>1177</v>
      </c>
      <c r="D146" s="984"/>
      <c r="F146" s="984">
        <f>SUM(F124:F142)</f>
        <v>0</v>
      </c>
      <c r="H146" s="984">
        <f>SUM(H124:H142)</f>
        <v>13718.760000000002</v>
      </c>
      <c r="J146" s="984">
        <f>SUM(J124:J142)</f>
        <v>15143310.77</v>
      </c>
      <c r="L146" s="984">
        <f>SUM(L124:L142)</f>
        <v>783997.88</v>
      </c>
      <c r="N146" s="984">
        <f>SUM(N124:N142)</f>
        <v>2889835.1700000004</v>
      </c>
      <c r="P146" s="984">
        <f>SUM(P124:P142)</f>
        <v>756988.47999999998</v>
      </c>
      <c r="R146" s="984">
        <f>SUM(R124:R142)</f>
        <v>11021308.620000003</v>
      </c>
      <c r="T146" s="984">
        <f>SUM(T124:T142)</f>
        <v>3404153.6200000001</v>
      </c>
      <c r="V146" s="984">
        <f>SUM(V124:V142)</f>
        <v>2662610.6599999997</v>
      </c>
      <c r="X146" s="984">
        <f>SUM(X124:X142)</f>
        <v>681339.91999999993</v>
      </c>
    </row>
    <row r="149" spans="1:12" ht="15">
      <c r="A149" s="939">
        <v>15</v>
      </c>
      <c r="B149" s="993" t="s">
        <v>1179</v>
      </c>
      <c r="L149" s="994"/>
    </row>
    <row r="150" spans="12:12" ht="14.25">
      <c r="L150" s="730"/>
    </row>
    <row r="151" spans="1:24" ht="14.25">
      <c r="A151" s="939">
        <f>A149+1</f>
        <v>16</v>
      </c>
      <c r="B151" s="982" t="s">
        <v>1151</v>
      </c>
      <c r="D151" s="980" t="s">
        <v>10</v>
      </c>
      <c r="F151" s="980">
        <v>388</v>
      </c>
      <c r="H151" s="980">
        <v>389</v>
      </c>
      <c r="J151" s="980">
        <v>390</v>
      </c>
      <c r="L151" s="980">
        <v>391</v>
      </c>
      <c r="N151" s="980">
        <v>392</v>
      </c>
      <c r="P151" s="980">
        <v>393</v>
      </c>
      <c r="R151" s="980">
        <v>394</v>
      </c>
      <c r="T151" s="980">
        <v>395</v>
      </c>
      <c r="V151" s="980">
        <v>396</v>
      </c>
      <c r="X151" s="980">
        <v>398</v>
      </c>
    </row>
    <row r="153" spans="1:24" ht="14.25">
      <c r="A153" s="939">
        <f>A151+1</f>
        <v>17</v>
      </c>
      <c r="B153" s="977" t="s">
        <v>730</v>
      </c>
      <c r="D153" s="984">
        <f>SUM(E153:X153)</f>
        <v>146101756.24805486</v>
      </c>
      <c r="F153" s="984">
        <f>F95-F124</f>
        <v>14407617.211370427</v>
      </c>
      <c r="H153" s="984">
        <f>H95-H124</f>
        <v>38065.733395750089</v>
      </c>
      <c r="J153" s="984">
        <f>J95-J124</f>
        <v>91736223.109066293</v>
      </c>
      <c r="L153" s="984">
        <f>L95-L124</f>
        <v>6166354.4695651373</v>
      </c>
      <c r="N153" s="984">
        <f>N95-N124</f>
        <v>5469454.8767782254</v>
      </c>
      <c r="P153" s="984">
        <f>P95-P124</f>
        <v>1696017.0674794233</v>
      </c>
      <c r="R153" s="984">
        <f>R95-R124</f>
        <v>9758721.3153820913</v>
      </c>
      <c r="T153" s="984">
        <f>T95-T124</f>
        <v>10058981.625070883</v>
      </c>
      <c r="V153" s="984">
        <f>V95-V124</f>
        <v>3281502.4751047241</v>
      </c>
      <c r="X153" s="984">
        <f>X95-X124</f>
        <v>3488818.3648419157</v>
      </c>
    </row>
    <row r="154" spans="4:24" ht="14.25">
      <c r="D154" s="984"/>
      <c r="F154" s="984"/>
      <c r="H154" s="984"/>
      <c r="J154" s="984"/>
      <c r="L154" s="984"/>
      <c r="N154" s="984"/>
      <c r="P154" s="984"/>
      <c r="R154" s="984"/>
      <c r="T154" s="984"/>
      <c r="V154" s="984"/>
      <c r="X154" s="984"/>
    </row>
    <row r="155" spans="1:24" ht="14.25">
      <c r="A155" s="939">
        <f>A153+1</f>
        <v>18</v>
      </c>
      <c r="B155" s="977" t="s">
        <v>1162</v>
      </c>
      <c r="D155" s="984">
        <f t="shared" si="10" ref="D155:D173">SUM(E155:X155)</f>
        <v>8584573.5844475962</v>
      </c>
      <c r="F155" s="984">
        <f>F97-F126</f>
        <v>914785.50202723802</v>
      </c>
      <c r="H155" s="984">
        <f>H97-H126</f>
        <v>1453.821053478677</v>
      </c>
      <c r="J155" s="984">
        <f>J97-J126</f>
        <v>5420362.5197509006</v>
      </c>
      <c r="L155" s="984">
        <f>L97-L126</f>
        <v>659113.49484733015</v>
      </c>
      <c r="N155" s="984">
        <f>N97-N126</f>
        <v>181817.72983836831</v>
      </c>
      <c r="P155" s="984">
        <f>P97-P126</f>
        <v>87438.453313479797</v>
      </c>
      <c r="R155" s="984">
        <f>R97-R126</f>
        <v>432936.242414571</v>
      </c>
      <c r="T155" s="984">
        <f>T97-T126</f>
        <v>546399.07888830616</v>
      </c>
      <c r="V155" s="984">
        <f>V97-V126</f>
        <v>152303.51583126458</v>
      </c>
      <c r="X155" s="984">
        <f>X97-X126</f>
        <v>187963.22648265772</v>
      </c>
    </row>
    <row r="156" spans="4:24" ht="14.25">
      <c r="D156" s="984"/>
      <c r="F156" s="984"/>
      <c r="H156" s="984"/>
      <c r="J156" s="984"/>
      <c r="L156" s="984"/>
      <c r="N156" s="984"/>
      <c r="P156" s="984"/>
      <c r="R156" s="984"/>
      <c r="T156" s="984"/>
      <c r="V156" s="984"/>
      <c r="X156" s="984"/>
    </row>
    <row r="157" spans="1:24" ht="14.25">
      <c r="A157" s="939">
        <f>A155+1</f>
        <v>19</v>
      </c>
      <c r="B157" s="977" t="s">
        <v>1163</v>
      </c>
      <c r="D157" s="984">
        <f t="shared" si="10"/>
        <v>87563182.766074225</v>
      </c>
      <c r="F157" s="984">
        <f>F99-F128</f>
        <v>8546411.2094582543</v>
      </c>
      <c r="H157" s="984">
        <f>H99-H128</f>
        <v>23829.42023159927</v>
      </c>
      <c r="J157" s="984">
        <f>J99-J128</f>
        <v>54941142.863718122</v>
      </c>
      <c r="L157" s="984">
        <f>L99-L128</f>
        <v>3310681.7527377438</v>
      </c>
      <c r="N157" s="984">
        <f>N99-N128</f>
        <v>3459037.7393115642</v>
      </c>
      <c r="P157" s="984">
        <f>P99-P128</f>
        <v>1032319.7139185024</v>
      </c>
      <c r="R157" s="984">
        <f>R99-R128</f>
        <v>6030902.218026055</v>
      </c>
      <c r="T157" s="984">
        <f>T99-T128</f>
        <v>6086559.4718800662</v>
      </c>
      <c r="V157" s="984">
        <f>V99-V128</f>
        <v>2019251.8809360308</v>
      </c>
      <c r="X157" s="984">
        <f>X99-X128</f>
        <v>2113046.4958562786</v>
      </c>
    </row>
    <row r="158" spans="4:24" ht="14.25">
      <c r="D158" s="984"/>
      <c r="F158" s="984"/>
      <c r="H158" s="984"/>
      <c r="J158" s="984"/>
      <c r="L158" s="984"/>
      <c r="N158" s="984"/>
      <c r="P158" s="984"/>
      <c r="R158" s="984"/>
      <c r="T158" s="984"/>
      <c r="V158" s="984"/>
      <c r="X158" s="984"/>
    </row>
    <row r="159" spans="1:24" ht="14.25">
      <c r="A159" s="939">
        <f>A157+1</f>
        <v>20</v>
      </c>
      <c r="B159" s="977" t="s">
        <v>1164</v>
      </c>
      <c r="D159" s="984">
        <f t="shared" si="10"/>
        <v>232238.41659822935</v>
      </c>
      <c r="F159" s="984">
        <f>F101-F130</f>
        <v>26540.125410126067</v>
      </c>
      <c r="H159" s="984">
        <f>H101-H130</f>
        <v>18.764937516995634</v>
      </c>
      <c r="J159" s="984">
        <f>J101-J130</f>
        <v>147429.6589828557</v>
      </c>
      <c r="L159" s="984">
        <f>L101-L130</f>
        <v>25627.933363952936</v>
      </c>
      <c r="N159" s="984">
        <f>N101-N130</f>
        <v>1252.5600936767623</v>
      </c>
      <c r="P159" s="984">
        <f>P101-P130</f>
        <v>2044.5701998931518</v>
      </c>
      <c r="R159" s="984">
        <f>R101-R130</f>
        <v>8022.2127117973341</v>
      </c>
      <c r="T159" s="984">
        <f>T101-T130</f>
        <v>13608.973924170383</v>
      </c>
      <c r="V159" s="984">
        <f>V101-V130</f>
        <v>3056.0629634452607</v>
      </c>
      <c r="X159" s="984">
        <f>X101-X130</f>
        <v>4637.5540107947718</v>
      </c>
    </row>
    <row r="160" spans="4:24" ht="14.25">
      <c r="D160" s="984"/>
      <c r="F160" s="984"/>
      <c r="H160" s="984"/>
      <c r="J160" s="984"/>
      <c r="L160" s="984"/>
      <c r="N160" s="984"/>
      <c r="P160" s="984"/>
      <c r="R160" s="984"/>
      <c r="T160" s="984"/>
      <c r="V160" s="984"/>
      <c r="X160" s="984"/>
    </row>
    <row r="161" spans="1:24" ht="14.25">
      <c r="A161" s="939">
        <f>A159+1</f>
        <v>21</v>
      </c>
      <c r="B161" s="977" t="s">
        <v>1165</v>
      </c>
      <c r="D161" s="984">
        <f t="shared" si="10"/>
        <v>15468855.784697739</v>
      </c>
      <c r="F161" s="984">
        <f>F103-F132</f>
        <v>1549368.9545349267</v>
      </c>
      <c r="H161" s="984">
        <f>H103-H132</f>
        <v>3755.7422338697916</v>
      </c>
      <c r="J161" s="984">
        <f>J103-J132</f>
        <v>9723363.1273035165</v>
      </c>
      <c r="L161" s="984">
        <f>L103-L132</f>
        <v>756968.78525571083</v>
      </c>
      <c r="N161" s="984">
        <f>N103-N132</f>
        <v>530146.4923481663</v>
      </c>
      <c r="P161" s="984">
        <f>P103-P132</f>
        <v>175285.51028113882</v>
      </c>
      <c r="R161" s="984">
        <f>R103-R132</f>
        <v>983963.86102202605</v>
      </c>
      <c r="T161" s="984">
        <f>T103-T132</f>
        <v>1049360.8293098558</v>
      </c>
      <c r="V161" s="984">
        <f>V103-V132</f>
        <v>333229.04124208679</v>
      </c>
      <c r="X161" s="984">
        <f>X103-X132</f>
        <v>363413.44116644259</v>
      </c>
    </row>
    <row r="162" spans="4:24" ht="14.25">
      <c r="D162" s="984"/>
      <c r="F162" s="984"/>
      <c r="H162" s="984"/>
      <c r="J162" s="984"/>
      <c r="L162" s="984"/>
      <c r="N162" s="984"/>
      <c r="P162" s="984"/>
      <c r="R162" s="984"/>
      <c r="T162" s="984"/>
      <c r="V162" s="984"/>
      <c r="X162" s="984"/>
    </row>
    <row r="163" spans="1:24" ht="14.25">
      <c r="A163" s="939">
        <f>A161+1</f>
        <v>22</v>
      </c>
      <c r="B163" s="977" t="s">
        <v>1166</v>
      </c>
      <c r="D163" s="984">
        <f t="shared" si="10"/>
        <v>1254437.5592610792</v>
      </c>
      <c r="F163" s="984">
        <f>F105-F134</f>
        <v>120969.90937248134</v>
      </c>
      <c r="H163" s="984">
        <f>H105-H134</f>
        <v>358.21025034796207</v>
      </c>
      <c r="J163" s="984">
        <f>J105-J134</f>
        <v>786442.87586041226</v>
      </c>
      <c r="L163" s="984">
        <f>L105-L134</f>
        <v>41049.099161712045</v>
      </c>
      <c r="N163" s="984">
        <f>N105-N134</f>
        <v>52554.373340739417</v>
      </c>
      <c r="P163" s="984">
        <f>P105-P134</f>
        <v>15051.683989391331</v>
      </c>
      <c r="R163" s="984">
        <f>R105-R134</f>
        <v>89418.64111721472</v>
      </c>
      <c r="T163" s="984">
        <f>T105-T134</f>
        <v>88156.198269968008</v>
      </c>
      <c r="V163" s="984">
        <f>V105-V134</f>
        <v>29798.779385880822</v>
      </c>
      <c r="X163" s="984">
        <f>X105-X134</f>
        <v>30637.788512931387</v>
      </c>
    </row>
    <row r="164" spans="4:24" ht="14.25">
      <c r="D164" s="984"/>
      <c r="F164" s="984"/>
      <c r="H164" s="984"/>
      <c r="J164" s="984"/>
      <c r="L164" s="984"/>
      <c r="N164" s="984"/>
      <c r="P164" s="984"/>
      <c r="R164" s="984"/>
      <c r="T164" s="984"/>
      <c r="V164" s="984"/>
      <c r="X164" s="984"/>
    </row>
    <row r="165" spans="1:24" ht="14.25">
      <c r="A165" s="939">
        <f>A163+1</f>
        <v>23</v>
      </c>
      <c r="B165" s="977" t="s">
        <v>411</v>
      </c>
      <c r="D165" s="984">
        <f t="shared" si="10"/>
        <v>529274.91036423761</v>
      </c>
      <c r="F165" s="984">
        <f>F107-F136</f>
        <v>57015.634994028609</v>
      </c>
      <c r="H165" s="984">
        <f>H107-H136</f>
        <v>82.574857052054114</v>
      </c>
      <c r="J165" s="984">
        <f>J107-J136</f>
        <v>334460.12658632582</v>
      </c>
      <c r="L165" s="984">
        <f>L107-L136</f>
        <v>43313.508512431785</v>
      </c>
      <c r="N165" s="984">
        <f>N107-N136</f>
        <v>9951.369265536965</v>
      </c>
      <c r="P165" s="984">
        <f>P107-P136</f>
        <v>5280.7930934092792</v>
      </c>
      <c r="R165" s="984">
        <f>R107-R136</f>
        <v>25425.688625386145</v>
      </c>
      <c r="T165" s="984">
        <f>T107-T136</f>
        <v>33285.227169557045</v>
      </c>
      <c r="V165" s="984">
        <f>V107-V136</f>
        <v>9024.8479275909303</v>
      </c>
      <c r="X165" s="984">
        <f>X107-X136</f>
        <v>11435.139332918929</v>
      </c>
    </row>
    <row r="166" spans="4:24" ht="14.25">
      <c r="D166" s="984"/>
      <c r="F166" s="984"/>
      <c r="H166" s="984"/>
      <c r="J166" s="984"/>
      <c r="L166" s="984"/>
      <c r="N166" s="984"/>
      <c r="P166" s="984"/>
      <c r="R166" s="984"/>
      <c r="T166" s="984"/>
      <c r="V166" s="984"/>
      <c r="X166" s="984"/>
    </row>
    <row r="167" spans="1:24" ht="14.25">
      <c r="A167" s="939">
        <f>A165+1</f>
        <v>24</v>
      </c>
      <c r="B167" s="977" t="s">
        <v>412</v>
      </c>
      <c r="D167" s="984">
        <f t="shared" si="10"/>
        <v>1882171.1781031096</v>
      </c>
      <c r="F167" s="984">
        <f>F109-F138</f>
        <v>177598.56391897961</v>
      </c>
      <c r="H167" s="984">
        <f>H109-H138</f>
        <v>584.28661889608861</v>
      </c>
      <c r="J167" s="984">
        <f>J109-J138</f>
        <v>1178460.80248411</v>
      </c>
      <c r="L167" s="984">
        <f>L109-L138</f>
        <v>44527.800390599143</v>
      </c>
      <c r="N167" s="984">
        <f>N109-N138</f>
        <v>87302.306340207375</v>
      </c>
      <c r="P167" s="984">
        <f>P109-P138</f>
        <v>23228.035969277593</v>
      </c>
      <c r="R167" s="984">
        <f>R109-R138</f>
        <v>142336.03411538948</v>
      </c>
      <c r="T167" s="984">
        <f>T109-T138</f>
        <v>134323.19232375972</v>
      </c>
      <c r="V167" s="984">
        <f>V109-V138</f>
        <v>47030.492264423374</v>
      </c>
      <c r="X167" s="984">
        <f>X109-X138</f>
        <v>46779.663677467499</v>
      </c>
    </row>
    <row r="168" spans="4:24" ht="14.25">
      <c r="D168" s="984"/>
      <c r="F168" s="984"/>
      <c r="H168" s="984"/>
      <c r="J168" s="984"/>
      <c r="L168" s="984"/>
      <c r="N168" s="984"/>
      <c r="P168" s="984"/>
      <c r="R168" s="984"/>
      <c r="T168" s="984"/>
      <c r="V168" s="984"/>
      <c r="X168" s="984"/>
    </row>
    <row r="169" spans="1:24" ht="14.25">
      <c r="A169" s="939">
        <f>A167+1</f>
        <v>25</v>
      </c>
      <c r="B169" s="977" t="s">
        <v>1167</v>
      </c>
      <c r="D169" s="984">
        <f t="shared" si="10"/>
        <v>149695.82928236161</v>
      </c>
      <c r="F169" s="984">
        <f>F111-F140</f>
        <v>14422.260991151745</v>
      </c>
      <c r="H169" s="984">
        <f>H111-H140</f>
        <v>42.90056399170075</v>
      </c>
      <c r="J169" s="984">
        <f>J111-J140</f>
        <v>93842.662651601699</v>
      </c>
      <c r="L169" s="984">
        <f>L111-L140</f>
        <v>4840.0317941914727</v>
      </c>
      <c r="N169" s="984">
        <f>N111-N140</f>
        <v>6298.9705764193914</v>
      </c>
      <c r="P169" s="984">
        <f>P111-P140</f>
        <v>1798.5699319981468</v>
      </c>
      <c r="R169" s="984">
        <f>R111-R140</f>
        <v>10698.274109607995</v>
      </c>
      <c r="T169" s="984">
        <f>T111-T140</f>
        <v>10528.742191025229</v>
      </c>
      <c r="V169" s="984">
        <f>V111-V140</f>
        <v>3563.9606187808704</v>
      </c>
      <c r="X169" s="984">
        <f>X111-X140</f>
        <v>3659.4558535933511</v>
      </c>
    </row>
    <row r="170" spans="4:24" ht="14.25">
      <c r="D170" s="984"/>
      <c r="F170" s="984"/>
      <c r="H170" s="984"/>
      <c r="J170" s="984"/>
      <c r="L170" s="984"/>
      <c r="N170" s="984"/>
      <c r="P170" s="984"/>
      <c r="R170" s="984"/>
      <c r="T170" s="984"/>
      <c r="V170" s="984"/>
      <c r="X170" s="984"/>
    </row>
    <row r="171" spans="1:24" ht="14.25">
      <c r="A171" s="939">
        <f>A169+1</f>
        <v>26</v>
      </c>
      <c r="B171" s="977" t="s">
        <v>1168</v>
      </c>
      <c r="D171" s="984">
        <f t="shared" si="10"/>
        <v>646081.39311659103</v>
      </c>
      <c r="F171" s="984">
        <f>F113-F142</f>
        <v>61467.70792238992</v>
      </c>
      <c r="H171" s="984">
        <f>H113-H142</f>
        <v>194.08585749737844</v>
      </c>
      <c r="J171" s="984">
        <f>J113-J142</f>
        <v>404677.16359588737</v>
      </c>
      <c r="L171" s="984">
        <f>L113-L142</f>
        <v>17504.244371191562</v>
      </c>
      <c r="N171" s="984">
        <f>N113-N142</f>
        <v>28777.822107096687</v>
      </c>
      <c r="P171" s="984">
        <f>P113-P142</f>
        <v>7901.8818234866985</v>
      </c>
      <c r="R171" s="984">
        <f>R113-R142</f>
        <v>47775.402475859562</v>
      </c>
      <c r="T171" s="984">
        <f>T113-T142</f>
        <v>45950.810972408217</v>
      </c>
      <c r="V171" s="984">
        <f>V113-V142</f>
        <v>15843.953725773721</v>
      </c>
      <c r="X171" s="984">
        <f>X113-X142</f>
        <v>15988.320264999902</v>
      </c>
    </row>
    <row r="172" spans="4:24" ht="14.25">
      <c r="D172" s="984"/>
      <c r="F172" s="984"/>
      <c r="H172" s="984"/>
      <c r="J172" s="984"/>
      <c r="L172" s="984"/>
      <c r="N172" s="984"/>
      <c r="P172" s="984"/>
      <c r="R172" s="984"/>
      <c r="T172" s="984"/>
      <c r="V172" s="984"/>
      <c r="X172" s="984"/>
    </row>
    <row r="173" spans="1:24" ht="14.25">
      <c r="A173" s="939">
        <f>A171+1</f>
        <v>27</v>
      </c>
      <c r="B173" s="978" t="s">
        <v>10</v>
      </c>
      <c r="D173" s="984">
        <f t="shared" si="10"/>
        <v>262412267.66999999</v>
      </c>
      <c r="F173" s="984">
        <f>F115-F144</f>
        <v>25876197.079999998</v>
      </c>
      <c r="H173" s="984">
        <f>H115-H144</f>
        <v>68385.540000000008</v>
      </c>
      <c r="J173" s="984">
        <f>J115-J144</f>
        <v>164766404.91</v>
      </c>
      <c r="L173" s="984">
        <f>L115-L144</f>
        <v>11069981.120000001</v>
      </c>
      <c r="N173" s="984">
        <f>N115-N144</f>
        <v>9826594.2400000002</v>
      </c>
      <c r="P173" s="984">
        <f>P115-P144</f>
        <v>3046366.2800000003</v>
      </c>
      <c r="R173" s="984">
        <f>R115-R144</f>
        <v>17530199.889999997</v>
      </c>
      <c r="T173" s="984">
        <f>T115-T144</f>
        <v>18067154.149999999</v>
      </c>
      <c r="V173" s="984">
        <f>V115-V144</f>
        <v>5894605.0099999998</v>
      </c>
      <c r="X173" s="984">
        <f>X115-X144</f>
        <v>6266379.4499999993</v>
      </c>
    </row>
    <row r="174" spans="4:24" ht="14.25">
      <c r="D174" s="984"/>
      <c r="F174" s="984"/>
      <c r="H174" s="984"/>
      <c r="J174" s="984"/>
      <c r="L174" s="984"/>
      <c r="N174" s="984"/>
      <c r="P174" s="984"/>
      <c r="R174" s="984"/>
      <c r="T174" s="984"/>
      <c r="V174" s="984"/>
      <c r="X174" s="984"/>
    </row>
    <row r="175" spans="1:24" ht="14.25">
      <c r="A175" s="939">
        <f>A173+1</f>
        <v>28</v>
      </c>
      <c r="B175" s="977" t="s">
        <v>1177</v>
      </c>
      <c r="D175" s="984"/>
      <c r="F175" s="984">
        <f>SUM(F153:F171)</f>
        <v>25876197.080000006</v>
      </c>
      <c r="H175" s="984">
        <f>SUM(H153:H171)</f>
        <v>68385.540000000008</v>
      </c>
      <c r="J175" s="984">
        <f>SUM(J153:J171)</f>
        <v>164766404.91</v>
      </c>
      <c r="L175" s="984">
        <f>SUM(L153:L171)</f>
        <v>11069981.120000003</v>
      </c>
      <c r="N175" s="984">
        <f>SUM(N153:N171)</f>
        <v>9826594.2400000021</v>
      </c>
      <c r="P175" s="984">
        <f>SUM(P153:P171)</f>
        <v>3046366.2800000003</v>
      </c>
      <c r="R175" s="984">
        <f>SUM(R153:R171)</f>
        <v>17530199.890000004</v>
      </c>
      <c r="T175" s="984">
        <f>SUM(T153:T171)</f>
        <v>18067154.149999999</v>
      </c>
      <c r="V175" s="984">
        <f>SUM(V153:V171)</f>
        <v>5894605.0100000007</v>
      </c>
      <c r="X175" s="984">
        <f>SUM(X153:X171)</f>
        <v>6266379.4500000011</v>
      </c>
    </row>
    <row r="178" spans="2:2" ht="14.25">
      <c r="B178" s="977" t="s">
        <v>1180</v>
      </c>
    </row>
    <row r="179" spans="1:10" ht="14.25">
      <c r="A179" s="939">
        <f>A177+1</f>
        <v>1</v>
      </c>
      <c r="B179" s="977" t="s">
        <v>1173</v>
      </c>
      <c r="J179" s="730"/>
    </row>
    <row r="180" spans="10:24" ht="14.25">
      <c r="J180" s="730"/>
      <c r="X180" s="730" t="s">
        <v>1181</v>
      </c>
    </row>
    <row r="181" spans="1:24" ht="14.25">
      <c r="A181" s="939">
        <f>A179+1</f>
        <v>2</v>
      </c>
      <c r="J181" s="730"/>
      <c r="X181" s="730" t="s">
        <v>1182</v>
      </c>
    </row>
    <row r="182" spans="10:24" ht="14.25">
      <c r="J182" s="730"/>
      <c r="K182" s="980">
        <v>391</v>
      </c>
      <c r="X182" s="730" t="s">
        <v>1183</v>
      </c>
    </row>
    <row r="183" spans="1:26" ht="14.25">
      <c r="A183" s="939">
        <f>A181+1</f>
        <v>3</v>
      </c>
      <c r="B183" s="982" t="s">
        <v>1151</v>
      </c>
      <c r="D183" s="980" t="s">
        <v>10</v>
      </c>
      <c r="F183" s="980">
        <v>389</v>
      </c>
      <c r="H183" s="980">
        <v>390</v>
      </c>
      <c r="J183" s="980">
        <v>391</v>
      </c>
      <c r="K183" s="728" t="s">
        <v>1175</v>
      </c>
      <c r="L183" s="980">
        <v>392</v>
      </c>
      <c r="N183" s="980">
        <v>393</v>
      </c>
      <c r="P183" s="980">
        <v>394</v>
      </c>
      <c r="R183" s="980">
        <v>395</v>
      </c>
      <c r="T183" s="980">
        <v>396</v>
      </c>
      <c r="V183" s="980">
        <v>398</v>
      </c>
      <c r="X183" s="980" t="s">
        <v>1184</v>
      </c>
      <c r="Z183" s="980" t="s">
        <v>1185</v>
      </c>
    </row>
    <row r="184" spans="10:11" ht="15">
      <c r="J184" s="995">
        <v>783846</v>
      </c>
      <c r="K184" s="728" t="s">
        <v>1176</v>
      </c>
    </row>
    <row r="185" spans="1:26" ht="14.25">
      <c r="A185" s="939">
        <f>A183+1</f>
        <v>4</v>
      </c>
      <c r="B185" s="977" t="s">
        <v>730</v>
      </c>
      <c r="C185" s="984"/>
      <c r="D185" s="984">
        <f>SUM(E185:Z185)</f>
        <v>18091931.170043156</v>
      </c>
      <c r="F185" s="984">
        <f>'II-I-Total'!J1021</f>
        <v>934.67796158042177</v>
      </c>
      <c r="H185" s="984">
        <f>'II-I-Total'!J1022</f>
        <v>2021710.1495907921</v>
      </c>
      <c r="J185" s="984">
        <f>K185*$J$184</f>
        <v>436639.69747298316</v>
      </c>
      <c r="K185" s="986">
        <f>'II-I-Total'!J1023/'II-I-Total'!F1023</f>
        <v>0.55704780973939161</v>
      </c>
      <c r="L185" s="984">
        <f>'II-I-Total'!J1024</f>
        <v>563979.11873461935</v>
      </c>
      <c r="N185" s="984">
        <f>'II-I-Total'!J1025</f>
        <v>117996.24874649015</v>
      </c>
      <c r="P185" s="984">
        <f>'II-I-Total'!J1026</f>
        <v>987895.56206623628</v>
      </c>
      <c r="R185" s="984">
        <f>'II-I-Total'!J1027</f>
        <v>776043.29328296625</v>
      </c>
      <c r="T185" s="984">
        <f>'II-I-Total'!J1028</f>
        <v>301378.34696407372</v>
      </c>
      <c r="V185" s="984">
        <f>'II-I-Total'!J1030</f>
        <v>234694.81258974862</v>
      </c>
      <c r="X185" s="984">
        <f>'II-I-Total'!J1038</f>
        <v>12650604.570941817</v>
      </c>
      <c r="Z185" s="984">
        <f>'II-I-Total'!J1037</f>
        <v>54.134644040768016</v>
      </c>
    </row>
    <row r="186" spans="4:26" ht="14.25">
      <c r="D186" s="984"/>
      <c r="F186" s="984"/>
      <c r="H186" s="984"/>
      <c r="J186" s="984"/>
      <c r="K186" s="986"/>
      <c r="L186" s="984"/>
      <c r="N186" s="984"/>
      <c r="P186" s="984"/>
      <c r="R186" s="984"/>
      <c r="T186" s="984"/>
      <c r="V186" s="984"/>
      <c r="X186" s="984"/>
      <c r="Z186" s="984"/>
    </row>
    <row r="187" spans="1:26" ht="14.25">
      <c r="A187" s="939">
        <f>A185+1</f>
        <v>5</v>
      </c>
      <c r="B187" s="977" t="s">
        <v>1162</v>
      </c>
      <c r="C187" s="984"/>
      <c r="D187" s="984">
        <f t="shared" si="11" ref="D187:D205">SUM(E187:Z187)</f>
        <v>2440500.3270570254</v>
      </c>
      <c r="F187" s="984">
        <f>'II-I-Total'!K1021</f>
        <v>35.697955932166799</v>
      </c>
      <c r="H187" s="984">
        <f>'II-I-Total'!K1022</f>
        <v>118414.66796761543</v>
      </c>
      <c r="J187" s="984">
        <f>K187*$J$184</f>
        <v>47519.040621124353</v>
      </c>
      <c r="K187" s="986">
        <f>'II-I-Total'!K1023/'II-I-Total'!F1023</f>
        <v>0.060622929275807182</v>
      </c>
      <c r="L187" s="984">
        <f>'II-I-Total'!K1024</f>
        <v>18748.011521209213</v>
      </c>
      <c r="N187" s="984">
        <f>'II-I-Total'!K1025</f>
        <v>6083.3171745286354</v>
      </c>
      <c r="P187" s="984">
        <f>'II-I-Total'!K1026</f>
        <v>43685.932832140708</v>
      </c>
      <c r="R187" s="984">
        <f>'II-I-Total'!K1027</f>
        <v>42154.300999988423</v>
      </c>
      <c r="T187" s="984">
        <f>'II-I-Total'!K1028</f>
        <v>14164.029080104639</v>
      </c>
      <c r="V187" s="984">
        <f>'II-I-Total'!K1030</f>
        <v>12644.393972917851</v>
      </c>
      <c r="X187" s="984">
        <f>'II-I-Total'!K1038</f>
        <v>2137049.074743805</v>
      </c>
      <c r="Z187" s="984">
        <f>'II-I-Total'!K1037</f>
        <v>1.799564729364471</v>
      </c>
    </row>
    <row r="188" spans="3:26" ht="14.25">
      <c r="C188" s="984"/>
      <c r="D188" s="984"/>
      <c r="F188" s="984"/>
      <c r="H188" s="984"/>
      <c r="J188" s="984"/>
      <c r="K188" s="986"/>
      <c r="L188" s="984"/>
      <c r="N188" s="984"/>
      <c r="P188" s="984"/>
      <c r="R188" s="984"/>
      <c r="T188" s="984"/>
      <c r="V188" s="984"/>
      <c r="X188" s="984"/>
      <c r="Z188" s="984"/>
    </row>
    <row r="189" spans="1:26" ht="14.25">
      <c r="A189" s="939">
        <f>A187+1</f>
        <v>6</v>
      </c>
      <c r="B189" s="977" t="s">
        <v>1163</v>
      </c>
      <c r="C189" s="984"/>
      <c r="D189" s="984">
        <f t="shared" si="11"/>
        <v>9056197.4608660657</v>
      </c>
      <c r="F189" s="984">
        <f>'II-I-Total'!L1021</f>
        <v>585.11457140659411</v>
      </c>
      <c r="H189" s="984">
        <f>'II-I-Total'!L1022</f>
        <v>1212159.4775949698</v>
      </c>
      <c r="J189" s="984">
        <f>K189*$J$184</f>
        <v>233330.46428502604</v>
      </c>
      <c r="K189" s="986">
        <f>'II-I-Total'!L1023/'II-I-Total'!F1023</f>
        <v>0.29767385976968186</v>
      </c>
      <c r="L189" s="984">
        <f>'II-I-Total'!L1024</f>
        <v>356676.3232967481</v>
      </c>
      <c r="N189" s="984">
        <f>'II-I-Total'!L1025</f>
        <v>71821.124762144653</v>
      </c>
      <c r="P189" s="984">
        <f>'II-I-Total'!L1026</f>
        <v>610703.75077134441</v>
      </c>
      <c r="R189" s="984">
        <f>'II-I-Total'!L1027</f>
        <v>469573.74367099092</v>
      </c>
      <c r="T189" s="984">
        <f>'II-I-Total'!L1028</f>
        <v>185222.65656765358</v>
      </c>
      <c r="V189" s="984">
        <f>'II-I-Total'!L1030</f>
        <v>142145.84993465294</v>
      </c>
      <c r="X189" s="984">
        <f>'II-I-Total'!L1038</f>
        <v>5773944.4214594383</v>
      </c>
      <c r="Z189" s="984">
        <f>'II-I-Total'!L1037</f>
        <v>34.236277830216963</v>
      </c>
    </row>
    <row r="190" spans="3:26" ht="14.25">
      <c r="C190" s="984"/>
      <c r="D190" s="984"/>
      <c r="F190" s="984"/>
      <c r="H190" s="984"/>
      <c r="J190" s="984"/>
      <c r="K190" s="986"/>
      <c r="L190" s="984"/>
      <c r="N190" s="984"/>
      <c r="P190" s="984"/>
      <c r="R190" s="984"/>
      <c r="T190" s="984"/>
      <c r="V190" s="984"/>
      <c r="X190" s="984"/>
      <c r="Z190" s="984"/>
    </row>
    <row r="191" spans="1:26" ht="14.25">
      <c r="A191" s="939">
        <f>A189+1</f>
        <v>7</v>
      </c>
      <c r="B191" s="977" t="s">
        <v>1164</v>
      </c>
      <c r="C191" s="984"/>
      <c r="D191" s="984">
        <f t="shared" si="11"/>
        <v>102209.57034541972</v>
      </c>
      <c r="F191" s="984">
        <f>'II-I-Total'!M1021</f>
        <v>0.46078029984369495</v>
      </c>
      <c r="H191" s="984">
        <f>'II-I-Total'!M1022</f>
        <v>3193.5945799344977</v>
      </c>
      <c r="J191" s="984">
        <f>K191*$J$184</f>
        <v>1859.8902050669108</v>
      </c>
      <c r="K191" s="986">
        <f>'II-I-Total'!M1023/'II-I-Total'!F1023</f>
        <v>0.0023727750158410079</v>
      </c>
      <c r="L191" s="984">
        <f>'II-I-Total'!M1024</f>
        <v>129.15688193959232</v>
      </c>
      <c r="N191" s="984">
        <f>'II-I-Total'!M1025</f>
        <v>142.24599079053093</v>
      </c>
      <c r="P191" s="984">
        <f>'II-I-Total'!M1026</f>
        <v>804.58128696989741</v>
      </c>
      <c r="R191" s="984">
        <f>'II-I-Total'!M1027</f>
        <v>1049.9226719569558</v>
      </c>
      <c r="T191" s="984">
        <f>'II-I-Total'!M1028</f>
        <v>290.07108721146244</v>
      </c>
      <c r="V191" s="984">
        <f>'II-I-Total'!M1030</f>
        <v>311.97091369893394</v>
      </c>
      <c r="X191" s="984">
        <f>'II-I-Total'!M1038</f>
        <v>94427.661177398957</v>
      </c>
      <c r="Z191" s="984">
        <f>'II-I-Total'!M1037</f>
        <v>0.012397377131448997</v>
      </c>
    </row>
    <row r="192" spans="3:26" ht="14.25">
      <c r="C192" s="984"/>
      <c r="D192" s="984"/>
      <c r="F192" s="984"/>
      <c r="H192" s="984"/>
      <c r="J192" s="984"/>
      <c r="K192" s="986"/>
      <c r="L192" s="984"/>
      <c r="N192" s="984"/>
      <c r="P192" s="984"/>
      <c r="R192" s="984"/>
      <c r="T192" s="984"/>
      <c r="V192" s="984"/>
      <c r="X192" s="984"/>
      <c r="Z192" s="984"/>
    </row>
    <row r="193" spans="1:26" ht="14.25">
      <c r="A193" s="939">
        <f>A191+1</f>
        <v>8</v>
      </c>
      <c r="B193" s="977" t="s">
        <v>1165</v>
      </c>
      <c r="C193" s="984"/>
      <c r="D193" s="984">
        <f t="shared" si="11"/>
        <v>2398630.3445597426</v>
      </c>
      <c r="F193" s="984">
        <f>'II-I-Total'!N1021</f>
        <v>92.219805680085841</v>
      </c>
      <c r="H193" s="984">
        <f>'II-I-Total'!N1022</f>
        <v>213921.30330436945</v>
      </c>
      <c r="J193" s="984">
        <f>K193*$J$184</f>
        <v>53898.10748755205</v>
      </c>
      <c r="K193" s="986">
        <f>'II-I-Total'!N1023/'II-I-Total'!F1023</f>
        <v>0.068761092724274983</v>
      </c>
      <c r="L193" s="984">
        <f>'II-I-Total'!N1024</f>
        <v>54665.694898444621</v>
      </c>
      <c r="N193" s="984">
        <f>'II-I-Total'!N1025</f>
        <v>12195.061690869279</v>
      </c>
      <c r="P193" s="984">
        <f>'II-I-Total'!N1026</f>
        <v>99559.212197607354</v>
      </c>
      <c r="R193" s="984">
        <f>'II-I-Total'!N1027</f>
        <v>80957.443175093358</v>
      </c>
      <c r="T193" s="984">
        <f>'II-I-Total'!N1028</f>
        <v>30666.088379815796</v>
      </c>
      <c r="V193" s="984">
        <f>'II-I-Total'!N1030</f>
        <v>24447.030610308502</v>
      </c>
      <c r="X193" s="984">
        <f>'II-I-Total'!N1038</f>
        <v>1828222.8670547558</v>
      </c>
      <c r="Z193" s="984">
        <f>'II-I-Total'!N1037</f>
        <v>5.247194153585375</v>
      </c>
    </row>
    <row r="194" spans="3:26" ht="14.25">
      <c r="C194" s="984"/>
      <c r="D194" s="984"/>
      <c r="F194" s="984"/>
      <c r="H194" s="984"/>
      <c r="J194" s="984"/>
      <c r="K194" s="986"/>
      <c r="L194" s="984"/>
      <c r="N194" s="984"/>
      <c r="P194" s="984"/>
      <c r="R194" s="984"/>
      <c r="T194" s="984"/>
      <c r="V194" s="984"/>
      <c r="X194" s="984"/>
      <c r="Z194" s="984"/>
    </row>
    <row r="195" spans="1:26" ht="14.25">
      <c r="A195" s="939">
        <f>A193+1</f>
        <v>9</v>
      </c>
      <c r="B195" s="977" t="s">
        <v>1166</v>
      </c>
      <c r="C195" s="984"/>
      <c r="D195" s="984">
        <f t="shared" si="11"/>
        <v>100129.3098397743</v>
      </c>
      <c r="F195" s="984">
        <f>'II-I-Total'!O1021</f>
        <v>8.795591746475937</v>
      </c>
      <c r="H195" s="984">
        <f>'II-I-Total'!O1022</f>
        <v>17373.580977137142</v>
      </c>
      <c r="J195" s="984">
        <f>K195*$J$184</f>
        <v>2872.7317285449849</v>
      </c>
      <c r="K195" s="986">
        <f>'II-I-Total'!O1023/'II-I-Total'!F1023</f>
        <v>0.0036649185280590636</v>
      </c>
      <c r="L195" s="984">
        <f>'II-I-Total'!O1024</f>
        <v>5419.1084541535765</v>
      </c>
      <c r="N195" s="984">
        <f>'II-I-Total'!O1025</f>
        <v>1047.1841772061919</v>
      </c>
      <c r="P195" s="984">
        <f>'II-I-Total'!O1026</f>
        <v>9057.6894462732253</v>
      </c>
      <c r="R195" s="984">
        <f>'II-I-Total'!O1027</f>
        <v>6801.1881358211649</v>
      </c>
      <c r="T195" s="984">
        <f>'II-I-Total'!O1028</f>
        <v>2729.7032346292531</v>
      </c>
      <c r="V195" s="984">
        <f>'II-I-Total'!O1030</f>
        <v>2061.021610645324</v>
      </c>
      <c r="X195" s="984">
        <f>'II-I-Total'!O1038</f>
        <v>52757.78265492386</v>
      </c>
      <c r="Z195" s="984">
        <f>'II-I-Total'!O1037</f>
        <v>0.52016377457755125</v>
      </c>
    </row>
    <row r="196" spans="3:26" ht="14.25">
      <c r="C196" s="984"/>
      <c r="D196" s="984"/>
      <c r="F196" s="984"/>
      <c r="H196" s="984"/>
      <c r="J196" s="984"/>
      <c r="K196" s="986"/>
      <c r="L196" s="984"/>
      <c r="N196" s="984"/>
      <c r="P196" s="984"/>
      <c r="R196" s="984"/>
      <c r="T196" s="984"/>
      <c r="V196" s="984"/>
      <c r="X196" s="984"/>
      <c r="Z196" s="984"/>
    </row>
    <row r="197" spans="1:26" ht="14.25">
      <c r="A197" s="939">
        <f>A195+1</f>
        <v>10</v>
      </c>
      <c r="B197" s="977" t="s">
        <v>411</v>
      </c>
      <c r="C197" s="984"/>
      <c r="D197" s="984">
        <f t="shared" si="11"/>
        <v>162888.63245946431</v>
      </c>
      <c r="F197" s="984">
        <f>'II-I-Total'!P1021</f>
        <v>2.0275956367189423</v>
      </c>
      <c r="H197" s="984">
        <f>'II-I-Total'!P1022</f>
        <v>7297.3698464569497</v>
      </c>
      <c r="J197" s="984">
        <f>K197*$J$184</f>
        <v>3126.9036889775216</v>
      </c>
      <c r="K197" s="986">
        <f>'II-I-Total'!P1023/'II-I-Total'!F1023</f>
        <v>0.0039891811516261123</v>
      </c>
      <c r="L197" s="984">
        <f>'II-I-Total'!P1024</f>
        <v>1026.1286718734696</v>
      </c>
      <c r="N197" s="984">
        <f>'II-I-Total'!P1025</f>
        <v>367.39830411847316</v>
      </c>
      <c r="P197" s="984">
        <f>'II-I-Total'!P1026</f>
        <v>2563.9233435857977</v>
      </c>
      <c r="R197" s="984">
        <f>'II-I-Total'!P1027</f>
        <v>2567.9316426458927</v>
      </c>
      <c r="T197" s="984">
        <f>'II-I-Total'!P1028</f>
        <v>841.31106527664406</v>
      </c>
      <c r="V197" s="984">
        <f>'II-I-Total'!P1030</f>
        <v>769.2483758823289</v>
      </c>
      <c r="X197" s="984">
        <f>'II-I-Total'!P1038</f>
        <v>144326.28744085226</v>
      </c>
      <c r="Z197" s="984">
        <f>'II-I-Total'!P1037</f>
        <v>0.098494977112858317</v>
      </c>
    </row>
    <row r="198" spans="3:26" ht="14.25">
      <c r="C198" s="984"/>
      <c r="D198" s="984"/>
      <c r="F198" s="984"/>
      <c r="H198" s="984"/>
      <c r="J198" s="984"/>
      <c r="K198" s="986"/>
      <c r="L198" s="984"/>
      <c r="N198" s="984"/>
      <c r="P198" s="984"/>
      <c r="R198" s="984"/>
      <c r="T198" s="984"/>
      <c r="V198" s="984"/>
      <c r="X198" s="984"/>
      <c r="Z198" s="984"/>
    </row>
    <row r="199" spans="1:26" ht="14.25">
      <c r="A199" s="939">
        <f>A197+1</f>
        <v>11</v>
      </c>
      <c r="B199" s="977" t="s">
        <v>412</v>
      </c>
      <c r="C199" s="984"/>
      <c r="D199" s="984">
        <f t="shared" si="11"/>
        <v>61527.072570379794</v>
      </c>
      <c r="F199" s="984">
        <f>'II-I-Total'!Q1021</f>
        <v>14.346713069809988</v>
      </c>
      <c r="H199" s="984">
        <f>'II-I-Total'!Q1022</f>
        <v>26098.040258832887</v>
      </c>
      <c r="J199" s="984">
        <f>K199*$J$184</f>
        <v>3049.0567423655916</v>
      </c>
      <c r="K199" s="986">
        <f>'II-I-Total'!Q1023/'II-I-Total'!F1023</f>
        <v>0.0038898670687425737</v>
      </c>
      <c r="L199" s="984">
        <f>'II-I-Total'!Q1024</f>
        <v>9002.1179262845908</v>
      </c>
      <c r="N199" s="984">
        <f>'II-I-Total'!Q1025</f>
        <v>1616.0339005720302</v>
      </c>
      <c r="P199" s="984">
        <f>'II-I-Total'!Q1026</f>
        <v>14426.432041341892</v>
      </c>
      <c r="R199" s="984">
        <f>'II-I-Total'!Q1027</f>
        <v>10362.938973356904</v>
      </c>
      <c r="T199" s="984">
        <f>'II-I-Total'!Q1028</f>
        <v>4297.545817618714</v>
      </c>
      <c r="V199" s="984">
        <f>'II-I-Total'!Q1030</f>
        <v>3146.8948193348056</v>
      </c>
      <c r="X199" s="984">
        <f>'II-I-Total'!Q1038</f>
        <v>-10487.202598244572</v>
      </c>
      <c r="Z199" s="984">
        <f>'II-I-Total'!Q1037</f>
        <v>0.86408598007286253</v>
      </c>
    </row>
    <row r="200" spans="3:26" ht="14.25">
      <c r="C200" s="984"/>
      <c r="D200" s="984"/>
      <c r="F200" s="984"/>
      <c r="H200" s="984"/>
      <c r="J200" s="984"/>
      <c r="K200" s="986"/>
      <c r="L200" s="984"/>
      <c r="N200" s="984"/>
      <c r="P200" s="984"/>
      <c r="R200" s="984"/>
      <c r="T200" s="984"/>
      <c r="V200" s="984"/>
      <c r="X200" s="984"/>
      <c r="Z200" s="984"/>
    </row>
    <row r="201" spans="1:26" ht="14.25">
      <c r="A201" s="939">
        <f>A199+1</f>
        <v>12</v>
      </c>
      <c r="B201" s="977" t="s">
        <v>1167</v>
      </c>
      <c r="C201" s="984"/>
      <c r="D201" s="984">
        <f t="shared" si="11"/>
        <v>11677.312806075415</v>
      </c>
      <c r="F201" s="984">
        <f>'II-I-Total'!R1021</f>
        <v>1.053392028505054</v>
      </c>
      <c r="H201" s="984">
        <f>'II-I-Total'!R1022</f>
        <v>2073.3160630741504</v>
      </c>
      <c r="J201" s="984">
        <f>K201*$J$184</f>
        <v>338.50376380139789</v>
      </c>
      <c r="K201" s="986">
        <f>'II-I-Total'!R1023/'II-I-Total'!F1023</f>
        <v>0.00043184983249439036</v>
      </c>
      <c r="L201" s="984">
        <f>'II-I-Total'!R1024</f>
        <v>649.51406578143212</v>
      </c>
      <c r="N201" s="984">
        <f>'II-I-Total'!R1025</f>
        <v>125.13111325362922</v>
      </c>
      <c r="P201" s="984">
        <f>'II-I-Total'!R1026</f>
        <v>1083.7111014699633</v>
      </c>
      <c r="R201" s="984">
        <f>'II-I-Total'!R1027</f>
        <v>812.28498826462419</v>
      </c>
      <c r="T201" s="984">
        <f>'II-I-Total'!R1028</f>
        <v>326.44211005820875</v>
      </c>
      <c r="V201" s="984">
        <f>'II-I-Total'!R1030</f>
        <v>246.17369477553231</v>
      </c>
      <c r="X201" s="984">
        <f>'II-I-Total'!R1038</f>
        <v>6021.1197368341127</v>
      </c>
      <c r="Z201" s="984">
        <f>'II-I-Total'!R1037</f>
        <v>0.062344884025918909</v>
      </c>
    </row>
    <row r="202" spans="3:26" ht="14.25">
      <c r="C202" s="984"/>
      <c r="D202" s="984"/>
      <c r="F202" s="984"/>
      <c r="H202" s="984"/>
      <c r="J202" s="984"/>
      <c r="K202" s="986"/>
      <c r="L202" s="984"/>
      <c r="N202" s="984"/>
      <c r="P202" s="984"/>
      <c r="R202" s="984"/>
      <c r="T202" s="984"/>
      <c r="V202" s="984"/>
      <c r="X202" s="984"/>
      <c r="Z202" s="984"/>
    </row>
    <row r="203" spans="1:26" ht="14.25">
      <c r="A203" s="939">
        <f>A201+1</f>
        <v>13</v>
      </c>
      <c r="B203" s="977" t="s">
        <v>1168</v>
      </c>
      <c r="C203" s="984"/>
      <c r="D203" s="984">
        <f t="shared" si="11"/>
        <v>34687.879452904985</v>
      </c>
      <c r="F203" s="984">
        <f>'II-I-Total'!S1021</f>
        <v>4.7656326193779162</v>
      </c>
      <c r="H203" s="984">
        <f>'II-I-Total'!S1022</f>
        <v>8952.6398168178166</v>
      </c>
      <c r="J203" s="984">
        <f>K203*$J$184</f>
        <v>1211.6040045581115</v>
      </c>
      <c r="K203" s="986">
        <f>'II-I-Total'!S1023/'II-I-Total'!F1023</f>
        <v>0.0015457168940813774</v>
      </c>
      <c r="L203" s="984">
        <f>'II-I-Total'!S1024</f>
        <v>2967.4055489461048</v>
      </c>
      <c r="N203" s="984">
        <f>'II-I-Total'!S1025</f>
        <v>549.75414002642378</v>
      </c>
      <c r="P203" s="984">
        <f>'II-I-Total'!S1026</f>
        <v>4841.0449130305351</v>
      </c>
      <c r="R203" s="984">
        <f>'II-I-Total'!S1027</f>
        <v>3545.0724589155316</v>
      </c>
      <c r="T203" s="984">
        <f>'II-I-Total'!S1028</f>
        <v>1449.3356935580612</v>
      </c>
      <c r="V203" s="984">
        <f>'II-I-Total'!S1030</f>
        <v>1075.5434780352052</v>
      </c>
      <c r="X203" s="984">
        <f>'II-I-Total'!S1038</f>
        <v>10090.427388427774</v>
      </c>
      <c r="Z203" s="984">
        <f>'II-I-Total'!S1037</f>
        <v>0.28483225314656752</v>
      </c>
    </row>
    <row r="204" spans="4:26" ht="14.25">
      <c r="D204" s="984"/>
      <c r="F204" s="984"/>
      <c r="H204" s="984"/>
      <c r="J204" s="984"/>
      <c r="K204" s="986"/>
      <c r="L204" s="984"/>
      <c r="N204" s="984"/>
      <c r="P204" s="984"/>
      <c r="R204" s="984"/>
      <c r="T204" s="984"/>
      <c r="V204" s="984"/>
      <c r="X204" s="984"/>
      <c r="Z204" s="984"/>
    </row>
    <row r="205" spans="1:26" ht="14.25">
      <c r="A205" s="939">
        <f>A203+1</f>
        <v>14</v>
      </c>
      <c r="B205" s="978" t="s">
        <v>10</v>
      </c>
      <c r="D205" s="984">
        <f t="shared" si="11"/>
        <v>32460379.079999998</v>
      </c>
      <c r="F205" s="984">
        <f>'II-I-Total'!F1021</f>
        <v>1679.1600000000001</v>
      </c>
      <c r="H205" s="984">
        <f>'II-I-Total'!F1022</f>
        <v>3631194.1400000006</v>
      </c>
      <c r="J205" s="984">
        <f>K205*$J$184</f>
        <v>783846.00000000012</v>
      </c>
      <c r="K205" s="986">
        <f>SUM(K185:K203)</f>
        <v>1.0000000000000002</v>
      </c>
      <c r="L205" s="984">
        <f>'II-I-Total'!F1024</f>
        <v>1013262.58</v>
      </c>
      <c r="N205" s="984">
        <f>'II-I-Total'!F1025</f>
        <v>211943.5</v>
      </c>
      <c r="P205" s="984">
        <f>'II-I-Total'!F1026</f>
        <v>1774621.8400000001</v>
      </c>
      <c r="R205" s="984">
        <f>'II-I-Total'!F1027</f>
        <v>1393868.1199999999</v>
      </c>
      <c r="T205" s="984">
        <f>'II-I-Total'!F1028</f>
        <v>541365.53000000003</v>
      </c>
      <c r="V205" s="984">
        <f>'II-I-Total'!F1030</f>
        <v>421542.94</v>
      </c>
      <c r="X205" s="984">
        <f>'II-I-Total'!F1038</f>
        <v>22686957.009999998</v>
      </c>
      <c r="Z205" s="984">
        <f>'II-I-Total'!F1037</f>
        <v>97.260000000002037</v>
      </c>
    </row>
    <row r="206" spans="4:26" ht="14.25">
      <c r="D206" s="984"/>
      <c r="F206" s="984"/>
      <c r="H206" s="984"/>
      <c r="J206" s="984"/>
      <c r="L206" s="984"/>
      <c r="N206" s="984"/>
      <c r="P206" s="984"/>
      <c r="R206" s="984"/>
      <c r="T206" s="984"/>
      <c r="V206" s="984"/>
      <c r="X206" s="984"/>
      <c r="Z206" s="984"/>
    </row>
    <row r="207" spans="1:26" ht="14.25">
      <c r="A207" s="939">
        <f>A205+1</f>
        <v>15</v>
      </c>
      <c r="B207" s="977" t="s">
        <v>1177</v>
      </c>
      <c r="D207" s="984"/>
      <c r="F207" s="984">
        <f>SUM(F185:F203)</f>
        <v>1679.1599999999996</v>
      </c>
      <c r="H207" s="984">
        <f>SUM(H185:H203)</f>
        <v>3631194.1400000006</v>
      </c>
      <c r="J207" s="984">
        <f>SUM(J185:J203)</f>
        <v>783846.00000000012</v>
      </c>
      <c r="L207" s="984">
        <f>SUM(L185:L203)</f>
        <v>1013262.58</v>
      </c>
      <c r="N207" s="984">
        <f>SUM(N185:N203)</f>
        <v>211943.5</v>
      </c>
      <c r="P207" s="984">
        <f>SUM(P185:P203)</f>
        <v>1774621.8400000001</v>
      </c>
      <c r="R207" s="984">
        <f>SUM(R185:R203)</f>
        <v>1393868.1200000001</v>
      </c>
      <c r="T207" s="984">
        <f>SUM(T185:T203)</f>
        <v>541365.53000000003</v>
      </c>
      <c r="V207" s="984">
        <f>SUM(V185:V203)</f>
        <v>421542.94000000006</v>
      </c>
      <c r="X207" s="984">
        <f>SUM(X185:X203)</f>
        <v>22686957.010000009</v>
      </c>
      <c r="Z207" s="984">
        <f>SUM(Z185:Z203)</f>
        <v>97.260000000002023</v>
      </c>
    </row>
  </sheetData>
  <mergeCells count="6">
    <mergeCell ref="B7:Z7"/>
    <mergeCell ref="B1:Z1"/>
    <mergeCell ref="B2:Z2"/>
    <mergeCell ref="B3:Z3"/>
    <mergeCell ref="B4:Z4"/>
    <mergeCell ref="B5:Z5"/>
  </mergeCells>
  <pageMargins left="0.5" right="0.5" top="1.25" bottom="0.75" header="1" footer="0.3"/>
  <pageSetup fitToHeight="4" orientation="landscape" scale="46" r:id="rId1"/>
  <headerFooter>
    <oddHeader>&amp;RWP/II-I-1.9
Page &amp;P of &amp;N</oddHeader>
  </headerFooter>
  <rowBreaks count="3" manualBreakCount="3">
    <brk id="59" max="24" man="1"/>
    <brk id="118" max="24" man="1"/>
    <brk id="176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8">
    <pageSetUpPr fitToPage="1"/>
  </sheetPr>
  <dimension ref="A1:Y92"/>
  <sheetViews>
    <sheetView view="pageBreakPreview" zoomScale="75" zoomScaleNormal="70" zoomScaleSheetLayoutView="75" workbookViewId="0" topLeftCell="A1">
      <selection pane="topLeft" activeCell="D5" sqref="D5"/>
    </sheetView>
  </sheetViews>
  <sheetFormatPr defaultColWidth="26.255" defaultRowHeight="14.25"/>
  <cols>
    <col min="1" max="1" width="0.875" customWidth="1"/>
    <col min="2" max="2" width="4.625" customWidth="1"/>
    <col min="3" max="3" width="29.5" customWidth="1"/>
    <col min="4" max="4" width="2" customWidth="1"/>
    <col min="5" max="5" width="19.25" customWidth="1"/>
    <col min="6" max="6" width="14.75" customWidth="1"/>
    <col min="7" max="7" width="16.625" customWidth="1"/>
    <col min="8" max="8" width="13.25" customWidth="1"/>
    <col min="9" max="9" width="16.125" customWidth="1"/>
    <col min="10" max="10" width="15.5" customWidth="1"/>
    <col min="11" max="11" width="14.5" customWidth="1"/>
    <col min="12" max="12" width="14.75" customWidth="1"/>
    <col min="13" max="13" width="13.875" customWidth="1"/>
    <col min="14" max="14" width="18.125" customWidth="1"/>
    <col min="15" max="15" width="1.125" customWidth="1"/>
    <col min="16" max="16" width="20.625" customWidth="1"/>
    <col min="17" max="17" width="20.25" customWidth="1"/>
    <col min="18" max="18" width="17.25" customWidth="1"/>
    <col min="19" max="19" width="19.75" customWidth="1"/>
  </cols>
  <sheetData>
    <row r="1" spans="1:19" ht="15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 ht="15">
      <c r="A2" s="167"/>
      <c r="B2" s="1245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19" ht="15.75">
      <c r="A3" s="167"/>
      <c r="B3" s="3" t="str">
        <f>'II-I-1'!B2</f>
        <v>2022 RATE CASE</v>
      </c>
      <c r="C3" s="169"/>
      <c r="D3" s="169"/>
      <c r="E3" s="169"/>
      <c r="F3" s="169"/>
      <c r="G3" s="170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8"/>
      <c r="S3" s="168"/>
    </row>
    <row r="4" spans="1:19" ht="15.75">
      <c r="A4" s="167"/>
      <c r="B4" s="3" t="str">
        <f>'II-I-1'!B3</f>
        <v>ONCOR ELECTRIC DELIVERY COMPANY LLC</v>
      </c>
      <c r="C4" s="169"/>
      <c r="D4" s="169"/>
      <c r="E4" s="169"/>
      <c r="F4" s="169"/>
      <c r="G4" s="17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8"/>
      <c r="S4" s="168"/>
    </row>
    <row r="5" spans="1:19" ht="15.75">
      <c r="A5" s="167"/>
      <c r="B5" s="3" t="str">
        <f>'WP II-I-2.1'!$B$5</f>
        <v>II-I-2:  CLASS ALLOCATION FACTORS</v>
      </c>
      <c r="C5" s="169"/>
      <c r="D5" s="169"/>
      <c r="E5" s="169"/>
      <c r="F5" s="169"/>
      <c r="G5" s="170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8"/>
      <c r="S5" s="168"/>
    </row>
    <row r="6" spans="1:19" ht="15.75">
      <c r="A6" s="167"/>
      <c r="B6" s="3" t="str">
        <f>'II-I-1'!B5</f>
        <v>TEST YEAR ENDING 12/31/2021</v>
      </c>
      <c r="C6" s="169"/>
      <c r="D6" s="169"/>
      <c r="E6" s="169"/>
      <c r="F6" s="169"/>
      <c r="G6" s="170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8"/>
      <c r="S6" s="168"/>
    </row>
    <row r="7" spans="1:19" ht="15.75">
      <c r="A7" s="167"/>
      <c r="B7" s="3" t="str">
        <f>'II-I-1'!B6</f>
        <v>SPONSOR:  MATTHEW A. TROXLE</v>
      </c>
      <c r="C7" s="169"/>
      <c r="D7" s="169"/>
      <c r="E7" s="169"/>
      <c r="F7" s="169"/>
      <c r="G7" s="71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8"/>
      <c r="S7" s="168"/>
    </row>
    <row r="8" spans="1:19" ht="15.75">
      <c r="A8" s="167"/>
      <c r="B8" s="71"/>
      <c r="C8" s="169"/>
      <c r="D8" s="169"/>
      <c r="E8" s="169"/>
      <c r="F8" s="169"/>
      <c r="G8" s="170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8"/>
      <c r="S8" s="168"/>
    </row>
    <row r="9" spans="1:19" ht="15">
      <c r="A9" s="167"/>
      <c r="B9" s="169"/>
      <c r="C9" s="169"/>
      <c r="D9" s="169"/>
      <c r="E9" s="169"/>
      <c r="F9" s="169"/>
      <c r="G9" s="171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8"/>
      <c r="S9" s="168"/>
    </row>
    <row r="10" spans="1:19" ht="15.75">
      <c r="A10" s="167"/>
      <c r="B10" s="71" t="s">
        <v>1030</v>
      </c>
      <c r="C10" s="169"/>
      <c r="D10" s="169"/>
      <c r="E10" s="169"/>
      <c r="F10" s="169"/>
      <c r="G10" s="170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8"/>
      <c r="S10" s="168"/>
    </row>
    <row r="11" spans="1:19" ht="15.75">
      <c r="A11" s="167"/>
      <c r="B11" s="67"/>
      <c r="C11" s="67"/>
      <c r="D11" s="67"/>
      <c r="G11" s="132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168"/>
      <c r="S11" s="168"/>
    </row>
    <row r="12" spans="1:19" ht="15.75">
      <c r="A12" s="167"/>
      <c r="B12" s="20" t="s">
        <v>406</v>
      </c>
      <c r="C12" s="17"/>
      <c r="D12" s="17"/>
      <c r="E12" s="58" t="s">
        <v>474</v>
      </c>
      <c r="F12" s="58" t="s">
        <v>475</v>
      </c>
      <c r="G12" s="58" t="s">
        <v>476</v>
      </c>
      <c r="H12" s="58" t="s">
        <v>477</v>
      </c>
      <c r="I12" s="58" t="s">
        <v>479</v>
      </c>
      <c r="J12" s="58" t="s">
        <v>478</v>
      </c>
      <c r="K12" s="58" t="s">
        <v>6</v>
      </c>
      <c r="L12" s="58" t="s">
        <v>480</v>
      </c>
      <c r="M12" s="58" t="s">
        <v>472</v>
      </c>
      <c r="N12" s="58" t="s">
        <v>473</v>
      </c>
      <c r="O12" s="58"/>
      <c r="P12" s="58" t="s">
        <v>481</v>
      </c>
      <c r="Q12" s="58"/>
      <c r="R12" s="172"/>
      <c r="S12" s="168"/>
    </row>
    <row r="13" spans="1:19" ht="15">
      <c r="A13" s="167"/>
      <c r="B13" s="175"/>
      <c r="C13" s="175"/>
      <c r="D13" s="174"/>
      <c r="E13" s="598" t="s">
        <v>13</v>
      </c>
      <c r="F13" s="598" t="s">
        <v>14</v>
      </c>
      <c r="G13" s="598" t="s">
        <v>15</v>
      </c>
      <c r="H13" s="598" t="s">
        <v>16</v>
      </c>
      <c r="I13" s="598" t="s">
        <v>17</v>
      </c>
      <c r="J13" s="598" t="s">
        <v>18</v>
      </c>
      <c r="K13" s="598" t="s">
        <v>19</v>
      </c>
      <c r="L13" s="598" t="s">
        <v>20</v>
      </c>
      <c r="M13" s="598" t="s">
        <v>21</v>
      </c>
      <c r="N13" s="598" t="s">
        <v>22</v>
      </c>
      <c r="O13" s="598"/>
      <c r="P13" s="598" t="s">
        <v>418</v>
      </c>
      <c r="Q13" s="174"/>
      <c r="R13" s="172"/>
      <c r="S13" s="168"/>
    </row>
    <row r="14" spans="1:19" ht="15.75">
      <c r="A14" s="167"/>
      <c r="B14" s="11">
        <v>1</v>
      </c>
      <c r="C14" s="176" t="s">
        <v>482</v>
      </c>
      <c r="D14" s="177"/>
      <c r="E14" s="693">
        <f>('[6]Page 9'!$E$17)/12</f>
        <v>3258283</v>
      </c>
      <c r="F14" s="693">
        <f>('[6]Page 9'!$E$19)/12</f>
        <v>304430</v>
      </c>
      <c r="G14" s="693">
        <f>('[6]Page 9'!$E$21+'[6]Page 9'!$E$22)/12</f>
        <v>203588</v>
      </c>
      <c r="H14" s="693">
        <f>('[6]Page 9'!$E$24)/12</f>
        <v>3101</v>
      </c>
      <c r="I14" s="693">
        <f>('[6]Page 9'!$E$26+'[6]Page 9'!$E$27)/12</f>
        <v>7158</v>
      </c>
      <c r="J14" s="693">
        <f>('[6]Page 9'!$E$28)/12</f>
        <v>130</v>
      </c>
      <c r="K14" s="693">
        <f>('[6]Page 9'!$E$29)/12</f>
        <v>283</v>
      </c>
      <c r="L14" s="693">
        <f>('[6]Page 9'!$E$35)/12</f>
        <v>55208</v>
      </c>
      <c r="M14" s="693">
        <f>('[6]Page 9'!$E$37)/12</f>
        <v>15</v>
      </c>
      <c r="N14" s="693">
        <f>('[6]Page 9'!$E$38)/12</f>
        <v>48</v>
      </c>
      <c r="O14" s="55"/>
      <c r="P14" s="178">
        <f>SUM(D14:O14)</f>
        <v>3832244</v>
      </c>
      <c r="Q14" s="179"/>
      <c r="R14" s="172"/>
      <c r="S14" s="701"/>
    </row>
    <row r="15" spans="1:19" ht="15.75">
      <c r="A15" s="167"/>
      <c r="B15" s="11">
        <f t="shared" si="0" ref="B15:B42">B14+1</f>
        <v>2</v>
      </c>
      <c r="C15" s="185" t="s">
        <v>1358</v>
      </c>
      <c r="D15" s="180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81"/>
      <c r="P15" s="182"/>
      <c r="Q15" s="167"/>
      <c r="R15" s="172"/>
      <c r="S15" s="168"/>
    </row>
    <row r="16" spans="1:19" ht="15.75">
      <c r="A16" s="167"/>
      <c r="B16" s="11">
        <f t="shared" si="0"/>
        <v>3</v>
      </c>
      <c r="C16" s="183"/>
      <c r="D16" s="183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0"/>
      <c r="Q16" s="20"/>
      <c r="R16" s="172"/>
      <c r="S16" s="168"/>
    </row>
    <row r="17" spans="1:19" s="664" customFormat="1" ht="15.75">
      <c r="A17" s="167"/>
      <c r="B17" s="698">
        <f t="shared" si="0"/>
        <v>4</v>
      </c>
      <c r="C17" s="176" t="s">
        <v>483</v>
      </c>
      <c r="D17" s="177"/>
      <c r="E17" s="812">
        <f>'[1]WP II-I 2.5'!$P$13</f>
        <v>0.55750481473464375</v>
      </c>
      <c r="F17" s="812">
        <f>'[1]WP II-I 2.5'!$P$15</f>
        <v>0.085952885111240593</v>
      </c>
      <c r="G17" s="812">
        <f>'[1]WP II-I 2.5'!$P$17</f>
        <v>0.26512464751523457</v>
      </c>
      <c r="H17" s="812">
        <f>'[1]WP II-I 2.5'!$P$19</f>
        <v>0.003722752602926988</v>
      </c>
      <c r="I17" s="812">
        <f>'[1]WP II-I 2.5'!$P$21</f>
        <v>0.077683818478312835</v>
      </c>
      <c r="J17" s="812">
        <f>'[1]WP II-I 2.5'!$P$23</f>
        <v>0.0026546895902129727</v>
      </c>
      <c r="K17" s="812">
        <f>'[1]WP II-I 2.5'!$P$25</f>
        <v>0.0057790550310020863</v>
      </c>
      <c r="L17" s="812">
        <f>'[1]WP II-I 2.5'!$P$27</f>
        <v>0.00055573311775356405</v>
      </c>
      <c r="M17" s="812">
        <f>'[1]WP II-I 2.5'!$P$29</f>
        <v>0.00030631033733226608</v>
      </c>
      <c r="N17" s="812">
        <f>'[1]WP II-I 2.5'!$P$31</f>
        <v>0.00071529348134022558</v>
      </c>
      <c r="O17" s="781"/>
      <c r="P17" s="782">
        <f>SUM(D17:O17)</f>
        <v>0.99999999999999989</v>
      </c>
      <c r="Q17" s="184"/>
      <c r="R17" s="172"/>
      <c r="S17" s="168"/>
    </row>
    <row r="18" spans="1:19" ht="15.75">
      <c r="A18" s="167"/>
      <c r="B18" s="11">
        <f t="shared" si="0"/>
        <v>5</v>
      </c>
      <c r="C18" s="185" t="s">
        <v>484</v>
      </c>
      <c r="D18" s="186"/>
      <c r="E18" s="142"/>
      <c r="F18" s="142"/>
      <c r="G18" s="187"/>
      <c r="H18" s="142"/>
      <c r="I18" s="142"/>
      <c r="J18" s="142"/>
      <c r="K18" s="142"/>
      <c r="L18" s="82"/>
      <c r="M18" s="82"/>
      <c r="N18" s="82"/>
      <c r="O18" s="82"/>
      <c r="P18" s="188"/>
      <c r="Q18" s="20"/>
      <c r="R18" s="172"/>
      <c r="S18" s="168"/>
    </row>
    <row r="19" spans="1:19" ht="15.75">
      <c r="A19" s="167"/>
      <c r="B19" s="11">
        <f t="shared" si="0"/>
        <v>6</v>
      </c>
      <c r="C19" s="189"/>
      <c r="D19" s="18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0"/>
      <c r="Q19" s="20"/>
      <c r="R19" s="172"/>
      <c r="S19" s="190"/>
    </row>
    <row r="20" spans="1:20" s="386" customFormat="1" ht="15.75">
      <c r="A20" s="684"/>
      <c r="B20" s="17">
        <f t="shared" si="0"/>
        <v>7</v>
      </c>
      <c r="C20" s="1343" t="s">
        <v>1034</v>
      </c>
      <c r="D20" s="596"/>
      <c r="E20" s="687">
        <f>[2]comparison!$G$12/1000</f>
        <v>39273336.848999999</v>
      </c>
      <c r="F20" s="687">
        <f>[2]comparison!$G$16/1000</f>
        <v>1402919.575</v>
      </c>
      <c r="G20" s="687">
        <f>[2]comparison!$G$28/1000</f>
        <v>41118783.953000002</v>
      </c>
      <c r="H20" s="687">
        <f>[2]comparison!$G$36/1000</f>
        <v>709.72199999999998</v>
      </c>
      <c r="I20" s="687">
        <f>([2]comparison!$G$40+[2]comparison!$G$44)/1000</f>
        <v>6611595.1490000002</v>
      </c>
      <c r="J20" s="689">
        <f>[2]comparison!$G$56/1000</f>
        <v>1040290.0600000001</v>
      </c>
      <c r="K20" s="687">
        <f>[2]comparison!$G$68/1000</f>
        <v>7792495.8710000003</v>
      </c>
      <c r="L20" s="687">
        <f>([2]comparison!$G$72+[2]comparison!$G$76)/1000</f>
        <v>357989.07199999999</v>
      </c>
      <c r="M20" s="688">
        <f>[2]comparison!$G$81/1000</f>
        <v>79376.522324525358</v>
      </c>
      <c r="N20" s="688">
        <f>[2]comparison!$G$85/1000</f>
        <v>118215.49419116367</v>
      </c>
      <c r="O20" s="191"/>
      <c r="P20" s="597">
        <f>SUM(D20:O20)</f>
        <v>97795712.267515719</v>
      </c>
      <c r="Q20" s="179"/>
      <c r="R20" s="172"/>
      <c r="S20" s="685" t="b">
        <v>1</v>
      </c>
      <c r="T20" s="686"/>
    </row>
    <row r="21" spans="1:19" ht="15.75">
      <c r="A21" s="167"/>
      <c r="B21" s="11">
        <f t="shared" si="0"/>
        <v>8</v>
      </c>
      <c r="C21" s="1344" t="s">
        <v>938</v>
      </c>
      <c r="D21" s="192"/>
      <c r="E21" s="193"/>
      <c r="F21" s="193"/>
      <c r="G21" s="193"/>
      <c r="H21" s="193"/>
      <c r="I21" s="193"/>
      <c r="J21" s="142"/>
      <c r="K21" s="193"/>
      <c r="L21" s="194"/>
      <c r="M21" s="142"/>
      <c r="N21" s="142"/>
      <c r="O21" s="142"/>
      <c r="P21" s="195"/>
      <c r="Q21" s="179"/>
      <c r="R21" s="172"/>
      <c r="S21" s="190"/>
    </row>
    <row r="22" spans="1:19" ht="15.75">
      <c r="A22" s="167"/>
      <c r="B22" s="11">
        <f t="shared" si="0"/>
        <v>9</v>
      </c>
      <c r="C22" s="189"/>
      <c r="D22" s="18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0"/>
      <c r="Q22" s="20"/>
      <c r="R22" s="172"/>
      <c r="S22" s="190"/>
    </row>
    <row r="23" spans="1:19" ht="15.75">
      <c r="A23" s="167"/>
      <c r="B23" s="11">
        <f t="shared" si="0"/>
        <v>10</v>
      </c>
      <c r="C23" s="176" t="s">
        <v>485</v>
      </c>
      <c r="D23" s="177"/>
      <c r="E23" s="1187" t="s">
        <v>474</v>
      </c>
      <c r="F23" s="1187" t="s">
        <v>475</v>
      </c>
      <c r="G23" s="1187" t="s">
        <v>476</v>
      </c>
      <c r="H23" s="1187" t="s">
        <v>477</v>
      </c>
      <c r="I23" s="1187" t="s">
        <v>479</v>
      </c>
      <c r="J23" s="1187" t="s">
        <v>478</v>
      </c>
      <c r="K23" s="1187" t="s">
        <v>6</v>
      </c>
      <c r="L23" s="1187" t="s">
        <v>480</v>
      </c>
      <c r="M23" s="1187" t="s">
        <v>472</v>
      </c>
      <c r="N23" s="1187" t="s">
        <v>473</v>
      </c>
      <c r="O23" s="88"/>
      <c r="P23" s="1188"/>
      <c r="Q23" s="197"/>
      <c r="R23" s="198"/>
      <c r="S23" s="168"/>
    </row>
    <row r="24" spans="1:19" ht="15.75">
      <c r="A24" s="167"/>
      <c r="B24" s="11">
        <f t="shared" si="0"/>
        <v>11</v>
      </c>
      <c r="C24" s="196" t="s">
        <v>1346</v>
      </c>
      <c r="D24" s="1189"/>
      <c r="E24" s="894">
        <f>[5]RESIDENTIAL!H22</f>
        <v>10304122.027091807</v>
      </c>
      <c r="F24" s="894">
        <f>'[5]SEC &lt; 10kW'!H22</f>
        <v>302376.57560986781</v>
      </c>
      <c r="G24" s="894">
        <f>'[5]SEC &gt; 10kW '!H22</f>
        <v>6701402.1423603753</v>
      </c>
      <c r="H24" s="894">
        <f>'[5]PRIMARY  &lt; 10kW'!H22</f>
        <v>3557.919472622897</v>
      </c>
      <c r="I24" s="894">
        <f>'[5]PRIMARY  &gt; 10kW DLS'!H22</f>
        <v>2042661.2987289294</v>
      </c>
      <c r="J24" s="894">
        <f>'[5]PRIMARY  SUBSTATIONS'!H22</f>
        <v>711074.35313579324</v>
      </c>
      <c r="K24" s="894">
        <f>[5]TRANSMISSION!H22</f>
        <v>2541926.9082089551</v>
      </c>
      <c r="L24" s="894">
        <f>'[5]STREET LIGHTING'!H22</f>
        <v>98783.961086827592</v>
      </c>
      <c r="M24" s="894">
        <f>'[5]WHOLESALE SUB'!H22</f>
        <v>69840.439238705527</v>
      </c>
      <c r="N24" s="894">
        <f>'[5]WHOLESALE DLS'!H22</f>
        <v>84908.046958819206</v>
      </c>
      <c r="O24" s="25"/>
      <c r="P24" s="1318">
        <f t="shared" si="1" ref="P24:P35">SUM(D24:O24)</f>
        <v>22860653.671892703</v>
      </c>
      <c r="Q24" s="179"/>
      <c r="R24" s="199"/>
      <c r="S24" s="168"/>
    </row>
    <row r="25" spans="1:19" ht="15.75">
      <c r="A25" s="167"/>
      <c r="B25" s="11">
        <f t="shared" si="0"/>
        <v>12</v>
      </c>
      <c r="C25" s="1190" t="s">
        <v>1347</v>
      </c>
      <c r="D25" s="1189"/>
      <c r="E25" s="894">
        <f>[5]RESIDENTIAL!H23</f>
        <v>15210692.881406292</v>
      </c>
      <c r="F25" s="894">
        <f>'[5]SEC &lt; 10kW'!H23</f>
        <v>371448.40089449205</v>
      </c>
      <c r="G25" s="894">
        <f>'[5]SEC &gt; 10kW '!H23</f>
        <v>7317948.5040126387</v>
      </c>
      <c r="H25" s="894">
        <f>'[5]PRIMARY  &lt; 10kW'!H23</f>
        <v>3747.7436887150084</v>
      </c>
      <c r="I25" s="894">
        <f>'[5]PRIMARY  &gt; 10kW DLS'!H23</f>
        <v>2067073.9680441772</v>
      </c>
      <c r="J25" s="894">
        <f>'[5]PRIMARY  SUBSTATIONS'!H23</f>
        <v>750572.30162007373</v>
      </c>
      <c r="K25" s="894">
        <f>[5]TRANSMISSION!H23</f>
        <v>2555962.9782156139</v>
      </c>
      <c r="L25" s="894">
        <f>'[5]STREET LIGHTING'!H23</f>
        <v>98783.961086827592</v>
      </c>
      <c r="M25" s="894">
        <f>'[5]WHOLESALE SUB'!H23</f>
        <v>101575.17606204849</v>
      </c>
      <c r="N25" s="894">
        <f>'[5]WHOLESALE DLS'!H23</f>
        <v>127209.27191001845</v>
      </c>
      <c r="O25" s="25"/>
      <c r="P25" s="1318">
        <f t="shared" si="1"/>
        <v>28605015.186940894</v>
      </c>
      <c r="Q25" s="179"/>
      <c r="R25" s="199"/>
      <c r="S25" s="168"/>
    </row>
    <row r="26" spans="1:19" ht="15.75">
      <c r="A26" s="167"/>
      <c r="B26" s="11">
        <f t="shared" si="0"/>
        <v>13</v>
      </c>
      <c r="C26" s="1190" t="s">
        <v>1348</v>
      </c>
      <c r="D26" s="1189"/>
      <c r="E26" s="894">
        <f>[5]RESIDENTIAL!H24</f>
        <v>4975046.4599600499</v>
      </c>
      <c r="F26" s="894">
        <f>'[5]SEC &lt; 10kW'!H24</f>
        <v>230458.38992711587</v>
      </c>
      <c r="G26" s="894">
        <f>'[5]SEC &gt; 10kW '!H24</f>
        <v>5868274.064170979</v>
      </c>
      <c r="H26" s="894">
        <f>'[5]PRIMARY  &lt; 10kW'!H24</f>
        <v>3561.4774714770519</v>
      </c>
      <c r="I26" s="894">
        <f>'[5]PRIMARY  &gt; 10kW DLS'!H24</f>
        <v>2076501.1666366591</v>
      </c>
      <c r="J26" s="894">
        <f>'[5]PRIMARY  SUBSTATIONS'!H24</f>
        <v>771721.44991340092</v>
      </c>
      <c r="K26" s="894">
        <f>[5]TRANSMISSION!H24</f>
        <v>2588208.3217777773</v>
      </c>
      <c r="L26" s="894">
        <f>'[5]STREET LIGHTING'!H24</f>
        <v>98783.961086827592</v>
      </c>
      <c r="M26" s="894">
        <f>'[5]WHOLESALE SUB'!H24</f>
        <v>49737.528431754356</v>
      </c>
      <c r="N26" s="894">
        <f>'[5]WHOLESALE DLS'!H24</f>
        <v>65877.270819818295</v>
      </c>
      <c r="O26" s="25"/>
      <c r="P26" s="1318">
        <f t="shared" si="1"/>
        <v>16728170.090195861</v>
      </c>
      <c r="Q26" s="179"/>
      <c r="R26" s="199"/>
      <c r="S26" s="168"/>
    </row>
    <row r="27" spans="1:19" ht="15.75">
      <c r="A27" s="167"/>
      <c r="B27" s="11">
        <f t="shared" si="0"/>
        <v>14</v>
      </c>
      <c r="C27" s="1190" t="s">
        <v>1349</v>
      </c>
      <c r="D27" s="1189"/>
      <c r="E27" s="894">
        <f>[5]RESIDENTIAL!H25</f>
        <v>7161654.2581806965</v>
      </c>
      <c r="F27" s="894">
        <f>'[5]SEC &lt; 10kW'!H25</f>
        <v>238419.30190391102</v>
      </c>
      <c r="G27" s="894">
        <f>'[5]SEC &gt; 10kW '!H25</f>
        <v>7041668.669356361</v>
      </c>
      <c r="H27" s="894">
        <f>'[5]PRIMARY  &lt; 10kW'!H25</f>
        <v>5536.8073701752573</v>
      </c>
      <c r="I27" s="894">
        <f>'[5]PRIMARY  &gt; 10kW DLS'!H25</f>
        <v>2176403.1475894363</v>
      </c>
      <c r="J27" s="894">
        <f>'[5]PRIMARY  SUBSTATIONS'!H25</f>
        <v>763613.52969312517</v>
      </c>
      <c r="K27" s="894">
        <f>[5]TRANSMISSION!H25</f>
        <v>2652306.203818182</v>
      </c>
      <c r="L27" s="894">
        <f>'[5]STREET LIGHTING'!H25</f>
        <v>98783.961086827592</v>
      </c>
      <c r="M27" s="894">
        <f>'[5]WHOLESALE SUB'!H25</f>
        <v>44554.585987244289</v>
      </c>
      <c r="N27" s="894">
        <f>'[5]WHOLESALE DLS'!H25</f>
        <v>55369.759670766143</v>
      </c>
      <c r="O27" s="25"/>
      <c r="P27" s="1318">
        <f t="shared" si="1"/>
        <v>20238310.224656727</v>
      </c>
      <c r="Q27" s="179"/>
      <c r="R27" s="199"/>
      <c r="S27" s="168"/>
    </row>
    <row r="28" spans="1:19" ht="15.75">
      <c r="A28" s="167"/>
      <c r="B28" s="11">
        <f t="shared" si="0"/>
        <v>15</v>
      </c>
      <c r="C28" s="1190" t="s">
        <v>1350</v>
      </c>
      <c r="D28" s="1189"/>
      <c r="E28" s="894">
        <f>[5]RESIDENTIAL!H26</f>
        <v>9893940.8634577319</v>
      </c>
      <c r="F28" s="894">
        <f>'[5]SEC &lt; 10kW'!H26</f>
        <v>289000.92516737495</v>
      </c>
      <c r="G28" s="894">
        <f>'[5]SEC &gt; 10kW '!H26</f>
        <v>8185384.253489485</v>
      </c>
      <c r="H28" s="894">
        <f>'[5]PRIMARY  &lt; 10kW'!H26</f>
        <v>3423.6924041773846</v>
      </c>
      <c r="I28" s="894">
        <f>'[5]PRIMARY  &gt; 10kW DLS'!H26</f>
        <v>2246691.1081168363</v>
      </c>
      <c r="J28" s="894">
        <f>'[5]PRIMARY  SUBSTATIONS'!H26</f>
        <v>802187.57448268309</v>
      </c>
      <c r="K28" s="894">
        <f>[5]TRANSMISSION!H26</f>
        <v>2651789.3728158842</v>
      </c>
      <c r="L28" s="894">
        <f>'[5]STREET LIGHTING'!H26</f>
        <v>98783.961086827592</v>
      </c>
      <c r="M28" s="894">
        <f>'[5]WHOLESALE SUB'!H26</f>
        <v>54740.385317596607</v>
      </c>
      <c r="N28" s="894">
        <f>'[5]WHOLESALE DLS'!H26</f>
        <v>68309.095939559236</v>
      </c>
      <c r="O28" s="25"/>
      <c r="P28" s="1318">
        <f t="shared" si="1"/>
        <v>24294251.232278157</v>
      </c>
      <c r="Q28" s="179"/>
      <c r="R28" s="199"/>
      <c r="S28" s="168"/>
    </row>
    <row r="29" spans="1:19" ht="15.75">
      <c r="A29" s="167"/>
      <c r="B29" s="11">
        <f t="shared" si="0"/>
        <v>16</v>
      </c>
      <c r="C29" s="1190" t="s">
        <v>1351</v>
      </c>
      <c r="D29" s="1189"/>
      <c r="E29" s="894">
        <f>[5]RESIDENTIAL!H27</f>
        <v>13703432.719567152</v>
      </c>
      <c r="F29" s="894">
        <f>'[5]SEC &lt; 10kW'!H27</f>
        <v>355367.5418696549</v>
      </c>
      <c r="G29" s="894">
        <f>'[5]SEC &gt; 10kW '!H27</f>
        <v>9206163.5732132662</v>
      </c>
      <c r="H29" s="894">
        <f>'[5]PRIMARY  &lt; 10kW'!H27</f>
        <v>3571.212298212653</v>
      </c>
      <c r="I29" s="894">
        <f>'[5]PRIMARY  &gt; 10kW DLS'!H27</f>
        <v>2282776.87514348</v>
      </c>
      <c r="J29" s="894">
        <f>'[5]PRIMARY  SUBSTATIONS'!H27</f>
        <v>830093.38576862274</v>
      </c>
      <c r="K29" s="894">
        <f>[5]TRANSMISSION!H27</f>
        <v>2700196.0235251794</v>
      </c>
      <c r="L29" s="894">
        <f>'[5]STREET LIGHTING'!H27</f>
        <v>98783.961086827592</v>
      </c>
      <c r="M29" s="894">
        <f>'[5]WHOLESALE SUB'!H27</f>
        <v>71375.881585376483</v>
      </c>
      <c r="N29" s="894">
        <f>'[5]WHOLESALE DLS'!H27</f>
        <v>84144.71934260444</v>
      </c>
      <c r="O29" s="25"/>
      <c r="P29" s="1318">
        <f t="shared" si="1"/>
        <v>29335905.893400379</v>
      </c>
      <c r="Q29" s="179"/>
      <c r="R29" s="199"/>
      <c r="S29" s="168"/>
    </row>
    <row r="30" spans="1:19" ht="15.75">
      <c r="A30" s="167"/>
      <c r="B30" s="11">
        <f t="shared" si="0"/>
        <v>17</v>
      </c>
      <c r="C30" s="1190" t="s">
        <v>1352</v>
      </c>
      <c r="D30" s="1189"/>
      <c r="E30" s="894">
        <f>[5]RESIDENTIAL!H28</f>
        <v>13094260.923743039</v>
      </c>
      <c r="F30" s="894">
        <f>'[5]SEC &lt; 10kW'!H28</f>
        <v>360484.34264001396</v>
      </c>
      <c r="G30" s="894">
        <f>'[5]SEC &gt; 10kW '!H28</f>
        <v>9293781.1036242526</v>
      </c>
      <c r="H30" s="894">
        <f>'[5]PRIMARY  &lt; 10kW'!H28</f>
        <v>3447.2032488641194</v>
      </c>
      <c r="I30" s="894">
        <f>'[5]PRIMARY  &gt; 10kW DLS'!H28</f>
        <v>2290333.593612276</v>
      </c>
      <c r="J30" s="894">
        <f>'[5]PRIMARY  SUBSTATIONS'!H28</f>
        <v>823224.67561269272</v>
      </c>
      <c r="K30" s="894">
        <f>[5]TRANSMISSION!H28</f>
        <v>2650262.6256028372</v>
      </c>
      <c r="L30" s="894">
        <f>'[5]STREET LIGHTING'!H28</f>
        <v>98783.961086827592</v>
      </c>
      <c r="M30" s="894">
        <f>'[5]WHOLESALE SUB'!H28</f>
        <v>76121.73823943999</v>
      </c>
      <c r="N30" s="894">
        <f>'[5]WHOLESALE DLS'!H28</f>
        <v>92044.760889070269</v>
      </c>
      <c r="O30" s="25"/>
      <c r="P30" s="1318">
        <f t="shared" si="1"/>
        <v>28782744.928299319</v>
      </c>
      <c r="Q30" s="179"/>
      <c r="R30" s="199"/>
      <c r="S30" s="168"/>
    </row>
    <row r="31" spans="1:19" ht="15.75">
      <c r="A31" s="167"/>
      <c r="B31" s="11">
        <f t="shared" si="0"/>
        <v>18</v>
      </c>
      <c r="C31" s="1190" t="s">
        <v>1353</v>
      </c>
      <c r="D31" s="1189"/>
      <c r="E31" s="894">
        <f>[5]RESIDENTIAL!H29</f>
        <v>13262385.917004334</v>
      </c>
      <c r="F31" s="894">
        <f>'[5]SEC &lt; 10kW'!H29</f>
        <v>359856.65785694227</v>
      </c>
      <c r="G31" s="894">
        <f>'[5]SEC &gt; 10kW '!H29</f>
        <v>9793744.3547214009</v>
      </c>
      <c r="H31" s="894">
        <f>'[5]PRIMARY  &lt; 10kW'!H29</f>
        <v>4044.9205083537877</v>
      </c>
      <c r="I31" s="894">
        <f>'[5]PRIMARY  &gt; 10kW DLS'!H29</f>
        <v>2343455.6321282429</v>
      </c>
      <c r="J31" s="894">
        <f>'[5]PRIMARY  SUBSTATIONS'!H29</f>
        <v>847474.94215962989</v>
      </c>
      <c r="K31" s="894">
        <f>[5]TRANSMISSION!H29</f>
        <v>2727072.0770921982</v>
      </c>
      <c r="L31" s="894">
        <f>'[5]STREET LIGHTING'!H29</f>
        <v>98783.961086827592</v>
      </c>
      <c r="M31" s="894">
        <f>'[5]WHOLESALE SUB'!H29</f>
        <v>82588.569209699999</v>
      </c>
      <c r="N31" s="894">
        <f>'[5]WHOLESALE DLS'!H29</f>
        <v>93752.092051075291</v>
      </c>
      <c r="O31" s="25"/>
      <c r="P31" s="1318">
        <f t="shared" si="1"/>
        <v>29613159.123818703</v>
      </c>
      <c r="Q31" s="179"/>
      <c r="R31" s="199"/>
      <c r="S31" s="168"/>
    </row>
    <row r="32" spans="1:19" ht="15.75">
      <c r="A32" s="167"/>
      <c r="B32" s="11">
        <f t="shared" si="0"/>
        <v>19</v>
      </c>
      <c r="C32" s="1190" t="s">
        <v>1354</v>
      </c>
      <c r="D32" s="1189"/>
      <c r="E32" s="894">
        <f>[5]RESIDENTIAL!H30</f>
        <v>12256549.369991763</v>
      </c>
      <c r="F32" s="894">
        <f>'[5]SEC &lt; 10kW'!H30</f>
        <v>352972.73796701507</v>
      </c>
      <c r="G32" s="894">
        <f>'[5]SEC &gt; 10kW '!H30</f>
        <v>9444954.3035468422</v>
      </c>
      <c r="H32" s="894">
        <f>'[5]PRIMARY  &lt; 10kW'!H30</f>
        <v>4336.8415262842555</v>
      </c>
      <c r="I32" s="894">
        <f>'[5]PRIMARY  &gt; 10kW DLS'!H30</f>
        <v>2335945.1218516678</v>
      </c>
      <c r="J32" s="894">
        <f>'[5]PRIMARY  SUBSTATIONS'!H30</f>
        <v>828808.8337753457</v>
      </c>
      <c r="K32" s="894">
        <f>[5]TRANSMISSION!H30</f>
        <v>2754518.9300000002</v>
      </c>
      <c r="L32" s="894">
        <f>'[5]STREET LIGHTING'!H30</f>
        <v>98783.961086827592</v>
      </c>
      <c r="M32" s="894">
        <f>'[5]WHOLESALE SUB'!H30</f>
        <v>79395.316944899998</v>
      </c>
      <c r="N32" s="894">
        <f>'[5]WHOLESALE DLS'!H30</f>
        <v>96152.525006799537</v>
      </c>
      <c r="O32" s="25"/>
      <c r="P32" s="1318">
        <f t="shared" si="1"/>
        <v>28252417.941697445</v>
      </c>
      <c r="Q32" s="179"/>
      <c r="R32" s="199"/>
      <c r="S32" s="168"/>
    </row>
    <row r="33" spans="1:19" ht="15.75">
      <c r="A33" s="167"/>
      <c r="B33" s="11">
        <f t="shared" si="0"/>
        <v>20</v>
      </c>
      <c r="C33" s="1190" t="s">
        <v>1355</v>
      </c>
      <c r="D33" s="1189"/>
      <c r="E33" s="894">
        <f>[5]RESIDENTIAL!H31</f>
        <v>9028955.6641816683</v>
      </c>
      <c r="F33" s="894">
        <f>'[5]SEC &lt; 10kW'!H31</f>
        <v>282551.73461285833</v>
      </c>
      <c r="G33" s="894">
        <f>'[5]SEC &gt; 10kW '!H31</f>
        <v>7748899.1905793212</v>
      </c>
      <c r="H33" s="894">
        <f>'[5]PRIMARY  &lt; 10kW'!H31</f>
        <v>3594.8709210190609</v>
      </c>
      <c r="I33" s="894">
        <f>'[5]PRIMARY  &gt; 10kW DLS'!H31</f>
        <v>2229063.3343026801</v>
      </c>
      <c r="J33" s="894">
        <f>'[5]PRIMARY  SUBSTATIONS'!H31</f>
        <v>813329.35897258739</v>
      </c>
      <c r="K33" s="894">
        <f>[5]TRANSMISSION!H31</f>
        <v>2790485.8700000001</v>
      </c>
      <c r="L33" s="894">
        <f>'[5]STREET LIGHTING'!H31</f>
        <v>98783.961086827592</v>
      </c>
      <c r="M33" s="894">
        <f>'[5]WHOLESALE SUB'!H31</f>
        <v>56011.867192099999</v>
      </c>
      <c r="N33" s="894">
        <f>'[5]WHOLESALE DLS'!H31</f>
        <v>79809.174917003533</v>
      </c>
      <c r="O33" s="25"/>
      <c r="P33" s="1318">
        <f t="shared" si="1"/>
        <v>23131485.026766069</v>
      </c>
      <c r="Q33" s="179"/>
      <c r="R33" s="199"/>
      <c r="S33" s="168"/>
    </row>
    <row r="34" spans="1:19" ht="15.75">
      <c r="A34" s="167"/>
      <c r="B34" s="11">
        <f t="shared" si="0"/>
        <v>21</v>
      </c>
      <c r="C34" s="1190" t="s">
        <v>1356</v>
      </c>
      <c r="D34" s="1189"/>
      <c r="E34" s="894">
        <f>[5]RESIDENTIAL!H32</f>
        <v>5987311.1166454693</v>
      </c>
      <c r="F34" s="894">
        <f>'[5]SEC &lt; 10kW'!H32</f>
        <v>231923.15825035083</v>
      </c>
      <c r="G34" s="894">
        <f>'[5]SEC &gt; 10kW '!H32</f>
        <v>6759945.9001315637</v>
      </c>
      <c r="H34" s="894">
        <f>'[5]PRIMARY  &lt; 10kW'!H32</f>
        <v>3614.9380054643725</v>
      </c>
      <c r="I34" s="894">
        <f>'[5]PRIMARY  &gt; 10kW DLS'!H32</f>
        <v>2170687.8061701856</v>
      </c>
      <c r="J34" s="894">
        <f>'[5]PRIMARY  SUBSTATIONS'!H32</f>
        <v>787656.79002182721</v>
      </c>
      <c r="K34" s="894">
        <f>[5]TRANSMISSION!H32</f>
        <v>2757659.2599999998</v>
      </c>
      <c r="L34" s="894">
        <f>'[5]STREET LIGHTING'!H32</f>
        <v>98783.961086827592</v>
      </c>
      <c r="M34" s="894">
        <f>'[5]WHOLESALE SUB'!H32</f>
        <v>46784.7726368</v>
      </c>
      <c r="N34" s="894">
        <f>'[5]WHOLESALE DLS'!H32</f>
        <v>67759.050652788414</v>
      </c>
      <c r="O34" s="25"/>
      <c r="P34" s="1318">
        <f t="shared" si="1"/>
        <v>18912126.753601279</v>
      </c>
      <c r="Q34" s="179"/>
      <c r="R34" s="199"/>
      <c r="S34" s="168"/>
    </row>
    <row r="35" spans="1:19" ht="15.75">
      <c r="A35" s="167"/>
      <c r="B35" s="11">
        <f t="shared" si="0"/>
        <v>22</v>
      </c>
      <c r="C35" s="1190" t="s">
        <v>1357</v>
      </c>
      <c r="D35" s="1189"/>
      <c r="E35" s="894">
        <f>[5]RESIDENTIAL!H33</f>
        <v>8553740.4032488279</v>
      </c>
      <c r="F35" s="894">
        <f>'[5]SEC &lt; 10kW'!H33</f>
        <v>257011.0599051035</v>
      </c>
      <c r="G35" s="894">
        <f>'[5]SEC &gt; 10kW '!H33</f>
        <v>6706951.2792400634</v>
      </c>
      <c r="H35" s="894">
        <f>'[5]PRIMARY  &lt; 10kW'!H33</f>
        <v>4234.4808117654229</v>
      </c>
      <c r="I35" s="894">
        <f>'[5]PRIMARY  &gt; 10kW DLS'!H33</f>
        <v>2167904.0127075212</v>
      </c>
      <c r="J35" s="894">
        <f>'[5]PRIMARY  SUBSTATIONS'!H33</f>
        <v>804600.20092020463</v>
      </c>
      <c r="K35" s="894">
        <f>[5]TRANSMISSION!H33</f>
        <v>2789934.5499999998</v>
      </c>
      <c r="L35" s="894">
        <f>'[5]STREET LIGHTING'!H33</f>
        <v>98783.961086827592</v>
      </c>
      <c r="M35" s="894">
        <f>'[5]WHOLESALE SUB'!H33</f>
        <v>57640.1939795</v>
      </c>
      <c r="N35" s="894">
        <f>'[5]WHOLESALE DLS'!H33</f>
        <v>76314.569915028536</v>
      </c>
      <c r="O35" s="25"/>
      <c r="P35" s="1318">
        <f t="shared" si="1"/>
        <v>21517114.711814851</v>
      </c>
      <c r="Q35" s="179"/>
      <c r="R35" s="199"/>
      <c r="S35" s="168"/>
    </row>
    <row r="36" spans="1:19" ht="15">
      <c r="A36" s="167"/>
      <c r="B36" s="11">
        <f t="shared" si="0"/>
        <v>23</v>
      </c>
      <c r="C36" s="1191"/>
      <c r="D36" s="1192"/>
      <c r="E36" s="25"/>
      <c r="F36" s="25" t="s">
        <v>0</v>
      </c>
      <c r="G36" s="25"/>
      <c r="H36" s="25"/>
      <c r="I36" s="25"/>
      <c r="J36" s="25"/>
      <c r="K36" s="25"/>
      <c r="L36" s="25"/>
      <c r="M36" s="25"/>
      <c r="N36" s="25"/>
      <c r="O36" s="25"/>
      <c r="P36" s="1319"/>
      <c r="Q36" s="200"/>
      <c r="R36" s="199"/>
      <c r="S36" s="168"/>
    </row>
    <row r="37" spans="1:19" ht="15.75">
      <c r="A37" s="167"/>
      <c r="B37" s="11">
        <f t="shared" si="0"/>
        <v>24</v>
      </c>
      <c r="C37" s="207" t="s">
        <v>486</v>
      </c>
      <c r="D37" s="208"/>
      <c r="E37" s="1320">
        <f t="shared" si="2" ref="E37:L37">MAX(E24:E35)</f>
        <v>15210692.881406292</v>
      </c>
      <c r="F37" s="1320">
        <f t="shared" si="2"/>
        <v>371448.40089449205</v>
      </c>
      <c r="G37" s="1320">
        <f t="shared" si="2"/>
        <v>9793744.3547214009</v>
      </c>
      <c r="H37" s="1320">
        <f t="shared" si="2"/>
        <v>5536.8073701752573</v>
      </c>
      <c r="I37" s="1320">
        <f t="shared" si="2"/>
        <v>2343455.6321282429</v>
      </c>
      <c r="J37" s="1320">
        <f>MAX(J24:J35)</f>
        <v>847474.94215962989</v>
      </c>
      <c r="K37" s="1320">
        <f t="shared" si="2"/>
        <v>2790485.8700000001</v>
      </c>
      <c r="L37" s="1320">
        <f t="shared" si="2"/>
        <v>98783.961086827592</v>
      </c>
      <c r="M37" s="1320">
        <f>MAX(M24:M35)</f>
        <v>101575.17606204849</v>
      </c>
      <c r="N37" s="1320">
        <f>MAX(N24:N35)</f>
        <v>127209.27191001845</v>
      </c>
      <c r="O37" s="1320"/>
      <c r="P37" s="195">
        <f>SUM(D37:O37)</f>
        <v>31690407.29773913</v>
      </c>
      <c r="Q37" s="179"/>
      <c r="R37" s="199"/>
      <c r="S37" s="168"/>
    </row>
    <row r="38" spans="1:19" ht="15.75">
      <c r="A38" s="167"/>
      <c r="B38" s="11">
        <f t="shared" si="0"/>
        <v>25</v>
      </c>
      <c r="C38" s="1193"/>
      <c r="D38" s="1193"/>
      <c r="E38" s="1194"/>
      <c r="F38" s="1194"/>
      <c r="G38" s="1194"/>
      <c r="H38" s="1194"/>
      <c r="I38" s="1194"/>
      <c r="J38" s="1194"/>
      <c r="K38" s="1194"/>
      <c r="L38" s="1194"/>
      <c r="M38" s="1194"/>
      <c r="N38" s="1194"/>
      <c r="O38" s="1194"/>
      <c r="P38" s="203"/>
      <c r="Q38" s="203"/>
      <c r="R38" s="204"/>
      <c r="S38" s="168"/>
    </row>
    <row r="39" spans="1:19" ht="15.75">
      <c r="A39" s="167"/>
      <c r="B39" s="11">
        <f t="shared" si="0"/>
        <v>26</v>
      </c>
      <c r="C39" s="176" t="s">
        <v>939</v>
      </c>
      <c r="D39" s="177"/>
      <c r="E39" s="1187" t="s">
        <v>474</v>
      </c>
      <c r="F39" s="1187" t="s">
        <v>475</v>
      </c>
      <c r="G39" s="1187" t="s">
        <v>476</v>
      </c>
      <c r="H39" s="1187" t="s">
        <v>477</v>
      </c>
      <c r="I39" s="1187" t="s">
        <v>479</v>
      </c>
      <c r="J39" s="1187" t="s">
        <v>478</v>
      </c>
      <c r="K39" s="1187" t="s">
        <v>6</v>
      </c>
      <c r="L39" s="1187" t="s">
        <v>480</v>
      </c>
      <c r="M39" s="1187" t="s">
        <v>472</v>
      </c>
      <c r="N39" s="1187" t="s">
        <v>473</v>
      </c>
      <c r="O39" s="191"/>
      <c r="P39" s="433"/>
      <c r="Q39" s="17"/>
      <c r="R39" s="206"/>
      <c r="S39" s="168"/>
    </row>
    <row r="40" spans="1:19" ht="15.75">
      <c r="A40" s="167"/>
      <c r="B40" s="11">
        <f t="shared" si="0"/>
        <v>27</v>
      </c>
      <c r="C40" s="207" t="s">
        <v>726</v>
      </c>
      <c r="D40" s="208"/>
      <c r="E40" s="1317">
        <f>[3]Sheet1!$E$22</f>
        <v>11677303.199334735</v>
      </c>
      <c r="F40" s="1317">
        <f>[3]Sheet1!$F$22</f>
        <v>326399.97894299857</v>
      </c>
      <c r="G40" s="1317">
        <f>[3]Sheet1!$G$22</f>
        <v>8488977.9318657275</v>
      </c>
      <c r="H40" s="1317">
        <f>[3]Sheet1!$H$22</f>
        <v>3375.967252129818</v>
      </c>
      <c r="I40" s="1317">
        <f>[3]Sheet1!$I$22</f>
        <v>2134206.4937228127</v>
      </c>
      <c r="J40" s="1317">
        <f>[3]Sheet1!$J$22</f>
        <v>698990.473477375</v>
      </c>
      <c r="K40" s="1317">
        <f>[3]Sheet1!$K$22</f>
        <v>2122210.8674999997</v>
      </c>
      <c r="L40" s="1317">
        <f>[3]Sheet1!$L$22</f>
        <v>0</v>
      </c>
      <c r="M40" s="142" t="s">
        <v>452</v>
      </c>
      <c r="N40" s="142" t="s">
        <v>452</v>
      </c>
      <c r="O40" s="142"/>
      <c r="P40" s="195">
        <f>SUM(D40:O40)</f>
        <v>25451464.912095778</v>
      </c>
      <c r="Q40" s="179"/>
      <c r="R40" s="206"/>
      <c r="S40" s="168"/>
    </row>
    <row r="41" spans="1:19" ht="15.75">
      <c r="A41" s="167"/>
      <c r="B41" s="11">
        <f t="shared" si="0"/>
        <v>28</v>
      </c>
      <c r="C41" s="599"/>
      <c r="D41" s="599"/>
      <c r="E41" s="1195"/>
      <c r="F41" s="1195"/>
      <c r="G41" s="1195"/>
      <c r="H41" s="634"/>
      <c r="I41" s="1195"/>
      <c r="J41" s="1195"/>
      <c r="K41" s="1195"/>
      <c r="L41" s="1195"/>
      <c r="M41" s="17"/>
      <c r="N41" s="17"/>
      <c r="O41" s="17"/>
      <c r="P41" s="179"/>
      <c r="Q41" s="179"/>
      <c r="R41" s="206"/>
      <c r="S41" s="168"/>
    </row>
    <row r="42" spans="1:19" ht="15.75">
      <c r="A42" s="167"/>
      <c r="B42" s="11">
        <f t="shared" si="0"/>
        <v>29</v>
      </c>
      <c r="C42" s="1196" t="s">
        <v>948</v>
      </c>
      <c r="D42" s="599"/>
      <c r="E42" s="386"/>
      <c r="F42" s="386"/>
      <c r="G42" s="1197">
        <v>0</v>
      </c>
      <c r="H42" s="1195"/>
      <c r="I42" s="404"/>
      <c r="J42" s="1195"/>
      <c r="K42" s="1197">
        <v>0</v>
      </c>
      <c r="L42" s="1195"/>
      <c r="M42" s="133" t="s">
        <v>1405</v>
      </c>
      <c r="O42" s="17"/>
      <c r="P42" t="s">
        <v>1415</v>
      </c>
      <c r="Q42" s="179"/>
      <c r="R42" s="206"/>
      <c r="S42" s="168"/>
    </row>
    <row r="43" spans="1:19" ht="15.75">
      <c r="A43" s="167"/>
      <c r="B43" s="11"/>
      <c r="C43" s="599"/>
      <c r="D43" s="599"/>
      <c r="E43" s="1370"/>
      <c r="F43" s="820"/>
      <c r="G43" s="1195"/>
      <c r="H43" s="1195"/>
      <c r="I43" s="1195"/>
      <c r="J43" s="1195"/>
      <c r="K43" s="1195"/>
      <c r="L43" s="1195"/>
      <c r="M43" s="1486" t="s">
        <v>1398</v>
      </c>
      <c r="N43" s="1487"/>
      <c r="O43" s="191"/>
      <c r="P43" s="1488">
        <v>2262088</v>
      </c>
      <c r="R43" s="206"/>
      <c r="S43" s="168"/>
    </row>
    <row r="44" spans="1:19" ht="15.75">
      <c r="A44" s="167"/>
      <c r="B44" s="17"/>
      <c r="C44" s="1371"/>
      <c r="D44" s="1334"/>
      <c r="E44" s="133"/>
      <c r="F44" s="1372"/>
      <c r="G44" s="1195"/>
      <c r="H44" s="1195"/>
      <c r="I44" s="1195"/>
      <c r="J44" s="1195"/>
      <c r="K44" s="1195"/>
      <c r="L44" s="1195"/>
      <c r="M44" s="1489" t="s">
        <v>1399</v>
      </c>
      <c r="N44" s="54"/>
      <c r="O44" s="1"/>
      <c r="P44" s="1490">
        <f>8233127.93/5</f>
        <v>1646625.5859999999</v>
      </c>
      <c r="Q44" s="179"/>
      <c r="R44" s="206"/>
      <c r="S44" s="168"/>
    </row>
    <row r="45" spans="1:19" ht="15.75">
      <c r="A45" s="167"/>
      <c r="B45" s="585" t="s">
        <v>933</v>
      </c>
      <c r="C45" s="5"/>
      <c r="D45" s="5"/>
      <c r="E45" s="5"/>
      <c r="F45" s="5"/>
      <c r="G45" s="1198"/>
      <c r="H45" s="5"/>
      <c r="I45" s="5"/>
      <c r="J45" s="5"/>
      <c r="K45" s="5"/>
      <c r="L45" s="5"/>
      <c r="M45" s="1491" t="s">
        <v>1400</v>
      </c>
      <c r="N45" s="1492">
        <v>0.7279229571742023</v>
      </c>
      <c r="O45" s="1493"/>
      <c r="P45" s="1494">
        <f>P44/P43</f>
        <v>0.72792286860634947</v>
      </c>
      <c r="Q45" s="17"/>
      <c r="R45" s="206"/>
      <c r="S45" s="168"/>
    </row>
    <row r="46" spans="1:19" ht="16.5" customHeight="1">
      <c r="A46" s="16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135"/>
      <c r="Q46" s="20"/>
      <c r="R46" s="172"/>
      <c r="S46" s="168"/>
    </row>
    <row r="47" spans="1:19" s="386" customFormat="1" ht="15.75">
      <c r="A47" s="684"/>
      <c r="B47" s="1334" t="s">
        <v>406</v>
      </c>
      <c r="C47" s="1334"/>
      <c r="D47" s="1334"/>
      <c r="E47" s="1334" t="s">
        <v>474</v>
      </c>
      <c r="F47" s="1334" t="s">
        <v>487</v>
      </c>
      <c r="G47" s="1334" t="s">
        <v>476</v>
      </c>
      <c r="H47" s="1334" t="s">
        <v>488</v>
      </c>
      <c r="I47" s="1334" t="s">
        <v>479</v>
      </c>
      <c r="J47" s="1334" t="s">
        <v>478</v>
      </c>
      <c r="K47" s="1334" t="s">
        <v>6</v>
      </c>
      <c r="L47" s="1334" t="s">
        <v>480</v>
      </c>
      <c r="M47" s="1334" t="s">
        <v>472</v>
      </c>
      <c r="N47" s="1334" t="s">
        <v>473</v>
      </c>
      <c r="O47" s="1334"/>
      <c r="P47" s="1334" t="s">
        <v>481</v>
      </c>
      <c r="Q47" s="1334"/>
      <c r="R47" s="172"/>
      <c r="S47" s="1348"/>
    </row>
    <row r="48" spans="1:19" s="386" customFormat="1" ht="15">
      <c r="A48" s="684"/>
      <c r="B48" s="840"/>
      <c r="C48" s="840"/>
      <c r="D48" s="1199"/>
      <c r="E48" s="1200" t="s">
        <v>13</v>
      </c>
      <c r="F48" s="1200" t="s">
        <v>14</v>
      </c>
      <c r="G48" s="1200" t="s">
        <v>15</v>
      </c>
      <c r="H48" s="1200" t="s">
        <v>16</v>
      </c>
      <c r="I48" s="1200" t="s">
        <v>17</v>
      </c>
      <c r="J48" s="1200" t="s">
        <v>18</v>
      </c>
      <c r="K48" s="1200" t="s">
        <v>19</v>
      </c>
      <c r="L48" s="1200" t="s">
        <v>20</v>
      </c>
      <c r="M48" s="1200" t="s">
        <v>21</v>
      </c>
      <c r="N48" s="1200" t="s">
        <v>22</v>
      </c>
      <c r="O48" s="1200"/>
      <c r="P48" s="1200" t="s">
        <v>418</v>
      </c>
      <c r="Q48" s="1199"/>
      <c r="R48" s="172"/>
      <c r="S48" s="1348"/>
    </row>
    <row r="49" spans="1:19" s="386" customFormat="1" ht="15">
      <c r="A49" s="684"/>
      <c r="B49" s="17"/>
      <c r="C49" s="466"/>
      <c r="D49" s="466"/>
      <c r="E49" s="466"/>
      <c r="F49" s="466"/>
      <c r="G49" s="466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1353"/>
      <c r="S49" s="1348"/>
    </row>
    <row r="50" spans="1:19" s="386" customFormat="1" ht="15.75">
      <c r="A50" s="684"/>
      <c r="B50" s="17"/>
      <c r="C50" s="1354" t="s">
        <v>951</v>
      </c>
      <c r="D50" s="88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433"/>
      <c r="Q50" s="466"/>
      <c r="R50" s="206"/>
      <c r="S50" s="1348"/>
    </row>
    <row r="51" spans="1:20" s="386" customFormat="1" ht="15.75">
      <c r="A51" s="684"/>
      <c r="B51" s="17">
        <v>1</v>
      </c>
      <c r="C51" s="1347" t="s">
        <v>1259</v>
      </c>
      <c r="D51" s="1"/>
      <c r="E51" s="695">
        <f>'[6]Page 9'!$M$17</f>
        <v>101924886</v>
      </c>
      <c r="F51" s="695">
        <f>'[6]Page 9'!$M$19</f>
        <v>4663022</v>
      </c>
      <c r="G51" s="695">
        <f>'[6]Page 9'!$M$21</f>
        <v>53196813</v>
      </c>
      <c r="H51" s="695">
        <f>'[6]Page 9'!$M$24</f>
        <v>34364</v>
      </c>
      <c r="I51" s="695">
        <f>'[6]Page 9'!$M$26</f>
        <v>1245618</v>
      </c>
      <c r="J51" s="600">
        <v>0</v>
      </c>
      <c r="K51" s="600">
        <v>0</v>
      </c>
      <c r="L51" s="695">
        <f>'[6]Page 9'!$N$35</f>
        <v>0</v>
      </c>
      <c r="M51" s="695">
        <f>'[6]Page 9'!$N$37</f>
        <v>0</v>
      </c>
      <c r="N51" s="695">
        <f>'[6]Page 9'!$N$38</f>
        <v>0</v>
      </c>
      <c r="O51" s="59"/>
      <c r="P51" s="1201">
        <f t="shared" si="3" ref="P51:P61">SUM(D51:O51)</f>
        <v>161064703</v>
      </c>
      <c r="Q51" s="534"/>
      <c r="R51" s="813"/>
      <c r="S51" s="1348"/>
      <c r="T51" s="1349"/>
    </row>
    <row r="52" spans="1:20" s="386" customFormat="1" ht="15.75">
      <c r="A52" s="684"/>
      <c r="B52" s="17">
        <f t="shared" si="4" ref="B52:B87">B51+1</f>
        <v>2</v>
      </c>
      <c r="C52" s="1347" t="s">
        <v>1260</v>
      </c>
      <c r="D52" s="1"/>
      <c r="E52" s="695">
        <v>0</v>
      </c>
      <c r="F52" s="695">
        <v>0</v>
      </c>
      <c r="G52" s="695">
        <f>'[6]Page 9'!$M$22</f>
        <v>22754248</v>
      </c>
      <c r="H52" s="695">
        <v>0</v>
      </c>
      <c r="I52" s="695">
        <f>'[6]Page 9'!$M$27</f>
        <v>6649933</v>
      </c>
      <c r="J52" s="695">
        <f>'[6]Page 9'!$M$28</f>
        <v>550250</v>
      </c>
      <c r="K52" s="695">
        <f>'[6]Page 9'!$M$29</f>
        <v>195271</v>
      </c>
      <c r="L52" s="695">
        <f>'[6]Page 9'!$M$35</f>
        <v>3242373</v>
      </c>
      <c r="M52" s="695">
        <f>'[6]Page 9'!$M$37</f>
        <v>139023</v>
      </c>
      <c r="N52" s="695">
        <f>'[6]Page 9'!$M$38</f>
        <v>639063</v>
      </c>
      <c r="O52" s="600"/>
      <c r="P52" s="1201">
        <f t="shared" si="3"/>
        <v>34170161</v>
      </c>
      <c r="Q52" s="534"/>
      <c r="R52" s="206"/>
      <c r="S52" s="1348"/>
      <c r="T52" s="1349"/>
    </row>
    <row r="53" spans="1:20" s="386" customFormat="1" ht="15.75">
      <c r="A53" s="684"/>
      <c r="B53" s="17">
        <f t="shared" si="4"/>
        <v>3</v>
      </c>
      <c r="C53" s="64" t="s">
        <v>930</v>
      </c>
      <c r="D53" s="1"/>
      <c r="E53" s="695">
        <f>'[6]Page 9'!$N$17</f>
        <v>771619863</v>
      </c>
      <c r="F53" s="695">
        <f>'[6]Page 9'!$N$19</f>
        <v>20855235</v>
      </c>
      <c r="G53" s="695">
        <f>'[6]Page 9'!$N$21</f>
        <v>407082996</v>
      </c>
      <c r="H53" s="695">
        <f>'[6]Page 9'!$N$24</f>
        <v>189054</v>
      </c>
      <c r="I53" s="695">
        <f>'[6]Page 9'!$N$26</f>
        <v>9552468</v>
      </c>
      <c r="J53" s="600">
        <v>0</v>
      </c>
      <c r="K53" s="600">
        <v>0</v>
      </c>
      <c r="L53" s="695">
        <f>'[6]Page 9'!$N$35</f>
        <v>0</v>
      </c>
      <c r="M53" s="695">
        <f>'[6]Page 9'!$N$37</f>
        <v>0</v>
      </c>
      <c r="N53" s="695">
        <f>'[6]Page 9'!$N$38</f>
        <v>0</v>
      </c>
      <c r="O53" s="600"/>
      <c r="P53" s="1201">
        <f t="shared" si="3"/>
        <v>1209299616</v>
      </c>
      <c r="Q53" s="534"/>
      <c r="R53" s="206"/>
      <c r="S53" s="1348"/>
      <c r="T53" s="1349"/>
    </row>
    <row r="54" spans="1:20" s="386" customFormat="1" ht="15.75">
      <c r="A54" s="684"/>
      <c r="B54" s="17">
        <f t="shared" si="4"/>
        <v>4</v>
      </c>
      <c r="C54" s="64" t="s">
        <v>931</v>
      </c>
      <c r="D54" s="1"/>
      <c r="E54" s="695">
        <v>0</v>
      </c>
      <c r="F54" s="695">
        <v>0</v>
      </c>
      <c r="G54" s="695">
        <f>'[6]Page 9'!$N$22</f>
        <v>209709426</v>
      </c>
      <c r="H54" s="695">
        <v>0</v>
      </c>
      <c r="I54" s="695">
        <f>'[6]Page 9'!$N$27</f>
        <v>96586079</v>
      </c>
      <c r="J54" s="695">
        <f>'[6]Page 9'!$N$28</f>
        <v>24415314</v>
      </c>
      <c r="K54" s="695">
        <f>'[6]Page 9'!$N$29</f>
        <v>101662088</v>
      </c>
      <c r="L54" s="695">
        <f>'[6]Page 9'!$N$35</f>
        <v>0</v>
      </c>
      <c r="M54" s="695">
        <f>'[6]Page 9'!$N$37</f>
        <v>0</v>
      </c>
      <c r="N54" s="695">
        <f>'[6]Page 9'!$N$38</f>
        <v>0</v>
      </c>
      <c r="O54" s="600"/>
      <c r="P54" s="1201">
        <f>SUM(D54:O54)</f>
        <v>432372907</v>
      </c>
      <c r="Q54" s="534"/>
      <c r="R54" s="206"/>
      <c r="S54" s="1348"/>
      <c r="T54" s="1349"/>
    </row>
    <row r="55" spans="1:20" s="386" customFormat="1" ht="15.75">
      <c r="A55" s="684"/>
      <c r="B55" s="17">
        <f t="shared" si="4"/>
        <v>5</v>
      </c>
      <c r="C55" s="64" t="s">
        <v>928</v>
      </c>
      <c r="D55" s="1"/>
      <c r="E55" s="695">
        <f>'[6]Page 9'!$L$17</f>
        <v>913823619</v>
      </c>
      <c r="F55" s="695">
        <f>'[6]Page 9'!$L$19</f>
        <v>40375265</v>
      </c>
      <c r="G55" s="695">
        <f>'[6]Page 9'!$L$21</f>
        <v>487454470</v>
      </c>
      <c r="H55" s="695">
        <f>'[6]Page 9'!$L$24</f>
        <v>88985</v>
      </c>
      <c r="I55" s="695">
        <f>'[6]Page 9'!$L$26</f>
        <v>23635902</v>
      </c>
      <c r="J55" s="695">
        <v>0</v>
      </c>
      <c r="K55" s="695">
        <v>0</v>
      </c>
      <c r="L55" s="695">
        <v>0</v>
      </c>
      <c r="M55" s="600">
        <v>0</v>
      </c>
      <c r="N55" s="695">
        <v>0</v>
      </c>
      <c r="O55" s="600"/>
      <c r="P55" s="1201">
        <f>SUM(D55:O55)</f>
        <v>1465378241</v>
      </c>
      <c r="Q55" s="534"/>
      <c r="R55" s="206"/>
      <c r="S55" s="1348"/>
      <c r="T55" s="1349"/>
    </row>
    <row r="56" spans="1:20" s="404" customFormat="1" ht="15.75">
      <c r="A56" s="840"/>
      <c r="B56" s="17">
        <f t="shared" si="4"/>
        <v>6</v>
      </c>
      <c r="C56" s="64" t="s">
        <v>929</v>
      </c>
      <c r="D56" s="1"/>
      <c r="E56" s="695">
        <v>0</v>
      </c>
      <c r="F56" s="600">
        <v>0</v>
      </c>
      <c r="G56" s="695">
        <f>'[6]Page 9'!$L$22</f>
        <v>208502330</v>
      </c>
      <c r="H56" s="695">
        <v>0</v>
      </c>
      <c r="I56" s="695">
        <f>'[6]Page 9'!$L$27</f>
        <v>126184106</v>
      </c>
      <c r="J56" s="695">
        <f>'[6]Page 9'!$L$28</f>
        <v>5914883</v>
      </c>
      <c r="K56" s="695">
        <f>'[6]Page 9'!$L$29</f>
        <v>10981592</v>
      </c>
      <c r="L56" s="695">
        <f>'[6]Page 9'!$L$35</f>
        <v>55849051.939999998</v>
      </c>
      <c r="M56" s="695">
        <f>'[6]Page 9'!$L$37</f>
        <v>404990</v>
      </c>
      <c r="N56" s="695">
        <f>'[6]Page 9'!$L$38</f>
        <v>1344434</v>
      </c>
      <c r="O56" s="600"/>
      <c r="P56" s="1201">
        <f t="shared" si="3"/>
        <v>409181386.94</v>
      </c>
      <c r="Q56" s="534"/>
      <c r="R56" s="206"/>
      <c r="S56" s="1355"/>
      <c r="T56" s="1349"/>
    </row>
    <row r="57" spans="1:20" s="386" customFormat="1" ht="15.75">
      <c r="A57" s="684"/>
      <c r="B57" s="17">
        <f t="shared" si="4"/>
        <v>7</v>
      </c>
      <c r="C57" s="64" t="s">
        <v>952</v>
      </c>
      <c r="D57" s="1"/>
      <c r="E57" s="695">
        <f>'[6]Page 9'!$J$17</f>
        <v>35189456</v>
      </c>
      <c r="F57" s="695">
        <f>'[6]Page 9'!$J$19</f>
        <v>7488978</v>
      </c>
      <c r="G57" s="695">
        <f>'[6]Page 9'!$J$21</f>
        <v>21993762</v>
      </c>
      <c r="H57" s="695">
        <f>'[6]Page 9'!$J$24</f>
        <v>231459</v>
      </c>
      <c r="I57" s="695">
        <f>'[6]Page 9'!$J$26</f>
        <v>1038830</v>
      </c>
      <c r="J57" s="695">
        <v>0</v>
      </c>
      <c r="K57" s="695">
        <v>0</v>
      </c>
      <c r="L57" s="695">
        <f>'[6]Page 9'!$J$36</f>
        <v>0</v>
      </c>
      <c r="M57" s="695">
        <v>0</v>
      </c>
      <c r="N57" s="695">
        <v>0</v>
      </c>
      <c r="O57" s="600"/>
      <c r="P57" s="1201">
        <f t="shared" si="3"/>
        <v>65942485</v>
      </c>
      <c r="Q57" s="534"/>
      <c r="R57" s="206"/>
      <c r="S57" s="1348"/>
      <c r="T57" s="1349"/>
    </row>
    <row r="58" spans="1:20" s="386" customFormat="1" ht="15.75">
      <c r="A58" s="684"/>
      <c r="B58" s="17">
        <f t="shared" si="4"/>
        <v>8</v>
      </c>
      <c r="C58" s="64" t="s">
        <v>954</v>
      </c>
      <c r="D58" s="1"/>
      <c r="E58" s="695">
        <v>0</v>
      </c>
      <c r="F58" s="695">
        <v>0</v>
      </c>
      <c r="G58" s="695">
        <f>'[6]Page 9'!$J$22</f>
        <v>604507</v>
      </c>
      <c r="H58" s="695">
        <v>0</v>
      </c>
      <c r="I58" s="695">
        <f>'[6]Page 9'!$J$27</f>
        <v>298570</v>
      </c>
      <c r="J58" s="695">
        <f>'[6]Page 9'!$J$28</f>
        <v>235825</v>
      </c>
      <c r="K58" s="695">
        <f>'[6]Page 9'!$J$29</f>
        <v>550491</v>
      </c>
      <c r="L58" s="695">
        <f>'[6]Page 9'!$J$35</f>
        <v>1158944.1899999999</v>
      </c>
      <c r="M58" s="695">
        <f>'[6]Page 9'!$J$37</f>
        <v>18966</v>
      </c>
      <c r="N58" s="695">
        <f>'[6]Page 9'!$J$38</f>
        <v>46357</v>
      </c>
      <c r="O58" s="600"/>
      <c r="P58" s="1201">
        <f>SUM(D58:O58)</f>
        <v>2913660.1899999999</v>
      </c>
      <c r="Q58" s="534"/>
      <c r="R58" s="206"/>
      <c r="S58" s="1348"/>
      <c r="T58" s="1349"/>
    </row>
    <row r="59" spans="1:20" s="386" customFormat="1" ht="15.75">
      <c r="A59" s="684"/>
      <c r="B59" s="17">
        <f t="shared" si="4"/>
        <v>9</v>
      </c>
      <c r="C59" s="64" t="s">
        <v>953</v>
      </c>
      <c r="D59" s="1"/>
      <c r="E59" s="695">
        <f>'[6]Page 9'!$K$17</f>
        <v>98530478</v>
      </c>
      <c r="F59" s="695">
        <f>'[6]Page 9'!$K$19</f>
        <v>22174681</v>
      </c>
      <c r="G59" s="695">
        <f>'[6]Page 9'!$K$21</f>
        <v>73280837</v>
      </c>
      <c r="H59" s="695">
        <f>'[6]Page 9'!$K$24</f>
        <v>688423</v>
      </c>
      <c r="I59" s="695">
        <f>'[6]Page 9'!$K$26</f>
        <v>2411928</v>
      </c>
      <c r="J59" s="600">
        <v>0</v>
      </c>
      <c r="K59" s="695">
        <v>0</v>
      </c>
      <c r="L59" s="695">
        <f>'[6]Page 9'!$K$36</f>
        <v>0</v>
      </c>
      <c r="M59" s="600">
        <v>0</v>
      </c>
      <c r="N59" s="695">
        <v>0</v>
      </c>
      <c r="O59" s="600"/>
      <c r="P59" s="1201">
        <f>SUM(D59:O59)</f>
        <v>197086347</v>
      </c>
      <c r="Q59" s="534"/>
      <c r="R59" s="206"/>
      <c r="S59" s="1348"/>
      <c r="T59" s="1349"/>
    </row>
    <row r="60" spans="1:20" s="386" customFormat="1" ht="20.25">
      <c r="A60" s="684"/>
      <c r="B60" s="17">
        <f t="shared" si="4"/>
        <v>10</v>
      </c>
      <c r="C60" s="64" t="s">
        <v>955</v>
      </c>
      <c r="D60" s="1"/>
      <c r="E60" s="603">
        <v>0</v>
      </c>
      <c r="F60" s="603">
        <v>0</v>
      </c>
      <c r="G60" s="603">
        <f>'[6]Page 9'!$K$22</f>
        <v>2014149</v>
      </c>
      <c r="H60" s="603">
        <v>0</v>
      </c>
      <c r="I60" s="603">
        <f>'[6]Page 9'!$K$27</f>
        <v>693213</v>
      </c>
      <c r="J60" s="603">
        <f>'[6]Page 9'!$K$28</f>
        <v>387770</v>
      </c>
      <c r="K60" s="603">
        <f>'[6]Page 9'!$K$29</f>
        <v>872229</v>
      </c>
      <c r="L60" s="603">
        <f>'[6]Page 9'!$K$35</f>
        <v>124173</v>
      </c>
      <c r="M60" s="603">
        <f>'[6]Page 9'!$K$37</f>
        <v>45377</v>
      </c>
      <c r="N60" s="603">
        <f>'[6]Page 9'!$K$38</f>
        <v>130338</v>
      </c>
      <c r="O60" s="601"/>
      <c r="P60" s="1202">
        <f t="shared" si="3"/>
        <v>4267249</v>
      </c>
      <c r="Q60" s="1356"/>
      <c r="R60" s="206"/>
      <c r="S60" s="1348"/>
      <c r="T60" s="1349"/>
    </row>
    <row r="61" spans="1:20" s="386" customFormat="1" ht="15.75">
      <c r="A61" s="684"/>
      <c r="B61" s="17">
        <f t="shared" si="4"/>
        <v>11</v>
      </c>
      <c r="C61" s="64" t="s">
        <v>491</v>
      </c>
      <c r="D61" s="1"/>
      <c r="E61" s="212">
        <f t="shared" si="5" ref="E61:L61">SUM(E51:E60)</f>
        <v>1921088302</v>
      </c>
      <c r="F61" s="212">
        <f t="shared" si="5"/>
        <v>95557181</v>
      </c>
      <c r="G61" s="212">
        <f t="shared" si="5"/>
        <v>1486593538</v>
      </c>
      <c r="H61" s="212">
        <f t="shared" si="5"/>
        <v>1232285</v>
      </c>
      <c r="I61" s="212">
        <f t="shared" si="5"/>
        <v>268296647</v>
      </c>
      <c r="J61" s="212">
        <f>SUM(J51:J60)</f>
        <v>31504042</v>
      </c>
      <c r="K61" s="212">
        <f t="shared" si="5"/>
        <v>114261671</v>
      </c>
      <c r="L61" s="212">
        <f t="shared" si="5"/>
        <v>60374542.129999995</v>
      </c>
      <c r="M61" s="212">
        <f>SUM(M51:M60)</f>
        <v>608356</v>
      </c>
      <c r="N61" s="212">
        <f>SUM(N51:N60)</f>
        <v>2160192</v>
      </c>
      <c r="O61" s="212"/>
      <c r="P61" s="700">
        <f t="shared" si="3"/>
        <v>3981676756.1300001</v>
      </c>
      <c r="Q61" s="534"/>
      <c r="R61" s="1345"/>
      <c r="S61" s="1357"/>
      <c r="T61" s="1358"/>
    </row>
    <row r="62" spans="1:20" s="386" customFormat="1" ht="15.75">
      <c r="A62" s="684"/>
      <c r="B62" s="17">
        <f t="shared" si="4"/>
        <v>12</v>
      </c>
      <c r="C62" s="1359" t="s">
        <v>492</v>
      </c>
      <c r="D62" s="1203"/>
      <c r="E62" s="1134" t="s">
        <v>494</v>
      </c>
      <c r="F62" s="1134" t="s">
        <v>495</v>
      </c>
      <c r="G62" s="1134" t="s">
        <v>496</v>
      </c>
      <c r="H62" s="1134" t="s">
        <v>497</v>
      </c>
      <c r="I62" s="1134" t="s">
        <v>1288</v>
      </c>
      <c r="J62" s="1134" t="s">
        <v>498</v>
      </c>
      <c r="K62" s="1134" t="s">
        <v>1289</v>
      </c>
      <c r="L62" s="1134" t="s">
        <v>1290</v>
      </c>
      <c r="M62" s="1134" t="s">
        <v>1291</v>
      </c>
      <c r="N62" s="1134" t="s">
        <v>493</v>
      </c>
      <c r="O62" s="615"/>
      <c r="P62" s="771"/>
      <c r="Q62" s="534"/>
      <c r="R62" s="761"/>
      <c r="S62" s="47"/>
      <c r="T62" s="1349"/>
    </row>
    <row r="63" spans="1:20" s="386" customFormat="1" ht="15.75">
      <c r="A63" s="684"/>
      <c r="B63" s="17">
        <f t="shared" si="4"/>
        <v>13</v>
      </c>
      <c r="C63" s="466"/>
      <c r="D63" s="466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534"/>
      <c r="Q63" s="534"/>
      <c r="R63" s="761"/>
      <c r="S63" s="47"/>
      <c r="T63" s="1349"/>
    </row>
    <row r="64" spans="1:20" s="386" customFormat="1" ht="15.75">
      <c r="A64" s="684"/>
      <c r="B64" s="17">
        <f t="shared" si="4"/>
        <v>14</v>
      </c>
      <c r="C64" s="1354" t="s">
        <v>1417</v>
      </c>
      <c r="D64" s="1360"/>
      <c r="E64" s="1361"/>
      <c r="F64" s="1362"/>
      <c r="G64" s="697"/>
      <c r="H64" s="1363"/>
      <c r="I64" s="697"/>
      <c r="J64" s="697"/>
      <c r="K64" s="697"/>
      <c r="L64" s="1363"/>
      <c r="M64" s="1363"/>
      <c r="N64" s="1363"/>
      <c r="O64" s="1363"/>
      <c r="P64" s="760"/>
      <c r="Q64" s="534"/>
      <c r="R64" s="761"/>
      <c r="S64" s="762"/>
      <c r="T64" s="1349"/>
    </row>
    <row r="65" spans="1:25" s="404" customFormat="1" ht="15">
      <c r="A65" s="840"/>
      <c r="B65" s="17">
        <f t="shared" si="4"/>
        <v>15</v>
      </c>
      <c r="C65" s="1364"/>
      <c r="D65" s="1365"/>
      <c r="E65" s="1350">
        <f>E51+E55+E57+E59</f>
        <v>1149468439</v>
      </c>
      <c r="F65" s="1350">
        <f t="shared" si="6" ref="F65:Q65">F51+F55+F57+F59</f>
        <v>74701946</v>
      </c>
      <c r="G65" s="1350">
        <f>SUM(G51:G60)-G53-G54</f>
        <v>869801116</v>
      </c>
      <c r="H65" s="1350">
        <f t="shared" si="7" ref="H65:N65">SUM(H51:H60)-H53-H54</f>
        <v>1043231</v>
      </c>
      <c r="I65" s="1350">
        <f t="shared" si="7"/>
        <v>162158100</v>
      </c>
      <c r="J65" s="1350">
        <f t="shared" si="7"/>
        <v>7088728</v>
      </c>
      <c r="K65" s="1350">
        <f t="shared" si="7"/>
        <v>12599583</v>
      </c>
      <c r="L65" s="1350">
        <f t="shared" si="7"/>
        <v>60374542.129999995</v>
      </c>
      <c r="M65" s="1350">
        <f t="shared" si="7"/>
        <v>608356</v>
      </c>
      <c r="N65" s="1350">
        <f t="shared" si="7"/>
        <v>2160192</v>
      </c>
      <c r="O65" s="1350">
        <f t="shared" si="6"/>
        <v>0</v>
      </c>
      <c r="P65" s="1366">
        <f>P61-P53-P54</f>
        <v>2340004233.1300001</v>
      </c>
      <c r="Q65" s="1352">
        <f t="shared" si="6"/>
        <v>0</v>
      </c>
      <c r="R65" s="1352">
        <f>SUM(R51:R60)-R53-R54</f>
        <v>0</v>
      </c>
      <c r="S65" s="1367">
        <f t="shared" si="8" ref="S65:Y65">SUM(S51:S60)-S53-S54</f>
        <v>0</v>
      </c>
      <c r="T65" s="1352">
        <f t="shared" si="8"/>
        <v>0</v>
      </c>
      <c r="U65" s="1352">
        <f t="shared" si="8"/>
        <v>0</v>
      </c>
      <c r="V65" s="1352">
        <f t="shared" si="8"/>
        <v>0</v>
      </c>
      <c r="W65" s="1352">
        <f t="shared" si="8"/>
        <v>0</v>
      </c>
      <c r="X65" s="1352">
        <f t="shared" si="8"/>
        <v>0</v>
      </c>
      <c r="Y65" s="1352">
        <f t="shared" si="8"/>
        <v>0</v>
      </c>
    </row>
    <row r="66" spans="1:23" s="386" customFormat="1" ht="15.75">
      <c r="A66" s="684"/>
      <c r="B66" s="17">
        <f t="shared" si="4"/>
        <v>16</v>
      </c>
      <c r="C66" s="28"/>
      <c r="D66" s="28"/>
      <c r="E66" s="5"/>
      <c r="F66" s="32"/>
      <c r="G66" s="695"/>
      <c r="H66" s="763"/>
      <c r="I66" s="695"/>
      <c r="J66" s="695"/>
      <c r="K66" s="695"/>
      <c r="L66" s="17"/>
      <c r="M66" s="17"/>
      <c r="N66" s="17"/>
      <c r="O66" s="17"/>
      <c r="P66" s="534"/>
      <c r="Q66" s="534"/>
      <c r="R66" s="761"/>
      <c r="S66" s="1351"/>
      <c r="W66" s="386">
        <v>3981676756</v>
      </c>
    </row>
    <row r="67" spans="1:23" s="386" customFormat="1" ht="15.75">
      <c r="A67" s="684"/>
      <c r="B67" s="17">
        <f t="shared" si="4"/>
        <v>17</v>
      </c>
      <c r="C67" s="87"/>
      <c r="D67" s="77"/>
      <c r="E67" s="758"/>
      <c r="F67" s="759"/>
      <c r="G67" s="854">
        <v>0</v>
      </c>
      <c r="H67" s="855"/>
      <c r="I67" s="854">
        <v>0</v>
      </c>
      <c r="J67" s="854">
        <v>0</v>
      </c>
      <c r="K67" s="854">
        <v>0</v>
      </c>
      <c r="L67" s="191"/>
      <c r="M67" s="191"/>
      <c r="N67" s="191"/>
      <c r="O67" s="191"/>
      <c r="P67" s="760">
        <f>SUM(D67:O67)</f>
        <v>0</v>
      </c>
      <c r="Q67" s="534"/>
      <c r="R67" s="761" t="b">
        <f>IF(P66+P67=S67,TRUE,P66+P67-S67)</f>
        <v>1</v>
      </c>
      <c r="S67" s="764">
        <v>0</v>
      </c>
      <c r="W67" s="386">
        <v>53729847</v>
      </c>
    </row>
    <row r="68" spans="1:23" s="386" customFormat="1" ht="15.75">
      <c r="A68" s="684"/>
      <c r="B68" s="17">
        <f t="shared" si="4"/>
        <v>18</v>
      </c>
      <c r="C68" s="773" t="s">
        <v>1003</v>
      </c>
      <c r="D68" s="28"/>
      <c r="E68" s="5"/>
      <c r="F68" s="32"/>
      <c r="G68" s="765">
        <f>'[7]DISTRIBUTION KW ADJ'!$G$36</f>
        <v>4153637.2177849161</v>
      </c>
      <c r="H68" s="766"/>
      <c r="I68" s="765">
        <f>'[7]DISTRIBUTION KW ADJ'!$K$36</f>
        <v>550983.31969566189</v>
      </c>
      <c r="J68" s="600">
        <v>0</v>
      </c>
      <c r="K68" s="600">
        <v>0</v>
      </c>
      <c r="L68" s="17"/>
      <c r="M68" s="17"/>
      <c r="N68" s="17"/>
      <c r="O68" s="17"/>
      <c r="P68" s="700">
        <f>SUM(D68:O68)</f>
        <v>4704620.5374805778</v>
      </c>
      <c r="Q68" s="534"/>
      <c r="R68" s="761"/>
      <c r="S68" s="762"/>
      <c r="W68" s="386">
        <v>-4322572643</v>
      </c>
    </row>
    <row r="69" spans="1:23" s="386" customFormat="1" ht="20.25">
      <c r="A69" s="684"/>
      <c r="B69" s="17">
        <f t="shared" si="4"/>
        <v>19</v>
      </c>
      <c r="C69" s="1204" t="s">
        <v>1004</v>
      </c>
      <c r="D69" s="767"/>
      <c r="E69" s="768"/>
      <c r="F69" s="212"/>
      <c r="G69" s="769">
        <f>'[7]DISTRIBUTION KW ADJ'!$I$36</f>
        <v>5533242.4708652021</v>
      </c>
      <c r="H69" s="766"/>
      <c r="I69" s="769">
        <f>'[7]DISTRIBUTION KW ADJ'!$M$36</f>
        <v>3633067.1501052151</v>
      </c>
      <c r="J69" s="769">
        <f>'[7]DISTRIBUTION KW ADJ'!$O$36</f>
        <v>64600.908480333826</v>
      </c>
      <c r="K69" s="769">
        <f>'[7]DISTRIBUTION KW ADJ'!$Q$36</f>
        <v>353466.75514100742</v>
      </c>
      <c r="L69" s="17"/>
      <c r="M69" s="17"/>
      <c r="N69" s="17"/>
      <c r="O69" s="17"/>
      <c r="P69" s="699">
        <f>SUM(D69:O69)</f>
        <v>9584377.2845917568</v>
      </c>
      <c r="Q69" s="534"/>
      <c r="R69" s="761" t="b">
        <f>IF(P68+P69=S69,TRUE,P68+P69-S69)</f>
        <v>1</v>
      </c>
      <c r="S69" s="764">
        <f>'[7]DISTRIBUTION KW ADJ'!$S$36</f>
        <v>14288997.822072335</v>
      </c>
      <c r="T69" s="703" t="s">
        <v>1002</v>
      </c>
      <c r="W69" s="386">
        <f>SUM(W66:W68)</f>
        <v>-287166040</v>
      </c>
    </row>
    <row r="70" spans="1:19" s="386" customFormat="1" ht="15.75">
      <c r="A70" s="684"/>
      <c r="B70" s="17">
        <f t="shared" si="4"/>
        <v>20</v>
      </c>
      <c r="C70" s="526" t="s">
        <v>491</v>
      </c>
      <c r="D70" s="65"/>
      <c r="E70" s="770"/>
      <c r="F70" s="770"/>
      <c r="G70" s="610">
        <f>SUM(G68:G69)</f>
        <v>9686879.6886501182</v>
      </c>
      <c r="H70" s="610">
        <f t="shared" si="9" ref="H70:P70">SUM(H68:H69)</f>
        <v>0</v>
      </c>
      <c r="I70" s="610">
        <f t="shared" si="9"/>
        <v>4184050.4698008769</v>
      </c>
      <c r="J70" s="610">
        <f t="shared" si="9"/>
        <v>64600.908480333826</v>
      </c>
      <c r="K70" s="610">
        <f t="shared" si="9"/>
        <v>353466.75514100742</v>
      </c>
      <c r="L70" s="610">
        <f t="shared" si="9"/>
        <v>0</v>
      </c>
      <c r="M70" s="610">
        <f t="shared" si="9"/>
        <v>0</v>
      </c>
      <c r="N70" s="610">
        <f t="shared" si="9"/>
        <v>0</v>
      </c>
      <c r="O70" s="610">
        <f t="shared" si="9"/>
        <v>0</v>
      </c>
      <c r="P70" s="771">
        <f t="shared" si="9"/>
        <v>14288997.822072335</v>
      </c>
      <c r="Q70" s="534"/>
      <c r="R70" s="761"/>
      <c r="S70" s="772" t="s">
        <v>499</v>
      </c>
    </row>
    <row r="71" spans="1:19" ht="15.75">
      <c r="A71" s="167"/>
      <c r="B71" s="11">
        <f t="shared" si="4"/>
        <v>21</v>
      </c>
      <c r="C71" s="1"/>
      <c r="D71" s="1"/>
      <c r="E71" s="1205"/>
      <c r="F71" s="1205"/>
      <c r="G71" s="1205"/>
      <c r="H71" s="1205"/>
      <c r="I71" s="1205"/>
      <c r="J71" s="1205"/>
      <c r="K71" s="1205"/>
      <c r="L71" s="1205"/>
      <c r="M71" s="1205"/>
      <c r="N71" s="1205"/>
      <c r="O71" s="1205"/>
      <c r="P71" s="1206"/>
      <c r="Q71" s="215"/>
      <c r="R71" s="216"/>
      <c r="S71" s="67"/>
    </row>
    <row r="72" spans="1:19" ht="15.75">
      <c r="A72" s="167"/>
      <c r="B72" s="11">
        <f t="shared" si="4"/>
        <v>22</v>
      </c>
      <c r="C72" s="1207"/>
      <c r="D72" s="88"/>
      <c r="E72" s="1208"/>
      <c r="F72" s="1208"/>
      <c r="G72" s="1208"/>
      <c r="H72" s="1208"/>
      <c r="I72" s="1208"/>
      <c r="J72" s="1208"/>
      <c r="K72" s="1208"/>
      <c r="L72" s="1208"/>
      <c r="M72" s="1208"/>
      <c r="N72" s="1208"/>
      <c r="O72" s="605"/>
      <c r="P72" s="760">
        <f t="shared" si="10" ref="P72:P77">SUM(D72:O72)</f>
        <v>0</v>
      </c>
      <c r="Q72" s="209"/>
      <c r="R72" s="210" t="b">
        <f>IF(P72=S72,TRUE,P72-S72)</f>
        <v>1</v>
      </c>
      <c r="S72" s="581">
        <v>0</v>
      </c>
    </row>
    <row r="73" spans="1:19" ht="15.75">
      <c r="A73" s="167"/>
      <c r="B73" s="11">
        <f t="shared" si="4"/>
        <v>23</v>
      </c>
      <c r="C73" s="64" t="s">
        <v>500</v>
      </c>
      <c r="D73" s="1"/>
      <c r="E73" s="602">
        <f t="shared" si="11" ref="E73:L73">SUM(E53:E54)+SUM(E66:E67)</f>
        <v>771619863</v>
      </c>
      <c r="F73" s="602">
        <f t="shared" si="11"/>
        <v>20855235</v>
      </c>
      <c r="G73" s="602">
        <f>SUM(G53:G54)</f>
        <v>616792422</v>
      </c>
      <c r="H73" s="602">
        <f t="shared" si="11"/>
        <v>189054</v>
      </c>
      <c r="I73" s="602">
        <f>SUM(I53:I54)</f>
        <v>106138547</v>
      </c>
      <c r="J73" s="602">
        <f>SUM(J53:J54)+SUM(J66:J67)</f>
        <v>24415314</v>
      </c>
      <c r="K73" s="602">
        <f t="shared" si="11"/>
        <v>101662088</v>
      </c>
      <c r="L73" s="602">
        <f t="shared" si="11"/>
        <v>0</v>
      </c>
      <c r="M73" s="602">
        <f>SUM(M53:M54)+SUM(M66:M67)</f>
        <v>0</v>
      </c>
      <c r="N73" s="602">
        <f>SUM(N53:N54)+SUM(N66:N67)</f>
        <v>0</v>
      </c>
      <c r="O73" s="212"/>
      <c r="P73" s="700">
        <f t="shared" si="10"/>
        <v>1641672523</v>
      </c>
      <c r="Q73" s="209"/>
      <c r="R73" s="210" t="b">
        <f>IF(P73=S73,TRUE,P73-S73)</f>
        <v>1</v>
      </c>
      <c r="S73" s="583">
        <f>'[6]Page 9'!$N$45</f>
        <v>1641672523.0000002</v>
      </c>
    </row>
    <row r="74" spans="1:19" ht="15.75">
      <c r="A74" s="167"/>
      <c r="B74" s="11">
        <f t="shared" si="4"/>
        <v>24</v>
      </c>
      <c r="C74" s="64" t="s">
        <v>501</v>
      </c>
      <c r="D74" s="1"/>
      <c r="E74" s="602">
        <f t="shared" si="12" ref="E74:N74">SUM(E51:E52)+SUM(E55:E56)+SUM(E68:E69)</f>
        <v>1015748505</v>
      </c>
      <c r="F74" s="602">
        <f t="shared" si="12"/>
        <v>45038287</v>
      </c>
      <c r="G74" s="602">
        <f t="shared" si="12"/>
        <v>781594740.68865013</v>
      </c>
      <c r="H74" s="602">
        <f t="shared" si="12"/>
        <v>123349</v>
      </c>
      <c r="I74" s="602">
        <f t="shared" si="12"/>
        <v>161899609.46980089</v>
      </c>
      <c r="J74" s="602">
        <f t="shared" si="12"/>
        <v>6529733.9084803341</v>
      </c>
      <c r="K74" s="602">
        <f t="shared" si="12"/>
        <v>11530329.755141007</v>
      </c>
      <c r="L74" s="602">
        <f t="shared" si="12"/>
        <v>59091424.939999998</v>
      </c>
      <c r="M74" s="602">
        <f t="shared" si="12"/>
        <v>544013</v>
      </c>
      <c r="N74" s="602">
        <f t="shared" si="12"/>
        <v>1983497</v>
      </c>
      <c r="O74" s="212"/>
      <c r="P74" s="700">
        <f t="shared" si="10"/>
        <v>2084083489.7620726</v>
      </c>
      <c r="Q74" s="209"/>
      <c r="R74" s="210" t="b">
        <f>IF(P74=S74,TRUE,P74-S74)</f>
        <v>1</v>
      </c>
      <c r="S74" s="583">
        <f>'[6]Page 9'!$L$45+'[6]Page 9'!$M$45</f>
        <v>2084083489.7620723</v>
      </c>
    </row>
    <row r="75" spans="1:19" ht="15.75">
      <c r="A75" s="167"/>
      <c r="B75" s="11">
        <f t="shared" si="4"/>
        <v>25</v>
      </c>
      <c r="C75" s="64" t="s">
        <v>489</v>
      </c>
      <c r="D75" s="1"/>
      <c r="E75" s="602">
        <f t="shared" si="13" ref="E75:L75">SUM(E57:E58)</f>
        <v>35189456</v>
      </c>
      <c r="F75" s="602">
        <f t="shared" si="13"/>
        <v>7488978</v>
      </c>
      <c r="G75" s="602">
        <f t="shared" si="13"/>
        <v>22598269</v>
      </c>
      <c r="H75" s="602">
        <f t="shared" si="13"/>
        <v>231459</v>
      </c>
      <c r="I75" s="602">
        <f t="shared" si="13"/>
        <v>1337400</v>
      </c>
      <c r="J75" s="602">
        <f>SUM(J57:J58)</f>
        <v>235825</v>
      </c>
      <c r="K75" s="602">
        <f t="shared" si="13"/>
        <v>550491</v>
      </c>
      <c r="L75" s="602">
        <f t="shared" si="13"/>
        <v>1158944.1899999999</v>
      </c>
      <c r="M75" s="602">
        <f>SUM(M57:M58)</f>
        <v>18966</v>
      </c>
      <c r="N75" s="602">
        <f>SUM(N57:N58)</f>
        <v>46357</v>
      </c>
      <c r="O75" s="212"/>
      <c r="P75" s="700">
        <f t="shared" si="10"/>
        <v>68856145.189999998</v>
      </c>
      <c r="Q75" s="209"/>
      <c r="R75" s="210" t="b">
        <f>IF(P75=S75,TRUE,P75-S75)</f>
        <v>1</v>
      </c>
      <c r="S75" s="583">
        <f>'[6]Page 9'!$J$45</f>
        <v>68856145.189999998</v>
      </c>
    </row>
    <row r="76" spans="1:19" ht="20.25">
      <c r="A76" s="167"/>
      <c r="B76" s="11">
        <f t="shared" si="4"/>
        <v>26</v>
      </c>
      <c r="C76" s="1209" t="s">
        <v>490</v>
      </c>
      <c r="D76" s="1210"/>
      <c r="E76" s="603">
        <f t="shared" si="14" ref="E76:L76">SUM(E59:E60)</f>
        <v>98530478</v>
      </c>
      <c r="F76" s="603">
        <f t="shared" si="14"/>
        <v>22174681</v>
      </c>
      <c r="G76" s="603">
        <f t="shared" si="14"/>
        <v>75294986</v>
      </c>
      <c r="H76" s="603">
        <f t="shared" si="14"/>
        <v>688423</v>
      </c>
      <c r="I76" s="603">
        <f t="shared" si="14"/>
        <v>3105141</v>
      </c>
      <c r="J76" s="603">
        <f>SUM(J59:J60)</f>
        <v>387770</v>
      </c>
      <c r="K76" s="603">
        <f t="shared" si="14"/>
        <v>872229</v>
      </c>
      <c r="L76" s="603">
        <f t="shared" si="14"/>
        <v>124173</v>
      </c>
      <c r="M76" s="603">
        <f>SUM(M59:M60)</f>
        <v>45377</v>
      </c>
      <c r="N76" s="603">
        <f>SUM(N59:N60)</f>
        <v>130338</v>
      </c>
      <c r="O76" s="218"/>
      <c r="P76" s="699">
        <f t="shared" si="10"/>
        <v>201353596</v>
      </c>
      <c r="Q76" s="211"/>
      <c r="R76" s="210" t="b">
        <f>IF(P76=S76,TRUE,P76-S76)</f>
        <v>1</v>
      </c>
      <c r="S76" s="582">
        <f>'[6]Page 9'!$K$45</f>
        <v>201353596</v>
      </c>
    </row>
    <row r="77" spans="1:19" ht="15.75">
      <c r="A77" s="167"/>
      <c r="B77" s="11">
        <f t="shared" si="4"/>
        <v>27</v>
      </c>
      <c r="C77" s="526" t="s">
        <v>491</v>
      </c>
      <c r="D77" s="65"/>
      <c r="E77" s="610">
        <f t="shared" si="15" ref="E77:L77">SUM(E72:E76)</f>
        <v>1921088302</v>
      </c>
      <c r="F77" s="610">
        <f t="shared" si="15"/>
        <v>95557181</v>
      </c>
      <c r="G77" s="610">
        <f t="shared" si="15"/>
        <v>1496280417.6886501</v>
      </c>
      <c r="H77" s="610">
        <f t="shared" si="15"/>
        <v>1232285</v>
      </c>
      <c r="I77" s="610">
        <f t="shared" si="15"/>
        <v>272480697.46980089</v>
      </c>
      <c r="J77" s="610">
        <f>SUM(J72:J76)</f>
        <v>31568642.908480335</v>
      </c>
      <c r="K77" s="610">
        <f t="shared" si="15"/>
        <v>114615137.75514101</v>
      </c>
      <c r="L77" s="610">
        <f t="shared" si="15"/>
        <v>60374542.129999995</v>
      </c>
      <c r="M77" s="610">
        <f>SUM(M72:M76)</f>
        <v>608356</v>
      </c>
      <c r="N77" s="610">
        <f>SUM(N72:N76)</f>
        <v>2160192</v>
      </c>
      <c r="O77" s="610"/>
      <c r="P77" s="771">
        <f t="shared" si="10"/>
        <v>3995965753.9520721</v>
      </c>
      <c r="Q77" s="209"/>
      <c r="R77" s="210" t="b">
        <f>IF(P77=(P61+P70),TRUE,P77-(P61+P70))</f>
        <v>1</v>
      </c>
      <c r="S77" s="586" t="s">
        <v>1304</v>
      </c>
    </row>
    <row r="78" spans="1:19" ht="15.75">
      <c r="A78" s="167"/>
      <c r="B78" s="11">
        <f t="shared" si="4"/>
        <v>28</v>
      </c>
      <c r="C78" s="1"/>
      <c r="D78" s="1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534"/>
      <c r="Q78" s="209"/>
      <c r="R78" s="216"/>
      <c r="S78" s="219"/>
    </row>
    <row r="79" spans="1:21" ht="15.75">
      <c r="A79" s="167"/>
      <c r="B79" s="11">
        <f t="shared" si="4"/>
        <v>29</v>
      </c>
      <c r="C79" s="1207" t="s">
        <v>502</v>
      </c>
      <c r="D79" s="88"/>
      <c r="E79" s="697">
        <f>$P$79*E80</f>
        <v>9001574.1175800022</v>
      </c>
      <c r="F79" s="697">
        <f t="shared" si="16" ref="F79:L79">$P$79*F80</f>
        <v>8536502.9871000014</v>
      </c>
      <c r="G79" s="697">
        <f t="shared" si="16"/>
        <v>2376350.2939000009</v>
      </c>
      <c r="H79" s="697">
        <f t="shared" si="16"/>
        <v>28556.999240000008</v>
      </c>
      <c r="I79" s="697">
        <f t="shared" si="16"/>
        <v>165222.63846000005</v>
      </c>
      <c r="J79" s="697">
        <f t="shared" si="16"/>
        <v>2039.7856600000007</v>
      </c>
      <c r="K79" s="697">
        <f t="shared" si="16"/>
        <v>4079.5713200000014</v>
      </c>
      <c r="L79" s="697">
        <f t="shared" si="16"/>
        <v>283530.20674000005</v>
      </c>
      <c r="M79" s="697"/>
      <c r="N79" s="697"/>
      <c r="O79" s="23"/>
      <c r="P79" s="760">
        <f>'[6]Page 1'!$O$41</f>
        <v>20397856.600000005</v>
      </c>
      <c r="Q79" s="221" t="s">
        <v>1301</v>
      </c>
      <c r="R79" s="210"/>
      <c r="S79" s="223">
        <f>'[6]Page 9'!$O$41</f>
        <v>22468503.440000001</v>
      </c>
      <c r="T79" s="1346">
        <f>SUM(E79:N79)</f>
        <v>20397856.600000001</v>
      </c>
      <c r="U79" s="1346">
        <f>T79-P79</f>
        <v>0</v>
      </c>
    </row>
    <row r="80" spans="1:19" ht="15.75">
      <c r="A80" s="167"/>
      <c r="B80" s="11">
        <f t="shared" si="4"/>
        <v>30</v>
      </c>
      <c r="C80" s="64"/>
      <c r="D80" s="1"/>
      <c r="E80" s="1373">
        <v>0.44130000000000003</v>
      </c>
      <c r="F80" s="1373">
        <v>0.41849999999999998</v>
      </c>
      <c r="G80" s="1373">
        <v>0.11650000000000001</v>
      </c>
      <c r="H80" s="1373">
        <v>0.0014</v>
      </c>
      <c r="I80" s="1373">
        <v>0.0080999999999999996</v>
      </c>
      <c r="J80" s="1373">
        <v>0.00010000000000000001</v>
      </c>
      <c r="K80" s="1373">
        <v>0.00020000000000000001</v>
      </c>
      <c r="L80" s="1373">
        <v>0.013899999999999999</v>
      </c>
      <c r="M80" s="122"/>
      <c r="N80" s="122"/>
      <c r="O80" s="122"/>
      <c r="P80" s="1374">
        <f>SUM(D80:O80)</f>
        <v>1</v>
      </c>
      <c r="Q80" s="220"/>
      <c r="R80" s="216"/>
      <c r="S80" s="219"/>
    </row>
    <row r="81" spans="1:19" ht="15.75">
      <c r="A81" s="167"/>
      <c r="B81" s="11">
        <f t="shared" si="4"/>
        <v>31</v>
      </c>
      <c r="C81" s="64" t="s">
        <v>503</v>
      </c>
      <c r="D81" s="1"/>
      <c r="E81" s="212">
        <f t="shared" si="17" ref="E81:L81">$P81*E80</f>
        <v>9915350.5680720005</v>
      </c>
      <c r="F81" s="212">
        <f t="shared" si="17"/>
        <v>9403068.6896400005</v>
      </c>
      <c r="G81" s="212">
        <f t="shared" si="17"/>
        <v>2617580.6507600001</v>
      </c>
      <c r="H81" s="212">
        <f t="shared" si="17"/>
        <v>31455.904816000002</v>
      </c>
      <c r="I81" s="212">
        <f t="shared" si="17"/>
        <v>181994.87786400001</v>
      </c>
      <c r="J81" s="212">
        <f t="shared" si="17"/>
        <v>2246.8503440000004</v>
      </c>
      <c r="K81" s="212">
        <f t="shared" si="17"/>
        <v>4493.7006880000008</v>
      </c>
      <c r="L81" s="212">
        <f t="shared" si="17"/>
        <v>312312.19781599997</v>
      </c>
      <c r="M81" s="212">
        <f>$P81*M80</f>
        <v>0</v>
      </c>
      <c r="N81" s="212">
        <f>$P81*N80</f>
        <v>0</v>
      </c>
      <c r="O81" s="212"/>
      <c r="P81" s="700">
        <f>'[6]Page 9'!$O$41</f>
        <v>22468503.440000001</v>
      </c>
      <c r="Q81" s="221" t="s">
        <v>1258</v>
      </c>
      <c r="R81" s="216" t="b">
        <f>P81=S79</f>
        <v>1</v>
      </c>
      <c r="S81" s="1368" t="s">
        <v>1377</v>
      </c>
    </row>
    <row r="82" spans="1:19" ht="15.75">
      <c r="A82" s="167"/>
      <c r="B82" s="11">
        <f t="shared" si="4"/>
        <v>32</v>
      </c>
      <c r="C82" s="526"/>
      <c r="D82" s="65"/>
      <c r="E82" s="610">
        <v>9714091</v>
      </c>
      <c r="F82" s="610"/>
      <c r="G82" s="610"/>
      <c r="H82" s="610"/>
      <c r="I82" s="610"/>
      <c r="J82" s="610"/>
      <c r="K82" s="610"/>
      <c r="L82" s="610"/>
      <c r="M82" s="610"/>
      <c r="N82" s="610"/>
      <c r="O82" s="610"/>
      <c r="P82" s="1211" t="s">
        <v>956</v>
      </c>
      <c r="Q82" s="221"/>
      <c r="R82" s="216"/>
      <c r="S82" s="219"/>
    </row>
    <row r="83" spans="1:19" ht="15">
      <c r="A83" s="167"/>
      <c r="B83" s="11">
        <f t="shared" si="4"/>
        <v>33</v>
      </c>
      <c r="C83" s="646"/>
      <c r="D83" s="12"/>
      <c r="E83" s="122"/>
      <c r="F83" s="122"/>
      <c r="G83" s="122"/>
      <c r="H83" s="122"/>
      <c r="I83" s="122"/>
      <c r="J83" s="122"/>
      <c r="K83" s="122"/>
      <c r="L83" s="122"/>
      <c r="M83" s="212"/>
      <c r="N83" s="212"/>
      <c r="O83" s="212"/>
      <c r="P83" s="222"/>
      <c r="Q83" s="222"/>
      <c r="R83" s="216"/>
      <c r="S83" s="219"/>
    </row>
    <row r="84" spans="1:19" ht="15.75">
      <c r="A84" s="167"/>
      <c r="B84" s="11">
        <f t="shared" si="4"/>
        <v>34</v>
      </c>
      <c r="C84" s="76" t="s">
        <v>932</v>
      </c>
      <c r="D84" s="205"/>
      <c r="E84" s="605">
        <f t="shared" si="18" ref="E84:L84">E77</f>
        <v>1921088302</v>
      </c>
      <c r="F84" s="605">
        <f t="shared" si="18"/>
        <v>95557181</v>
      </c>
      <c r="G84" s="605">
        <f t="shared" si="18"/>
        <v>1496280417.6886501</v>
      </c>
      <c r="H84" s="605">
        <f t="shared" si="18"/>
        <v>1232285</v>
      </c>
      <c r="I84" s="605">
        <f t="shared" si="18"/>
        <v>272480697.46980089</v>
      </c>
      <c r="J84" s="605">
        <f>J77</f>
        <v>31568642.908480335</v>
      </c>
      <c r="K84" s="605">
        <f t="shared" si="18"/>
        <v>114615137.75514101</v>
      </c>
      <c r="L84" s="605">
        <f t="shared" si="18"/>
        <v>60374542.129999995</v>
      </c>
      <c r="M84" s="605">
        <f>M77</f>
        <v>608356</v>
      </c>
      <c r="N84" s="605">
        <f>N77</f>
        <v>2160192</v>
      </c>
      <c r="O84" s="605"/>
      <c r="P84" s="606">
        <f>SUM(D84:O84)</f>
        <v>3995965753.9520721</v>
      </c>
      <c r="Q84" s="209"/>
      <c r="R84" s="216"/>
      <c r="S84" s="219"/>
    </row>
    <row r="85" spans="1:19" ht="15.75">
      <c r="A85" s="167"/>
      <c r="B85" s="11">
        <f t="shared" si="4"/>
        <v>35</v>
      </c>
      <c r="C85" s="78" t="s">
        <v>503</v>
      </c>
      <c r="D85" s="12"/>
      <c r="E85" s="602">
        <f t="shared" si="19" ref="E85:L85">E81</f>
        <v>9915350.5680720005</v>
      </c>
      <c r="F85" s="602">
        <f t="shared" si="19"/>
        <v>9403068.6896400005</v>
      </c>
      <c r="G85" s="602">
        <f t="shared" si="19"/>
        <v>2617580.6507600001</v>
      </c>
      <c r="H85" s="602">
        <f t="shared" si="19"/>
        <v>31455.904816000002</v>
      </c>
      <c r="I85" s="602">
        <f t="shared" si="19"/>
        <v>181994.87786400001</v>
      </c>
      <c r="J85" s="602">
        <f>J81</f>
        <v>2246.8503440000004</v>
      </c>
      <c r="K85" s="602">
        <f t="shared" si="19"/>
        <v>4493.7006880000008</v>
      </c>
      <c r="L85" s="602">
        <f t="shared" si="19"/>
        <v>312312.19781599997</v>
      </c>
      <c r="M85" s="602">
        <f>M81</f>
        <v>0</v>
      </c>
      <c r="N85" s="602">
        <f>N81</f>
        <v>0</v>
      </c>
      <c r="O85" s="212"/>
      <c r="P85" s="607">
        <f>SUM(D85:O85)</f>
        <v>22468503.439999998</v>
      </c>
      <c r="Q85" s="221" t="s">
        <v>1258</v>
      </c>
      <c r="R85" s="210" t="b">
        <f>IF(P85=P81,TRUE,P85-P85)</f>
        <v>1</v>
      </c>
      <c r="S85" s="219"/>
    </row>
    <row r="86" spans="1:20" ht="20.25">
      <c r="A86" s="167"/>
      <c r="B86" s="11">
        <f t="shared" si="4"/>
        <v>36</v>
      </c>
      <c r="C86" s="1219" t="s">
        <v>1264</v>
      </c>
      <c r="D86" s="217"/>
      <c r="E86" s="603">
        <f t="shared" si="20" ref="E86:L86">(E74+E75+E76)/SUM($E$74:$L$76)*$P$86</f>
        <v>8296394.4151379736</v>
      </c>
      <c r="F86" s="603">
        <f t="shared" si="20"/>
        <v>539168.18119295791</v>
      </c>
      <c r="G86" s="603">
        <f t="shared" si="20"/>
        <v>6347785.6790570021</v>
      </c>
      <c r="H86" s="603">
        <f t="shared" si="20"/>
        <v>7529.615906312677</v>
      </c>
      <c r="I86" s="603">
        <f t="shared" si="20"/>
        <v>1200589.8042405464</v>
      </c>
      <c r="J86" s="603">
        <f t="shared" si="20"/>
        <v>51629.810782443987</v>
      </c>
      <c r="K86" s="603">
        <f t="shared" si="20"/>
        <v>93489.830604697578</v>
      </c>
      <c r="L86" s="603">
        <f t="shared" si="20"/>
        <v>435758.82307791163</v>
      </c>
      <c r="M86" s="603">
        <v>0</v>
      </c>
      <c r="N86" s="603">
        <v>0</v>
      </c>
      <c r="O86" s="218"/>
      <c r="P86" s="699">
        <f>'[6]Page 9'!$O$42</f>
        <v>16972346.159999847</v>
      </c>
      <c r="Q86" s="221" t="s">
        <v>1302</v>
      </c>
      <c r="R86" s="210" t="b">
        <f>IF(SUM(E86:L86)=P86,TRUE,SUM(E86:L86)-P86)</f>
        <v>1</v>
      </c>
      <c r="S86" s="68"/>
      <c r="T86">
        <v>14288998</v>
      </c>
    </row>
    <row r="87" spans="1:20" ht="15.75">
      <c r="A87" s="167"/>
      <c r="B87" s="11">
        <f t="shared" si="4"/>
        <v>37</v>
      </c>
      <c r="C87" s="80" t="s">
        <v>481</v>
      </c>
      <c r="D87" s="82"/>
      <c r="E87" s="608">
        <f t="shared" si="21" ref="E87:L87">SUM(E84:E86)</f>
        <v>1939300046.9832101</v>
      </c>
      <c r="F87" s="608">
        <f t="shared" si="21"/>
        <v>105499417.87083297</v>
      </c>
      <c r="G87" s="608">
        <f t="shared" si="21"/>
        <v>1505245784.018467</v>
      </c>
      <c r="H87" s="608">
        <f t="shared" si="21"/>
        <v>1271270.5207223126</v>
      </c>
      <c r="I87" s="608">
        <f t="shared" si="21"/>
        <v>273863282.15190542</v>
      </c>
      <c r="J87" s="608">
        <f>SUM(J84:J86)</f>
        <v>31622519.569606777</v>
      </c>
      <c r="K87" s="608">
        <f t="shared" si="21"/>
        <v>114713121.28643371</v>
      </c>
      <c r="L87" s="608">
        <f t="shared" si="21"/>
        <v>61122613.150893904</v>
      </c>
      <c r="M87" s="608">
        <f>SUM(M84:M86)</f>
        <v>608356</v>
      </c>
      <c r="N87" s="608">
        <f>SUM(N84:N86)</f>
        <v>2160192</v>
      </c>
      <c r="O87" s="608"/>
      <c r="P87" s="609">
        <f>SUM(D87:O87)</f>
        <v>4035406603.552072</v>
      </c>
      <c r="Q87" s="209"/>
      <c r="R87" s="1369" t="b">
        <f>IF(P87=S87,TRUE,P87-S87)</f>
        <v>1</v>
      </c>
      <c r="S87" s="584">
        <f>'[6]Page 9'!$O$45</f>
        <v>4035406603.552072</v>
      </c>
      <c r="T87">
        <v>22468503</v>
      </c>
    </row>
    <row r="88" spans="1:20" ht="15.75">
      <c r="A88" s="1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586" t="s">
        <v>1376</v>
      </c>
      <c r="T88">
        <v>16972346</v>
      </c>
    </row>
    <row r="89" spans="1:19" ht="15">
      <c r="A89" s="167"/>
      <c r="B89" s="224"/>
      <c r="C89" s="816"/>
      <c r="D89" s="190"/>
      <c r="E89" s="225" t="b">
        <f t="shared" si="22" ref="E89:L89">IF(E61=E90,TRUE,E61-E90)</f>
        <v>1</v>
      </c>
      <c r="F89" s="225" t="b">
        <f t="shared" si="22"/>
        <v>1</v>
      </c>
      <c r="G89" s="225" t="b">
        <f t="shared" si="22"/>
        <v>1</v>
      </c>
      <c r="H89" s="225" t="b">
        <f t="shared" si="22"/>
        <v>1</v>
      </c>
      <c r="I89" s="225" t="b">
        <f t="shared" si="22"/>
        <v>1</v>
      </c>
      <c r="J89" s="225" t="b">
        <f>IF(J61=J90,TRUE,J61-J90)</f>
        <v>1</v>
      </c>
      <c r="K89" s="225" t="b">
        <f t="shared" si="22"/>
        <v>1</v>
      </c>
      <c r="L89" s="225" t="b">
        <f t="shared" si="22"/>
        <v>1</v>
      </c>
      <c r="M89" s="225" t="b">
        <f>IF(M61=M90,TRUE,M61-M90)</f>
        <v>1</v>
      </c>
      <c r="N89" s="225" t="b">
        <f>IF(N61=N90,TRUE,N61-N90)</f>
        <v>1</v>
      </c>
      <c r="O89" s="226"/>
      <c r="P89" s="190"/>
      <c r="Q89" s="190"/>
      <c r="R89" s="1342"/>
      <c r="S89" s="168"/>
    </row>
    <row r="90" spans="1:19" ht="15.75">
      <c r="A90" s="167"/>
      <c r="B90" s="224"/>
      <c r="C90" s="190"/>
      <c r="D90" s="190"/>
      <c r="E90" s="227">
        <f>'[6]Page 9'!$O$17</f>
        <v>1921088302</v>
      </c>
      <c r="F90" s="228">
        <f>'[6]Page 9'!$O$19</f>
        <v>95557181</v>
      </c>
      <c r="G90" s="228">
        <f>'[6]Page 9'!$O$21+'[6]Page 9'!$O$22</f>
        <v>1486593538</v>
      </c>
      <c r="H90" s="228">
        <f>'[6]Page 9'!$O$24</f>
        <v>1232285</v>
      </c>
      <c r="I90" s="228">
        <f>'[6]Page 9'!$O$26+'[6]Page 9'!$O$27</f>
        <v>268296647</v>
      </c>
      <c r="J90" s="228">
        <f>'[6]Page 9'!$O$28</f>
        <v>31504042</v>
      </c>
      <c r="K90" s="228">
        <f>'[6]Page 9'!$O$29</f>
        <v>114261671</v>
      </c>
      <c r="L90" s="228">
        <f>'[6]Page 9'!$O$35</f>
        <v>60374542.129999995</v>
      </c>
      <c r="M90" s="228">
        <f>'[6]Page 9'!$O$37</f>
        <v>608356</v>
      </c>
      <c r="N90" s="229">
        <f>'[6]Page 9'!$O$38</f>
        <v>2160192</v>
      </c>
      <c r="O90" s="230"/>
      <c r="P90" s="370" t="b">
        <f>SUM(E90:N90)=P61</f>
        <v>1</v>
      </c>
      <c r="Q90" s="586" t="s">
        <v>1303</v>
      </c>
      <c r="R90" s="231"/>
      <c r="S90" s="168"/>
    </row>
    <row r="91" spans="1:19" ht="15">
      <c r="A91" s="167"/>
      <c r="B91" s="174"/>
      <c r="C91" s="175"/>
      <c r="D91" s="175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167"/>
    </row>
    <row r="92" spans="17:17" ht="14.25">
      <c r="Q92" s="1120"/>
    </row>
  </sheetData>
  <conditionalFormatting sqref="E24:K35 M24:N35">
    <cfRule type="cellIs" priority="1" dxfId="3" operator="equal" stopIfTrue="1">
      <formula>E$37</formula>
    </cfRule>
  </conditionalFormatting>
  <printOptions horizontalCentered="1"/>
  <pageMargins left="1.5" right="0.5" top="1.5" bottom="0.75" header="1" footer="0.5"/>
  <pageSetup orientation="landscape" scale="31" r:id="rId1"/>
  <headerFooter alignWithMargins="0">
    <oddHeader>&amp;RWP/ II-I-2.2
Page &amp;P of &amp;N</oddHeader>
  </headerFooter>
  <rowBreaks count="1" manualBreakCount="1">
    <brk id="43" min="1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pageSetUpPr fitToPage="1"/>
  </sheetPr>
  <dimension ref="A1:S62"/>
  <sheetViews>
    <sheetView view="pageBreakPreview" zoomScale="75" zoomScaleNormal="75" zoomScaleSheetLayoutView="75" workbookViewId="0" topLeftCell="A10">
      <selection pane="topLeft" activeCell="F45" sqref="F45"/>
    </sheetView>
  </sheetViews>
  <sheetFormatPr defaultRowHeight="14.25"/>
  <cols>
    <col min="1" max="1" width="1.5" customWidth="1"/>
    <col min="2" max="2" width="4.5" bestFit="1" customWidth="1"/>
    <col min="3" max="3" width="41.875" customWidth="1"/>
    <col min="4" max="4" width="14.5" bestFit="1" customWidth="1"/>
    <col min="5" max="5" width="1.5" customWidth="1"/>
    <col min="6" max="6" width="14.5" bestFit="1" customWidth="1"/>
    <col min="7" max="7" width="12.75" customWidth="1"/>
    <col min="8" max="8" width="14.5" bestFit="1" customWidth="1"/>
    <col min="9" max="9" width="18.125" customWidth="1"/>
    <col min="10" max="10" width="12.75" bestFit="1" customWidth="1"/>
    <col min="11" max="11" width="16" customWidth="1"/>
    <col min="12" max="12" width="16.25" customWidth="1"/>
    <col min="13" max="13" width="12.75" customWidth="1"/>
    <col min="14" max="14" width="12.125" bestFit="1" customWidth="1"/>
    <col min="15" max="15" width="13.75" bestFit="1" customWidth="1"/>
    <col min="16" max="16" width="1.5" customWidth="1"/>
    <col min="17" max="17" width="7.875" bestFit="1" customWidth="1"/>
  </cols>
  <sheetData>
    <row r="1" spans="1:17" ht="14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15">
      <c r="A2" s="67"/>
      <c r="B2" s="1245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ht="15">
      <c r="A3" s="67"/>
      <c r="B3" s="3" t="str">
        <f>'II-I-1'!B2</f>
        <v>2022 RATE CASE</v>
      </c>
      <c r="C3" s="7"/>
      <c r="D3" s="7"/>
      <c r="E3" s="7"/>
      <c r="F3" s="7"/>
      <c r="G3" s="7"/>
      <c r="H3" s="10"/>
      <c r="I3" s="7"/>
      <c r="J3" s="7"/>
      <c r="K3" s="7"/>
      <c r="L3" s="7"/>
      <c r="M3" s="7"/>
      <c r="N3" s="7"/>
      <c r="O3" s="7"/>
      <c r="P3" s="7"/>
      <c r="Q3" s="67"/>
    </row>
    <row r="4" spans="1:17" ht="15">
      <c r="A4" s="67"/>
      <c r="B4" s="3" t="str">
        <f>'II-I-1'!B3</f>
        <v>ONCOR ELECTRIC DELIVERY COMPANY LLC</v>
      </c>
      <c r="C4" s="7"/>
      <c r="D4" s="7"/>
      <c r="E4" s="7"/>
      <c r="F4" s="7"/>
      <c r="G4" s="7"/>
      <c r="H4" s="10"/>
      <c r="I4" s="7"/>
      <c r="J4" s="7"/>
      <c r="K4" s="7"/>
      <c r="L4" s="7"/>
      <c r="M4" s="7"/>
      <c r="N4" s="7"/>
      <c r="O4" s="7"/>
      <c r="P4" s="7"/>
      <c r="Q4" s="67"/>
    </row>
    <row r="5" spans="1:17" ht="15">
      <c r="A5" s="67"/>
      <c r="B5" s="3" t="str">
        <f>'II-I-1'!B4</f>
        <v>II-I-1:  CLASS REVENUE REQUIREMENT ANALYSIS</v>
      </c>
      <c r="C5" s="7"/>
      <c r="D5" s="7"/>
      <c r="E5" s="7"/>
      <c r="F5" s="7"/>
      <c r="G5" s="7"/>
      <c r="H5" s="10"/>
      <c r="I5" s="7"/>
      <c r="J5" s="7"/>
      <c r="K5" s="7"/>
      <c r="L5" s="7"/>
      <c r="M5" s="7"/>
      <c r="N5" s="7"/>
      <c r="O5" s="7"/>
      <c r="P5" s="7"/>
      <c r="Q5" s="67"/>
    </row>
    <row r="6" spans="1:17" ht="15">
      <c r="A6" s="67"/>
      <c r="B6" s="3" t="str">
        <f>'II-I-1'!B5</f>
        <v>TEST YEAR ENDING 12/31/2021</v>
      </c>
      <c r="C6" s="7"/>
      <c r="D6" s="7"/>
      <c r="E6" s="7"/>
      <c r="F6" s="7"/>
      <c r="G6" s="7"/>
      <c r="H6" s="10"/>
      <c r="I6" s="7"/>
      <c r="J6" s="7"/>
      <c r="K6" s="7"/>
      <c r="L6" s="7"/>
      <c r="M6" s="7"/>
      <c r="N6" s="7"/>
      <c r="O6" s="7"/>
      <c r="P6" s="7"/>
      <c r="Q6" s="67"/>
    </row>
    <row r="7" spans="1:17" ht="15">
      <c r="A7" s="67"/>
      <c r="B7" s="1498" t="str">
        <f>'II-I-1'!B6</f>
        <v>SPONSOR:  MATTHEW A. TROXLE</v>
      </c>
      <c r="C7" s="1498"/>
      <c r="D7" s="1498"/>
      <c r="E7" s="1498"/>
      <c r="F7" s="1498"/>
      <c r="G7" s="1498"/>
      <c r="H7" s="1498"/>
      <c r="I7" s="1498"/>
      <c r="J7" s="1498"/>
      <c r="K7" s="1498"/>
      <c r="L7" s="1498"/>
      <c r="M7" s="1498"/>
      <c r="N7" s="1498"/>
      <c r="O7" s="1498"/>
      <c r="P7" s="67"/>
      <c r="Q7" s="67"/>
    </row>
    <row r="8" spans="1:17" ht="15">
      <c r="A8" s="67"/>
      <c r="B8" s="3"/>
      <c r="C8" s="7"/>
      <c r="D8" s="7"/>
      <c r="E8" s="7"/>
      <c r="F8" s="7"/>
      <c r="G8" s="7"/>
      <c r="H8" s="94"/>
      <c r="I8" s="7"/>
      <c r="J8" s="7"/>
      <c r="K8" s="7"/>
      <c r="L8" s="7"/>
      <c r="M8" s="7"/>
      <c r="N8" s="7"/>
      <c r="O8" s="7"/>
      <c r="P8" s="7"/>
      <c r="Q8" s="67"/>
    </row>
    <row r="9" spans="1:17" ht="14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spans="1:17" ht="15">
      <c r="A10" s="67"/>
      <c r="B10" s="10" t="s">
        <v>1026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67"/>
    </row>
    <row r="11" spans="1:17" ht="15" thickBot="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</row>
    <row r="12" spans="1:17" ht="14.25">
      <c r="A12" s="67"/>
      <c r="B12" s="95"/>
      <c r="C12" s="617"/>
      <c r="D12" s="623"/>
      <c r="E12" s="624"/>
      <c r="F12" s="96"/>
      <c r="G12" s="96"/>
      <c r="H12" s="96"/>
      <c r="I12" s="96"/>
      <c r="J12" s="96"/>
      <c r="K12" s="96"/>
      <c r="L12" s="96"/>
      <c r="M12" s="96"/>
      <c r="N12" s="620"/>
      <c r="O12" s="96"/>
      <c r="P12" s="17"/>
      <c r="Q12" s="67"/>
    </row>
    <row r="13" spans="1:17" ht="14.25">
      <c r="A13" s="67"/>
      <c r="B13" s="97" t="s">
        <v>406</v>
      </c>
      <c r="C13" s="618" t="s">
        <v>4</v>
      </c>
      <c r="D13" s="618" t="s">
        <v>10</v>
      </c>
      <c r="E13" s="621"/>
      <c r="F13" s="97" t="s">
        <v>408</v>
      </c>
      <c r="G13" s="97" t="s">
        <v>409</v>
      </c>
      <c r="H13" s="97" t="s">
        <v>409</v>
      </c>
      <c r="I13" s="97" t="s">
        <v>97</v>
      </c>
      <c r="J13" s="97" t="s">
        <v>97</v>
      </c>
      <c r="K13" s="97" t="s">
        <v>410</v>
      </c>
      <c r="L13" s="97" t="s">
        <v>411</v>
      </c>
      <c r="M13" s="97" t="s">
        <v>412</v>
      </c>
      <c r="N13" s="621" t="s">
        <v>407</v>
      </c>
      <c r="O13" s="97" t="s">
        <v>407</v>
      </c>
      <c r="P13" s="17"/>
      <c r="Q13" s="67"/>
    </row>
    <row r="14" spans="1:17" ht="14.25">
      <c r="A14" s="67"/>
      <c r="B14" s="97"/>
      <c r="C14" s="618"/>
      <c r="D14" s="618" t="s">
        <v>413</v>
      </c>
      <c r="E14" s="621"/>
      <c r="F14" s="97"/>
      <c r="G14" s="98" t="s">
        <v>416</v>
      </c>
      <c r="H14" s="98" t="s">
        <v>417</v>
      </c>
      <c r="I14" s="98" t="s">
        <v>416</v>
      </c>
      <c r="J14" s="98" t="s">
        <v>417</v>
      </c>
      <c r="K14" s="97" t="s">
        <v>414</v>
      </c>
      <c r="L14" s="97"/>
      <c r="M14" s="97"/>
      <c r="N14" s="621" t="s">
        <v>414</v>
      </c>
      <c r="O14" s="97" t="s">
        <v>415</v>
      </c>
      <c r="P14" s="17"/>
      <c r="Q14" s="67"/>
    </row>
    <row r="15" spans="1:17" ht="15" thickBot="1">
      <c r="A15" s="67"/>
      <c r="B15" s="99"/>
      <c r="C15" s="619" t="s">
        <v>13</v>
      </c>
      <c r="D15" s="619" t="s">
        <v>14</v>
      </c>
      <c r="E15" s="622"/>
      <c r="F15" s="99" t="s">
        <v>15</v>
      </c>
      <c r="G15" s="99" t="s">
        <v>16</v>
      </c>
      <c r="H15" s="99" t="s">
        <v>17</v>
      </c>
      <c r="I15" s="99" t="s">
        <v>18</v>
      </c>
      <c r="J15" s="99" t="s">
        <v>19</v>
      </c>
      <c r="K15" s="99" t="s">
        <v>20</v>
      </c>
      <c r="L15" s="99" t="s">
        <v>21</v>
      </c>
      <c r="M15" s="99" t="s">
        <v>22</v>
      </c>
      <c r="N15" s="622" t="s">
        <v>418</v>
      </c>
      <c r="O15" s="99" t="s">
        <v>419</v>
      </c>
      <c r="P15" s="17"/>
      <c r="Q15" s="67"/>
    </row>
    <row r="16" spans="1:17" ht="14.25">
      <c r="A16" s="67"/>
      <c r="B16" s="100"/>
      <c r="C16" s="67"/>
      <c r="D16" s="101"/>
      <c r="E16" s="101"/>
      <c r="F16" s="102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67"/>
    </row>
    <row r="17" spans="1:17" ht="14.25">
      <c r="A17" s="67"/>
      <c r="B17" s="17">
        <f t="shared" si="0" ref="B17:B32">B16+1</f>
        <v>1</v>
      </c>
      <c r="C17" s="87" t="s">
        <v>420</v>
      </c>
      <c r="D17" s="103">
        <f>SUM(E17:P17)</f>
        <v>4035406603.552072</v>
      </c>
      <c r="E17" s="103"/>
      <c r="F17" s="103">
        <f>'II-I Summary'!F116</f>
        <v>1939300046.9832101</v>
      </c>
      <c r="G17" s="103">
        <f>'II-I Summary'!G116</f>
        <v>105499417.87083297</v>
      </c>
      <c r="H17" s="103">
        <f>'II-I Summary'!H116</f>
        <v>1505245784.018467</v>
      </c>
      <c r="I17" s="103">
        <f>'II-I Summary'!I116</f>
        <v>1271270.5207223126</v>
      </c>
      <c r="J17" s="103">
        <f>'II-I Summary'!J116</f>
        <v>273863282.15190542</v>
      </c>
      <c r="K17" s="103">
        <f>'II-I Summary'!K116</f>
        <v>31622519.569606777</v>
      </c>
      <c r="L17" s="103">
        <f>'II-I Summary'!L116</f>
        <v>114713121.28643371</v>
      </c>
      <c r="M17" s="103">
        <f>'II-I Summary'!M116</f>
        <v>61122613.150893904</v>
      </c>
      <c r="N17" s="103">
        <f>'II-I Summary'!N116</f>
        <v>608356</v>
      </c>
      <c r="O17" s="103">
        <f>'II-I Summary'!O116</f>
        <v>2160192</v>
      </c>
      <c r="P17" s="104"/>
      <c r="Q17" s="105" t="b">
        <f>IF('WP II-I-2.2'!P87=D17,TRUE,'WP II-I-2.2'!P87-D17)</f>
        <v>1</v>
      </c>
    </row>
    <row r="18" spans="1:17" ht="14.25">
      <c r="A18" s="67"/>
      <c r="B18" s="17">
        <f t="shared" si="0"/>
        <v>2</v>
      </c>
      <c r="C18" s="78" t="s">
        <v>421</v>
      </c>
      <c r="D18" s="106"/>
      <c r="E18" s="106"/>
      <c r="F18" s="107"/>
      <c r="G18" s="108"/>
      <c r="H18" s="108"/>
      <c r="I18" s="108"/>
      <c r="J18" s="108"/>
      <c r="K18" s="108"/>
      <c r="L18" s="108"/>
      <c r="M18" s="108"/>
      <c r="N18" s="123"/>
      <c r="O18" s="123"/>
      <c r="P18" s="109"/>
      <c r="Q18" s="67"/>
    </row>
    <row r="19" spans="1:17" s="386" customFormat="1" ht="14.25">
      <c r="A19" s="47"/>
      <c r="B19" s="17">
        <f t="shared" si="0"/>
        <v>3</v>
      </c>
      <c r="C19" s="64" t="s">
        <v>422</v>
      </c>
      <c r="D19" s="1213">
        <f>SUM(E19:P19)</f>
        <v>0</v>
      </c>
      <c r="E19" s="1213"/>
      <c r="F19" s="1214"/>
      <c r="G19" s="1213"/>
      <c r="H19" s="1213"/>
      <c r="I19" s="1213"/>
      <c r="J19" s="1213"/>
      <c r="K19" s="1213"/>
      <c r="L19" s="1213"/>
      <c r="M19" s="1213"/>
      <c r="N19" s="1213"/>
      <c r="O19" s="1213"/>
      <c r="P19" s="1215"/>
      <c r="Q19" s="47"/>
    </row>
    <row r="20" spans="1:17" ht="14.25">
      <c r="A20" s="67"/>
      <c r="B20" s="17">
        <f t="shared" si="0"/>
        <v>4</v>
      </c>
      <c r="C20" s="78" t="s">
        <v>423</v>
      </c>
      <c r="D20" s="108">
        <f>SUM(E20:P20)</f>
        <v>8341187.1565398332</v>
      </c>
      <c r="E20" s="108"/>
      <c r="F20" s="107"/>
      <c r="G20" s="108"/>
      <c r="H20" s="108"/>
      <c r="I20" s="108"/>
      <c r="J20" s="108"/>
      <c r="K20" s="108"/>
      <c r="L20" s="108"/>
      <c r="M20" s="108"/>
      <c r="N20" s="108">
        <f>'II-I Summary'!N40</f>
        <v>1573454.3228392515</v>
      </c>
      <c r="O20" s="108">
        <f>'II-I Summary'!O40</f>
        <v>6767732.8337005815</v>
      </c>
      <c r="P20" s="110"/>
      <c r="Q20" s="67"/>
    </row>
    <row r="21" spans="1:17" ht="14.25">
      <c r="A21" s="67"/>
      <c r="B21" s="17">
        <f t="shared" si="0"/>
        <v>5</v>
      </c>
      <c r="C21" s="64" t="s">
        <v>424</v>
      </c>
      <c r="D21" s="108">
        <f>SUM(E21:P21)</f>
        <v>9599102833.6721191</v>
      </c>
      <c r="E21" s="108"/>
      <c r="F21" s="19">
        <f>'II-I Summary'!F87</f>
        <v>5387717300.5741529</v>
      </c>
      <c r="G21" s="19">
        <f>'II-I Summary'!G87</f>
        <v>217035207.20092854</v>
      </c>
      <c r="H21" s="19">
        <f>'II-I Summary'!H87</f>
        <v>3375832752.7471972</v>
      </c>
      <c r="I21" s="19">
        <f>'II-I Summary'!I87</f>
        <v>3478066.6096882191</v>
      </c>
      <c r="J21" s="19">
        <f>'II-I Summary'!J87</f>
        <v>544065569.77023053</v>
      </c>
      <c r="K21" s="19">
        <f>'II-I Summary'!K87</f>
        <v>51350344.34402585</v>
      </c>
      <c r="L21" s="19">
        <f>'II-I Summary'!L87</f>
        <v>19623592.425896414</v>
      </c>
      <c r="M21" s="19">
        <v>0</v>
      </c>
      <c r="N21" s="19">
        <v>0</v>
      </c>
      <c r="O21" s="19">
        <v>0</v>
      </c>
      <c r="P21" s="61"/>
      <c r="Q21" s="67"/>
    </row>
    <row r="22" spans="1:17" ht="14.25">
      <c r="A22" s="67"/>
      <c r="B22" s="17">
        <f t="shared" si="0"/>
        <v>6</v>
      </c>
      <c r="C22" s="78" t="s">
        <v>425</v>
      </c>
      <c r="D22" s="111">
        <f>SUM(E22:P22)</f>
        <v>1.0000000000000002</v>
      </c>
      <c r="E22" s="111"/>
      <c r="F22" s="111">
        <f t="shared" si="1" ref="F22:M22">F21/$D21</f>
        <v>0.5612730058141373</v>
      </c>
      <c r="G22" s="111">
        <f t="shared" si="1"/>
        <v>0.02260994709209737</v>
      </c>
      <c r="H22" s="111">
        <f t="shared" si="1"/>
        <v>0.35168211146830464</v>
      </c>
      <c r="I22" s="111">
        <f t="shared" si="1"/>
        <v>0.00036233246689343894</v>
      </c>
      <c r="J22" s="111">
        <f t="shared" si="1"/>
        <v>0.056678793757864061</v>
      </c>
      <c r="K22" s="111">
        <f>K21/$D21</f>
        <v>0.0053494941385456409</v>
      </c>
      <c r="L22" s="111">
        <f t="shared" si="1"/>
        <v>0.0020443152621576243</v>
      </c>
      <c r="M22" s="111">
        <f t="shared" si="1"/>
        <v>0</v>
      </c>
      <c r="N22" s="1100">
        <f>N21/$D21</f>
        <v>0</v>
      </c>
      <c r="O22" s="1100">
        <f>O21/$D21</f>
        <v>0</v>
      </c>
      <c r="P22" s="112"/>
      <c r="Q22" s="67"/>
    </row>
    <row r="23" spans="1:17" ht="14.25">
      <c r="A23" s="67"/>
      <c r="B23" s="17">
        <f t="shared" si="0"/>
        <v>7</v>
      </c>
      <c r="C23" s="78" t="s">
        <v>426</v>
      </c>
      <c r="D23" s="108">
        <f>SUM(E23:P23)</f>
        <v>0</v>
      </c>
      <c r="E23" s="108"/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08">
        <v>0</v>
      </c>
      <c r="N23" s="1109">
        <v>0</v>
      </c>
      <c r="O23" s="1109">
        <v>0</v>
      </c>
      <c r="P23" s="110"/>
      <c r="Q23" s="67"/>
    </row>
    <row r="24" spans="1:17" ht="14.25">
      <c r="A24" s="67"/>
      <c r="B24" s="17">
        <f t="shared" si="0"/>
        <v>8</v>
      </c>
      <c r="C24" s="78" t="s">
        <v>427</v>
      </c>
      <c r="D24" s="114">
        <f>0.21</f>
        <v>0.20999999999999999</v>
      </c>
      <c r="E24" s="114"/>
      <c r="F24" s="114">
        <f t="shared" si="2" ref="F24:O24">0.21</f>
        <v>0.20999999999999999</v>
      </c>
      <c r="G24" s="114">
        <f t="shared" si="2"/>
        <v>0.20999999999999999</v>
      </c>
      <c r="H24" s="114">
        <f t="shared" si="2"/>
        <v>0.20999999999999999</v>
      </c>
      <c r="I24" s="114">
        <f t="shared" si="2"/>
        <v>0.20999999999999999</v>
      </c>
      <c r="J24" s="114">
        <f t="shared" si="2"/>
        <v>0.20999999999999999</v>
      </c>
      <c r="K24" s="114">
        <f t="shared" si="2"/>
        <v>0.20999999999999999</v>
      </c>
      <c r="L24" s="114">
        <f t="shared" si="2"/>
        <v>0.20999999999999999</v>
      </c>
      <c r="M24" s="114">
        <f t="shared" si="2"/>
        <v>0.20999999999999999</v>
      </c>
      <c r="N24" s="1101">
        <f t="shared" si="2"/>
        <v>0.20999999999999999</v>
      </c>
      <c r="O24" s="1101">
        <f t="shared" si="2"/>
        <v>0.20999999999999999</v>
      </c>
      <c r="P24" s="115"/>
      <c r="Q24" s="67"/>
    </row>
    <row r="25" spans="1:17" ht="14.25">
      <c r="A25" s="67"/>
      <c r="B25" s="17">
        <f t="shared" si="0"/>
        <v>9</v>
      </c>
      <c r="C25" s="92" t="s">
        <v>428</v>
      </c>
      <c r="D25" s="116">
        <f>SUM(E25:P25)</f>
        <v>0</v>
      </c>
      <c r="E25" s="116"/>
      <c r="F25" s="116">
        <f t="shared" si="3" ref="F25:M25">F23*(1-F24)</f>
        <v>0</v>
      </c>
      <c r="G25" s="116">
        <f t="shared" si="3"/>
        <v>0</v>
      </c>
      <c r="H25" s="116">
        <f t="shared" si="3"/>
        <v>0</v>
      </c>
      <c r="I25" s="116">
        <f t="shared" si="3"/>
        <v>0</v>
      </c>
      <c r="J25" s="116">
        <f t="shared" si="3"/>
        <v>0</v>
      </c>
      <c r="K25" s="116">
        <f>K23*(1-K24)</f>
        <v>0</v>
      </c>
      <c r="L25" s="116">
        <f t="shared" si="3"/>
        <v>0</v>
      </c>
      <c r="M25" s="116">
        <f t="shared" si="3"/>
        <v>0</v>
      </c>
      <c r="N25" s="1108">
        <f>N23*(1-N24)</f>
        <v>0</v>
      </c>
      <c r="O25" s="1108">
        <f>O23*(1-O24)</f>
        <v>0</v>
      </c>
      <c r="P25" s="117"/>
      <c r="Q25" s="67"/>
    </row>
    <row r="26" spans="1:17" ht="14.25">
      <c r="A26" s="67"/>
      <c r="B26" s="17">
        <f t="shared" si="0"/>
        <v>10</v>
      </c>
      <c r="C26" s="67"/>
      <c r="D26" s="101"/>
      <c r="E26" s="101"/>
      <c r="F26" s="102"/>
      <c r="G26" s="101"/>
      <c r="H26" s="101"/>
      <c r="I26" s="101"/>
      <c r="J26" s="101"/>
      <c r="K26" s="101"/>
      <c r="L26" s="101"/>
      <c r="M26" s="101"/>
      <c r="N26" s="1102"/>
      <c r="O26" s="1102"/>
      <c r="P26" s="101"/>
      <c r="Q26" s="67"/>
    </row>
    <row r="27" spans="1:17" ht="14.25">
      <c r="A27" s="67"/>
      <c r="B27" s="17">
        <f t="shared" si="0"/>
        <v>11</v>
      </c>
      <c r="C27" s="28" t="s">
        <v>360</v>
      </c>
      <c r="D27" s="101">
        <f>SUM(E27:P27)</f>
        <v>9687950496.5693398</v>
      </c>
      <c r="E27" s="101"/>
      <c r="F27" s="101">
        <f>'II-I Summary'!F87</f>
        <v>5387717300.5741529</v>
      </c>
      <c r="G27" s="101">
        <f>'II-I Summary'!G87</f>
        <v>217035207.20092854</v>
      </c>
      <c r="H27" s="101">
        <f>'II-I Summary'!H87</f>
        <v>3375832752.7471972</v>
      </c>
      <c r="I27" s="101">
        <f>'II-I Summary'!I87</f>
        <v>3478066.6096882191</v>
      </c>
      <c r="J27" s="101">
        <f>'II-I Summary'!J87</f>
        <v>544065569.77023053</v>
      </c>
      <c r="K27" s="101">
        <f>'II-I Summary'!K87</f>
        <v>51350344.34402585</v>
      </c>
      <c r="L27" s="101">
        <f>'II-I Summary'!L87</f>
        <v>19623592.425896414</v>
      </c>
      <c r="M27" s="101">
        <f>'II-I Summary'!M87</f>
        <v>55641786.449538231</v>
      </c>
      <c r="N27" s="1102">
        <f>'II-I Summary'!N87</f>
        <v>6129597.2085581301</v>
      </c>
      <c r="O27" s="1102">
        <f>'II-I Summary'!O87</f>
        <v>27076279.239122748</v>
      </c>
      <c r="P27" s="19"/>
      <c r="Q27" s="105" t="b">
        <f>IF('II-I-Total'!U79=D27,TRUE,'II-I-Total'!U79-D27)</f>
        <v>1</v>
      </c>
    </row>
    <row r="28" spans="1:17" ht="14.25">
      <c r="A28" s="67"/>
      <c r="B28" s="17">
        <f t="shared" si="0"/>
        <v>12</v>
      </c>
      <c r="C28" s="28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102"/>
      <c r="O28" s="1102"/>
      <c r="P28" s="101"/>
      <c r="Q28" s="105"/>
    </row>
    <row r="29" spans="1:17" ht="14.25">
      <c r="A29" s="67"/>
      <c r="B29" s="17">
        <f t="shared" si="0"/>
        <v>13</v>
      </c>
      <c r="C29" s="28" t="s">
        <v>429</v>
      </c>
      <c r="D29" s="101">
        <f>SUM(E29:P29)</f>
        <v>683000510.00813818</v>
      </c>
      <c r="E29" s="101"/>
      <c r="F29" s="101">
        <f>'II-I Summary'!F94</f>
        <v>379834069.69047773</v>
      </c>
      <c r="G29" s="101">
        <f>'II-I Summary'!G94</f>
        <v>15300982.107665461</v>
      </c>
      <c r="H29" s="101">
        <f>'II-I Summary'!H94</f>
        <v>237996209.06867737</v>
      </c>
      <c r="I29" s="101">
        <f>'II-I Summary'!I94</f>
        <v>245203.69598301943</v>
      </c>
      <c r="J29" s="101">
        <f>'II-I Summary'!J94</f>
        <v>38356622.668801248</v>
      </c>
      <c r="K29" s="101">
        <f>'II-I Summary'!K94</f>
        <v>3620199.2762538223</v>
      </c>
      <c r="L29" s="101">
        <f>'II-I Summary'!L94</f>
        <v>1383463.2660256971</v>
      </c>
      <c r="M29" s="101">
        <f>'II-I Summary'!M94</f>
        <v>3922745.944692445</v>
      </c>
      <c r="N29" s="1102">
        <f>'II-I Summary'!N94</f>
        <v>432136.60320334812</v>
      </c>
      <c r="O29" s="1102">
        <f>'II-I Summary'!O94</f>
        <v>1908877.6863581536</v>
      </c>
      <c r="P29" s="101"/>
      <c r="Q29" s="105" t="b">
        <f>IF(ROUND(' WP II-I-1.4'!L599-D29,2)=0,TRUE,' WP II-I-1.4'!L599-D29)</f>
        <v>1</v>
      </c>
    </row>
    <row r="30" spans="1:17" ht="14.25">
      <c r="A30" s="67"/>
      <c r="B30" s="17">
        <f t="shared" si="0"/>
        <v>14</v>
      </c>
      <c r="C30" s="28" t="s">
        <v>428</v>
      </c>
      <c r="D30" s="119">
        <f>SUM(E30:P30)</f>
        <v>0</v>
      </c>
      <c r="E30" s="119"/>
      <c r="F30" s="119">
        <f t="shared" si="4" ref="F30:M30">F25</f>
        <v>0</v>
      </c>
      <c r="G30" s="119">
        <f t="shared" si="4"/>
        <v>0</v>
      </c>
      <c r="H30" s="119">
        <f t="shared" si="4"/>
        <v>0</v>
      </c>
      <c r="I30" s="119">
        <f t="shared" si="4"/>
        <v>0</v>
      </c>
      <c r="J30" s="119">
        <f t="shared" si="4"/>
        <v>0</v>
      </c>
      <c r="K30" s="119">
        <f>K25</f>
        <v>0</v>
      </c>
      <c r="L30" s="119">
        <f t="shared" si="4"/>
        <v>0</v>
      </c>
      <c r="M30" s="119">
        <f t="shared" si="4"/>
        <v>0</v>
      </c>
      <c r="N30" s="1106">
        <f>N25</f>
        <v>0</v>
      </c>
      <c r="O30" s="1106">
        <f>O25</f>
        <v>0</v>
      </c>
      <c r="P30" s="119"/>
      <c r="Q30" s="105" t="b">
        <f>IF(ROUND(D30,4)=0,TRUE,D30)</f>
        <v>1</v>
      </c>
    </row>
    <row r="31" spans="1:17" ht="14.25">
      <c r="A31" s="67"/>
      <c r="B31" s="17">
        <f t="shared" si="0"/>
        <v>15</v>
      </c>
      <c r="C31" s="28" t="s">
        <v>430</v>
      </c>
      <c r="D31" s="101">
        <f>SUM(E31:P31)</f>
        <v>683000510.00813818</v>
      </c>
      <c r="E31" s="101"/>
      <c r="F31" s="101">
        <f t="shared" si="5" ref="F31:M31">SUM(F29:F30)</f>
        <v>379834069.69047773</v>
      </c>
      <c r="G31" s="101">
        <f t="shared" si="5"/>
        <v>15300982.107665461</v>
      </c>
      <c r="H31" s="101">
        <f t="shared" si="5"/>
        <v>237996209.06867737</v>
      </c>
      <c r="I31" s="101">
        <f t="shared" si="5"/>
        <v>245203.69598301943</v>
      </c>
      <c r="J31" s="101">
        <f t="shared" si="5"/>
        <v>38356622.668801248</v>
      </c>
      <c r="K31" s="101">
        <f>SUM(K29:K30)</f>
        <v>3620199.2762538223</v>
      </c>
      <c r="L31" s="101">
        <f t="shared" si="5"/>
        <v>1383463.2660256971</v>
      </c>
      <c r="M31" s="101">
        <f t="shared" si="5"/>
        <v>3922745.944692445</v>
      </c>
      <c r="N31" s="1107">
        <f>SUM(N29:N30)</f>
        <v>432136.60320334812</v>
      </c>
      <c r="O31" s="1107">
        <f>SUM(O29:O30)</f>
        <v>1908877.6863581536</v>
      </c>
      <c r="P31" s="101"/>
      <c r="Q31" s="105" t="b">
        <f>IF(ROUND(D31,4)=ROUND(D$29,4),TRUE,D31-D$29)</f>
        <v>1</v>
      </c>
    </row>
    <row r="32" spans="1:17" ht="14.25">
      <c r="A32" s="67"/>
      <c r="B32" s="17">
        <f t="shared" si="0"/>
        <v>16</v>
      </c>
      <c r="C32" s="28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102"/>
      <c r="O32" s="1102"/>
      <c r="P32" s="101"/>
      <c r="Q32" s="105"/>
    </row>
    <row r="33" spans="1:17" ht="14.25">
      <c r="A33" s="67"/>
      <c r="B33" s="17">
        <f t="shared" si="6" ref="B33:B61">B32+1</f>
        <v>17</v>
      </c>
      <c r="C33" s="28" t="s">
        <v>431</v>
      </c>
      <c r="D33" s="101">
        <f t="shared" si="7" ref="D33:D60">SUM(E33:P33)</f>
        <v>262769019.45999995</v>
      </c>
      <c r="E33" s="101"/>
      <c r="F33" s="19">
        <f>'II-I-Total'!J1099</f>
        <v>146133152.76033109</v>
      </c>
      <c r="G33" s="19">
        <f>'II-I-Total'!K1099</f>
        <v>5941190.8607198168</v>
      </c>
      <c r="H33" s="19">
        <f>'II-I-Total'!L1099</f>
        <v>91492993.005649447</v>
      </c>
      <c r="I33" s="19">
        <f>'II-I-Total'!M1099</f>
        <v>97215.846374248518</v>
      </c>
      <c r="J33" s="19">
        <f>'II-I-Total'!N1099</f>
        <v>14775252.417063708</v>
      </c>
      <c r="K33" s="19">
        <f>'II-I-Total'!O1099</f>
        <v>1390497.5415576333</v>
      </c>
      <c r="L33" s="19">
        <f>'II-I-Total'!P1099</f>
        <v>535811.88789907028</v>
      </c>
      <c r="M33" s="19">
        <f>'II-I-Total'!Q1099</f>
        <v>1504329.9034356845</v>
      </c>
      <c r="N33" s="894">
        <f>'II-I-Total'!R1099</f>
        <v>165969.94507331404</v>
      </c>
      <c r="O33" s="894">
        <f>'II-I-Total'!S1099</f>
        <v>732605.29189591575</v>
      </c>
      <c r="P33" s="19"/>
      <c r="Q33" s="105" t="b">
        <f>IF(' WP II-I-1.4'!L1099=D33,TRUE,' WP II-I-1.4'!L1099-D33)</f>
        <v>1</v>
      </c>
    </row>
    <row r="34" spans="1:17" ht="14.25">
      <c r="A34" s="67"/>
      <c r="B34" s="17">
        <f t="shared" si="6"/>
        <v>18</v>
      </c>
      <c r="C34" s="28" t="s">
        <v>434</v>
      </c>
      <c r="D34" s="1216">
        <f t="shared" si="7"/>
        <v>-961519.44999999972</v>
      </c>
      <c r="E34" s="101"/>
      <c r="F34" s="19">
        <f>'II-I-Total'!J1109</f>
        <v>-445758.37354556867</v>
      </c>
      <c r="G34" s="19">
        <f>'II-I-Total'!K1109</f>
        <v>-44879.883453962451</v>
      </c>
      <c r="H34" s="19">
        <f>'II-I-Total'!L1109</f>
        <v>-393865.23211494554</v>
      </c>
      <c r="I34" s="19">
        <f>'II-I-Total'!M1109</f>
        <v>-1861.0789999212916</v>
      </c>
      <c r="J34" s="19">
        <f>'II-I-Total'!N1109</f>
        <v>-47294.327265580767</v>
      </c>
      <c r="K34" s="19">
        <f>'II-I-Total'!O1109</f>
        <v>3786.9734609199695</v>
      </c>
      <c r="L34" s="19">
        <f>'II-I-Total'!P1109</f>
        <v>-1671.9277012216644</v>
      </c>
      <c r="M34" s="19">
        <f>'II-I-Total'!Q1109</f>
        <v>-27976.510166974338</v>
      </c>
      <c r="N34" s="894">
        <f>'II-I-Total'!R1109</f>
        <v>-115.76019225506434</v>
      </c>
      <c r="O34" s="894">
        <f>'II-I-Total'!S1109</f>
        <v>-1883.3300204899115</v>
      </c>
      <c r="P34" s="19"/>
      <c r="Q34" s="105" t="b">
        <f>IF(' WP II-I-1.4'!L1109=D34,TRUE,' WP II-I-1.4'!L1109-D34)</f>
        <v>1</v>
      </c>
    </row>
    <row r="35" spans="1:17" ht="14.25">
      <c r="A35" s="67"/>
      <c r="B35" s="17">
        <f t="shared" si="6"/>
        <v>19</v>
      </c>
      <c r="C35" s="28"/>
      <c r="D35" s="119"/>
      <c r="E35" s="119"/>
      <c r="F35" s="19"/>
      <c r="G35" s="119"/>
      <c r="H35" s="119"/>
      <c r="I35" s="119"/>
      <c r="J35" s="119"/>
      <c r="K35" s="119"/>
      <c r="L35" s="119"/>
      <c r="M35" s="119"/>
      <c r="N35" s="1103"/>
      <c r="O35" s="1103"/>
      <c r="P35" s="119"/>
      <c r="Q35" s="105"/>
    </row>
    <row r="36" spans="1:17" ht="14.25">
      <c r="A36" s="67"/>
      <c r="B36" s="17">
        <f t="shared" si="6"/>
        <v>20</v>
      </c>
      <c r="C36" s="12" t="s">
        <v>435</v>
      </c>
      <c r="D36" s="101">
        <f t="shared" si="7"/>
        <v>419269971.09813839</v>
      </c>
      <c r="E36" s="101"/>
      <c r="F36" s="121">
        <f t="shared" si="8" ref="F36:M36">F31-F33+F34</f>
        <v>233255158.55660108</v>
      </c>
      <c r="G36" s="121">
        <f t="shared" si="8"/>
        <v>9314911.3634916805</v>
      </c>
      <c r="H36" s="121">
        <f t="shared" si="8"/>
        <v>146109350.83091298</v>
      </c>
      <c r="I36" s="121">
        <f t="shared" si="8"/>
        <v>146126.77060884962</v>
      </c>
      <c r="J36" s="121">
        <f t="shared" si="8"/>
        <v>23534075.924471963</v>
      </c>
      <c r="K36" s="121">
        <f>K31-K33+K34</f>
        <v>2233488.7081571091</v>
      </c>
      <c r="L36" s="121">
        <f t="shared" si="8"/>
        <v>845979.45042540517</v>
      </c>
      <c r="M36" s="121">
        <f t="shared" si="8"/>
        <v>2390439.531089786</v>
      </c>
      <c r="N36" s="777">
        <f>N31-N33+N34</f>
        <v>266050.89793777902</v>
      </c>
      <c r="O36" s="777">
        <f>O31-O33+O34</f>
        <v>1174389.064441748</v>
      </c>
      <c r="P36" s="121"/>
      <c r="Q36" s="105" t="b">
        <f>IF(ROUND(' WP II-I-1.4'!L1111-D36,2)=0,TRUE,' WP II-I-1.4'!L1111-D36)</f>
        <v>1</v>
      </c>
    </row>
    <row r="37" spans="1:17" ht="14.25">
      <c r="A37" s="67"/>
      <c r="B37" s="17">
        <f t="shared" si="6"/>
        <v>21</v>
      </c>
      <c r="C37" s="12" t="s">
        <v>436</v>
      </c>
      <c r="D37" s="122">
        <f>0.21/(1-0.21)</f>
        <v>0.26582278481012656</v>
      </c>
      <c r="E37" s="122"/>
      <c r="F37" s="123">
        <f t="shared" si="9" ref="F37:O37">$D37</f>
        <v>0.26582278481012656</v>
      </c>
      <c r="G37" s="123">
        <f t="shared" si="9"/>
        <v>0.26582278481012656</v>
      </c>
      <c r="H37" s="123">
        <f t="shared" si="9"/>
        <v>0.26582278481012656</v>
      </c>
      <c r="I37" s="123">
        <f t="shared" si="9"/>
        <v>0.26582278481012656</v>
      </c>
      <c r="J37" s="123">
        <f t="shared" si="9"/>
        <v>0.26582278481012656</v>
      </c>
      <c r="K37" s="123">
        <f t="shared" si="9"/>
        <v>0.26582278481012656</v>
      </c>
      <c r="L37" s="123">
        <f t="shared" si="9"/>
        <v>0.26582278481012656</v>
      </c>
      <c r="M37" s="123">
        <f t="shared" si="9"/>
        <v>0.26582278481012656</v>
      </c>
      <c r="N37" s="1104">
        <f t="shared" si="9"/>
        <v>0.26582278481012656</v>
      </c>
      <c r="O37" s="1104">
        <f t="shared" si="9"/>
        <v>0.26582278481012656</v>
      </c>
      <c r="P37" s="123"/>
      <c r="Q37" s="105"/>
    </row>
    <row r="38" spans="1:17" ht="14.25">
      <c r="A38" s="67"/>
      <c r="B38" s="17">
        <f t="shared" si="6"/>
        <v>22</v>
      </c>
      <c r="C38" s="12" t="s">
        <v>437</v>
      </c>
      <c r="D38" s="101">
        <f t="shared" si="7"/>
        <v>111451511.30456844</v>
      </c>
      <c r="E38" s="101"/>
      <c r="F38" s="121">
        <f t="shared" si="10" ref="F38:M38">F36*F37</f>
        <v>62004535.81884332</v>
      </c>
      <c r="G38" s="121">
        <f t="shared" si="10"/>
        <v>2476115.6789028514</v>
      </c>
      <c r="H38" s="121">
        <f t="shared" si="10"/>
        <v>38839194.524673067</v>
      </c>
      <c r="I38" s="121">
        <f t="shared" si="10"/>
        <v>38843.82509855496</v>
      </c>
      <c r="J38" s="121">
        <f t="shared" si="10"/>
        <v>6255893.6001760913</v>
      </c>
      <c r="K38" s="121">
        <f>K36*K37</f>
        <v>593712.18824429472</v>
      </c>
      <c r="L38" s="121">
        <f t="shared" si="10"/>
        <v>224880.6134042216</v>
      </c>
      <c r="M38" s="121">
        <f t="shared" si="10"/>
        <v>635433.29307450005</v>
      </c>
      <c r="N38" s="777">
        <f>N36*N37</f>
        <v>70722.390591055169</v>
      </c>
      <c r="O38" s="777">
        <f>O36*O37</f>
        <v>312179.37156046461</v>
      </c>
      <c r="P38" s="121"/>
      <c r="Q38" s="105" t="b">
        <f>IF(' WP II-I-1.4'!L1114=D38,TRUE,' WP II-I-1.4'!L1114-D38)</f>
        <v>1</v>
      </c>
    </row>
    <row r="39" spans="1:17" ht="14.25">
      <c r="A39" s="67"/>
      <c r="B39" s="17">
        <f t="shared" si="6"/>
        <v>23</v>
      </c>
      <c r="C39" s="2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03"/>
      <c r="O39" s="1103"/>
      <c r="P39" s="119"/>
      <c r="Q39" s="105"/>
    </row>
    <row r="40" spans="1:17" ht="14.25">
      <c r="A40" s="67"/>
      <c r="B40" s="17">
        <f t="shared" si="6"/>
        <v>24</v>
      </c>
      <c r="C40" s="28" t="s">
        <v>438</v>
      </c>
      <c r="D40" s="101">
        <f t="shared" si="7"/>
        <v>29197084.460000016</v>
      </c>
      <c r="E40" s="101"/>
      <c r="F40" s="19">
        <f>'II-I-Total'!J1121</f>
        <v>16237819.827433344</v>
      </c>
      <c r="G40" s="19">
        <f>'II-I-Total'!K1121</f>
        <v>708530.06661897502</v>
      </c>
      <c r="H40" s="19">
        <f>'II-I-Total'!L1121</f>
        <v>10103308.750578098</v>
      </c>
      <c r="I40" s="19">
        <f>'II-I-Total'!M1121</f>
        <v>13358.970260264701</v>
      </c>
      <c r="J40" s="19">
        <f>'II-I-Total'!N1121</f>
        <v>1658072.2288219719</v>
      </c>
      <c r="K40" s="19">
        <f>'II-I-Total'!O1121</f>
        <v>152466.68217817269</v>
      </c>
      <c r="L40" s="19">
        <f>'II-I-Total'!P1121</f>
        <v>62693.356951066147</v>
      </c>
      <c r="M40" s="19">
        <f>'II-I-Total'!Q1121</f>
        <v>162835.73874473883</v>
      </c>
      <c r="N40" s="894">
        <f>'II-I-Total'!R1121</f>
        <v>18188.464757910333</v>
      </c>
      <c r="O40" s="894">
        <f>'II-I-Total'!S1121</f>
        <v>79810.373655471441</v>
      </c>
      <c r="P40" s="19"/>
      <c r="Q40" s="105" t="b">
        <f>IF(' WP II-I-1.4'!L1122=D40,TRUE,' WP II-I-1.4'!L1122-D40)</f>
        <v>1</v>
      </c>
    </row>
    <row r="41" spans="1:17" ht="14.25">
      <c r="A41" s="67"/>
      <c r="B41" s="17">
        <f t="shared" si="6"/>
        <v>25</v>
      </c>
      <c r="C41" s="28" t="s">
        <v>434</v>
      </c>
      <c r="D41" s="116">
        <f t="shared" si="7"/>
        <v>150259.10000000004</v>
      </c>
      <c r="E41" s="116"/>
      <c r="F41" s="83">
        <f>'II-I-Total'!J1128</f>
        <v>83562.332176824115</v>
      </c>
      <c r="G41" s="83">
        <f>'II-I-Total'!K1128</f>
        <v>3311.4627584271702</v>
      </c>
      <c r="H41" s="83">
        <f>'II-I-Total'!L1128</f>
        <v>52429.300192310526</v>
      </c>
      <c r="I41" s="83">
        <f>'II-I-Total'!M1128</f>
        <v>51.04720064518424</v>
      </c>
      <c r="J41" s="83">
        <f>'II-I-Total'!N1128</f>
        <v>8419.7188370901822</v>
      </c>
      <c r="K41" s="83">
        <f>'II-I-Total'!O1128</f>
        <v>798.72302351180588</v>
      </c>
      <c r="L41" s="83">
        <f>'II-I-Total'!P1128</f>
        <v>300.63029822213957</v>
      </c>
      <c r="M41" s="83">
        <f>'II-I-Total'!Q1128</f>
        <v>868.7834544859279</v>
      </c>
      <c r="N41" s="1054">
        <f>'II-I-Total'!R1128</f>
        <v>95.352979896203152</v>
      </c>
      <c r="O41" s="1054">
        <f>'II-I-Total'!S1128</f>
        <v>421.7490785867646</v>
      </c>
      <c r="P41" s="19"/>
      <c r="Q41" s="105" t="b">
        <f>IF(ROUND(' WP II-I-1.4'!L1130-D41,2)=0,TRUE,' WP II-I-1.4'!L1130-D41)</f>
        <v>1</v>
      </c>
    </row>
    <row r="42" spans="1:17" ht="14.25">
      <c r="A42" s="67"/>
      <c r="B42" s="17">
        <f t="shared" si="6"/>
        <v>26</v>
      </c>
      <c r="C42" s="12" t="s">
        <v>439</v>
      </c>
      <c r="D42" s="101">
        <f t="shared" si="7"/>
        <v>82404685.944568396</v>
      </c>
      <c r="E42" s="101"/>
      <c r="F42" s="119">
        <f t="shared" si="11" ref="F42:M42">F38-F40+F41</f>
        <v>45850278.323586799</v>
      </c>
      <c r="G42" s="119">
        <f t="shared" si="11"/>
        <v>1770897.0750423037</v>
      </c>
      <c r="H42" s="119">
        <f t="shared" si="11"/>
        <v>28788315.07428728</v>
      </c>
      <c r="I42" s="1217">
        <f t="shared" si="11"/>
        <v>25535.902038935445</v>
      </c>
      <c r="J42" s="119">
        <f t="shared" si="11"/>
        <v>4606241.0901912097</v>
      </c>
      <c r="K42" s="119">
        <f>K38-K40+K41</f>
        <v>442044.22908963385</v>
      </c>
      <c r="L42" s="119">
        <f t="shared" si="11"/>
        <v>162487.88675137761</v>
      </c>
      <c r="M42" s="119">
        <f t="shared" si="11"/>
        <v>473466.33778424712</v>
      </c>
      <c r="N42" s="1106">
        <f>N38-N40+N41</f>
        <v>52629.278813041041</v>
      </c>
      <c r="O42" s="1106">
        <f>O38-O40+O41</f>
        <v>232790.74698357994</v>
      </c>
      <c r="P42" s="119"/>
      <c r="Q42" s="105" t="b">
        <f>IF(ROUND(' WP II-I-1.4'!L1132-D42,0)=0,TRUE,' WP II-I-1.4'!L1132-D42)</f>
        <v>1</v>
      </c>
    </row>
    <row r="43" spans="1:17" ht="14.25">
      <c r="A43" s="67"/>
      <c r="B43" s="17">
        <f t="shared" si="6"/>
        <v>27</v>
      </c>
      <c r="C43" s="12" t="s">
        <v>440</v>
      </c>
      <c r="D43" s="124">
        <f t="shared" si="7"/>
        <v>82404685.944568396</v>
      </c>
      <c r="E43" s="124"/>
      <c r="F43" s="120">
        <f>'II-I Summary'!F25</f>
        <v>45850278.323586799</v>
      </c>
      <c r="G43" s="120">
        <f>'II-I Summary'!G25</f>
        <v>1770897.0750423032</v>
      </c>
      <c r="H43" s="120">
        <f>'II-I Summary'!H25</f>
        <v>28788315.074287303</v>
      </c>
      <c r="I43" s="1218">
        <f>'II-I Summary'!I25</f>
        <v>25535.902038935445</v>
      </c>
      <c r="J43" s="120">
        <f>'II-I Summary'!J25</f>
        <v>4606241.090191206</v>
      </c>
      <c r="K43" s="120">
        <f>'II-I Summary'!K25</f>
        <v>442044.22908963409</v>
      </c>
      <c r="L43" s="120">
        <f>'II-I Summary'!L25</f>
        <v>162487.88675137755</v>
      </c>
      <c r="M43" s="120">
        <f>'II-I Summary'!M25</f>
        <v>473466.33778424712</v>
      </c>
      <c r="N43" s="120">
        <f>'II-I Summary'!N25</f>
        <v>52629.278813041012</v>
      </c>
      <c r="O43" s="120">
        <f>'II-I Summary'!O25</f>
        <v>232790.74698357988</v>
      </c>
      <c r="P43" s="120"/>
      <c r="Q43" s="105" t="b">
        <f>IF(ROUND('II-I-Total'!U1130-D43,0)=0,TRUE,'II-I-Total'!U1130-D43)</f>
        <v>1</v>
      </c>
    </row>
    <row r="44" spans="1:17" ht="15" thickBot="1">
      <c r="A44" s="67"/>
      <c r="B44" s="1377">
        <f t="shared" si="6"/>
        <v>28</v>
      </c>
      <c r="C44" s="1378" t="s">
        <v>441</v>
      </c>
      <c r="D44" s="1379">
        <f t="shared" si="7"/>
        <v>0</v>
      </c>
      <c r="E44" s="1379"/>
      <c r="F44" s="1380">
        <f t="shared" si="12" ref="F44:M44">F42-F43</f>
        <v>0</v>
      </c>
      <c r="G44" s="1381">
        <f t="shared" si="12"/>
        <v>0</v>
      </c>
      <c r="H44" s="1380">
        <f t="shared" si="12"/>
        <v>0</v>
      </c>
      <c r="I44" s="1380">
        <f t="shared" si="12"/>
        <v>0</v>
      </c>
      <c r="J44" s="1380">
        <f t="shared" si="12"/>
        <v>0</v>
      </c>
      <c r="K44" s="1380">
        <f>K42-K43</f>
        <v>0</v>
      </c>
      <c r="L44" s="1380">
        <f t="shared" si="12"/>
        <v>0</v>
      </c>
      <c r="M44" s="1380">
        <f t="shared" si="12"/>
        <v>0</v>
      </c>
      <c r="N44" s="1381">
        <f>N42-N43</f>
        <v>0</v>
      </c>
      <c r="O44" s="1381">
        <f>O42-O43</f>
        <v>0</v>
      </c>
      <c r="P44" s="1380"/>
      <c r="Q44" s="105"/>
    </row>
    <row r="45" spans="1:19" ht="14.25">
      <c r="A45" s="67"/>
      <c r="B45" s="17">
        <f t="shared" si="6"/>
        <v>29</v>
      </c>
      <c r="C45" s="730" t="s">
        <v>1393</v>
      </c>
      <c r="D45" s="101">
        <f t="shared" si="7"/>
        <v>1646625.77403555</v>
      </c>
      <c r="E45" s="67"/>
      <c r="F45" s="392">
        <f>'II-I Summary'!$F$19</f>
        <v>824746.22336069902</v>
      </c>
      <c r="G45" s="392">
        <f>'II-I Summary'!$G$19</f>
        <v>33960.67903355274</v>
      </c>
      <c r="H45" s="392">
        <f>'II-I Summary'!$H$19</f>
        <v>560215.85273149016</v>
      </c>
      <c r="I45" s="392">
        <f>'II-I Summary'!$I$19</f>
        <v>623.20619305211824</v>
      </c>
      <c r="J45" s="392">
        <f>'II-I Summary'!$J$19</f>
        <v>114082.03459886929</v>
      </c>
      <c r="K45" s="392">
        <f>'II-I Summary'!$K$19</f>
        <v>22961.479548275718</v>
      </c>
      <c r="L45" s="392">
        <f>'II-I Summary'!$L$19</f>
        <v>63196.956486994015</v>
      </c>
      <c r="M45" s="392">
        <f>'II-I Summary'!$M$19</f>
        <v>23632.913955440974</v>
      </c>
      <c r="N45" s="392">
        <f>'II-I Summary'!$N$19</f>
        <v>604.85532078952042</v>
      </c>
      <c r="O45" s="392">
        <f>'II-I Summary'!$O$19</f>
        <v>2601.5728063862907</v>
      </c>
      <c r="P45" s="67"/>
      <c r="S45" s="1382"/>
    </row>
    <row r="46" spans="1:17" ht="14.25">
      <c r="A46" s="67"/>
      <c r="B46" s="17">
        <f t="shared" si="6"/>
        <v>30</v>
      </c>
      <c r="C46" s="732" t="s">
        <v>1410</v>
      </c>
      <c r="D46" s="101">
        <f t="shared" si="7"/>
        <v>897799387.27999985</v>
      </c>
      <c r="E46" s="101"/>
      <c r="F46" s="101">
        <f>'II-I Summary'!F17+'II-I Summary'!F19</f>
        <v>483978151.12928534</v>
      </c>
      <c r="G46" s="101">
        <f>'II-I Summary'!G17+'II-I Summary'!G19</f>
        <v>25615767.403675575</v>
      </c>
      <c r="H46" s="101">
        <f>'II-I Summary'!H17+'II-I Summary'!H19</f>
        <v>293635257.52791357</v>
      </c>
      <c r="I46" s="101">
        <f>'II-I Summary'!I17+'II-I Summary'!I19</f>
        <v>709516.09326981637</v>
      </c>
      <c r="J46" s="101">
        <f>'II-I Summary'!J17+'II-I Summary'!J19</f>
        <v>58569564.849157602</v>
      </c>
      <c r="K46" s="101">
        <f>'II-I Summary'!K17+'II-I Summary'!K19</f>
        <v>4532761.7879354134</v>
      </c>
      <c r="L46" s="101">
        <f>'II-I Summary'!L17+'II-I Summary'!L19</f>
        <v>1445536.8966501951</v>
      </c>
      <c r="M46" s="101">
        <f>'II-I Summary'!M17+'II-I Summary'!M19</f>
        <v>26201894.971052475</v>
      </c>
      <c r="N46" s="1102">
        <f>'II-I Summary'!N17+'II-I Summary'!N19</f>
        <v>529428.96219025576</v>
      </c>
      <c r="O46" s="1102">
        <f>'II-I Summary'!O17+'II-I Summary'!O19</f>
        <v>2581507.6588696474</v>
      </c>
      <c r="P46" s="101"/>
      <c r="Q46" s="105"/>
    </row>
    <row r="47" spans="1:17" ht="14.25">
      <c r="A47" s="67"/>
      <c r="B47" s="17">
        <f t="shared" si="6"/>
        <v>31</v>
      </c>
      <c r="C47" s="28" t="s">
        <v>442</v>
      </c>
      <c r="D47" s="119">
        <f t="shared" si="7"/>
        <v>1652522021.4399998</v>
      </c>
      <c r="E47" s="119"/>
      <c r="F47" s="19">
        <f>'II-I Summary'!F18</f>
        <v>758188212.5284481</v>
      </c>
      <c r="G47" s="19">
        <f>'II-I Summary'!G18</f>
        <v>21192617.197626065</v>
      </c>
      <c r="H47" s="19">
        <f>'II-I Summary'!H18</f>
        <v>551175463.58832192</v>
      </c>
      <c r="I47" s="19">
        <f>'II-I Summary'!I18</f>
        <v>219196.03634105407</v>
      </c>
      <c r="J47" s="19">
        <f>'II-I Summary'!J18</f>
        <v>138570539.70599067</v>
      </c>
      <c r="K47" s="19">
        <f>'II-I Summary'!K18</f>
        <v>45384309.083489172</v>
      </c>
      <c r="L47" s="19">
        <f>'II-I Summary'!L18</f>
        <v>137791683.29978278</v>
      </c>
      <c r="M47" s="19">
        <f>'II-I Summary'!M18</f>
        <v>0</v>
      </c>
      <c r="N47" s="894">
        <f>'II-I Summary'!N18</f>
        <v>0</v>
      </c>
      <c r="O47" s="894">
        <f>'II-I Summary'!O18</f>
        <v>0</v>
      </c>
      <c r="P47" s="19"/>
      <c r="Q47" s="105"/>
    </row>
    <row r="48" spans="1:17" ht="14.25">
      <c r="A48" s="67"/>
      <c r="B48" s="17">
        <f t="shared" si="6"/>
        <v>32</v>
      </c>
      <c r="C48" s="1" t="s">
        <v>363</v>
      </c>
      <c r="D48" s="119">
        <f t="shared" si="7"/>
        <v>546347839.99000013</v>
      </c>
      <c r="E48" s="119"/>
      <c r="F48" s="19">
        <f>'II-I Summary'!F21</f>
        <v>293773706.03282535</v>
      </c>
      <c r="G48" s="19">
        <f>'II-I Summary'!G21</f>
        <v>17898989.279674497</v>
      </c>
      <c r="H48" s="19">
        <f>'II-I Summary'!H21</f>
        <v>175240361.05862743</v>
      </c>
      <c r="I48" s="19">
        <f>'II-I Summary'!I21</f>
        <v>385591.23445296049</v>
      </c>
      <c r="J48" s="19">
        <f>'II-I Summary'!J21</f>
        <v>29457396.199803971</v>
      </c>
      <c r="K48" s="19">
        <f>'II-I Summary'!K21</f>
        <v>1951234.1505564619</v>
      </c>
      <c r="L48" s="19">
        <f>'II-I Summary'!L21</f>
        <v>869060.78685406793</v>
      </c>
      <c r="M48" s="19">
        <f>'II-I Summary'!M21</f>
        <v>25252299.387269996</v>
      </c>
      <c r="N48" s="1102">
        <f>'II-I Summary'!N21</f>
        <v>232807.75665253677</v>
      </c>
      <c r="O48" s="894">
        <f>'II-I Summary'!O21</f>
        <v>1286394.1032827827</v>
      </c>
      <c r="P48" s="19"/>
      <c r="Q48" s="105"/>
    </row>
    <row r="49" spans="1:17" ht="14.25">
      <c r="A49" s="67"/>
      <c r="B49" s="17">
        <f t="shared" si="6"/>
        <v>33</v>
      </c>
      <c r="C49" s="1" t="s">
        <v>443</v>
      </c>
      <c r="D49" s="119">
        <f t="shared" si="7"/>
        <v>460498198.7299999</v>
      </c>
      <c r="E49" s="119"/>
      <c r="F49" s="19">
        <f>'II-I Summary'!F22</f>
        <v>210697996.6051693</v>
      </c>
      <c r="G49" s="19">
        <f>'II-I Summary'!G22</f>
        <v>8641668.9486459792</v>
      </c>
      <c r="H49" s="19">
        <f>'II-I Summary'!H22</f>
        <v>178652944.13622558</v>
      </c>
      <c r="I49" s="19">
        <f>'II-I Summary'!I22</f>
        <v>71539.685166159703</v>
      </c>
      <c r="J49" s="19">
        <f>'II-I Summary'!J22</f>
        <v>28656331.881986994</v>
      </c>
      <c r="K49" s="19">
        <f>'II-I Summary'!K22</f>
        <v>3850802.1869688313</v>
      </c>
      <c r="L49" s="19">
        <f>'II-I Summary'!L22</f>
        <v>22791528.856317755</v>
      </c>
      <c r="M49" s="19">
        <f>'II-I Summary'!M22</f>
        <v>5993922.560486896</v>
      </c>
      <c r="N49" s="894">
        <f>'II-I Summary'!N22</f>
        <v>330064.78976667323</v>
      </c>
      <c r="O49" s="894">
        <f>'II-I Summary'!O22</f>
        <v>811399.07926575246</v>
      </c>
      <c r="P49" s="19"/>
      <c r="Q49" s="105"/>
    </row>
    <row r="50" spans="1:17" ht="14.25">
      <c r="A50" s="67"/>
      <c r="B50" s="17">
        <f t="shared" si="6"/>
        <v>34</v>
      </c>
      <c r="C50" s="1" t="s">
        <v>439</v>
      </c>
      <c r="D50" s="119">
        <f t="shared" si="7"/>
        <v>82404685.944568396</v>
      </c>
      <c r="E50" s="119"/>
      <c r="F50" s="19">
        <f t="shared" si="13" ref="F50:M50">F42</f>
        <v>45850278.323586799</v>
      </c>
      <c r="G50" s="19">
        <f t="shared" si="13"/>
        <v>1770897.0750423037</v>
      </c>
      <c r="H50" s="19">
        <f t="shared" si="13"/>
        <v>28788315.07428728</v>
      </c>
      <c r="I50" s="19">
        <f t="shared" si="13"/>
        <v>25535.902038935445</v>
      </c>
      <c r="J50" s="19">
        <f t="shared" si="13"/>
        <v>4606241.0901912097</v>
      </c>
      <c r="K50" s="19">
        <f>K42</f>
        <v>442044.22908963385</v>
      </c>
      <c r="L50" s="19">
        <f t="shared" si="13"/>
        <v>162487.88675137761</v>
      </c>
      <c r="M50" s="19">
        <f t="shared" si="13"/>
        <v>473466.33778424712</v>
      </c>
      <c r="N50" s="894">
        <f>N42</f>
        <v>52629.278813041041</v>
      </c>
      <c r="O50" s="894">
        <f>O42</f>
        <v>232790.74698357994</v>
      </c>
      <c r="P50" s="19"/>
      <c r="Q50" s="105"/>
    </row>
    <row r="51" spans="1:17" ht="14.25">
      <c r="A51" s="67"/>
      <c r="B51" s="17">
        <f t="shared" si="6"/>
        <v>35</v>
      </c>
      <c r="C51" s="28" t="s">
        <v>430</v>
      </c>
      <c r="D51" s="120">
        <f t="shared" si="7"/>
        <v>683000510.00813818</v>
      </c>
      <c r="E51" s="120"/>
      <c r="F51" s="125">
        <f t="shared" si="14" ref="F51:M51">F31</f>
        <v>379834069.69047773</v>
      </c>
      <c r="G51" s="125">
        <f t="shared" si="14"/>
        <v>15300982.107665461</v>
      </c>
      <c r="H51" s="125">
        <f t="shared" si="14"/>
        <v>237996209.06867737</v>
      </c>
      <c r="I51" s="125">
        <f t="shared" si="14"/>
        <v>245203.69598301943</v>
      </c>
      <c r="J51" s="125">
        <f t="shared" si="14"/>
        <v>38356622.668801248</v>
      </c>
      <c r="K51" s="125">
        <f>K31</f>
        <v>3620199.2762538223</v>
      </c>
      <c r="L51" s="125">
        <f t="shared" si="14"/>
        <v>1383463.2660256971</v>
      </c>
      <c r="M51" s="125">
        <f t="shared" si="14"/>
        <v>3922745.944692445</v>
      </c>
      <c r="N51" s="125">
        <f>N31</f>
        <v>432136.60320334812</v>
      </c>
      <c r="O51" s="125">
        <f>O31</f>
        <v>1908877.6863581536</v>
      </c>
      <c r="P51" s="125"/>
      <c r="Q51" s="105" t="b">
        <f>IF(ROUND(D51,4)=ROUND(D$29,4),TRUE,D51-D$29)</f>
        <v>1</v>
      </c>
    </row>
    <row r="52" spans="1:17" ht="14.25">
      <c r="A52" s="67"/>
      <c r="B52" s="17">
        <f t="shared" si="6"/>
        <v>36</v>
      </c>
      <c r="C52" s="28" t="s">
        <v>444</v>
      </c>
      <c r="D52" s="101">
        <f t="shared" si="7"/>
        <v>4322572643.3927069</v>
      </c>
      <c r="E52" s="101"/>
      <c r="F52" s="19">
        <f t="shared" si="15" ref="F52:M52">SUM(F46:F51)</f>
        <v>2172322414.3097925</v>
      </c>
      <c r="G52" s="19">
        <f t="shared" si="15"/>
        <v>90420922.012329891</v>
      </c>
      <c r="H52" s="19">
        <f t="shared" si="15"/>
        <v>1465488550.4540532</v>
      </c>
      <c r="I52" s="19">
        <f t="shared" si="15"/>
        <v>1656582.6472519455</v>
      </c>
      <c r="J52" s="19">
        <f t="shared" si="15"/>
        <v>298216696.39593172</v>
      </c>
      <c r="K52" s="19">
        <f>SUM(K46:K51)</f>
        <v>59781350.714293331</v>
      </c>
      <c r="L52" s="19">
        <f t="shared" si="15"/>
        <v>164443760.99238187</v>
      </c>
      <c r="M52" s="19">
        <f t="shared" si="15"/>
        <v>61844329.201286063</v>
      </c>
      <c r="N52" s="894">
        <f>SUM(N46:N51)</f>
        <v>1577067.390625855</v>
      </c>
      <c r="O52" s="894">
        <f>SUM(O46:O51)</f>
        <v>6820969.2747599166</v>
      </c>
      <c r="P52" s="19"/>
      <c r="Q52" s="105"/>
    </row>
    <row r="53" spans="1:17" ht="14.25">
      <c r="A53" s="67"/>
      <c r="B53" s="17">
        <f t="shared" si="6"/>
        <v>37</v>
      </c>
      <c r="C53" s="28" t="s">
        <v>445</v>
      </c>
      <c r="D53" s="124">
        <f t="shared" si="7"/>
        <v>4322572643.3927078</v>
      </c>
      <c r="E53" s="124"/>
      <c r="F53" s="126">
        <f>'II-I Summary'!F26</f>
        <v>2172322414.309793</v>
      </c>
      <c r="G53" s="126">
        <f>'II-I Summary'!G26</f>
        <v>90420922.012329891</v>
      </c>
      <c r="H53" s="126">
        <f>'II-I Summary'!H26</f>
        <v>1465488550.4540534</v>
      </c>
      <c r="I53" s="126">
        <f>'II-I Summary'!I26</f>
        <v>1656582.6472519452</v>
      </c>
      <c r="J53" s="126">
        <f>'II-I Summary'!J26</f>
        <v>298216696.39593166</v>
      </c>
      <c r="K53" s="126">
        <f>'II-I Summary'!K26</f>
        <v>59781350.714293331</v>
      </c>
      <c r="L53" s="126">
        <f>'II-I Summary'!L26</f>
        <v>164443760.99238187</v>
      </c>
      <c r="M53" s="126">
        <f>'II-I Summary'!M26</f>
        <v>61844329.201286063</v>
      </c>
      <c r="N53" s="126">
        <f>'II-I Summary'!N26</f>
        <v>1577067.390625855</v>
      </c>
      <c r="O53" s="126">
        <f>'II-I Summary'!O26</f>
        <v>6820969.2747599166</v>
      </c>
      <c r="P53" s="124"/>
      <c r="Q53" s="105"/>
    </row>
    <row r="54" spans="1:17" ht="14.25">
      <c r="A54" s="67"/>
      <c r="B54" s="17">
        <f t="shared" si="6"/>
        <v>38</v>
      </c>
      <c r="C54" s="28" t="s">
        <v>446</v>
      </c>
      <c r="D54" s="101">
        <f t="shared" si="7"/>
        <v>0</v>
      </c>
      <c r="E54" s="101"/>
      <c r="F54" s="101">
        <f t="shared" si="16" ref="F54:M54">F52-F53</f>
        <v>0</v>
      </c>
      <c r="G54" s="101">
        <f t="shared" si="16"/>
        <v>0</v>
      </c>
      <c r="H54" s="101">
        <f t="shared" si="16"/>
        <v>0</v>
      </c>
      <c r="I54" s="101">
        <f t="shared" si="16"/>
        <v>0</v>
      </c>
      <c r="J54" s="101">
        <f t="shared" si="16"/>
        <v>0</v>
      </c>
      <c r="K54" s="101">
        <f>K52-K53</f>
        <v>0</v>
      </c>
      <c r="L54" s="101">
        <f t="shared" si="16"/>
        <v>0</v>
      </c>
      <c r="M54" s="101">
        <f t="shared" si="16"/>
        <v>0</v>
      </c>
      <c r="N54" s="1105">
        <f>N52-N53</f>
        <v>0</v>
      </c>
      <c r="O54" s="1105">
        <f>O52-O53</f>
        <v>0</v>
      </c>
      <c r="P54" s="101"/>
      <c r="Q54" s="105" t="b">
        <f>IF(ROUND(D54,3)=0,TRUE,D54)</f>
        <v>1</v>
      </c>
    </row>
    <row r="55" spans="1:17" ht="14.25">
      <c r="A55" s="67"/>
      <c r="B55" s="17">
        <f t="shared" si="6"/>
        <v>39</v>
      </c>
      <c r="C55" s="28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03"/>
      <c r="O55" s="1103"/>
      <c r="P55" s="119"/>
      <c r="Q55" s="105"/>
    </row>
    <row r="56" spans="1:17" ht="14.25">
      <c r="A56" s="67"/>
      <c r="B56" s="17">
        <f t="shared" si="6"/>
        <v>40</v>
      </c>
      <c r="C56" s="28" t="s">
        <v>444</v>
      </c>
      <c r="D56" s="101">
        <f t="shared" si="7"/>
        <v>4322572643.3927069</v>
      </c>
      <c r="E56" s="101"/>
      <c r="F56" s="119">
        <f t="shared" si="17" ref="F56:M56">F52</f>
        <v>2172322414.3097925</v>
      </c>
      <c r="G56" s="119">
        <f t="shared" si="17"/>
        <v>90420922.012329891</v>
      </c>
      <c r="H56" s="119">
        <f t="shared" si="17"/>
        <v>1465488550.4540532</v>
      </c>
      <c r="I56" s="119">
        <f t="shared" si="17"/>
        <v>1656582.6472519455</v>
      </c>
      <c r="J56" s="119">
        <f t="shared" si="17"/>
        <v>298216696.39593172</v>
      </c>
      <c r="K56" s="119">
        <f>K52</f>
        <v>59781350.714293331</v>
      </c>
      <c r="L56" s="119">
        <f t="shared" si="17"/>
        <v>164443760.99238187</v>
      </c>
      <c r="M56" s="119">
        <f t="shared" si="17"/>
        <v>61844329.201286063</v>
      </c>
      <c r="N56" s="1103">
        <f>N52</f>
        <v>1577067.390625855</v>
      </c>
      <c r="O56" s="1103">
        <f>O52</f>
        <v>6820969.2747599166</v>
      </c>
      <c r="P56" s="119"/>
      <c r="Q56" s="105"/>
    </row>
    <row r="57" spans="1:17" ht="14.25">
      <c r="A57" s="67"/>
      <c r="B57" s="17">
        <f t="shared" si="6"/>
        <v>41</v>
      </c>
      <c r="C57" s="28" t="s">
        <v>447</v>
      </c>
      <c r="D57" s="124">
        <f t="shared" si="7"/>
        <v>57057627.600000001</v>
      </c>
      <c r="E57" s="124"/>
      <c r="F57" s="124">
        <f>'II-I Summary'!F28</f>
        <v>36873130.591759935</v>
      </c>
      <c r="G57" s="124">
        <f>'II-I Summary'!G28</f>
        <v>2417394.4998616055</v>
      </c>
      <c r="H57" s="124">
        <f>'II-I Summary'!H28</f>
        <v>14530138.192260621</v>
      </c>
      <c r="I57" s="124">
        <f>'II-I Summary'!I28</f>
        <v>37722.117905883446</v>
      </c>
      <c r="J57" s="124">
        <f>'II-I Summary'!J28</f>
        <v>2409772.5133022121</v>
      </c>
      <c r="K57" s="124">
        <f>'II-I Summary'!K28</f>
        <v>131631.27719676026</v>
      </c>
      <c r="L57" s="124">
        <f>'II-I Summary'!L28</f>
        <v>67300.001663012808</v>
      </c>
      <c r="M57" s="124">
        <f>'II-I Summary'!M28</f>
        <v>533688.89720402774</v>
      </c>
      <c r="N57" s="124">
        <f>'II-I Summary'!N28</f>
        <v>3613.0677866034262</v>
      </c>
      <c r="O57" s="124">
        <f>'II-I Summary'!O28</f>
        <v>53236.441059334698</v>
      </c>
      <c r="P57" s="124"/>
      <c r="Q57" s="105"/>
    </row>
    <row r="58" spans="1:17" ht="14.25">
      <c r="A58" s="67"/>
      <c r="B58" s="17">
        <f t="shared" si="6"/>
        <v>42</v>
      </c>
      <c r="C58" s="28" t="s">
        <v>448</v>
      </c>
      <c r="D58" s="127">
        <f t="shared" si="7"/>
        <v>4265515015.792706</v>
      </c>
      <c r="E58" s="127"/>
      <c r="F58" s="101">
        <f t="shared" si="18" ref="F58:M58">F52-F57</f>
        <v>2135449283.7180326</v>
      </c>
      <c r="G58" s="101">
        <f t="shared" si="18"/>
        <v>88003527.512468278</v>
      </c>
      <c r="H58" s="101">
        <f t="shared" si="18"/>
        <v>1450958412.2617927</v>
      </c>
      <c r="I58" s="101">
        <f t="shared" si="18"/>
        <v>1618860.5293460621</v>
      </c>
      <c r="J58" s="101">
        <f t="shared" si="18"/>
        <v>295806923.88262951</v>
      </c>
      <c r="K58" s="101">
        <f>K52-K57</f>
        <v>59649719.437096573</v>
      </c>
      <c r="L58" s="101">
        <f t="shared" si="18"/>
        <v>164376460.99071887</v>
      </c>
      <c r="M58" s="101">
        <f t="shared" si="18"/>
        <v>61310640.304082036</v>
      </c>
      <c r="N58" s="1102">
        <f>N52-N57</f>
        <v>1573454.3228392515</v>
      </c>
      <c r="O58" s="1102">
        <f>O52-O57</f>
        <v>6767732.8337005815</v>
      </c>
      <c r="P58" s="101"/>
      <c r="Q58" s="105"/>
    </row>
    <row r="59" spans="1:17" ht="14.25">
      <c r="A59" s="67"/>
      <c r="B59" s="17">
        <f t="shared" si="6"/>
        <v>43</v>
      </c>
      <c r="C59" s="28" t="s">
        <v>648</v>
      </c>
      <c r="D59" s="124">
        <f t="shared" si="7"/>
        <v>3995965753.9520721</v>
      </c>
      <c r="E59" s="124"/>
      <c r="F59" s="124">
        <f>'II-I Summary'!F112</f>
        <v>1921088302</v>
      </c>
      <c r="G59" s="124">
        <f>'II-I Summary'!G112</f>
        <v>95557181</v>
      </c>
      <c r="H59" s="124">
        <f>'II-I Summary'!H112</f>
        <v>1496280417.6886501</v>
      </c>
      <c r="I59" s="124">
        <f>'II-I Summary'!I112</f>
        <v>1232285</v>
      </c>
      <c r="J59" s="124">
        <f>'II-I Summary'!J112</f>
        <v>272480697.46980089</v>
      </c>
      <c r="K59" s="124">
        <f>'II-I Summary'!K112</f>
        <v>31568642.908480335</v>
      </c>
      <c r="L59" s="124">
        <f>'II-I Summary'!L112</f>
        <v>114615137.75514101</v>
      </c>
      <c r="M59" s="124">
        <f>'II-I Summary'!M112</f>
        <v>60374542.129999995</v>
      </c>
      <c r="N59" s="124">
        <f>'II-I Summary'!N112</f>
        <v>608356</v>
      </c>
      <c r="O59" s="124">
        <f>'II-I Summary'!O112</f>
        <v>2160192</v>
      </c>
      <c r="P59" s="124"/>
      <c r="Q59" s="105"/>
    </row>
    <row r="60" spans="1:17" ht="14.25">
      <c r="A60" s="67"/>
      <c r="B60" s="17">
        <f t="shared" si="6"/>
        <v>44</v>
      </c>
      <c r="C60" s="28" t="s">
        <v>449</v>
      </c>
      <c r="D60" s="101">
        <f t="shared" si="7"/>
        <v>269549261.84063411</v>
      </c>
      <c r="E60" s="101"/>
      <c r="F60" s="101">
        <f t="shared" si="19" ref="F60:M60">F58-F59</f>
        <v>214360981.7180326</v>
      </c>
      <c r="G60" s="1110">
        <f t="shared" si="19"/>
        <v>-7553653.4875317216</v>
      </c>
      <c r="H60" s="1110">
        <f t="shared" si="19"/>
        <v>-45322005.426857471</v>
      </c>
      <c r="I60" s="101">
        <f t="shared" si="19"/>
        <v>386575.5293460621</v>
      </c>
      <c r="J60" s="101">
        <f t="shared" si="19"/>
        <v>23326226.412828624</v>
      </c>
      <c r="K60" s="101">
        <f>K58-K59</f>
        <v>28081076.528616238</v>
      </c>
      <c r="L60" s="101">
        <f t="shared" si="19"/>
        <v>49761323.235577866</v>
      </c>
      <c r="M60" s="1110">
        <f t="shared" si="19"/>
        <v>936098.17408204079</v>
      </c>
      <c r="N60" s="1102">
        <f>N58-N59</f>
        <v>965098.32283925149</v>
      </c>
      <c r="O60" s="1102">
        <f>O58-O59</f>
        <v>4607540.8337005815</v>
      </c>
      <c r="P60" s="101"/>
      <c r="Q60" s="105"/>
    </row>
    <row r="61" spans="1:17" ht="14.25">
      <c r="A61" s="67"/>
      <c r="B61" s="17">
        <f t="shared" si="6"/>
        <v>45</v>
      </c>
      <c r="C61" s="28" t="s">
        <v>450</v>
      </c>
      <c r="D61" s="128">
        <f t="shared" si="20" ref="D61:M61">D60/D59</f>
        <v>0.067455348328259751</v>
      </c>
      <c r="E61" s="128"/>
      <c r="F61" s="128">
        <f t="shared" si="20"/>
        <v>0.11158309667226977</v>
      </c>
      <c r="G61" s="128">
        <f t="shared" si="20"/>
        <v>-0.079048517426772158</v>
      </c>
      <c r="H61" s="128">
        <f t="shared" si="20"/>
        <v>-0.030289780505760915</v>
      </c>
      <c r="I61" s="128">
        <f t="shared" si="20"/>
        <v>0.31370626871710855</v>
      </c>
      <c r="J61" s="128">
        <f t="shared" si="20"/>
        <v>0.085606894834867622</v>
      </c>
      <c r="K61" s="128">
        <f>K60/K59</f>
        <v>0.88952434889346399</v>
      </c>
      <c r="L61" s="128">
        <f t="shared" si="20"/>
        <v>0.434160131115367</v>
      </c>
      <c r="M61" s="128">
        <f t="shared" si="20"/>
        <v>0.015504849246995703</v>
      </c>
      <c r="N61" s="753">
        <f>N60/N59</f>
        <v>1.5864038866046386</v>
      </c>
      <c r="O61" s="753">
        <f>O60/O59</f>
        <v>2.132931162461754</v>
      </c>
      <c r="P61" s="128"/>
      <c r="Q61" s="105"/>
    </row>
    <row r="62" spans="1:17" ht="14.25">
      <c r="A62" s="67"/>
      <c r="B62" s="1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105"/>
    </row>
  </sheetData>
  <mergeCells count="1">
    <mergeCell ref="B7:O7"/>
  </mergeCells>
  <printOptions horizontalCentered="1"/>
  <pageMargins left="0.5" right="0.5" top="1.5" bottom="0.75" header="1.5" footer="0.5"/>
  <pageSetup orientation="landscape" scale="51" r:id="rId1"/>
  <headerFooter alignWithMargins="0">
    <oddHeader>&amp;RWP/ II-I-1.5
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AH138"/>
  <sheetViews>
    <sheetView zoomScaleSheetLayoutView="100" workbookViewId="0" topLeftCell="A1">
      <selection pane="topLeft" activeCell="G5" sqref="G5"/>
    </sheetView>
  </sheetViews>
  <sheetFormatPr defaultColWidth="9.005" defaultRowHeight="14.25"/>
  <cols>
    <col min="1" max="1" width="3.5" style="730" customWidth="1"/>
    <col min="2" max="2" width="4.875" style="730" customWidth="1"/>
    <col min="3" max="3" width="37.75" style="730" customWidth="1"/>
    <col min="4" max="4" width="19" style="730" customWidth="1"/>
    <col min="5" max="5" width="13.5" style="730" customWidth="1"/>
    <col min="6" max="6" width="15.25" style="730" customWidth="1"/>
    <col min="7" max="7" width="14.25" style="730" customWidth="1"/>
    <col min="8" max="8" width="2.75" style="730" customWidth="1"/>
    <col min="9" max="9" width="14.875" style="730" hidden="1" customWidth="1"/>
    <col min="10" max="10" width="16.375" style="730" hidden="1" customWidth="1"/>
    <col min="11" max="11" width="14.375" style="730" hidden="1" customWidth="1"/>
    <col min="12" max="12" width="13.625" style="730" hidden="1" customWidth="1"/>
    <col min="13" max="13" width="14.625" style="730" hidden="1" customWidth="1"/>
    <col min="14" max="14" width="15.5" style="730" hidden="1" customWidth="1"/>
    <col min="15" max="15" width="14.75" style="730" hidden="1" customWidth="1"/>
    <col min="16" max="16" width="13.875" style="730" hidden="1" customWidth="1"/>
    <col min="17" max="17" width="18" style="730" hidden="1" customWidth="1"/>
    <col min="18" max="18" width="19.375" style="730" hidden="1" customWidth="1"/>
    <col min="19" max="19" width="14.875" style="730" hidden="1" customWidth="1"/>
    <col min="20" max="20" width="16.25" style="730" hidden="1" customWidth="1"/>
    <col min="21" max="21" width="16" style="730" hidden="1" customWidth="1"/>
    <col min="22" max="22" width="14.375" style="730" hidden="1" customWidth="1"/>
    <col min="23" max="23" width="11.125" style="730" customWidth="1"/>
    <col min="24" max="25" width="9" style="730" customWidth="1"/>
    <col min="26" max="26" width="3.5" style="730" customWidth="1"/>
    <col min="27" max="27" width="4.75" style="730" customWidth="1"/>
    <col min="28" max="28" width="9" style="730" customWidth="1"/>
    <col min="29" max="29" width="25.625" style="730" customWidth="1"/>
    <col min="30" max="30" width="13.5" style="730" customWidth="1"/>
    <col min="31" max="31" width="17" style="730" customWidth="1"/>
    <col min="32" max="32" width="16.875" style="730" customWidth="1"/>
    <col min="33" max="33" width="16" style="730" customWidth="1"/>
    <col min="34" max="34" width="16.25" style="730" bestFit="1" customWidth="1"/>
    <col min="35" max="16384" width="9" style="730"/>
  </cols>
  <sheetData>
    <row r="1" spans="2:2" ht="15">
      <c r="B1" s="1245"/>
    </row>
    <row r="2" spans="2:2" ht="14.25">
      <c r="B2" s="728"/>
    </row>
    <row r="3" spans="2:9" ht="15">
      <c r="B3" s="3" t="str">
        <f>'WP II-I-1.1'!B3</f>
        <v>2022 RATE CASE</v>
      </c>
      <c r="C3" s="783"/>
      <c r="D3" s="783"/>
      <c r="E3" s="3"/>
      <c r="F3" s="783"/>
      <c r="G3" s="783"/>
      <c r="H3" s="783"/>
      <c r="I3" s="783"/>
    </row>
    <row r="4" spans="2:9" ht="15">
      <c r="B4" s="3" t="str">
        <f>'WP II-I-1.1'!B4</f>
        <v>ONCOR ELECTRIC DELIVERY COMPANY LLC</v>
      </c>
      <c r="C4" s="783"/>
      <c r="D4" s="783"/>
      <c r="E4" s="3"/>
      <c r="F4" s="783"/>
      <c r="G4" s="783"/>
      <c r="H4" s="783"/>
      <c r="I4" s="783"/>
    </row>
    <row r="5" spans="2:9" ht="15">
      <c r="B5" s="3" t="str">
        <f>'WP II-I-1.1'!B5</f>
        <v>II-I-1:  CLASS REVENUE REQUIREMENT ANALYSIS</v>
      </c>
      <c r="C5" s="785"/>
      <c r="D5" s="783"/>
      <c r="E5" s="3"/>
      <c r="F5" s="783"/>
      <c r="G5" s="783"/>
      <c r="H5" s="783"/>
      <c r="I5" s="783"/>
    </row>
    <row r="6" spans="2:9" ht="15">
      <c r="B6" s="3" t="str">
        <f>'WP II-I-1.1'!B6</f>
        <v>TEST YEAR ENDING 12/31/2021</v>
      </c>
      <c r="C6" s="786"/>
      <c r="D6" s="783"/>
      <c r="E6" s="3"/>
      <c r="F6" s="783"/>
      <c r="G6" s="783"/>
      <c r="H6" s="783"/>
      <c r="I6" s="783"/>
    </row>
    <row r="7" spans="2:10" ht="15">
      <c r="B7" s="3" t="str">
        <f>'WP II-I-1.1'!B7</f>
        <v>SPONSOR:  MATTHEW A. TROXLE</v>
      </c>
      <c r="C7" s="785"/>
      <c r="D7" s="783"/>
      <c r="E7" s="3"/>
      <c r="F7" s="783"/>
      <c r="G7" s="783"/>
      <c r="H7" s="783"/>
      <c r="I7" s="783"/>
      <c r="J7" s="894"/>
    </row>
    <row r="8" spans="2:12" ht="20.25">
      <c r="B8" s="3"/>
      <c r="C8" s="1478"/>
      <c r="D8" s="783"/>
      <c r="E8" s="787"/>
      <c r="F8" s="783"/>
      <c r="G8" s="783"/>
      <c r="H8" s="783"/>
      <c r="I8" s="783"/>
      <c r="J8" s="894"/>
      <c r="L8" s="894"/>
    </row>
    <row r="9" spans="2:12" ht="15">
      <c r="B9" s="783"/>
      <c r="C9" s="783"/>
      <c r="D9" s="783"/>
      <c r="E9" s="788"/>
      <c r="F9" s="783"/>
      <c r="G9" s="783"/>
      <c r="H9" s="783"/>
      <c r="I9" s="783"/>
      <c r="J9" s="894"/>
      <c r="K9" s="776"/>
      <c r="L9" s="776"/>
    </row>
    <row r="10" spans="2:10" ht="15">
      <c r="B10" s="3" t="s">
        <v>1025</v>
      </c>
      <c r="C10" s="783"/>
      <c r="D10" s="783"/>
      <c r="E10" s="788"/>
      <c r="F10" s="783"/>
      <c r="G10" s="783"/>
      <c r="H10" s="783"/>
      <c r="I10" s="783"/>
      <c r="J10" s="894"/>
    </row>
    <row r="11" spans="2:11" ht="15">
      <c r="B11" s="780"/>
      <c r="C11" s="789" t="s">
        <v>1005</v>
      </c>
      <c r="D11" s="3"/>
      <c r="E11" s="3"/>
      <c r="F11" s="3"/>
      <c r="G11" s="369"/>
      <c r="H11" s="369"/>
      <c r="I11" s="369"/>
      <c r="J11" s="894"/>
      <c r="K11" s="815"/>
    </row>
    <row r="12" spans="2:10" ht="15">
      <c r="B12" s="780"/>
      <c r="C12" s="789"/>
      <c r="D12" s="780"/>
      <c r="E12" s="780"/>
      <c r="F12" s="780"/>
      <c r="G12" s="790"/>
      <c r="H12" s="790"/>
      <c r="I12" s="790"/>
      <c r="J12" s="894"/>
    </row>
    <row r="13" spans="2:16" ht="18" thickBot="1">
      <c r="B13" s="791" t="s">
        <v>406</v>
      </c>
      <c r="C13" s="792"/>
      <c r="D13" s="791" t="s">
        <v>1187</v>
      </c>
      <c r="E13" s="791" t="s">
        <v>1006</v>
      </c>
      <c r="F13" s="791" t="s">
        <v>1188</v>
      </c>
      <c r="G13" s="791" t="s">
        <v>1007</v>
      </c>
      <c r="H13" s="790"/>
      <c r="I13" s="790"/>
      <c r="J13" s="1405"/>
      <c r="K13" s="790"/>
      <c r="L13" s="790"/>
      <c r="M13" s="790"/>
      <c r="N13" s="790"/>
      <c r="O13" s="790"/>
      <c r="P13" s="818"/>
    </row>
    <row r="14" spans="2:16" ht="14.25">
      <c r="B14" s="793"/>
      <c r="D14" s="794" t="s">
        <v>13</v>
      </c>
      <c r="E14" s="794" t="s">
        <v>14</v>
      </c>
      <c r="F14" s="794" t="s">
        <v>15</v>
      </c>
      <c r="G14" s="794" t="s">
        <v>16</v>
      </c>
      <c r="H14" s="794"/>
      <c r="I14" s="794"/>
      <c r="J14" s="1468"/>
      <c r="K14" s="774"/>
      <c r="L14" s="774"/>
      <c r="M14" s="794"/>
      <c r="N14" s="794"/>
      <c r="O14" s="794"/>
      <c r="P14" s="819"/>
    </row>
    <row r="15" spans="2:16" ht="14.25">
      <c r="B15" s="795"/>
      <c r="J15" s="894"/>
      <c r="K15" s="1230" t="s">
        <v>1338</v>
      </c>
      <c r="P15" s="819"/>
    </row>
    <row r="16" spans="2:25" ht="15">
      <c r="B16" s="795">
        <v>1</v>
      </c>
      <c r="C16" s="796" t="s">
        <v>1008</v>
      </c>
      <c r="D16" s="797">
        <f>'WP II-I-2.2'!$P$61</f>
        <v>3981676756.1300001</v>
      </c>
      <c r="E16" s="797">
        <f>F16-D16</f>
        <v>283838259.66270685</v>
      </c>
      <c r="F16" s="797">
        <f>'II-I Summary'!D36</f>
        <v>4265515015.792707</v>
      </c>
      <c r="G16" s="798">
        <f>E16/D16</f>
        <v>0.071286113124507902</v>
      </c>
      <c r="H16" s="798"/>
      <c r="I16" s="798"/>
      <c r="J16" s="50"/>
      <c r="K16" s="1230" t="s">
        <v>1294</v>
      </c>
      <c r="M16" s="1231"/>
      <c r="N16" s="1232" t="s">
        <v>1276</v>
      </c>
      <c r="O16" s="1233" t="s">
        <v>1276</v>
      </c>
      <c r="P16" s="1233" t="s">
        <v>1277</v>
      </c>
      <c r="Q16" s="1233" t="s">
        <v>1256</v>
      </c>
      <c r="R16" s="1233" t="s">
        <v>1277</v>
      </c>
      <c r="S16" s="1233" t="s">
        <v>1256</v>
      </c>
      <c r="T16" s="1233" t="s">
        <v>1282</v>
      </c>
      <c r="U16" s="1233" t="s">
        <v>1282</v>
      </c>
      <c r="V16" s="1233" t="s">
        <v>1285</v>
      </c>
      <c r="W16" s="1233"/>
      <c r="Y16" s="1233"/>
    </row>
    <row r="17" spans="2:25" ht="14.25">
      <c r="B17" s="795">
        <f>B16+1</f>
        <v>2</v>
      </c>
      <c r="C17" s="799" t="s">
        <v>1408</v>
      </c>
      <c r="D17" s="800">
        <f>SUM('II-I Summary'!D114:D115)+('WP II-I-2.2'!P70)</f>
        <v>53729847.42207218</v>
      </c>
      <c r="E17" s="800">
        <f>F17-D17</f>
        <v>3327780.1779278219</v>
      </c>
      <c r="F17" s="800">
        <f>'II-I Summary'!D28</f>
        <v>57057627.600000001</v>
      </c>
      <c r="G17" s="801">
        <f>E17/D17</f>
        <v>0.061935410904605928</v>
      </c>
      <c r="H17" s="801"/>
      <c r="I17" s="801"/>
      <c r="J17" s="894"/>
      <c r="K17" s="820"/>
      <c r="L17" s="1233" t="s">
        <v>338</v>
      </c>
      <c r="M17" s="1233" t="s">
        <v>340</v>
      </c>
      <c r="N17" s="1234" t="s">
        <v>1274</v>
      </c>
      <c r="O17" s="1233" t="s">
        <v>1275</v>
      </c>
      <c r="P17" s="1233" t="s">
        <v>1278</v>
      </c>
      <c r="Q17" s="1233" t="s">
        <v>1279</v>
      </c>
      <c r="R17" s="1233" t="s">
        <v>1280</v>
      </c>
      <c r="S17" s="1233" t="s">
        <v>1281</v>
      </c>
      <c r="T17" s="1233" t="s">
        <v>1283</v>
      </c>
      <c r="U17" s="1233" t="s">
        <v>1284</v>
      </c>
      <c r="V17" s="1233" t="s">
        <v>1286</v>
      </c>
      <c r="Y17" s="1233"/>
    </row>
    <row r="18" spans="2:22" ht="15">
      <c r="B18" s="795">
        <f t="shared" si="0" ref="B18:B32">B17+1</f>
        <v>3</v>
      </c>
      <c r="C18" s="802" t="s">
        <v>1009</v>
      </c>
      <c r="D18" s="803">
        <f>'II-I Summary'!D26</f>
        <v>4322572643.3927078</v>
      </c>
      <c r="E18" s="803">
        <f>F18-D18</f>
        <v>0</v>
      </c>
      <c r="F18" s="803">
        <f>D18</f>
        <v>4322572643.3927078</v>
      </c>
      <c r="G18" s="798"/>
      <c r="H18" s="798"/>
      <c r="I18" s="798"/>
      <c r="J18" s="894"/>
      <c r="K18" s="1301" t="s">
        <v>1000</v>
      </c>
      <c r="L18" s="1235" t="s">
        <v>337</v>
      </c>
      <c r="M18" s="1235" t="s">
        <v>339</v>
      </c>
      <c r="N18" s="1235" t="s">
        <v>725</v>
      </c>
      <c r="O18" s="1235" t="s">
        <v>725</v>
      </c>
      <c r="P18" s="1235" t="s">
        <v>345</v>
      </c>
      <c r="Q18" s="1235" t="s">
        <v>372</v>
      </c>
      <c r="R18" s="1235" t="s">
        <v>374</v>
      </c>
      <c r="S18" s="1235" t="s">
        <v>349</v>
      </c>
      <c r="T18" s="1235" t="s">
        <v>351</v>
      </c>
      <c r="U18" s="1235" t="s">
        <v>353</v>
      </c>
      <c r="V18" s="1235" t="s">
        <v>355</v>
      </c>
    </row>
    <row r="19" spans="2:30" ht="15">
      <c r="B19" s="795">
        <f t="shared" si="0"/>
        <v>4</v>
      </c>
      <c r="C19" s="802" t="s">
        <v>1010</v>
      </c>
      <c r="D19" s="804">
        <f>D16+D17-D18</f>
        <v>-287166039.8406353</v>
      </c>
      <c r="E19" s="804">
        <f>F19-D19</f>
        <v>287166039.8406353</v>
      </c>
      <c r="F19" s="805">
        <f>F16+F17-F18</f>
        <v>0</v>
      </c>
      <c r="G19" s="798"/>
      <c r="H19" s="798"/>
      <c r="I19" s="798"/>
      <c r="J19" s="894"/>
      <c r="N19" s="804"/>
      <c r="O19" s="805"/>
      <c r="P19" s="819"/>
      <c r="AD19" s="1473"/>
    </row>
    <row r="20" spans="2:16" ht="15">
      <c r="B20" s="795">
        <f t="shared" si="0"/>
        <v>5</v>
      </c>
      <c r="C20" s="796"/>
      <c r="D20" s="797"/>
      <c r="E20" s="797"/>
      <c r="F20" s="797"/>
      <c r="G20" s="798"/>
      <c r="H20" s="1404"/>
      <c r="I20" s="798"/>
      <c r="J20" s="894"/>
      <c r="N20" s="797"/>
      <c r="O20" s="797"/>
      <c r="P20" s="819"/>
    </row>
    <row r="21" spans="2:34" ht="14.25">
      <c r="B21" s="795">
        <f t="shared" si="0"/>
        <v>6</v>
      </c>
      <c r="C21" s="799" t="s">
        <v>1011</v>
      </c>
      <c r="D21" s="806">
        <f>'II-I Summary'!$F$116</f>
        <v>1939300046.9832101</v>
      </c>
      <c r="E21" s="806">
        <f t="shared" si="1" ref="E21:E28">F21-D21</f>
        <v>196149236.73482299</v>
      </c>
      <c r="F21" s="807">
        <f>'II-I Summary'!F$36</f>
        <v>2135449283.7180331</v>
      </c>
      <c r="G21" s="801">
        <f t="shared" si="2" ref="G21:G32">E21/D21</f>
        <v>0.10114434692040267</v>
      </c>
      <c r="H21" s="1403"/>
      <c r="I21" s="1485"/>
      <c r="J21" s="894"/>
      <c r="K21" s="776">
        <f t="shared" si="3" ref="K21:K32">SUM(L21:V21)</f>
        <v>36873130.591759935</v>
      </c>
      <c r="L21" s="776">
        <f>'II-I-Total'!J1173</f>
        <v>9856074.1384115722</v>
      </c>
      <c r="M21" s="776">
        <f>'II-I-Total'!J1174</f>
        <v>565535.25739891885</v>
      </c>
      <c r="N21" s="776">
        <f>'II-I-Total'!J1175</f>
        <v>17615189.970523637</v>
      </c>
      <c r="O21" s="776">
        <f>'II-I-Total'!J1176</f>
        <v>254558.23859217216</v>
      </c>
      <c r="P21" s="776">
        <f>'II-I-Total'!J1177</f>
        <v>4581449.4643650167</v>
      </c>
      <c r="Q21" s="776">
        <f>'II-I-Total'!J1178</f>
        <v>70361.702936269779</v>
      </c>
      <c r="R21" s="776">
        <f>'II-I-Total'!J1179</f>
        <v>526964.81183156511</v>
      </c>
      <c r="S21" s="1226">
        <f>'II-I-Total'!J1180</f>
        <v>0</v>
      </c>
      <c r="T21" s="776">
        <f>'II-I-Total'!J1181</f>
        <v>9295.1733033190121</v>
      </c>
      <c r="U21" s="776">
        <f>'II-I-Total'!J1182</f>
        <v>0</v>
      </c>
      <c r="V21" s="776">
        <f>'II-I-Total'!J1183</f>
        <v>3393701.8343974659</v>
      </c>
      <c r="AB21" s="994"/>
      <c r="AC21" s="994"/>
      <c r="AD21" s="994"/>
      <c r="AE21" s="994"/>
      <c r="AF21" s="994"/>
      <c r="AG21" s="994"/>
      <c r="AH21" s="819"/>
    </row>
    <row r="22" spans="2:34" ht="14.25">
      <c r="B22" s="795">
        <f t="shared" si="0"/>
        <v>7</v>
      </c>
      <c r="C22" s="799" t="s">
        <v>1012</v>
      </c>
      <c r="D22" s="806">
        <f>'II-I Summary'!$G$116</f>
        <v>105499417.87083297</v>
      </c>
      <c r="E22" s="800">
        <f t="shared" si="1"/>
        <v>-17495890.358364686</v>
      </c>
      <c r="F22" s="807">
        <f>'II-I Summary'!G$36</f>
        <v>88003527.512468278</v>
      </c>
      <c r="G22" s="801">
        <f t="shared" si="2"/>
        <v>-0.16583873836901722</v>
      </c>
      <c r="H22" s="1403"/>
      <c r="I22" s="1485"/>
      <c r="J22" s="894"/>
      <c r="K22" s="776">
        <f t="shared" si="3"/>
        <v>2417394.4998616055</v>
      </c>
      <c r="L22" s="776">
        <f>'II-I-Total'!K1173</f>
        <v>330223.70729911048</v>
      </c>
      <c r="M22" s="776">
        <f>'II-I-Total'!K1174</f>
        <v>19628.056795190128</v>
      </c>
      <c r="N22" s="776">
        <f>'II-I-Total'!K1175</f>
        <v>1818533.4634893537</v>
      </c>
      <c r="O22" s="800">
        <f>'II-I-Total'!K1176</f>
        <v>8528.8690091961998</v>
      </c>
      <c r="P22" s="800">
        <f>'II-I-Total'!K1177</f>
        <v>111879.98407341298</v>
      </c>
      <c r="Q22" s="800">
        <f>'II-I-Total'!K1178</f>
        <v>1718.2479617243007</v>
      </c>
      <c r="R22" s="800">
        <f>'II-I-Total'!K1179</f>
        <v>12868.594363756869</v>
      </c>
      <c r="S22" s="1226">
        <f>'II-I-Total'!K1180</f>
        <v>0</v>
      </c>
      <c r="T22" s="776">
        <f>'II-I-Total'!K1181</f>
        <v>308.99373823140081</v>
      </c>
      <c r="U22" s="776">
        <f>'II-I-Total'!K1182</f>
        <v>0</v>
      </c>
      <c r="V22" s="776">
        <f>'II-I-Total'!K1183</f>
        <v>113704.58313162961</v>
      </c>
      <c r="AB22" s="994"/>
      <c r="AC22" s="994"/>
      <c r="AD22" s="994"/>
      <c r="AE22" s="994"/>
      <c r="AF22" s="994"/>
      <c r="AG22" s="994"/>
      <c r="AH22" s="819"/>
    </row>
    <row r="23" spans="2:34" ht="14.25">
      <c r="B23" s="795">
        <f t="shared" si="0"/>
        <v>8</v>
      </c>
      <c r="C23" s="799" t="s">
        <v>1013</v>
      </c>
      <c r="D23" s="806">
        <f>'II-I Summary'!$H$116</f>
        <v>1505245784.018467</v>
      </c>
      <c r="E23" s="800">
        <f t="shared" si="1"/>
        <v>-54287371.756674051</v>
      </c>
      <c r="F23" s="807">
        <f>'II-I Summary'!H$36</f>
        <v>1450958412.2617929</v>
      </c>
      <c r="G23" s="801">
        <f t="shared" si="2"/>
        <v>-0.036065453451559398</v>
      </c>
      <c r="H23" s="1403"/>
      <c r="I23" s="801"/>
      <c r="J23" s="820"/>
      <c r="K23" s="776">
        <f t="shared" si="3"/>
        <v>14530138.192260621</v>
      </c>
      <c r="L23" s="800">
        <f>'II-I-Total'!L1173</f>
        <v>6229907.3234708207</v>
      </c>
      <c r="M23" s="800">
        <f>'II-I-Total'!L1174</f>
        <v>378764.05710957531</v>
      </c>
      <c r="N23" s="800">
        <f>'II-I-Total'!L1175</f>
        <v>2275095.8627025406</v>
      </c>
      <c r="O23" s="800">
        <f>'II-I-Total'!L1176</f>
        <v>160903.23719001462</v>
      </c>
      <c r="P23" s="800">
        <f>'II-I-Total'!L1177</f>
        <v>2949868.5679805726</v>
      </c>
      <c r="Q23" s="800">
        <f>'II-I-Total'!L1178</f>
        <v>45303.954020598554</v>
      </c>
      <c r="R23" s="800">
        <f>'II-I-Total'!L1179</f>
        <v>339298.0642795717</v>
      </c>
      <c r="S23" s="1226">
        <f>'II-I-Total'!L1180</f>
        <v>0</v>
      </c>
      <c r="T23" s="776">
        <f>'II-I-Total'!L1181</f>
        <v>5878.5301230167734</v>
      </c>
      <c r="U23" s="776">
        <f>'II-I-Total'!L1182</f>
        <v>0</v>
      </c>
      <c r="V23" s="776">
        <f>'II-I-Total'!L1183</f>
        <v>2145118.5953839123</v>
      </c>
      <c r="AB23" s="994"/>
      <c r="AC23" s="994"/>
      <c r="AD23" s="994"/>
      <c r="AE23" s="994"/>
      <c r="AF23" s="994"/>
      <c r="AG23" s="994"/>
      <c r="AH23" s="819"/>
    </row>
    <row r="24" spans="2:34" ht="14.25">
      <c r="B24" s="795">
        <f t="shared" si="0"/>
        <v>9</v>
      </c>
      <c r="C24" s="799" t="s">
        <v>1014</v>
      </c>
      <c r="D24" s="806">
        <f>'II-I Summary'!$I$116</f>
        <v>1271270.5207223126</v>
      </c>
      <c r="E24" s="800">
        <f t="shared" si="1"/>
        <v>347590.00862374925</v>
      </c>
      <c r="F24" s="807">
        <f>'II-I Summary'!I$36</f>
        <v>1618860.5293460619</v>
      </c>
      <c r="G24" s="801">
        <f t="shared" si="2"/>
        <v>0.27341938868074672</v>
      </c>
      <c r="H24" s="1403"/>
      <c r="I24" s="801"/>
      <c r="J24" s="820"/>
      <c r="K24" s="776">
        <f t="shared" si="3"/>
        <v>37722.117905883446</v>
      </c>
      <c r="L24" s="800">
        <f>'II-I-Total'!M1173</f>
        <v>2217.5949977993264</v>
      </c>
      <c r="M24" s="800">
        <f>'II-I-Total'!M1174</f>
        <v>143.01685733445896</v>
      </c>
      <c r="N24" s="800">
        <f>'II-I-Total'!M1175</f>
        <v>33044.379989154695</v>
      </c>
      <c r="O24" s="800">
        <f>'II-I-Total'!M1176</f>
        <v>57.275043655625936</v>
      </c>
      <c r="P24" s="800">
        <f>'II-I-Total'!M1177</f>
        <v>1361.0678993905046</v>
      </c>
      <c r="Q24" s="800">
        <f>'II-I-Total'!M1178</f>
        <v>20.903221995111672</v>
      </c>
      <c r="R24" s="800">
        <f>'II-I-Total'!M1179</f>
        <v>112.17576191845136</v>
      </c>
      <c r="S24" s="1226">
        <f>'II-I-Total'!M1180</f>
        <v>0</v>
      </c>
      <c r="T24" s="776">
        <f>'II-I-Total'!M1181</f>
        <v>2.1286880330577205</v>
      </c>
      <c r="U24" s="776">
        <f>'II-I-Total'!M1182</f>
        <v>0</v>
      </c>
      <c r="V24" s="776">
        <f>'II-I-Total'!M1183</f>
        <v>763.5754466022214</v>
      </c>
      <c r="AB24" s="994"/>
      <c r="AC24" s="994"/>
      <c r="AD24" s="994"/>
      <c r="AE24" s="994"/>
      <c r="AF24" s="994"/>
      <c r="AG24" s="994"/>
      <c r="AH24" s="819"/>
    </row>
    <row r="25" spans="2:34" ht="14.25">
      <c r="B25" s="795">
        <f t="shared" si="0"/>
        <v>10</v>
      </c>
      <c r="C25" s="799" t="s">
        <v>1015</v>
      </c>
      <c r="D25" s="806">
        <f>'II-I Summary'!$J$116</f>
        <v>273863282.15190542</v>
      </c>
      <c r="E25" s="800">
        <f t="shared" si="1"/>
        <v>21943641.730724037</v>
      </c>
      <c r="F25" s="807">
        <f>'II-I Summary'!J$36</f>
        <v>295806923.88262945</v>
      </c>
      <c r="G25" s="801">
        <f t="shared" si="2"/>
        <v>0.080126264310790021</v>
      </c>
      <c r="H25" s="1469"/>
      <c r="I25" s="801"/>
      <c r="J25" s="820"/>
      <c r="K25" s="776">
        <f t="shared" si="3"/>
        <v>2409772.5133022121</v>
      </c>
      <c r="L25" s="776">
        <f>'II-I-Total'!N1173</f>
        <v>938597.84889134672</v>
      </c>
      <c r="M25" s="776">
        <f>'II-I-Total'!N1174</f>
        <v>61823.07390620777</v>
      </c>
      <c r="N25" s="776">
        <f>'II-I-Total'!N1175</f>
        <v>428627.18447859178</v>
      </c>
      <c r="O25" s="776">
        <f>'II-I-Total'!N1176</f>
        <v>24241.682013026049</v>
      </c>
      <c r="P25" s="776">
        <f>'II-I-Total'!N1177</f>
        <v>576072.4586007538</v>
      </c>
      <c r="Q25" s="776">
        <f>'II-I-Total'!N1178</f>
        <v>8847.2959304923152</v>
      </c>
      <c r="R25" s="776">
        <f>'II-I-Total'!N1179</f>
        <v>47478.429983333648</v>
      </c>
      <c r="S25" s="1226">
        <f>'II-I-Total'!N1180</f>
        <v>0</v>
      </c>
      <c r="T25" s="776">
        <f>'II-I-Total'!N1181</f>
        <v>900.96794535136712</v>
      </c>
      <c r="U25" s="776">
        <f>'II-I-Total'!N1182</f>
        <v>0</v>
      </c>
      <c r="V25" s="776">
        <f>'II-I-Total'!N1183</f>
        <v>323183.57155310863</v>
      </c>
      <c r="AB25" s="994"/>
      <c r="AC25" s="994"/>
      <c r="AD25" s="994"/>
      <c r="AE25" s="994"/>
      <c r="AF25" s="994"/>
      <c r="AG25" s="994"/>
      <c r="AH25" s="819"/>
    </row>
    <row r="26" spans="2:34" ht="14.25">
      <c r="B26" s="795">
        <f t="shared" si="0"/>
        <v>11</v>
      </c>
      <c r="C26" s="799" t="s">
        <v>1016</v>
      </c>
      <c r="D26" s="806">
        <f>'II-I Summary'!$K$116</f>
        <v>31622519.569606777</v>
      </c>
      <c r="E26" s="800">
        <f>F26-D26</f>
        <v>28027199.867489796</v>
      </c>
      <c r="F26" s="807">
        <f>'II-I Summary'!K$36</f>
        <v>59649719.437096573</v>
      </c>
      <c r="G26" s="801">
        <f>E26/D26</f>
        <v>0.88630508412832054</v>
      </c>
      <c r="H26" s="1403"/>
      <c r="I26" s="801"/>
      <c r="J26" s="820"/>
      <c r="K26" s="776">
        <f t="shared" si="3"/>
        <v>131631.27719676026</v>
      </c>
      <c r="L26" s="776">
        <f>'II-I-Total'!O1173</f>
        <v>81197.921446107255</v>
      </c>
      <c r="M26" s="776">
        <f>'II-I-Total'!O1174</f>
        <v>6160.4757085900319</v>
      </c>
      <c r="N26" s="776">
        <f>'II-I-Total'!O1175</f>
        <v>14127.872844634074</v>
      </c>
      <c r="O26" s="776">
        <f>'II-I-Total'!O1176</f>
        <v>2097.1433017241675</v>
      </c>
      <c r="P26" s="776">
        <f>'II-I-Total'!O1177</f>
        <v>0</v>
      </c>
      <c r="Q26" s="776">
        <f>'II-I-Total'!O1178</f>
        <v>0</v>
      </c>
      <c r="R26" s="776">
        <f>'II-I-Total'!O1179</f>
        <v>0</v>
      </c>
      <c r="S26" s="1226">
        <f>'II-I-Total'!O1180</f>
        <v>0</v>
      </c>
      <c r="T26" s="776">
        <f>'II-I-Total'!O1181</f>
        <v>89.314569560404308</v>
      </c>
      <c r="U26" s="776">
        <f>'II-I-Total'!O1182</f>
        <v>0</v>
      </c>
      <c r="V26" s="776">
        <f>'II-I-Total'!O1183</f>
        <v>27958.549326144344</v>
      </c>
      <c r="AB26" s="994"/>
      <c r="AC26" s="994"/>
      <c r="AD26" s="994"/>
      <c r="AE26" s="994"/>
      <c r="AF26" s="994"/>
      <c r="AG26" s="994"/>
      <c r="AH26" s="819"/>
    </row>
    <row r="27" spans="2:34" ht="14.25">
      <c r="B27" s="795">
        <f t="shared" si="0"/>
        <v>12</v>
      </c>
      <c r="C27" s="799" t="s">
        <v>1017</v>
      </c>
      <c r="D27" s="806">
        <f>'II-I Summary'!$L$116</f>
        <v>114713121.28643371</v>
      </c>
      <c r="E27" s="800">
        <f t="shared" si="1"/>
        <v>49663339.70428516</v>
      </c>
      <c r="F27" s="807">
        <f>'II-I Summary'!L$36</f>
        <v>164376460.99071887</v>
      </c>
      <c r="G27" s="801">
        <f t="shared" si="2"/>
        <v>0.43293512675222168</v>
      </c>
      <c r="H27" s="1403"/>
      <c r="I27" s="801"/>
      <c r="J27" s="820"/>
      <c r="K27" s="776">
        <f t="shared" si="3"/>
        <v>67300.001663012808</v>
      </c>
      <c r="L27" s="776">
        <f>'II-I-Total'!P1173</f>
        <v>18465.550947725143</v>
      </c>
      <c r="M27" s="776">
        <f>'II-I-Total'!P1174</f>
        <v>11227.158425466565</v>
      </c>
      <c r="N27" s="776">
        <f>'II-I-Total'!P1175</f>
        <v>30755.292423318791</v>
      </c>
      <c r="O27" s="776">
        <f>'II-I-Total'!P1176</f>
        <v>476.91992347822185</v>
      </c>
      <c r="P27" s="776">
        <f>'II-I-Total'!P1177</f>
        <v>0</v>
      </c>
      <c r="Q27" s="776">
        <f>'II-I-Total'!P1178</f>
        <v>0</v>
      </c>
      <c r="R27" s="776">
        <f>'II-I-Total'!P1179</f>
        <v>0</v>
      </c>
      <c r="S27" s="1226">
        <f>'II-I-Total'!P1180</f>
        <v>0</v>
      </c>
      <c r="T27" s="776">
        <f>'II-I-Total'!P1181</f>
        <v>16.912051385818415</v>
      </c>
      <c r="U27" s="776">
        <f>'II-I-Total'!P1182</f>
        <v>0</v>
      </c>
      <c r="V27" s="776">
        <f>'II-I-Total'!P1183</f>
        <v>6358.1678916382616</v>
      </c>
      <c r="AB27" s="994"/>
      <c r="AC27" s="994"/>
      <c r="AD27" s="994"/>
      <c r="AE27" s="994"/>
      <c r="AF27" s="994"/>
      <c r="AG27" s="994"/>
      <c r="AH27" s="819"/>
    </row>
    <row r="28" spans="2:34" ht="16.5">
      <c r="B28" s="795">
        <f t="shared" si="0"/>
        <v>13</v>
      </c>
      <c r="C28" s="799" t="s">
        <v>1018</v>
      </c>
      <c r="D28" s="1470">
        <f>'II-I Summary'!$M$116</f>
        <v>61122613.150893904</v>
      </c>
      <c r="E28" s="808">
        <f t="shared" si="1"/>
        <v>188027.15318813175</v>
      </c>
      <c r="F28" s="809">
        <f>'II-I Summary'!M$36</f>
        <v>61310640.304082036</v>
      </c>
      <c r="G28" s="1236">
        <f t="shared" si="2"/>
        <v>0.0030762289682207721</v>
      </c>
      <c r="H28" s="1403"/>
      <c r="I28" s="1236"/>
      <c r="J28" s="820"/>
      <c r="K28" s="1227">
        <f t="shared" si="3"/>
        <v>533688.89720402774</v>
      </c>
      <c r="L28" s="1227">
        <f>'II-I-Total'!Q1173</f>
        <v>160093.91453551964</v>
      </c>
      <c r="M28" s="1227">
        <f>'II-I-Total'!Q1174</f>
        <v>27424.963798717097</v>
      </c>
      <c r="N28" s="1227">
        <f>'II-I-Total'!Q1175</f>
        <v>253129.41354877056</v>
      </c>
      <c r="O28" s="1227">
        <f>'II-I-Total'!Q1176</f>
        <v>4134.8334358263592</v>
      </c>
      <c r="P28" s="1227">
        <f>'II-I-Total'!Q1177</f>
        <v>29753.656137672187</v>
      </c>
      <c r="Q28" s="1227">
        <f>'II-I-Total'!Q1178</f>
        <v>456.95536548212687</v>
      </c>
      <c r="R28" s="1227">
        <f>'II-I-Total'!Q1179</f>
        <v>3422.3077062932571</v>
      </c>
      <c r="S28" s="1228">
        <f>'II-I-Total'!Q1180</f>
        <v>0</v>
      </c>
      <c r="T28" s="1227">
        <f>'II-I-Total'!Q1181</f>
        <v>148.36763178301982</v>
      </c>
      <c r="U28" s="1227">
        <f>'II-I-Total'!Q1182</f>
        <v>0</v>
      </c>
      <c r="V28" s="1227">
        <f>'II-I-Total'!Q1183</f>
        <v>55124.485043963519</v>
      </c>
      <c r="AB28" s="994"/>
      <c r="AC28" s="994"/>
      <c r="AD28" s="994"/>
      <c r="AE28" s="994"/>
      <c r="AF28" s="994"/>
      <c r="AG28" s="994"/>
      <c r="AH28" s="1393"/>
    </row>
    <row r="29" spans="2:34" ht="15">
      <c r="B29" s="795">
        <f t="shared" si="0"/>
        <v>14</v>
      </c>
      <c r="C29" s="796" t="s">
        <v>1019</v>
      </c>
      <c r="D29" s="810">
        <f>SUM(D21:D28)</f>
        <v>4032638055.552072</v>
      </c>
      <c r="E29" s="810">
        <f>SUM(E21:E28)</f>
        <v>224535773.08409509</v>
      </c>
      <c r="F29" s="810">
        <f>SUM(F21:F28)</f>
        <v>4257173828.636167</v>
      </c>
      <c r="G29" s="798">
        <f t="shared" si="2"/>
        <v>0.055679624600813805</v>
      </c>
      <c r="H29" s="1403"/>
      <c r="I29" s="798"/>
      <c r="J29" s="815"/>
      <c r="K29" s="1229">
        <f t="shared" si="3"/>
        <v>57000778.091154061</v>
      </c>
      <c r="L29" s="810">
        <f t="shared" si="4" ref="L29:V29">SUM(L21:L28)</f>
        <v>17616778</v>
      </c>
      <c r="M29" s="810">
        <f t="shared" si="4"/>
        <v>1070706.0600000003</v>
      </c>
      <c r="N29" s="810">
        <f t="shared" si="4"/>
        <v>22468503.440000001</v>
      </c>
      <c r="O29" s="810">
        <f t="shared" si="4"/>
        <v>454998.19850909337</v>
      </c>
      <c r="P29" s="810">
        <f t="shared" si="4"/>
        <v>8250385.1990568182</v>
      </c>
      <c r="Q29" s="810">
        <f t="shared" si="4"/>
        <v>126709.05943656218</v>
      </c>
      <c r="R29" s="810">
        <f t="shared" si="4"/>
        <v>930144.3839264391</v>
      </c>
      <c r="S29" s="810">
        <f t="shared" si="4"/>
        <v>0</v>
      </c>
      <c r="T29" s="810">
        <f t="shared" si="4"/>
        <v>16640.388050680853</v>
      </c>
      <c r="U29" s="810">
        <f t="shared" si="4"/>
        <v>0</v>
      </c>
      <c r="V29" s="810">
        <f t="shared" si="4"/>
        <v>6065913.3621744635</v>
      </c>
      <c r="AB29" s="994"/>
      <c r="AC29" s="994"/>
      <c r="AD29" s="994"/>
      <c r="AE29" s="994"/>
      <c r="AF29" s="994"/>
      <c r="AG29" s="994"/>
      <c r="AH29" s="819"/>
    </row>
    <row r="30" spans="2:34" ht="14.25">
      <c r="B30" s="795">
        <f t="shared" si="0"/>
        <v>15</v>
      </c>
      <c r="C30" s="799" t="s">
        <v>1020</v>
      </c>
      <c r="D30" s="806">
        <f>'II-I Summary'!$N$116</f>
        <v>608356</v>
      </c>
      <c r="E30" s="800">
        <f>F30-D30</f>
        <v>965098.32283925149</v>
      </c>
      <c r="F30" s="807">
        <f>'II-I Summary'!N$36</f>
        <v>1573454.3228392515</v>
      </c>
      <c r="G30" s="801">
        <f t="shared" si="2"/>
        <v>1.5864038866046386</v>
      </c>
      <c r="H30" s="1403"/>
      <c r="I30" s="801"/>
      <c r="J30" s="815"/>
      <c r="K30" s="776">
        <f t="shared" si="3"/>
        <v>3613.0677866034262</v>
      </c>
      <c r="L30" s="776">
        <f>'II-I-Total'!R1173</f>
        <v>0</v>
      </c>
      <c r="M30" s="776">
        <f>'II-I-Total'!R1174</f>
        <v>0</v>
      </c>
      <c r="N30" s="776">
        <f>'II-I-Total'!R1175</f>
        <v>0</v>
      </c>
      <c r="O30" s="776">
        <f>'II-I-Total'!R1176</f>
        <v>251.35575048053053</v>
      </c>
      <c r="P30" s="776">
        <f>'II-I-Total'!R1177</f>
        <v>0</v>
      </c>
      <c r="Q30" s="776">
        <f>'II-I-Total'!R1178</f>
        <v>0</v>
      </c>
      <c r="R30" s="776">
        <f>'II-I-Total'!R1179</f>
        <v>0</v>
      </c>
      <c r="S30" s="1226">
        <f>'II-I-Total'!R1180</f>
        <v>0</v>
      </c>
      <c r="T30" s="776">
        <f>'II-I-Total'!R1181</f>
        <v>10.70491017101403</v>
      </c>
      <c r="U30" s="776">
        <f>'II-I-Total'!R1182</f>
        <v>0</v>
      </c>
      <c r="V30" s="776">
        <f>'II-I-Total'!R1183</f>
        <v>3351.0071259518818</v>
      </c>
      <c r="AB30" s="994"/>
      <c r="AC30" s="994"/>
      <c r="AD30" s="994"/>
      <c r="AE30" s="994"/>
      <c r="AF30" s="994"/>
      <c r="AG30" s="994"/>
      <c r="AH30" s="819"/>
    </row>
    <row r="31" spans="2:34" ht="16.5">
      <c r="B31" s="795">
        <f t="shared" si="0"/>
        <v>16</v>
      </c>
      <c r="C31" s="799" t="s">
        <v>1021</v>
      </c>
      <c r="D31" s="1470">
        <f>'II-I Summary'!$O$116</f>
        <v>2160192</v>
      </c>
      <c r="E31" s="808">
        <f>F31-D31</f>
        <v>4607540.8337005815</v>
      </c>
      <c r="F31" s="809">
        <f>'II-I Summary'!O$36</f>
        <v>6767732.8337005815</v>
      </c>
      <c r="G31" s="1236">
        <f t="shared" si="2"/>
        <v>2.132931162461754</v>
      </c>
      <c r="H31" s="1403"/>
      <c r="I31" s="1236"/>
      <c r="J31" s="815"/>
      <c r="K31" s="1227">
        <f t="shared" si="3"/>
        <v>53236.441059334698</v>
      </c>
      <c r="L31" s="1227">
        <f>'II-I-Total'!S1173</f>
        <v>0</v>
      </c>
      <c r="M31" s="1227">
        <f>'II-I-Total'!S1174</f>
        <v>0</v>
      </c>
      <c r="N31" s="1227">
        <f>'II-I-Total'!S1175</f>
        <v>0</v>
      </c>
      <c r="O31" s="1227">
        <f>'II-I-Total'!S1176</f>
        <v>1315.9057404260163</v>
      </c>
      <c r="P31" s="1227">
        <f>'II-I-Total'!S1177</f>
        <v>31270.810943181481</v>
      </c>
      <c r="Q31" s="1227">
        <f>'II-I-Total'!S1178</f>
        <v>480.25576343781501</v>
      </c>
      <c r="R31" s="1227">
        <f>'II-I-Total'!S1179</f>
        <v>2577.260873561163</v>
      </c>
      <c r="S31" s="1228">
        <f>'II-I-Total'!S1180</f>
        <v>0</v>
      </c>
      <c r="T31" s="1227">
        <f>'II-I-Total'!S1181</f>
        <v>48.907039148134679</v>
      </c>
      <c r="U31" s="1227">
        <f>'II-I-Total'!S1182</f>
        <v>0</v>
      </c>
      <c r="V31" s="1227">
        <f>'II-I-Total'!S1183</f>
        <v>17543.300699580082</v>
      </c>
      <c r="AB31" s="994"/>
      <c r="AC31" s="994"/>
      <c r="AD31" s="994"/>
      <c r="AE31" s="994"/>
      <c r="AF31" s="994"/>
      <c r="AG31" s="994"/>
      <c r="AH31" s="1393"/>
    </row>
    <row r="32" spans="2:34" ht="15">
      <c r="B32" s="795">
        <f t="shared" si="0"/>
        <v>17</v>
      </c>
      <c r="C32" s="796" t="s">
        <v>899</v>
      </c>
      <c r="D32" s="797">
        <f>SUM(D29:D31)</f>
        <v>4035406603.552072</v>
      </c>
      <c r="E32" s="797">
        <f>SUM(E29:E31)</f>
        <v>230108412.24063492</v>
      </c>
      <c r="F32" s="811">
        <f>SUM(F29:F31)</f>
        <v>4265515015.792707</v>
      </c>
      <c r="G32" s="798">
        <f t="shared" si="2"/>
        <v>0.057022361027532491</v>
      </c>
      <c r="H32" s="1403"/>
      <c r="I32" s="798"/>
      <c r="J32" s="815"/>
      <c r="K32" s="1229">
        <f t="shared" si="3"/>
        <v>57057627.599999994</v>
      </c>
      <c r="L32" s="811">
        <f t="shared" si="5" ref="L32:V32">SUM(L29:L31)</f>
        <v>17616778</v>
      </c>
      <c r="M32" s="811">
        <f t="shared" si="5"/>
        <v>1070706.0600000003</v>
      </c>
      <c r="N32" s="811">
        <f t="shared" si="5"/>
        <v>22468503.440000001</v>
      </c>
      <c r="O32" s="811">
        <f t="shared" si="5"/>
        <v>456565.45999999996</v>
      </c>
      <c r="P32" s="811">
        <f t="shared" si="5"/>
        <v>8281656.0099999998</v>
      </c>
      <c r="Q32" s="811">
        <f t="shared" si="5"/>
        <v>127189.3152</v>
      </c>
      <c r="R32" s="811">
        <f t="shared" si="5"/>
        <v>932721.64480000024</v>
      </c>
      <c r="S32" s="811">
        <f t="shared" si="5"/>
        <v>0</v>
      </c>
      <c r="T32" s="811">
        <f t="shared" si="5"/>
        <v>16700.000000000004</v>
      </c>
      <c r="U32" s="811">
        <f t="shared" si="5"/>
        <v>0</v>
      </c>
      <c r="V32" s="811">
        <f t="shared" si="5"/>
        <v>6086807.6699999962</v>
      </c>
      <c r="AB32" s="994"/>
      <c r="AC32" s="994"/>
      <c r="AD32" s="994"/>
      <c r="AE32" s="994"/>
      <c r="AF32" s="994"/>
      <c r="AG32" s="994"/>
      <c r="AH32" s="819"/>
    </row>
    <row r="33" spans="2:34" ht="15">
      <c r="B33" s="795"/>
      <c r="C33" s="796"/>
      <c r="D33" s="797"/>
      <c r="E33" s="797"/>
      <c r="F33" s="811"/>
      <c r="G33" s="798"/>
      <c r="H33" s="798"/>
      <c r="I33" s="798"/>
      <c r="J33" s="815"/>
      <c r="K33" s="815"/>
      <c r="N33" s="797"/>
      <c r="O33" s="811"/>
      <c r="P33" s="819"/>
      <c r="AH33" s="776"/>
    </row>
    <row r="34" spans="2:34" ht="17.25">
      <c r="B34" s="795"/>
      <c r="C34" s="796" t="s">
        <v>1189</v>
      </c>
      <c r="D34" s="797"/>
      <c r="E34" s="797"/>
      <c r="F34" s="811"/>
      <c r="G34" s="798"/>
      <c r="H34" s="798"/>
      <c r="I34" s="798"/>
      <c r="J34" s="815"/>
      <c r="K34" s="815"/>
      <c r="L34" s="1230" t="s">
        <v>1339</v>
      </c>
      <c r="O34" s="811"/>
      <c r="P34" s="819"/>
      <c r="AH34" s="837"/>
    </row>
    <row r="35" spans="2:33" ht="15">
      <c r="B35" s="795"/>
      <c r="C35" s="796" t="s">
        <v>1416</v>
      </c>
      <c r="D35" s="797"/>
      <c r="E35" s="797"/>
      <c r="F35" s="811"/>
      <c r="G35" s="798"/>
      <c r="H35" s="798"/>
      <c r="I35" s="798"/>
      <c r="J35" s="815"/>
      <c r="L35" s="1232">
        <f>K32-N50</f>
        <v>35828522.983210117</v>
      </c>
      <c r="AE35" s="776"/>
      <c r="AG35" s="776"/>
    </row>
    <row r="36" spans="2:33" ht="15">
      <c r="B36" s="795"/>
      <c r="C36" s="796" t="s">
        <v>1296</v>
      </c>
      <c r="D36" s="797"/>
      <c r="E36" s="797"/>
      <c r="F36" s="811"/>
      <c r="G36" s="798"/>
      <c r="H36" s="1405"/>
      <c r="I36" s="798"/>
      <c r="J36" s="815"/>
      <c r="O36" s="1233"/>
      <c r="P36" s="1233"/>
      <c r="Q36" s="1233"/>
      <c r="R36" s="1233"/>
      <c r="S36" s="1233"/>
      <c r="T36" s="1233"/>
      <c r="U36" s="1233"/>
      <c r="V36" s="1233"/>
      <c r="AG36" s="776"/>
    </row>
    <row r="37" spans="2:33" ht="17.25">
      <c r="B37" s="795"/>
      <c r="C37" s="1242" t="s">
        <v>1297</v>
      </c>
      <c r="D37" s="797"/>
      <c r="E37" s="797"/>
      <c r="F37" s="811"/>
      <c r="G37" s="798"/>
      <c r="H37" s="1405"/>
      <c r="I37" s="798"/>
      <c r="J37" s="815"/>
      <c r="L37" s="1230" t="s">
        <v>978</v>
      </c>
      <c r="M37" s="1233"/>
      <c r="N37" s="1234"/>
      <c r="O37" s="1233"/>
      <c r="P37" s="1233"/>
      <c r="Q37" s="1233"/>
      <c r="R37" s="1233"/>
      <c r="S37" s="1233"/>
      <c r="T37" s="1233"/>
      <c r="U37" s="1233"/>
      <c r="V37" s="1233"/>
      <c r="AG37" s="776"/>
    </row>
    <row r="38" spans="2:33" ht="15">
      <c r="B38" s="795"/>
      <c r="C38" s="8" t="s">
        <v>1295</v>
      </c>
      <c r="D38" s="797"/>
      <c r="E38" s="797"/>
      <c r="F38" s="811"/>
      <c r="G38" s="798"/>
      <c r="H38" s="1405"/>
      <c r="I38" s="798"/>
      <c r="J38" s="815"/>
      <c r="L38" s="1230" t="s">
        <v>1294</v>
      </c>
      <c r="N38" s="1233"/>
      <c r="O38" s="1233"/>
      <c r="P38" s="1233"/>
      <c r="Q38" s="1233"/>
      <c r="R38" s="1233"/>
      <c r="S38" s="1233"/>
      <c r="T38" s="1233"/>
      <c r="U38" s="1233"/>
      <c r="V38" s="1233"/>
      <c r="W38" s="1233"/>
      <c r="AG38" s="776"/>
    </row>
    <row r="39" spans="2:14" ht="24.75">
      <c r="B39" s="795"/>
      <c r="C39" s="796"/>
      <c r="D39" s="797"/>
      <c r="E39" s="797"/>
      <c r="F39" s="811"/>
      <c r="H39" s="894"/>
      <c r="J39" s="815"/>
      <c r="L39" s="1303" t="s">
        <v>503</v>
      </c>
      <c r="M39" s="1304" t="s">
        <v>1264</v>
      </c>
      <c r="N39" s="1230" t="s">
        <v>1000</v>
      </c>
    </row>
    <row r="40" spans="2:15" ht="15">
      <c r="B40" s="795"/>
      <c r="D40" s="797"/>
      <c r="E40" s="797"/>
      <c r="J40" s="815"/>
      <c r="L40" s="776">
        <f>'WP II-I-2.2'!F85</f>
        <v>9403068.6896400005</v>
      </c>
      <c r="M40" s="776">
        <f>'WP II-I-2.2'!F86</f>
        <v>539168.18119295791</v>
      </c>
      <c r="N40" s="776">
        <f t="shared" si="6" ref="N40:N49">L40+M40</f>
        <v>9942236.8708329592</v>
      </c>
      <c r="O40" s="799" t="s">
        <v>1012</v>
      </c>
    </row>
    <row r="41" spans="2:15" s="733" customFormat="1" ht="15">
      <c r="B41" s="802"/>
      <c r="C41" s="997"/>
      <c r="D41" s="998"/>
      <c r="E41" s="998"/>
      <c r="L41" s="776">
        <f>'WP II-I-2.2'!G85</f>
        <v>2617580.6507600001</v>
      </c>
      <c r="M41" s="776">
        <f>'WP II-I-2.2'!G86</f>
        <v>6347785.6790570021</v>
      </c>
      <c r="N41" s="776">
        <f t="shared" si="6"/>
        <v>8965366.3298170026</v>
      </c>
      <c r="O41" s="799" t="s">
        <v>1013</v>
      </c>
    </row>
    <row r="42" spans="2:15" ht="15">
      <c r="B42" s="795"/>
      <c r="C42" s="799"/>
      <c r="D42" s="797"/>
      <c r="E42" s="797"/>
      <c r="L42" s="776">
        <f>'WP II-I-2.2'!H85</f>
        <v>31455.904816000002</v>
      </c>
      <c r="M42" s="776">
        <f>'WP II-I-2.2'!H86</f>
        <v>7529.615906312677</v>
      </c>
      <c r="N42" s="776">
        <f t="shared" si="6"/>
        <v>38985.520722312678</v>
      </c>
      <c r="O42" s="799" t="s">
        <v>1014</v>
      </c>
    </row>
    <row r="43" spans="2:15" ht="14.25">
      <c r="B43" s="728"/>
      <c r="L43" s="776">
        <f>'WP II-I-2.2'!I85</f>
        <v>181994.87786400001</v>
      </c>
      <c r="M43" s="776">
        <f>'WP II-I-2.2'!I86</f>
        <v>1200589.8042405464</v>
      </c>
      <c r="N43" s="776">
        <f t="shared" si="6"/>
        <v>1382584.6821045463</v>
      </c>
      <c r="O43" s="799" t="s">
        <v>1015</v>
      </c>
    </row>
    <row r="44" spans="2:15" ht="14.25" hidden="1">
      <c r="B44" s="728"/>
      <c r="C44" s="774"/>
      <c r="D44" s="784"/>
      <c r="E44" s="784"/>
      <c r="L44" s="776">
        <f>'WP II-I-2.2'!J85</f>
        <v>2246.8503440000004</v>
      </c>
      <c r="M44" s="776">
        <f>'WP II-I-2.2'!J86</f>
        <v>51629.810782443987</v>
      </c>
      <c r="N44" s="776">
        <f t="shared" si="6"/>
        <v>53876.661126443985</v>
      </c>
      <c r="O44" s="799" t="s">
        <v>1016</v>
      </c>
    </row>
    <row r="45" spans="2:15" ht="14.25" hidden="1">
      <c r="B45" s="728"/>
      <c r="J45" s="820"/>
      <c r="L45" s="776">
        <f>'WP II-I-2.2'!K85</f>
        <v>4493.7006880000008</v>
      </c>
      <c r="M45" s="776">
        <f>'WP II-I-2.2'!K86</f>
        <v>93489.830604697578</v>
      </c>
      <c r="N45" s="776">
        <f t="shared" si="6"/>
        <v>97983.531292697575</v>
      </c>
      <c r="O45" s="799" t="s">
        <v>1017</v>
      </c>
    </row>
    <row r="46" spans="12:15" ht="14.25" hidden="1">
      <c r="L46" s="776">
        <f>'WP II-I-2.2'!L85</f>
        <v>312312.19781599997</v>
      </c>
      <c r="M46" s="776">
        <f>'WP II-I-2.2'!L86</f>
        <v>435758.82307791163</v>
      </c>
      <c r="N46" s="776">
        <f t="shared" si="6"/>
        <v>748071.0208939116</v>
      </c>
      <c r="O46" s="799" t="s">
        <v>1018</v>
      </c>
    </row>
    <row r="47" spans="10:19" ht="15" hidden="1">
      <c r="J47" s="434"/>
      <c r="L47" s="1302">
        <f>SUM(L40:L46)</f>
        <v>12553152.871928001</v>
      </c>
      <c r="M47" s="1302">
        <f>SUM(M40:M46)</f>
        <v>8675951.7448618729</v>
      </c>
      <c r="N47" s="1229">
        <f t="shared" si="6"/>
        <v>21229104.616789874</v>
      </c>
      <c r="O47" s="796" t="s">
        <v>1019</v>
      </c>
      <c r="Q47" s="1310"/>
      <c r="R47" s="434"/>
      <c r="S47" s="434"/>
    </row>
    <row r="48" spans="12:16" ht="14.25" hidden="1">
      <c r="L48" s="776">
        <f>'WP II-I-2.2'!M85</f>
        <v>0</v>
      </c>
      <c r="M48" s="776">
        <f>'WP II-I-2.2'!M86</f>
        <v>0</v>
      </c>
      <c r="N48" s="776">
        <f t="shared" si="6"/>
        <v>0</v>
      </c>
      <c r="O48" s="799" t="s">
        <v>1020</v>
      </c>
      <c r="P48" s="1311"/>
    </row>
    <row r="49" spans="12:16" ht="14.25" hidden="1">
      <c r="L49" s="776">
        <f>'WP II-I-2.2'!N85</f>
        <v>0</v>
      </c>
      <c r="M49" s="776">
        <f>'WP II-I-2.2'!N86</f>
        <v>0</v>
      </c>
      <c r="N49" s="776">
        <f t="shared" si="6"/>
        <v>0</v>
      </c>
      <c r="O49" s="799" t="s">
        <v>1021</v>
      </c>
      <c r="P49" s="1311"/>
    </row>
    <row r="50" spans="12:17" ht="15" hidden="1">
      <c r="L50" s="1229">
        <f t="shared" si="7" ref="L50:M50">SUM(L47:L49)</f>
        <v>12553152.871928001</v>
      </c>
      <c r="M50" s="1229">
        <f t="shared" si="7"/>
        <v>8675951.7448618729</v>
      </c>
      <c r="N50" s="1229">
        <f>SUM(N47:N49)</f>
        <v>21229104.616789874</v>
      </c>
      <c r="O50" s="796" t="s">
        <v>899</v>
      </c>
      <c r="P50" s="1311"/>
      <c r="Q50" s="1310"/>
    </row>
    <row r="51" spans="11:14" ht="14.25" hidden="1">
      <c r="K51" s="776"/>
      <c r="N51" s="837"/>
    </row>
    <row r="52" spans="3:17" ht="15" hidden="1">
      <c r="C52" s="3" t="s">
        <v>1345</v>
      </c>
      <c r="D52" s="783"/>
      <c r="E52" s="783"/>
      <c r="F52" s="788"/>
      <c r="G52" s="783"/>
      <c r="H52" s="783"/>
      <c r="I52" s="783"/>
      <c r="J52" s="783"/>
      <c r="K52" s="783"/>
      <c r="L52"/>
      <c r="M52"/>
      <c r="N52"/>
      <c r="O52"/>
      <c r="P52"/>
      <c r="Q52"/>
    </row>
    <row r="53" spans="3:17" ht="15" hidden="1">
      <c r="C53" s="3"/>
      <c r="D53" s="783"/>
      <c r="E53" s="783"/>
      <c r="F53" s="788"/>
      <c r="G53" s="783"/>
      <c r="H53" s="783"/>
      <c r="I53" s="783"/>
      <c r="J53" s="783"/>
      <c r="K53" s="783"/>
      <c r="L53"/>
      <c r="M53"/>
      <c r="N53"/>
      <c r="O53"/>
      <c r="P53"/>
      <c r="Q53"/>
    </row>
    <row r="54" spans="3:17" ht="57" hidden="1">
      <c r="C54" s="3"/>
      <c r="D54" s="783"/>
      <c r="E54" s="1264" t="s">
        <v>1323</v>
      </c>
      <c r="F54" s="1314"/>
      <c r="G54" s="1312" t="s">
        <v>1343</v>
      </c>
      <c r="H54" s="1312"/>
      <c r="I54" s="1312"/>
      <c r="J54" s="1251" t="s">
        <v>1341</v>
      </c>
      <c r="K54" s="728"/>
      <c r="L54"/>
      <c r="M54"/>
      <c r="N54"/>
      <c r="O54"/>
      <c r="P54"/>
      <c r="Q54"/>
    </row>
    <row r="55" spans="3:17" ht="18" hidden="1" thickBot="1">
      <c r="C55" s="791" t="s">
        <v>406</v>
      </c>
      <c r="D55" s="792"/>
      <c r="E55" s="1253" t="s">
        <v>1306</v>
      </c>
      <c r="F55" s="1315" t="s">
        <v>1006</v>
      </c>
      <c r="G55" s="1313" t="s">
        <v>1340</v>
      </c>
      <c r="H55" s="1313"/>
      <c r="I55" s="1313"/>
      <c r="J55" s="1316" t="s">
        <v>1342</v>
      </c>
      <c r="K55" s="783"/>
      <c r="L55"/>
      <c r="M55"/>
      <c r="N55"/>
      <c r="O55"/>
      <c r="P55"/>
      <c r="Q55"/>
    </row>
    <row r="56" spans="3:17" ht="15" hidden="1">
      <c r="C56" s="1305" t="s">
        <v>1011</v>
      </c>
      <c r="D56" s="783"/>
      <c r="E56" s="1226">
        <f t="shared" si="8" ref="E56:E68">E77</f>
        <v>1149468439</v>
      </c>
      <c r="F56" s="1307">
        <f t="shared" si="9" ref="F56:F68">G56-E56</f>
        <v>227792632.18958497</v>
      </c>
      <c r="G56" s="370">
        <f>$Q$77</f>
        <v>1377261071.189585</v>
      </c>
      <c r="H56" s="370"/>
      <c r="I56" s="370"/>
      <c r="J56" s="1308">
        <f t="shared" si="10" ref="J56:J68">F56/E56</f>
        <v>0.19817215023994667</v>
      </c>
      <c r="K56" s="733"/>
      <c r="L56"/>
      <c r="M56"/>
      <c r="N56"/>
      <c r="O56"/>
      <c r="P56"/>
      <c r="Q56"/>
    </row>
    <row r="57" spans="3:17" ht="15" hidden="1">
      <c r="C57" s="1305" t="s">
        <v>1012</v>
      </c>
      <c r="D57" s="783"/>
      <c r="E57" s="1226">
        <f t="shared" si="8"/>
        <v>74701946</v>
      </c>
      <c r="F57" s="1307">
        <f t="shared" si="9"/>
        <v>-7444392.9507292658</v>
      </c>
      <c r="G57" s="1306">
        <f t="shared" si="11" ref="G57:G68">Q78</f>
        <v>67257553.049270734</v>
      </c>
      <c r="H57" s="1306"/>
      <c r="I57" s="1306"/>
      <c r="J57" s="1308">
        <f t="shared" si="10"/>
        <v>-0.09965460539313481</v>
      </c>
      <c r="K57" s="733"/>
      <c r="L57"/>
      <c r="M57"/>
      <c r="N57"/>
      <c r="O57"/>
      <c r="P57"/>
      <c r="Q57"/>
    </row>
    <row r="58" spans="3:17" ht="15" hidden="1">
      <c r="C58" s="1305" t="s">
        <v>1013</v>
      </c>
      <c r="D58" s="783"/>
      <c r="E58" s="1226">
        <f t="shared" si="8"/>
        <v>869801116</v>
      </c>
      <c r="F58" s="1307">
        <f t="shared" si="9"/>
        <v>-42551418.696482182</v>
      </c>
      <c r="G58" s="1306">
        <f t="shared" si="11"/>
        <v>827249697.30351782</v>
      </c>
      <c r="H58" s="1306"/>
      <c r="I58" s="1306"/>
      <c r="J58" s="1308">
        <f t="shared" si="10"/>
        <v>-0.048920860083700078</v>
      </c>
      <c r="K58" s="733"/>
      <c r="L58"/>
      <c r="M58"/>
      <c r="N58"/>
      <c r="O58"/>
      <c r="P58"/>
      <c r="Q58"/>
    </row>
    <row r="59" spans="3:17" ht="15" hidden="1">
      <c r="C59" s="1305" t="s">
        <v>1014</v>
      </c>
      <c r="D59" s="783"/>
      <c r="E59" s="1226">
        <f t="shared" si="8"/>
        <v>1043231</v>
      </c>
      <c r="F59" s="1307">
        <f t="shared" si="9"/>
        <v>-17299.199895131867</v>
      </c>
      <c r="G59" s="1306">
        <f t="shared" si="11"/>
        <v>1025931.8001048681</v>
      </c>
      <c r="H59" s="1306"/>
      <c r="I59" s="1306"/>
      <c r="J59" s="1308">
        <f t="shared" si="10"/>
        <v>-0.01658232922059627</v>
      </c>
      <c r="K59" s="733"/>
      <c r="L59"/>
      <c r="M59"/>
      <c r="N59"/>
      <c r="O59"/>
      <c r="P59"/>
      <c r="Q59"/>
    </row>
    <row r="60" spans="3:17" ht="15" hidden="1">
      <c r="C60" s="1305" t="s">
        <v>1015</v>
      </c>
      <c r="D60" s="783"/>
      <c r="E60" s="1226">
        <f t="shared" si="8"/>
        <v>162158100</v>
      </c>
      <c r="F60" s="1307">
        <f t="shared" si="9"/>
        <v>-26315162.137169063</v>
      </c>
      <c r="G60" s="1306">
        <f t="shared" si="11"/>
        <v>135842937.86283094</v>
      </c>
      <c r="H60" s="1306"/>
      <c r="I60" s="1306"/>
      <c r="J60" s="1308">
        <f t="shared" si="10"/>
        <v>-0.16228089831571202</v>
      </c>
      <c r="K60" s="733"/>
      <c r="L60"/>
      <c r="M60"/>
      <c r="N60"/>
      <c r="O60"/>
      <c r="P60"/>
      <c r="Q60"/>
    </row>
    <row r="61" spans="3:17" ht="15" hidden="1">
      <c r="C61" s="1305" t="s">
        <v>1016</v>
      </c>
      <c r="D61" s="783"/>
      <c r="E61" s="1226">
        <f t="shared" si="8"/>
        <v>7088728</v>
      </c>
      <c r="F61" s="1307">
        <f t="shared" si="9"/>
        <v>-2995455.0798508897</v>
      </c>
      <c r="G61" s="1306">
        <f t="shared" si="11"/>
        <v>4093272.9201491103</v>
      </c>
      <c r="H61" s="1306"/>
      <c r="I61" s="1306"/>
      <c r="J61" s="1308">
        <f t="shared" si="10"/>
        <v>-0.42256594975161832</v>
      </c>
      <c r="K61" s="733"/>
      <c r="L61"/>
      <c r="M61"/>
      <c r="N61"/>
      <c r="O61"/>
      <c r="P61"/>
      <c r="Q61"/>
    </row>
    <row r="62" spans="3:17" ht="15" hidden="1">
      <c r="C62" s="1305" t="s">
        <v>1017</v>
      </c>
      <c r="D62" s="783"/>
      <c r="E62" s="1226">
        <f t="shared" si="8"/>
        <v>12599583</v>
      </c>
      <c r="F62" s="1307">
        <f t="shared" si="9"/>
        <v>-2221254.545183748</v>
      </c>
      <c r="G62" s="1306">
        <f t="shared" si="11"/>
        <v>10378328.454816252</v>
      </c>
      <c r="H62" s="1306"/>
      <c r="I62" s="1306"/>
      <c r="J62" s="1308">
        <f t="shared" si="10"/>
        <v>-0.17629587782260317</v>
      </c>
      <c r="K62" s="733"/>
      <c r="L62"/>
      <c r="M62"/>
      <c r="N62"/>
      <c r="O62"/>
      <c r="P62"/>
      <c r="Q62"/>
    </row>
    <row r="63" spans="3:17" ht="15" hidden="1">
      <c r="C63" s="1305" t="s">
        <v>1018</v>
      </c>
      <c r="D63" s="783"/>
      <c r="E63" s="1226">
        <f t="shared" si="8"/>
        <v>60374542.129999995</v>
      </c>
      <c r="F63" s="1307">
        <f t="shared" si="9"/>
        <v>-517487.81021792442</v>
      </c>
      <c r="G63" s="1306">
        <f t="shared" si="11"/>
        <v>59857054.319782071</v>
      </c>
      <c r="H63" s="1306"/>
      <c r="I63" s="1306"/>
      <c r="J63" s="1309">
        <f t="shared" si="10"/>
        <v>-0.008571291672964684</v>
      </c>
      <c r="K63" s="733"/>
      <c r="L63"/>
      <c r="M63"/>
      <c r="N63"/>
      <c r="O63"/>
      <c r="P63"/>
      <c r="Q63"/>
    </row>
    <row r="64" spans="3:17" ht="15" hidden="1">
      <c r="C64" s="1305" t="s">
        <v>1019</v>
      </c>
      <c r="D64" s="783"/>
      <c r="E64" s="1226">
        <f t="shared" si="8"/>
        <v>2337235685.1300001</v>
      </c>
      <c r="F64" s="1307">
        <f t="shared" si="9"/>
        <v>145730161.77005673</v>
      </c>
      <c r="G64" s="1306">
        <f t="shared" si="11"/>
        <v>2482965846.9000568</v>
      </c>
      <c r="H64" s="1306"/>
      <c r="I64" s="1306"/>
      <c r="J64" s="1308">
        <f t="shared" si="10"/>
        <v>0.062351504684454204</v>
      </c>
      <c r="K64" s="733"/>
      <c r="L64"/>
      <c r="M64"/>
      <c r="N64"/>
      <c r="O64"/>
      <c r="P64"/>
      <c r="Q64"/>
    </row>
    <row r="65" spans="3:17" ht="15" hidden="1">
      <c r="C65" s="1305" t="s">
        <v>1020</v>
      </c>
      <c r="D65" s="783"/>
      <c r="E65" s="1226">
        <f t="shared" si="8"/>
        <v>608356</v>
      </c>
      <c r="F65" s="1307">
        <f t="shared" si="9"/>
        <v>652877.38761690538</v>
      </c>
      <c r="G65" s="1306">
        <f t="shared" si="11"/>
        <v>1261233.3876169054</v>
      </c>
      <c r="H65" s="1306"/>
      <c r="I65" s="1306"/>
      <c r="J65" s="1308">
        <f t="shared" si="10"/>
        <v>1.0731831158349805</v>
      </c>
      <c r="K65" s="733"/>
      <c r="L65"/>
      <c r="M65"/>
      <c r="N65"/>
      <c r="O65"/>
      <c r="P65"/>
      <c r="Q65"/>
    </row>
    <row r="66" spans="3:17" ht="15" hidden="1">
      <c r="C66" s="1305" t="s">
        <v>1021</v>
      </c>
      <c r="D66" s="783"/>
      <c r="E66" s="1226">
        <f t="shared" si="8"/>
        <v>2160192</v>
      </c>
      <c r="F66" s="1307">
        <f t="shared" si="9"/>
        <v>3415825.3615425201</v>
      </c>
      <c r="G66" s="1306">
        <f t="shared" si="11"/>
        <v>5576017.3615425201</v>
      </c>
      <c r="H66" s="1306"/>
      <c r="I66" s="1306"/>
      <c r="J66" s="1309">
        <f t="shared" si="10"/>
        <v>1.5812600738927467</v>
      </c>
      <c r="K66" s="733"/>
      <c r="L66"/>
      <c r="M66"/>
      <c r="N66"/>
      <c r="O66"/>
      <c r="P66"/>
      <c r="Q66"/>
    </row>
    <row r="67" spans="3:17" ht="15" hidden="1">
      <c r="C67" s="1305" t="s">
        <v>1322</v>
      </c>
      <c r="D67" s="783"/>
      <c r="E67" s="1226">
        <f t="shared" si="8"/>
        <v>2768548</v>
      </c>
      <c r="F67" s="1307">
        <f t="shared" si="9"/>
        <v>4068702.7491594255</v>
      </c>
      <c r="G67" s="1306">
        <f t="shared" si="11"/>
        <v>6837250.7491594255</v>
      </c>
      <c r="H67" s="1306"/>
      <c r="I67" s="1306"/>
      <c r="J67" s="1309">
        <f t="shared" si="10"/>
        <v>1.469616112546875</v>
      </c>
      <c r="K67" s="733"/>
      <c r="L67"/>
      <c r="M67"/>
      <c r="N67"/>
      <c r="O67"/>
      <c r="P67"/>
      <c r="Q67"/>
    </row>
    <row r="68" spans="3:17" ht="15" hidden="1">
      <c r="C68" s="1305" t="s">
        <v>899</v>
      </c>
      <c r="D68" s="783"/>
      <c r="E68" s="1226">
        <f t="shared" si="8"/>
        <v>2340004233.1300001</v>
      </c>
      <c r="F68" s="1307">
        <f t="shared" si="9"/>
        <v>149798864.51921606</v>
      </c>
      <c r="G68" s="1306">
        <f t="shared" si="11"/>
        <v>2489803097.6492162</v>
      </c>
      <c r="H68" s="1306"/>
      <c r="I68" s="1306"/>
      <c r="J68" s="1308">
        <f t="shared" si="10"/>
        <v>0.064016492961144963</v>
      </c>
      <c r="K68" s="733"/>
      <c r="L68"/>
      <c r="M68"/>
      <c r="N68"/>
      <c r="O68"/>
      <c r="P68"/>
      <c r="Q68"/>
    </row>
    <row r="69" spans="3:17" ht="15" hidden="1">
      <c r="C69" s="3"/>
      <c r="D69" s="783"/>
      <c r="E69" s="783"/>
      <c r="F69" s="788"/>
      <c r="G69" s="783"/>
      <c r="H69" s="783"/>
      <c r="I69" s="783"/>
      <c r="J69" s="783"/>
      <c r="K69" s="783"/>
      <c r="L69"/>
      <c r="M69"/>
      <c r="N69"/>
      <c r="O69"/>
      <c r="P69"/>
      <c r="Q69"/>
    </row>
    <row r="70" spans="3:17" ht="15" hidden="1">
      <c r="C70" s="3"/>
      <c r="D70" s="783"/>
      <c r="E70" s="783"/>
      <c r="F70" s="788"/>
      <c r="G70" s="783"/>
      <c r="H70" s="783"/>
      <c r="I70" s="783"/>
      <c r="J70" s="783"/>
      <c r="K70" s="783"/>
      <c r="L70"/>
      <c r="M70"/>
      <c r="N70"/>
      <c r="O70"/>
      <c r="P70"/>
      <c r="Q70"/>
    </row>
    <row r="71" spans="3:17" ht="15" hidden="1">
      <c r="C71" s="3"/>
      <c r="D71" s="783"/>
      <c r="E71" s="783"/>
      <c r="F71" s="788"/>
      <c r="G71" s="783"/>
      <c r="H71" s="783"/>
      <c r="I71" s="783"/>
      <c r="J71" s="783"/>
      <c r="K71" s="783"/>
      <c r="L71"/>
      <c r="M71"/>
      <c r="N71"/>
      <c r="O71"/>
      <c r="P71"/>
      <c r="Q71"/>
    </row>
    <row r="72" spans="3:17" ht="15" hidden="1">
      <c r="C72" s="3"/>
      <c r="D72" s="783"/>
      <c r="E72" s="783"/>
      <c r="F72" s="788"/>
      <c r="G72" s="783"/>
      <c r="H72" s="783"/>
      <c r="I72" s="783"/>
      <c r="J72" s="783"/>
      <c r="K72" s="783"/>
      <c r="L72"/>
      <c r="M72"/>
      <c r="N72"/>
      <c r="O72"/>
      <c r="P72"/>
      <c r="Q72"/>
    </row>
    <row r="73" spans="3:17" ht="72" hidden="1">
      <c r="C73" s="3"/>
      <c r="D73" s="783"/>
      <c r="E73" s="1264" t="s">
        <v>1344</v>
      </c>
      <c r="F73" s="728"/>
      <c r="G73" s="728"/>
      <c r="H73" s="728"/>
      <c r="I73" s="728"/>
      <c r="J73" s="728"/>
      <c r="K73" s="1251" t="s">
        <v>1305</v>
      </c>
      <c r="L73"/>
      <c r="M73" s="1252" t="s">
        <v>1305</v>
      </c>
      <c r="N73"/>
      <c r="O73"/>
      <c r="P73"/>
      <c r="Q73"/>
    </row>
    <row r="74" spans="3:25" ht="60.75" hidden="1" thickBot="1">
      <c r="C74" s="791" t="s">
        <v>406</v>
      </c>
      <c r="D74" s="792"/>
      <c r="E74" s="1253" t="s">
        <v>1306</v>
      </c>
      <c r="F74" s="791" t="s">
        <v>1307</v>
      </c>
      <c r="G74" s="791" t="s">
        <v>1308</v>
      </c>
      <c r="H74" s="791"/>
      <c r="I74" s="791"/>
      <c r="J74" s="791" t="s">
        <v>1309</v>
      </c>
      <c r="K74" s="1253" t="s">
        <v>1310</v>
      </c>
      <c r="L74"/>
      <c r="M74" s="1254" t="s">
        <v>1324</v>
      </c>
      <c r="N74" s="1255" t="s">
        <v>1311</v>
      </c>
      <c r="O74" s="1255" t="s">
        <v>1312</v>
      </c>
      <c r="P74" s="1255" t="s">
        <v>1313</v>
      </c>
      <c r="Q74" s="1255" t="s">
        <v>1327</v>
      </c>
      <c r="R74" s="1255" t="s">
        <v>1314</v>
      </c>
      <c r="S74" s="1255" t="s">
        <v>1326</v>
      </c>
      <c r="T74" s="1255" t="s">
        <v>1006</v>
      </c>
      <c r="U74" s="1255" t="s">
        <v>1315</v>
      </c>
      <c r="V74"/>
      <c r="W74" s="1256" t="s">
        <v>1329</v>
      </c>
      <c r="X74" s="1256" t="s">
        <v>1330</v>
      </c>
      <c r="Y74" s="1256" t="s">
        <v>1331</v>
      </c>
    </row>
    <row r="75" spans="3:25" ht="14.25" hidden="1">
      <c r="C75" s="793"/>
      <c r="E75" s="794" t="s">
        <v>13</v>
      </c>
      <c r="F75" s="794" t="s">
        <v>14</v>
      </c>
      <c r="G75" s="794" t="s">
        <v>15</v>
      </c>
      <c r="H75" s="794"/>
      <c r="I75" s="794"/>
      <c r="J75" s="794" t="s">
        <v>16</v>
      </c>
      <c r="K75" s="944" t="s">
        <v>1316</v>
      </c>
      <c r="L75"/>
      <c r="M75" s="794" t="s">
        <v>18</v>
      </c>
      <c r="N75" s="794" t="s">
        <v>19</v>
      </c>
      <c r="O75" s="794" t="s">
        <v>1317</v>
      </c>
      <c r="P75" s="794" t="s">
        <v>21</v>
      </c>
      <c r="Q75" s="794" t="s">
        <v>1318</v>
      </c>
      <c r="R75" s="794" t="s">
        <v>418</v>
      </c>
      <c r="S75" s="794" t="s">
        <v>1319</v>
      </c>
      <c r="T75" s="794" t="s">
        <v>1328</v>
      </c>
      <c r="U75" s="794" t="s">
        <v>1320</v>
      </c>
      <c r="V75"/>
      <c r="W75" s="794" t="s">
        <v>1321</v>
      </c>
      <c r="X75" s="794"/>
      <c r="Y75"/>
    </row>
    <row r="76" spans="3:25" ht="14.25" hidden="1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3:25" ht="14.25" hidden="1">
      <c r="C77" t="s">
        <v>1011</v>
      </c>
      <c r="D77"/>
      <c r="E77" s="692">
        <f>'WP II-I-2.2'!E65</f>
        <v>1149468439</v>
      </c>
      <c r="F77" s="1120"/>
      <c r="G77" s="692">
        <f>'WP II-I-2.2'!$E$53+'WP II-I-2.2'!$E$54</f>
        <v>771619863</v>
      </c>
      <c r="H77" s="692"/>
      <c r="I77" s="692"/>
      <c r="J77" s="692">
        <f>'WP II-I-2.2'!$E$85+'WP II-I-2.2'!$E$86</f>
        <v>18211744.983209975</v>
      </c>
      <c r="K77" s="692">
        <f t="shared" si="12" ref="K77:K89">SUM(E77:J77)</f>
        <v>1939300046.9832101</v>
      </c>
      <c r="L77"/>
      <c r="M77" s="692">
        <f>'II-I Summary'!F26</f>
        <v>2172322414.309793</v>
      </c>
      <c r="N77" s="1120">
        <f>'II-I Summary'!F28</f>
        <v>36873130.591759935</v>
      </c>
      <c r="O77" s="1120">
        <f t="shared" si="13" ref="O77:O89">M77-N77</f>
        <v>2135449283.7180331</v>
      </c>
      <c r="P77" s="1120">
        <f>'II-I Summary'!F18</f>
        <v>758188212.5284481</v>
      </c>
      <c r="Q77" s="1120">
        <f t="shared" si="14" ref="Q77:Q88">O77-P77</f>
        <v>1377261071.189585</v>
      </c>
      <c r="R77" s="1120">
        <v>-239147</v>
      </c>
      <c r="S77" s="370">
        <f>'WP II-I-1.6'!Q77+R77</f>
        <v>1377021924.189585</v>
      </c>
      <c r="T77" s="370">
        <f>S77-'WP II-I-1.6'!E77</f>
        <v>227553485.18958497</v>
      </c>
      <c r="U77" s="1257">
        <f>T77/'WP II-I-1.6'!E77</f>
        <v>0.19796410016054819</v>
      </c>
      <c r="V77"/>
      <c r="W77" s="1257">
        <f>(T77)/('WP II-I-1.6'!E77+'WP II-I-1.6'!G77)</f>
        <v>0.11845029973514719</v>
      </c>
      <c r="X77" s="1257">
        <f>T77/('WP II-I-1.6'!E77+'WP II-I-1.6'!P77)</f>
        <v>0.119284298360119</v>
      </c>
      <c r="Y77" s="1257">
        <v>0.11763137391488424</v>
      </c>
    </row>
    <row r="78" spans="3:25" ht="14.25" hidden="1">
      <c r="C78" t="s">
        <v>1012</v>
      </c>
      <c r="D78"/>
      <c r="E78" s="692">
        <f>'WP II-I-2.2'!F65</f>
        <v>74701946</v>
      </c>
      <c r="F78" s="1120"/>
      <c r="G78" s="692">
        <f>'WP II-I-2.2'!$F$53+'WP II-I-2.2'!$F$54</f>
        <v>20855235</v>
      </c>
      <c r="H78" s="692"/>
      <c r="I78" s="692"/>
      <c r="J78" s="692">
        <f>'WP II-I-2.2'!F$85+'WP II-I-2.2'!F$86</f>
        <v>9942236.8708329592</v>
      </c>
      <c r="K78" s="692">
        <f t="shared" si="12"/>
        <v>105499417.87083297</v>
      </c>
      <c r="L78"/>
      <c r="M78" s="692">
        <v>90867564.746758416</v>
      </c>
      <c r="N78" s="1120">
        <f>'II-I Summary'!G28</f>
        <v>2417394.4998616055</v>
      </c>
      <c r="O78" s="1120">
        <f t="shared" si="13"/>
        <v>88450170.246896803</v>
      </c>
      <c r="P78" s="1120">
        <f>'II-I Summary'!G18</f>
        <v>21192617.197626065</v>
      </c>
      <c r="Q78" s="1120">
        <f t="shared" si="14"/>
        <v>67257553.049270734</v>
      </c>
      <c r="R78" s="1120">
        <v>10202</v>
      </c>
      <c r="S78" s="370">
        <f>'WP II-I-1.6'!Q78+R78</f>
        <v>67267755.049270734</v>
      </c>
      <c r="T78" s="370">
        <f>S78-'WP II-I-1.6'!E78</f>
        <v>-7434190.9507292658</v>
      </c>
      <c r="U78" s="1257">
        <f>T78/'WP II-I-1.6'!E78</f>
        <v>-0.099518035992385873</v>
      </c>
      <c r="V78"/>
      <c r="W78" s="1257">
        <f>(T78)/('WP II-I-1.6'!E78+'WP II-I-1.6'!G78)</f>
        <v>-0.077798349354082197</v>
      </c>
      <c r="X78" s="1257">
        <f>T78/('WP II-I-1.6'!E78+'WP II-I-1.6'!P78)</f>
        <v>-0.077524634377950888</v>
      </c>
      <c r="Y78" s="1257">
        <v>-0.016807468281260497</v>
      </c>
    </row>
    <row r="79" spans="3:25" ht="14.25" hidden="1">
      <c r="C79" t="s">
        <v>1013</v>
      </c>
      <c r="D79"/>
      <c r="E79" s="692">
        <f>'WP II-I-2.2'!G65</f>
        <v>869801116</v>
      </c>
      <c r="F79" s="1120">
        <f>'WP II-I-2.2'!G70</f>
        <v>9686879.6886501182</v>
      </c>
      <c r="G79" s="692">
        <f>'WP II-I-2.2'!$G$53+'WP II-I-2.2'!$G$54</f>
        <v>616792422</v>
      </c>
      <c r="H79" s="692"/>
      <c r="I79" s="692"/>
      <c r="J79" s="692">
        <f>'WP II-I-2.2'!G$85+'WP II-I-2.2'!G$86</f>
        <v>8965366.3298170026</v>
      </c>
      <c r="K79" s="692">
        <f t="shared" si="12"/>
        <v>1505245784.0184672</v>
      </c>
      <c r="L79"/>
      <c r="M79" s="692">
        <v>1392955299.0841003</v>
      </c>
      <c r="N79" s="1120">
        <f>'II-I Summary'!H28</f>
        <v>14530138.192260621</v>
      </c>
      <c r="O79" s="1120">
        <f t="shared" si="13"/>
        <v>1378425160.8918397</v>
      </c>
      <c r="P79" s="1120">
        <f>'II-I Summary'!H18</f>
        <v>551175463.58832192</v>
      </c>
      <c r="Q79" s="1120">
        <f t="shared" si="14"/>
        <v>827249697.30351782</v>
      </c>
      <c r="R79" s="1120">
        <v>93938</v>
      </c>
      <c r="S79" s="370">
        <f>'WP II-I-1.6'!Q79+R79</f>
        <v>827343635.30351782</v>
      </c>
      <c r="T79" s="370">
        <f>S79-'WP II-I-1.6'!E79</f>
        <v>-42457480.696482182</v>
      </c>
      <c r="U79" s="1257">
        <f>T79/'WP II-I-1.6'!E79</f>
        <v>-0.04881286068214493</v>
      </c>
      <c r="V79"/>
      <c r="W79" s="1257">
        <f>(T79)/('WP II-I-1.6'!E79+'WP II-I-1.6'!G79)</f>
        <v>-0.028560248387466205</v>
      </c>
      <c r="X79" s="1257">
        <f>T79/('WP II-I-1.6'!E79+'WP II-I-1.6'!P79)</f>
        <v>-0.029879085486956263</v>
      </c>
      <c r="Y79" s="1257">
        <v>0.0028389937297071729</v>
      </c>
    </row>
    <row r="80" spans="3:25" ht="14.25" hidden="1">
      <c r="C80" t="s">
        <v>1014</v>
      </c>
      <c r="D80"/>
      <c r="E80" s="692">
        <f>'WP II-I-2.2'!H65</f>
        <v>1043231</v>
      </c>
      <c r="F80" s="1120"/>
      <c r="G80" s="692">
        <f>'WP II-I-2.2'!$H$53+'WP II-I-2.2'!$H$54</f>
        <v>189054</v>
      </c>
      <c r="H80" s="692"/>
      <c r="I80" s="692"/>
      <c r="J80" s="692">
        <f>'WP II-I-2.2'!H$85+'WP II-I-2.2'!H$86</f>
        <v>38985.520722312678</v>
      </c>
      <c r="K80" s="692">
        <f t="shared" si="12"/>
        <v>1271270.5207223126</v>
      </c>
      <c r="L80"/>
      <c r="M80" s="692">
        <v>1282849.9543518056</v>
      </c>
      <c r="N80" s="1120">
        <f>'II-I Summary'!I28</f>
        <v>37722.117905883446</v>
      </c>
      <c r="O80" s="1120">
        <f t="shared" si="13"/>
        <v>1245127.8364459223</v>
      </c>
      <c r="P80" s="1120">
        <f>'II-I Summary'!I18</f>
        <v>219196.03634105407</v>
      </c>
      <c r="Q80" s="1120">
        <f t="shared" si="14"/>
        <v>1025931.8001048681</v>
      </c>
      <c r="R80" s="1120">
        <v>-225043</v>
      </c>
      <c r="S80" s="370">
        <f>'WP II-I-1.6'!Q80+R80</f>
        <v>800888.80010486813</v>
      </c>
      <c r="T80" s="370">
        <f>S80-'WP II-I-1.6'!E80</f>
        <v>-242342.19989513187</v>
      </c>
      <c r="U80" s="1257">
        <f>T80/'WP II-I-1.6'!E80</f>
        <v>-0.23229965357157895</v>
      </c>
      <c r="V80"/>
      <c r="W80" s="1257">
        <f>(T80)/('WP II-I-1.6'!E80+'WP II-I-1.6'!G80)</f>
        <v>-0.19666083730235445</v>
      </c>
      <c r="X80" s="1257">
        <f>T80/('WP II-I-1.6'!E80+'WP II-I-1.6'!P80)</f>
        <v>-0.19196531198945371</v>
      </c>
      <c r="Y80" s="1257">
        <v>0.075765820563226255</v>
      </c>
    </row>
    <row r="81" spans="3:25" ht="14.25" hidden="1">
      <c r="C81" t="s">
        <v>1015</v>
      </c>
      <c r="D81"/>
      <c r="E81" s="692">
        <f>'WP II-I-2.2'!I65</f>
        <v>162158100</v>
      </c>
      <c r="F81" s="1120">
        <f>'WP II-I-2.2'!I70</f>
        <v>4184050.4698008769</v>
      </c>
      <c r="G81" s="692">
        <f>'WP II-I-2.2'!$I$53+'WP II-I-2.2'!$I$54</f>
        <v>106138547</v>
      </c>
      <c r="H81" s="692"/>
      <c r="I81" s="692"/>
      <c r="J81" s="692">
        <v>1311190.7712143771</v>
      </c>
      <c r="K81" s="692">
        <f t="shared" si="12"/>
        <v>273791888.24101526</v>
      </c>
      <c r="L81"/>
      <c r="M81" s="692">
        <v>276823250.08212382</v>
      </c>
      <c r="N81" s="1120">
        <f>'II-I Summary'!J28</f>
        <v>2409772.5133022121</v>
      </c>
      <c r="O81" s="1120">
        <f t="shared" si="13"/>
        <v>274413477.56882161</v>
      </c>
      <c r="P81" s="1120">
        <f>'II-I Summary'!J18</f>
        <v>138570539.70599067</v>
      </c>
      <c r="Q81" s="1120">
        <f t="shared" si="14"/>
        <v>135842937.86283094</v>
      </c>
      <c r="R81" s="1120">
        <v>20629089</v>
      </c>
      <c r="S81" s="370">
        <f>'WP II-I-1.6'!Q81+R81</f>
        <v>156472026.86283094</v>
      </c>
      <c r="T81" s="370">
        <f>S81-'WP II-I-1.6'!E81</f>
        <v>-5686073.1371690631</v>
      </c>
      <c r="U81" s="1257">
        <f>T81/'WP II-I-1.6'!E81</f>
        <v>-0.035064996057360458</v>
      </c>
      <c r="V81"/>
      <c r="W81" s="1257">
        <f>(T81)/('WP II-I-1.6'!E81+'WP II-I-1.6'!G81)</f>
        <v>-0.021193232195589322</v>
      </c>
      <c r="X81" s="1257">
        <f>T81/('WP II-I-1.6'!E81+'WP II-I-1.6'!P81)</f>
        <v>-0.018907654231828702</v>
      </c>
      <c r="Y81" s="1257">
        <v>0.075632452766541458</v>
      </c>
    </row>
    <row r="82" spans="3:25" ht="14.25" hidden="1">
      <c r="C82" t="s">
        <v>1016</v>
      </c>
      <c r="D82"/>
      <c r="E82" s="692">
        <f>'WP II-I-2.2'!J65</f>
        <v>7088728</v>
      </c>
      <c r="F82" s="1120">
        <f>'WP II-I-2.2'!J70</f>
        <v>64600.908480333826</v>
      </c>
      <c r="G82" s="692">
        <f>'WP II-I-2.2'!$J$53+'WP II-I-2.2'!$J$54</f>
        <v>24415314</v>
      </c>
      <c r="H82" s="692"/>
      <c r="I82" s="692"/>
      <c r="J82" s="692">
        <f>'WP II-I-2.2'!J$85+'WP II-I-2.2'!J$86</f>
        <v>53876.661126443985</v>
      </c>
      <c r="K82" s="692">
        <f t="shared" si="12"/>
        <v>31622519.569606777</v>
      </c>
      <c r="L82"/>
      <c r="M82" s="692">
        <v>49609213.28083504</v>
      </c>
      <c r="N82" s="1120">
        <f>'II-I Summary'!K28</f>
        <v>131631.27719676026</v>
      </c>
      <c r="O82" s="1120">
        <f t="shared" si="13"/>
        <v>49477582.003638282</v>
      </c>
      <c r="P82" s="1120">
        <f>'II-I Summary'!K18</f>
        <v>45384309.083489172</v>
      </c>
      <c r="Q82" s="1120">
        <f t="shared" si="14"/>
        <v>4093272.9201491103</v>
      </c>
      <c r="R82" s="1120">
        <v>-4808926</v>
      </c>
      <c r="S82" s="370">
        <f>'WP II-I-1.6'!Q82+R82</f>
        <v>-715653.07985088974</v>
      </c>
      <c r="T82" s="370">
        <f>S82-'WP II-I-1.6'!E82</f>
        <v>-7804381.0798508897</v>
      </c>
      <c r="U82" s="1257">
        <f>T82/'WP II-I-1.6'!E82</f>
        <v>-1.1009564875180553</v>
      </c>
      <c r="V82"/>
      <c r="W82" s="1257">
        <f>(T82)/('WP II-I-1.6'!E82+'WP II-I-1.6'!G82)</f>
        <v>-0.24772634190402901</v>
      </c>
      <c r="X82" s="1257">
        <f>T82/('WP II-I-1.6'!E82+'WP II-I-1.6'!P82)</f>
        <v>-0.1487312630186326</v>
      </c>
      <c r="Y82" s="1257">
        <v>0.75244048028142174</v>
      </c>
    </row>
    <row r="83" spans="3:25" ht="14.25" hidden="1">
      <c r="C83" t="s">
        <v>1017</v>
      </c>
      <c r="D83"/>
      <c r="E83" s="692">
        <f>'WP II-I-2.2'!K65</f>
        <v>12599583</v>
      </c>
      <c r="F83" s="1120">
        <f>'WP II-I-2.2'!K70</f>
        <v>353466.75514100742</v>
      </c>
      <c r="G83" s="692">
        <f>'WP II-I-2.2'!$K$53+'WP II-I-2.2'!$K$54</f>
        <v>101662088</v>
      </c>
      <c r="H83" s="692"/>
      <c r="I83" s="692"/>
      <c r="J83" s="692">
        <v>97805.006139388701</v>
      </c>
      <c r="K83" s="692">
        <f t="shared" si="12"/>
        <v>114712942.76128039</v>
      </c>
      <c r="L83"/>
      <c r="M83" s="692">
        <v>148237311.75626203</v>
      </c>
      <c r="N83" s="1120">
        <f>'II-I Summary'!L28</f>
        <v>67300.001663012808</v>
      </c>
      <c r="O83" s="1120">
        <f t="shared" si="13"/>
        <v>148170011.75459904</v>
      </c>
      <c r="P83" s="1120">
        <f>'II-I Summary'!L18</f>
        <v>137791683.29978278</v>
      </c>
      <c r="Q83" s="1120">
        <f t="shared" si="14"/>
        <v>10378328.454816252</v>
      </c>
      <c r="R83" s="1120">
        <v>-11097317</v>
      </c>
      <c r="S83" s="370">
        <f>'WP II-I-1.6'!Q83+R83</f>
        <v>-718988.54518374801</v>
      </c>
      <c r="T83" s="370">
        <f>S83-'WP II-I-1.6'!E83</f>
        <v>-13318571.545183748</v>
      </c>
      <c r="U83" s="1257">
        <f>T83/'WP II-I-1.6'!E83</f>
        <v>-1.0570644715133626</v>
      </c>
      <c r="V83"/>
      <c r="W83" s="1257">
        <f>(T83)/('WP II-I-1.6'!E83+'WP II-I-1.6'!G83)</f>
        <v>-0.11656202319309462</v>
      </c>
      <c r="X83" s="1257">
        <f>T83/('WP II-I-1.6'!E83+'WP II-I-1.6'!P83)</f>
        <v>-0.088559474714676192</v>
      </c>
      <c r="Y83" s="1257">
        <v>0.42990059721514134</v>
      </c>
    </row>
    <row r="84" spans="3:25" ht="16.5" hidden="1">
      <c r="C84" t="s">
        <v>1018</v>
      </c>
      <c r="D84"/>
      <c r="E84" s="1258">
        <f>'WP II-I-2.2'!L65</f>
        <v>60374542.129999995</v>
      </c>
      <c r="F84" s="630">
        <v>0</v>
      </c>
      <c r="G84" s="626">
        <f>'WP II-I-2.2'!$L$53+'WP II-I-2.2'!$L$54</f>
        <v>0</v>
      </c>
      <c r="H84" s="626"/>
      <c r="I84" s="626"/>
      <c r="J84" s="1258">
        <f>'WP II-I-2.2'!L$85+'WP II-I-2.2'!L$86</f>
        <v>748071.0208939116</v>
      </c>
      <c r="K84" s="1258">
        <f t="shared" si="12"/>
        <v>61122613.150893904</v>
      </c>
      <c r="L84"/>
      <c r="M84" s="1258">
        <v>60390743.216986097</v>
      </c>
      <c r="N84" s="1259">
        <f>'II-I Summary'!M28</f>
        <v>533688.89720402774</v>
      </c>
      <c r="O84" s="1259">
        <f t="shared" si="13"/>
        <v>59857054.319782071</v>
      </c>
      <c r="P84" s="1260">
        <f>'II-I Summary'!M18</f>
        <v>0</v>
      </c>
      <c r="Q84" s="1259">
        <f t="shared" si="14"/>
        <v>59857054.319782071</v>
      </c>
      <c r="R84" s="1259">
        <v>211143</v>
      </c>
      <c r="S84" s="295">
        <f>'WP II-I-1.6'!Q84+R84</f>
        <v>60068197.319782071</v>
      </c>
      <c r="T84" s="295">
        <f>S84-'WP II-I-1.6'!E84</f>
        <v>-306344.81021792442</v>
      </c>
      <c r="U84" s="1261">
        <f>T84/'WP II-I-1.6'!E84</f>
        <v>-0.0050740726042823644</v>
      </c>
      <c r="V84"/>
      <c r="W84" s="1262">
        <f>(T84)/('WP II-I-1.6'!E84+'WP II-I-1.6'!G84)</f>
        <v>-0.0050740726042823644</v>
      </c>
      <c r="X84" s="1262">
        <f>T84/('WP II-I-1.6'!E84+'WP II-I-1.6'!P84)</f>
        <v>-0.0050740726042823644</v>
      </c>
      <c r="Y84" s="1257">
        <v>-0.021007741769713043</v>
      </c>
    </row>
    <row r="85" spans="3:25" ht="15" hidden="1">
      <c r="C85" s="133" t="s">
        <v>1019</v>
      </c>
      <c r="D85"/>
      <c r="E85" s="692">
        <f>SUM(E77:E84)</f>
        <v>2337235685.1300001</v>
      </c>
      <c r="F85" s="1120">
        <f>SUM(F79:F84)</f>
        <v>14288997.822072335</v>
      </c>
      <c r="G85" s="692">
        <f>SUM(G77:G84)</f>
        <v>1641672523</v>
      </c>
      <c r="H85" s="692"/>
      <c r="I85" s="692"/>
      <c r="J85" s="692">
        <f>SUM(J77:J84)</f>
        <v>39369277.163956366</v>
      </c>
      <c r="K85" s="692">
        <f t="shared" si="12"/>
        <v>4032566483.1160288</v>
      </c>
      <c r="L85"/>
      <c r="M85" s="692">
        <f>SUM(M77:M84)</f>
        <v>4192488646.4312105</v>
      </c>
      <c r="N85" s="1120">
        <f>SUM(N77:N84)</f>
        <v>57000778.091154061</v>
      </c>
      <c r="O85" s="1120">
        <f t="shared" si="13"/>
        <v>4135487868.3400564</v>
      </c>
      <c r="P85" s="1120">
        <f>SUM(P77:P84)</f>
        <v>1652522021.4399998</v>
      </c>
      <c r="Q85" s="1120">
        <f t="shared" si="14"/>
        <v>2482965846.9000568</v>
      </c>
      <c r="R85" s="1120">
        <f>SUM(R77:R84)</f>
        <v>4573939</v>
      </c>
      <c r="S85" s="1120">
        <f>SUM(S77:S84)</f>
        <v>2487539785.9000578</v>
      </c>
      <c r="T85" s="1120">
        <f>SUM(T77:T84)</f>
        <v>150304100.77005678</v>
      </c>
      <c r="U85" s="1263">
        <f>T85/'WP II-I-1.6'!E85</f>
        <v>0.064308491320034189</v>
      </c>
      <c r="V85"/>
      <c r="W85" s="1263">
        <f>(T85)/('WP II-I-1.6'!E85+'WP II-I-1.6'!G85)</f>
        <v>0.037775211919426614</v>
      </c>
      <c r="X85" s="1263">
        <f>T85/('WP II-I-1.6'!E85+'WP II-I-1.6'!P85)</f>
        <v>0.037672488362526013</v>
      </c>
      <c r="Y85" s="1257">
        <v>0.080362790171618084</v>
      </c>
    </row>
    <row r="86" spans="3:25" ht="14.25" hidden="1">
      <c r="C86" s="799" t="s">
        <v>1020</v>
      </c>
      <c r="D86"/>
      <c r="E86" s="692">
        <f>'WP II-I-2.2'!M65</f>
        <v>608356</v>
      </c>
      <c r="F86" s="1120">
        <v>0</v>
      </c>
      <c r="G86" s="1120">
        <v>0</v>
      </c>
      <c r="H86" s="1120"/>
      <c r="I86" s="1120"/>
      <c r="J86" s="1120">
        <v>0</v>
      </c>
      <c r="K86" s="692">
        <f t="shared" si="12"/>
        <v>608356</v>
      </c>
      <c r="L86"/>
      <c r="M86" s="692">
        <v>1264846.4554035089</v>
      </c>
      <c r="N86" s="1120">
        <f>'II-I Summary'!N28</f>
        <v>3613.0677866034262</v>
      </c>
      <c r="O86" s="1120">
        <f t="shared" si="13"/>
        <v>1261233.3876169054</v>
      </c>
      <c r="P86" s="1120">
        <f>'II-I Summary'!N18</f>
        <v>0</v>
      </c>
      <c r="Q86" s="1120">
        <f t="shared" si="14"/>
        <v>1261233.3876169054</v>
      </c>
      <c r="R86" s="1120">
        <v>-734562</v>
      </c>
      <c r="S86" s="370">
        <f>'WP II-I-1.6'!Q86+R86</f>
        <v>526671.38761690538</v>
      </c>
      <c r="T86" s="370">
        <f>S86-'WP II-I-1.6'!E86</f>
        <v>-81684.612383094616</v>
      </c>
      <c r="U86" s="1257">
        <f>T86/'WP II-I-1.6'!E86</f>
        <v>-0.13427107217335674</v>
      </c>
      <c r="V86"/>
      <c r="W86" s="1263">
        <f>(T86)/('WP II-I-1.6'!E86+'WP II-I-1.6'!G86)</f>
        <v>-0.13427107217335674</v>
      </c>
      <c r="X86" s="1263">
        <f>T86/('WP II-I-1.6'!E86+'WP II-I-1.6'!P86)</f>
        <v>-0.13427107217335674</v>
      </c>
      <c r="Y86" s="1257">
        <v>2.0185313045655828</v>
      </c>
    </row>
    <row r="87" spans="3:25" ht="16.5" hidden="1">
      <c r="C87" s="799" t="s">
        <v>1021</v>
      </c>
      <c r="D87"/>
      <c r="E87" s="1258">
        <f>'WP II-I-2.2'!N65</f>
        <v>2160192</v>
      </c>
      <c r="F87" s="630">
        <v>0</v>
      </c>
      <c r="G87" s="1259">
        <v>0</v>
      </c>
      <c r="H87" s="1259"/>
      <c r="I87" s="1259"/>
      <c r="J87" s="1259">
        <v>0</v>
      </c>
      <c r="K87" s="1258">
        <f t="shared" si="12"/>
        <v>2160192</v>
      </c>
      <c r="L87"/>
      <c r="M87" s="1258">
        <v>5629253.8026018552</v>
      </c>
      <c r="N87" s="1259">
        <f>'II-I Summary'!O28</f>
        <v>53236.441059334698</v>
      </c>
      <c r="O87" s="1259">
        <f t="shared" si="13"/>
        <v>5576017.3615425201</v>
      </c>
      <c r="P87" s="1260">
        <f>'II-I Summary'!O18</f>
        <v>0</v>
      </c>
      <c r="Q87" s="1259">
        <f t="shared" si="14"/>
        <v>5576017.3615425201</v>
      </c>
      <c r="R87" s="1260">
        <v>-3837541</v>
      </c>
      <c r="S87" s="295">
        <f>'WP II-I-1.6'!Q87+R87</f>
        <v>1738476.3615425201</v>
      </c>
      <c r="T87" s="295">
        <f>S87-'WP II-I-1.6'!E87</f>
        <v>-421715.63845747989</v>
      </c>
      <c r="U87" s="1261">
        <f>T87/'WP II-I-1.6'!E87</f>
        <v>-0.19522136849755942</v>
      </c>
      <c r="V87"/>
      <c r="W87" s="1262">
        <f>(T87)/('WP II-I-1.6'!E87+'WP II-I-1.6'!G87)</f>
        <v>-0.19522136849755942</v>
      </c>
      <c r="X87" s="1262">
        <f>T87/('WP II-I-1.6'!E87+'WP II-I-1.6'!P87)</f>
        <v>-0.19522136849755942</v>
      </c>
      <c r="Y87" s="1257">
        <v>2.9870059002397462</v>
      </c>
    </row>
    <row r="88" spans="3:25" ht="15" hidden="1">
      <c r="C88" s="796" t="s">
        <v>1322</v>
      </c>
      <c r="D88"/>
      <c r="E88" s="692">
        <f>SUM(E86:E87)</f>
        <v>2768548</v>
      </c>
      <c r="F88" s="1120">
        <v>0</v>
      </c>
      <c r="G88" s="1120">
        <v>0</v>
      </c>
      <c r="H88" s="1120"/>
      <c r="I88" s="1120"/>
      <c r="J88" s="1120">
        <v>0</v>
      </c>
      <c r="K88" s="692">
        <f t="shared" si="12"/>
        <v>2768548</v>
      </c>
      <c r="L88"/>
      <c r="M88" s="692">
        <f>SUM(M86:M87)</f>
        <v>6894100.2580053639</v>
      </c>
      <c r="N88" s="1120">
        <f>SUM(N86:N87)</f>
        <v>56849.508845938122</v>
      </c>
      <c r="O88" s="1120">
        <f t="shared" si="13"/>
        <v>6837250.7491594255</v>
      </c>
      <c r="P88" s="1120">
        <f>SUM(P86:P87)</f>
        <v>0</v>
      </c>
      <c r="Q88" s="1120">
        <f t="shared" si="14"/>
        <v>6837250.7491594255</v>
      </c>
      <c r="R88" s="1120">
        <f>SUM(R86:R87)</f>
        <v>-4572103</v>
      </c>
      <c r="S88" s="370">
        <f>SUM(S86:S87)</f>
        <v>2265147.7491594255</v>
      </c>
      <c r="T88" s="370">
        <f>S88-'WP II-I-1.6'!E88</f>
        <v>-503400.2508405745</v>
      </c>
      <c r="U88" s="1257">
        <f>SUM(U86:U87)</f>
        <v>-0.32949244067091615</v>
      </c>
      <c r="V88"/>
      <c r="W88" s="1263">
        <f>(T88)/('WP II-I-1.6'!E88+'WP II-I-1.6'!G88)</f>
        <v>-0.18182825468100047</v>
      </c>
      <c r="X88" s="1263">
        <f>T88/('WP II-I-1.6'!E88+'WP II-I-1.6'!P88)</f>
        <v>-0.18182825468100047</v>
      </c>
      <c r="Y88" s="1257">
        <v>0.081672545088375348</v>
      </c>
    </row>
    <row r="89" spans="3:25" ht="15" hidden="1">
      <c r="C89" s="133" t="s">
        <v>899</v>
      </c>
      <c r="D89"/>
      <c r="E89" s="692">
        <f>E85+E88</f>
        <v>2340004233.1300001</v>
      </c>
      <c r="F89" s="692">
        <f>F85+F88</f>
        <v>14288997.822072335</v>
      </c>
      <c r="G89" s="692">
        <f>G85+G88</f>
        <v>1641672523</v>
      </c>
      <c r="H89" s="692"/>
      <c r="I89" s="692"/>
      <c r="J89" s="692">
        <f>J85+J88</f>
        <v>39369277.163956366</v>
      </c>
      <c r="K89" s="692">
        <f t="shared" si="12"/>
        <v>4035335031.1160288</v>
      </c>
      <c r="L89"/>
      <c r="M89" s="692">
        <f>M85+M88</f>
        <v>4199382746.6892157</v>
      </c>
      <c r="N89" s="692">
        <f>N85+N88</f>
        <v>57057627.600000001</v>
      </c>
      <c r="O89" s="1120">
        <f t="shared" si="13"/>
        <v>4142325119.0892158</v>
      </c>
      <c r="P89" s="692">
        <f t="shared" si="15" ref="P89:U89">P85+P88</f>
        <v>1652522021.4399998</v>
      </c>
      <c r="Q89" s="692">
        <f t="shared" si="15"/>
        <v>2489803097.6492162</v>
      </c>
      <c r="R89" s="692">
        <f t="shared" si="15"/>
        <v>1836</v>
      </c>
      <c r="S89" s="692">
        <f t="shared" si="15"/>
        <v>2489804933.6492171</v>
      </c>
      <c r="T89" s="692">
        <f t="shared" si="15"/>
        <v>149800700.51921621</v>
      </c>
      <c r="U89" s="1257">
        <f t="shared" si="15"/>
        <v>-0.26518394935088196</v>
      </c>
      <c r="V89"/>
      <c r="W89"/>
      <c r="X89"/>
      <c r="Y89"/>
    </row>
    <row r="90" spans="3:17" ht="14.25" hidden="1">
      <c r="C90"/>
      <c r="D90"/>
      <c r="E90"/>
      <c r="F90"/>
      <c r="G90"/>
      <c r="H90"/>
      <c r="I90"/>
      <c r="J90" s="692"/>
      <c r="K90" s="692"/>
      <c r="L90"/>
      <c r="M90"/>
      <c r="N90" s="1120"/>
      <c r="O90" s="1120"/>
      <c r="P90"/>
      <c r="Q90"/>
    </row>
    <row r="91" spans="3:17" ht="17.25" hidden="1">
      <c r="C91" s="796" t="s">
        <v>1189</v>
      </c>
      <c r="D91"/>
      <c r="E91"/>
      <c r="F91" s="692"/>
      <c r="G91" s="422"/>
      <c r="H91" s="422"/>
      <c r="I91" s="422"/>
      <c r="J91" s="422"/>
      <c r="K91" s="422"/>
      <c r="L91" s="422"/>
      <c r="M91" s="422"/>
      <c r="N91" s="645"/>
      <c r="O91" s="645"/>
      <c r="P91"/>
      <c r="Q91"/>
    </row>
    <row r="92" spans="3:17" ht="16.5" hidden="1">
      <c r="C92" s="796" t="s">
        <v>1420</v>
      </c>
      <c r="D92"/>
      <c r="E92"/>
      <c r="F92"/>
      <c r="G92" s="49"/>
      <c r="H92" s="49"/>
      <c r="I92" s="49"/>
      <c r="J92" s="422"/>
      <c r="K92" s="422"/>
      <c r="L92" s="422"/>
      <c r="M92" s="626"/>
      <c r="N92" s="626"/>
      <c r="O92" s="626"/>
      <c r="P92"/>
      <c r="Q92"/>
    </row>
    <row r="93" spans="3:17" ht="15" hidden="1">
      <c r="C93" s="796" t="s">
        <v>1325</v>
      </c>
      <c r="D93"/>
      <c r="E93"/>
      <c r="F93"/>
      <c r="G93" s="49"/>
      <c r="H93" s="49"/>
      <c r="I93" s="49"/>
      <c r="J93" s="422"/>
      <c r="K93" s="422"/>
      <c r="L93" s="422"/>
      <c r="M93" s="1483"/>
      <c r="N93" s="1483"/>
      <c r="O93" s="1484"/>
      <c r="P93"/>
      <c r="Q93"/>
    </row>
    <row r="94" spans="3:17" ht="17.25" hidden="1">
      <c r="C94" s="796" t="s">
        <v>1421</v>
      </c>
      <c r="D94"/>
      <c r="E94"/>
      <c r="F94"/>
      <c r="N94" s="422"/>
      <c r="O94" s="422"/>
      <c r="P94"/>
      <c r="Q94"/>
    </row>
    <row r="95" spans="3:17" ht="15">
      <c r="C95"/>
      <c r="D95"/>
      <c r="E95"/>
      <c r="F95"/>
      <c r="G95" s="133"/>
      <c r="H95" s="133"/>
      <c r="I95" s="1480"/>
      <c r="J95" s="1120"/>
      <c r="K95" s="1120"/>
      <c r="L95" s="1120"/>
      <c r="M95" s="1120"/>
      <c r="N95"/>
      <c r="O95" s="1481"/>
      <c r="P95" s="664"/>
      <c r="Q95"/>
    </row>
    <row r="96" spans="3:17" ht="14.25">
      <c r="C96"/>
      <c r="D96"/>
      <c r="E96"/>
      <c r="F96"/>
      <c r="G96"/>
      <c r="H96"/>
      <c r="I96" s="1120"/>
      <c r="J96" s="1120"/>
      <c r="K96" s="1120"/>
      <c r="L96" s="1120"/>
      <c r="M96" s="1120"/>
      <c r="N96"/>
      <c r="O96" s="1482"/>
      <c r="P96" s="664"/>
      <c r="Q96"/>
    </row>
    <row r="97" spans="4:17" ht="16.5">
      <c r="D97"/>
      <c r="E97"/>
      <c r="F97"/>
      <c r="G97"/>
      <c r="H97"/>
      <c r="I97"/>
      <c r="J97"/>
      <c r="K97"/>
      <c r="L97"/>
      <c r="M97"/>
      <c r="N97"/>
      <c r="O97" s="1290"/>
      <c r="P97" s="664"/>
      <c r="Q97"/>
    </row>
    <row r="98" spans="4:17" ht="14.25"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4:17" ht="14.25"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4:17" ht="14.25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3:17" ht="14.25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3:17" ht="15">
      <c r="C102" s="404"/>
      <c r="D102" s="404"/>
      <c r="E102" s="404"/>
      <c r="F102" s="404"/>
      <c r="G102" s="404"/>
      <c r="H102" s="404"/>
      <c r="I102" s="404"/>
      <c r="K102" s="404"/>
      <c r="L102" s="404"/>
      <c r="M102" s="404"/>
      <c r="N102" s="1390"/>
      <c r="O102" s="775"/>
      <c r="P102" s="404"/>
      <c r="Q102" s="404"/>
    </row>
    <row r="103" spans="3:17" ht="15">
      <c r="C103" s="1391"/>
      <c r="D103" s="404"/>
      <c r="E103" s="728"/>
      <c r="F103" s="728"/>
      <c r="G103" s="8"/>
      <c r="H103" s="8"/>
      <c r="I103" s="8"/>
      <c r="L103" s="404"/>
      <c r="M103" s="775"/>
      <c r="N103" s="1389"/>
      <c r="P103" s="404"/>
      <c r="Q103" s="404"/>
    </row>
    <row r="104" spans="3:17" ht="14.25">
      <c r="C104" s="404"/>
      <c r="D104" s="404"/>
      <c r="E104" s="1324"/>
      <c r="F104" s="1141"/>
      <c r="G104" s="775"/>
      <c r="H104" s="775"/>
      <c r="I104" s="775"/>
      <c r="J104" s="1392"/>
      <c r="K104" s="1324"/>
      <c r="L104" s="404"/>
      <c r="M104" s="1392"/>
      <c r="N104" s="1324"/>
      <c r="O104" s="1324"/>
      <c r="P104" s="1324"/>
      <c r="Q104" s="404"/>
    </row>
    <row r="105" spans="3:17" ht="14.25">
      <c r="C105" s="404"/>
      <c r="D105" s="404"/>
      <c r="E105" s="1324"/>
      <c r="F105" s="1141"/>
      <c r="G105" s="775"/>
      <c r="H105" s="775"/>
      <c r="I105" s="775"/>
      <c r="J105" s="1392"/>
      <c r="K105" s="1324"/>
      <c r="L105" s="404"/>
      <c r="M105" s="1392"/>
      <c r="N105" s="1324"/>
      <c r="O105" s="1324"/>
      <c r="P105" s="1324"/>
      <c r="Q105" s="404"/>
    </row>
    <row r="106" spans="3:17" ht="14.25">
      <c r="C106" s="404"/>
      <c r="D106" s="404"/>
      <c r="E106" s="1324"/>
      <c r="F106" s="1141"/>
      <c r="G106" s="775"/>
      <c r="H106" s="775"/>
      <c r="I106" s="775"/>
      <c r="J106" s="1392"/>
      <c r="K106" s="1324"/>
      <c r="L106" s="404"/>
      <c r="M106" s="1392"/>
      <c r="N106" s="1324"/>
      <c r="O106" s="1324"/>
      <c r="P106" s="1324"/>
      <c r="Q106" s="404"/>
    </row>
    <row r="107" spans="3:17" ht="14.25">
      <c r="C107" s="404"/>
      <c r="D107" s="404"/>
      <c r="E107" s="1324"/>
      <c r="F107" s="1141"/>
      <c r="G107" s="775"/>
      <c r="H107" s="775"/>
      <c r="I107" s="775"/>
      <c r="J107" s="1392"/>
      <c r="K107" s="1324"/>
      <c r="L107" s="404"/>
      <c r="M107" s="1392"/>
      <c r="N107" s="1324"/>
      <c r="O107" s="1324"/>
      <c r="P107" s="1324"/>
      <c r="Q107" s="404"/>
    </row>
    <row r="108" spans="3:17" ht="14.25">
      <c r="C108" s="404"/>
      <c r="D108" s="404"/>
      <c r="E108" s="1324"/>
      <c r="F108" s="1141"/>
      <c r="G108" s="775"/>
      <c r="H108" s="775"/>
      <c r="I108" s="775"/>
      <c r="J108" s="1392"/>
      <c r="K108" s="1324"/>
      <c r="L108" s="404"/>
      <c r="M108" s="1392"/>
      <c r="N108" s="1324"/>
      <c r="O108" s="1324"/>
      <c r="P108" s="1324"/>
      <c r="Q108" s="404"/>
    </row>
    <row r="109" spans="3:17" ht="14.25">
      <c r="C109" s="404"/>
      <c r="D109" s="404"/>
      <c r="E109" s="1324"/>
      <c r="F109" s="1141"/>
      <c r="G109" s="775"/>
      <c r="H109" s="775"/>
      <c r="I109" s="775"/>
      <c r="J109" s="1392"/>
      <c r="K109" s="1324"/>
      <c r="L109" s="404"/>
      <c r="M109" s="1392"/>
      <c r="N109" s="1324"/>
      <c r="O109" s="1324"/>
      <c r="P109" s="1324"/>
      <c r="Q109" s="404"/>
    </row>
    <row r="110" spans="3:17" ht="14.25">
      <c r="C110" s="404"/>
      <c r="D110" s="404"/>
      <c r="E110" s="1324"/>
      <c r="F110" s="1141"/>
      <c r="G110" s="775"/>
      <c r="H110" s="775"/>
      <c r="I110" s="775"/>
      <c r="J110" s="1392"/>
      <c r="K110" s="1324"/>
      <c r="L110" s="404"/>
      <c r="M110" s="1392"/>
      <c r="N110" s="1324"/>
      <c r="O110" s="1324"/>
      <c r="P110" s="1324"/>
      <c r="Q110" s="404"/>
    </row>
    <row r="111" spans="3:17" ht="16.5">
      <c r="C111" s="404"/>
      <c r="D111" s="404"/>
      <c r="E111" s="901"/>
      <c r="F111" s="266"/>
      <c r="G111" s="266"/>
      <c r="H111" s="266"/>
      <c r="I111" s="266"/>
      <c r="J111" s="1393"/>
      <c r="K111" s="901"/>
      <c r="L111" s="404"/>
      <c r="M111" s="1393"/>
      <c r="N111" s="901"/>
      <c r="O111" s="901"/>
      <c r="P111" s="901"/>
      <c r="Q111" s="404"/>
    </row>
    <row r="112" spans="3:17" ht="14.25">
      <c r="C112" s="404"/>
      <c r="D112" s="404"/>
      <c r="E112" s="1324"/>
      <c r="F112" s="1141"/>
      <c r="G112" s="775"/>
      <c r="H112" s="775"/>
      <c r="I112" s="775"/>
      <c r="J112" s="819"/>
      <c r="K112" s="1141"/>
      <c r="L112" s="404"/>
      <c r="M112" s="1392"/>
      <c r="N112" s="1324"/>
      <c r="O112" s="1324"/>
      <c r="P112" s="1324"/>
      <c r="Q112" s="404"/>
    </row>
    <row r="113" spans="3:17" ht="14.25">
      <c r="C113" s="404"/>
      <c r="D113" s="404"/>
      <c r="E113" s="1324"/>
      <c r="F113" s="1141"/>
      <c r="G113" s="775"/>
      <c r="H113" s="775"/>
      <c r="I113" s="775"/>
      <c r="J113" s="1392"/>
      <c r="K113" s="1141"/>
      <c r="L113" s="404"/>
      <c r="M113" s="1392"/>
      <c r="N113" s="1324"/>
      <c r="O113" s="1324"/>
      <c r="P113" s="1324"/>
      <c r="Q113" s="404"/>
    </row>
    <row r="114" spans="3:17" ht="16.5">
      <c r="C114" s="404"/>
      <c r="D114" s="404"/>
      <c r="E114" s="901"/>
      <c r="F114" s="266"/>
      <c r="G114" s="266"/>
      <c r="H114" s="266"/>
      <c r="I114" s="266"/>
      <c r="J114" s="1393"/>
      <c r="K114" s="266"/>
      <c r="L114" s="404"/>
      <c r="M114" s="1393"/>
      <c r="N114" s="901"/>
      <c r="O114" s="901"/>
      <c r="P114" s="901"/>
      <c r="Q114" s="404"/>
    </row>
    <row r="115" spans="3:17" ht="16.5">
      <c r="C115" s="404"/>
      <c r="D115" s="404"/>
      <c r="E115" s="901"/>
      <c r="F115" s="266"/>
      <c r="G115" s="266"/>
      <c r="H115" s="266"/>
      <c r="I115" s="266"/>
      <c r="J115" s="1393"/>
      <c r="K115" s="266"/>
      <c r="L115" s="404"/>
      <c r="M115" s="1393"/>
      <c r="N115" s="901"/>
      <c r="O115" s="901"/>
      <c r="P115" s="266"/>
      <c r="Q115" s="404"/>
    </row>
    <row r="116" spans="3:17" ht="14.25">
      <c r="C116" s="404"/>
      <c r="D116" s="404"/>
      <c r="E116" s="1324"/>
      <c r="F116" s="1141"/>
      <c r="G116" s="775"/>
      <c r="H116" s="775"/>
      <c r="I116" s="775"/>
      <c r="J116" s="819"/>
      <c r="K116" s="1141"/>
      <c r="L116" s="404"/>
      <c r="M116" s="1392"/>
      <c r="N116" s="1324"/>
      <c r="O116" s="1324"/>
      <c r="P116" s="1141"/>
      <c r="Q116" s="404"/>
    </row>
    <row r="117" spans="3:17" ht="14.25">
      <c r="C117" s="404"/>
      <c r="D117" s="404"/>
      <c r="E117" s="404"/>
      <c r="F117" s="404"/>
      <c r="G117" s="404"/>
      <c r="H117" s="404"/>
      <c r="I117" s="404"/>
      <c r="J117" s="1392"/>
      <c r="K117" s="404"/>
      <c r="L117" s="404"/>
      <c r="M117" s="404"/>
      <c r="N117" s="1141"/>
      <c r="P117" s="404"/>
      <c r="Q117" s="404"/>
    </row>
    <row r="118" spans="3:17" ht="14.25">
      <c r="C118" s="404"/>
      <c r="D118" s="404"/>
      <c r="E118" s="404"/>
      <c r="F118" s="404"/>
      <c r="G118" s="404"/>
      <c r="H118" s="404"/>
      <c r="I118" s="404"/>
      <c r="J118" s="404"/>
      <c r="K118" s="404"/>
      <c r="L118" s="404"/>
      <c r="M118" s="404"/>
      <c r="O118" s="404"/>
      <c r="P118" s="404"/>
      <c r="Q118" s="404"/>
    </row>
    <row r="119" spans="3:17" ht="14.25">
      <c r="C119" s="404"/>
      <c r="D119" s="404"/>
      <c r="E119" s="404"/>
      <c r="F119" s="404"/>
      <c r="G119" s="404"/>
      <c r="H119" s="404"/>
      <c r="I119" s="404"/>
      <c r="J119" s="404"/>
      <c r="K119" s="404"/>
      <c r="L119" s="404"/>
      <c r="M119" s="404"/>
      <c r="N119" s="1324"/>
      <c r="O119" s="404"/>
      <c r="P119" s="404"/>
      <c r="Q119" s="404"/>
    </row>
    <row r="120" spans="3:17" ht="14.25">
      <c r="C120" s="404"/>
      <c r="D120" s="404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4"/>
      <c r="Q120" s="404"/>
    </row>
    <row r="121" spans="3:17" ht="14.25">
      <c r="C121" s="404"/>
      <c r="D121" s="404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</row>
    <row r="122" spans="3:17" ht="14.25">
      <c r="C122" s="404"/>
      <c r="D122" s="404"/>
      <c r="E122" s="1324"/>
      <c r="F122" s="1141"/>
      <c r="G122" s="775"/>
      <c r="H122" s="775"/>
      <c r="I122" s="775"/>
      <c r="J122" s="404"/>
      <c r="K122" s="404"/>
      <c r="L122" s="404"/>
      <c r="M122" s="404"/>
      <c r="N122" s="404"/>
      <c r="O122" s="404"/>
      <c r="P122" s="404"/>
      <c r="Q122" s="404"/>
    </row>
    <row r="123" spans="4:17" ht="14.25">
      <c r="D123" s="404"/>
      <c r="E123" s="1324"/>
      <c r="F123" s="1141"/>
      <c r="G123" s="775"/>
      <c r="H123" s="775"/>
      <c r="I123" s="775"/>
      <c r="J123" s="404"/>
      <c r="K123" s="404"/>
      <c r="L123" s="404"/>
      <c r="N123" s="404"/>
      <c r="O123" s="1324"/>
      <c r="P123" s="1141"/>
      <c r="Q123" s="775"/>
    </row>
    <row r="124" spans="3:16" ht="14.25">
      <c r="C124" s="404"/>
      <c r="D124" s="404"/>
      <c r="E124" s="1394"/>
      <c r="F124" s="1296"/>
      <c r="G124" s="1296"/>
      <c r="H124" s="1296"/>
      <c r="I124" s="1296"/>
      <c r="K124" s="404"/>
      <c r="L124" s="404"/>
      <c r="M124" s="404"/>
      <c r="N124" s="814"/>
      <c r="O124" s="1296"/>
      <c r="P124" s="1296"/>
    </row>
    <row r="125" spans="3:17" ht="14.25">
      <c r="C125" s="404"/>
      <c r="D125" s="404"/>
      <c r="E125" s="1324"/>
      <c r="F125" s="775"/>
      <c r="G125" s="775"/>
      <c r="H125" s="775"/>
      <c r="I125" s="775"/>
      <c r="J125" s="1392"/>
      <c r="K125" s="404"/>
      <c r="L125" s="404"/>
      <c r="M125" s="404"/>
      <c r="N125" s="1324"/>
      <c r="O125" s="837"/>
      <c r="P125" s="775"/>
      <c r="Q125" s="1392"/>
    </row>
    <row r="126" spans="3:17" ht="14.25">
      <c r="C126" s="404"/>
      <c r="D126" s="404"/>
      <c r="E126" s="1324"/>
      <c r="F126" s="775"/>
      <c r="G126" s="775"/>
      <c r="H126" s="775"/>
      <c r="I126" s="775"/>
      <c r="J126" s="1392"/>
      <c r="K126" s="404"/>
      <c r="L126" s="404"/>
      <c r="M126" s="404"/>
      <c r="N126" s="1324"/>
      <c r="O126" s="837"/>
      <c r="P126" s="775"/>
      <c r="Q126" s="1392"/>
    </row>
    <row r="127" spans="3:17" ht="14.25">
      <c r="C127" s="404"/>
      <c r="D127" s="404"/>
      <c r="E127" s="1324"/>
      <c r="F127" s="775"/>
      <c r="G127" s="775"/>
      <c r="H127" s="775"/>
      <c r="I127" s="775"/>
      <c r="J127" s="1392"/>
      <c r="K127" s="404"/>
      <c r="L127" s="404"/>
      <c r="M127" s="404"/>
      <c r="N127" s="1324"/>
      <c r="O127" s="837"/>
      <c r="P127" s="775"/>
      <c r="Q127" s="1392"/>
    </row>
    <row r="128" spans="3:17" ht="14.25">
      <c r="C128" s="404"/>
      <c r="D128" s="404"/>
      <c r="E128" s="1324"/>
      <c r="F128" s="775"/>
      <c r="G128" s="775"/>
      <c r="H128" s="775"/>
      <c r="I128" s="775"/>
      <c r="J128" s="1392"/>
      <c r="K128" s="404"/>
      <c r="L128" s="404"/>
      <c r="M128" s="404"/>
      <c r="N128" s="1324"/>
      <c r="O128" s="837"/>
      <c r="P128" s="775"/>
      <c r="Q128" s="1392"/>
    </row>
    <row r="129" spans="3:17" ht="16.5">
      <c r="C129" s="404"/>
      <c r="D129" s="404"/>
      <c r="E129" s="901"/>
      <c r="F129" s="775"/>
      <c r="G129" s="775"/>
      <c r="H129" s="775"/>
      <c r="I129" s="775"/>
      <c r="J129" s="1392"/>
      <c r="K129" s="404"/>
      <c r="L129" s="404"/>
      <c r="M129" s="404"/>
      <c r="N129" s="894"/>
      <c r="O129" s="837"/>
      <c r="P129" s="775"/>
      <c r="Q129" s="1392"/>
    </row>
    <row r="130" spans="3:17" ht="14.25">
      <c r="C130" s="404"/>
      <c r="D130" s="404"/>
      <c r="E130" s="1324"/>
      <c r="F130" s="775"/>
      <c r="G130" s="775"/>
      <c r="H130" s="775"/>
      <c r="I130" s="775"/>
      <c r="J130" s="1392"/>
      <c r="K130" s="404"/>
      <c r="L130" s="404"/>
      <c r="M130" s="404"/>
      <c r="N130" s="1324"/>
      <c r="O130" s="837"/>
      <c r="P130" s="775"/>
      <c r="Q130" s="1392"/>
    </row>
    <row r="131" spans="3:17" ht="14.25">
      <c r="C131" s="404"/>
      <c r="D131" s="404"/>
      <c r="E131" s="1324"/>
      <c r="F131" s="775"/>
      <c r="G131" s="775"/>
      <c r="H131" s="775"/>
      <c r="I131" s="775"/>
      <c r="J131" s="1392"/>
      <c r="K131" s="404"/>
      <c r="L131" s="404"/>
      <c r="M131" s="404"/>
      <c r="N131" s="1324"/>
      <c r="O131" s="837"/>
      <c r="P131" s="775"/>
      <c r="Q131" s="1392"/>
    </row>
    <row r="132" spans="3:17" ht="16.5">
      <c r="C132" s="404"/>
      <c r="D132" s="404"/>
      <c r="E132" s="901"/>
      <c r="F132" s="775"/>
      <c r="G132" s="266"/>
      <c r="H132" s="266"/>
      <c r="I132" s="266"/>
      <c r="J132" s="1393"/>
      <c r="K132" s="404"/>
      <c r="L132" s="404"/>
      <c r="M132" s="404"/>
      <c r="N132" s="901"/>
      <c r="O132" s="1395"/>
      <c r="P132" s="266"/>
      <c r="Q132" s="1393"/>
    </row>
    <row r="133" spans="3:17" ht="15">
      <c r="C133" s="8"/>
      <c r="D133" s="404"/>
      <c r="E133" s="894"/>
      <c r="F133" s="775"/>
      <c r="G133" s="775"/>
      <c r="H133" s="775"/>
      <c r="I133" s="775"/>
      <c r="J133" s="1392"/>
      <c r="K133" s="404"/>
      <c r="L133" s="404"/>
      <c r="M133" s="8"/>
      <c r="N133" s="896"/>
      <c r="O133" s="252"/>
      <c r="P133" s="252"/>
      <c r="Q133" s="1396"/>
    </row>
    <row r="134" spans="3:17" ht="14.25">
      <c r="C134" s="404"/>
      <c r="D134" s="404"/>
      <c r="E134" s="1324"/>
      <c r="F134" s="775"/>
      <c r="G134" s="775"/>
      <c r="H134" s="775"/>
      <c r="I134" s="775"/>
      <c r="J134" s="1392"/>
      <c r="K134" s="404"/>
      <c r="L134" s="404"/>
      <c r="M134" s="404"/>
      <c r="N134" s="1324"/>
      <c r="O134" s="837"/>
      <c r="P134" s="775"/>
      <c r="Q134" s="1392"/>
    </row>
    <row r="135" spans="3:17" ht="16.5">
      <c r="C135" s="404"/>
      <c r="D135" s="404"/>
      <c r="E135" s="901"/>
      <c r="F135" s="775"/>
      <c r="G135" s="266"/>
      <c r="H135" s="266"/>
      <c r="I135" s="266"/>
      <c r="J135" s="1393"/>
      <c r="K135" s="404"/>
      <c r="L135" s="404"/>
      <c r="M135" s="404"/>
      <c r="N135" s="901"/>
      <c r="O135" s="1395"/>
      <c r="P135" s="266"/>
      <c r="Q135" s="1393"/>
    </row>
    <row r="136" spans="3:17" ht="19.5">
      <c r="C136" s="8"/>
      <c r="D136" s="404"/>
      <c r="E136" s="901"/>
      <c r="F136" s="775"/>
      <c r="G136" s="266"/>
      <c r="H136" s="266"/>
      <c r="I136" s="266"/>
      <c r="J136" s="1393"/>
      <c r="K136" s="404"/>
      <c r="L136" s="404"/>
      <c r="M136" s="8"/>
      <c r="N136" s="956"/>
      <c r="O136" s="1397"/>
      <c r="P136" s="1398"/>
      <c r="Q136" s="1399"/>
    </row>
    <row r="137" spans="3:17" ht="15">
      <c r="C137" s="8"/>
      <c r="D137" s="404"/>
      <c r="E137" s="1324"/>
      <c r="F137" s="775"/>
      <c r="G137" s="775"/>
      <c r="H137" s="775"/>
      <c r="I137" s="775"/>
      <c r="J137" s="1392"/>
      <c r="K137" s="404"/>
      <c r="L137" s="404"/>
      <c r="M137" s="8"/>
      <c r="N137" s="896"/>
      <c r="O137" s="896"/>
      <c r="P137" s="252"/>
      <c r="Q137" s="1396"/>
    </row>
    <row r="138" spans="3:16" ht="14.25">
      <c r="C138" s="404"/>
      <c r="D138" s="404"/>
      <c r="E138" s="404"/>
      <c r="G138" s="404"/>
      <c r="H138" s="404"/>
      <c r="I138" s="404"/>
      <c r="J138" s="404"/>
      <c r="K138" s="404"/>
      <c r="L138" s="404"/>
      <c r="M138" s="404"/>
      <c r="N138" s="1141"/>
      <c r="O138" s="404"/>
      <c r="P138" s="404"/>
    </row>
  </sheetData>
  <conditionalFormatting sqref="O97">
    <cfRule type="cellIs" priority="1" dxfId="2" operator="lessThan" stopIfTrue="1">
      <formula>0</formula>
    </cfRule>
  </conditionalFormatting>
  <printOptions horizontalCentered="1"/>
  <pageMargins left="0.5" right="0.5" top="1.25" bottom="0.75" header="1" footer="0.3"/>
  <pageSetup orientation="landscape" scale="70" r:id="rId1"/>
  <headerFooter>
    <oddHeader>&amp;RWP/II-I-1.6
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">
    <pageSetUpPr fitToPage="1"/>
  </sheetPr>
  <dimension ref="A1:U42"/>
  <sheetViews>
    <sheetView view="pageBreakPreview" zoomScale="75" zoomScaleNormal="75" zoomScaleSheetLayoutView="75" workbookViewId="0" topLeftCell="A1">
      <selection pane="topLeft" activeCell="C36" sqref="C36"/>
    </sheetView>
  </sheetViews>
  <sheetFormatPr defaultRowHeight="14.25"/>
  <cols>
    <col min="1" max="1" width="1.5" customWidth="1"/>
    <col min="2" max="2" width="4.5" bestFit="1" customWidth="1"/>
    <col min="3" max="3" width="44" customWidth="1"/>
    <col min="4" max="4" width="1.5" customWidth="1"/>
    <col min="5" max="5" width="14.375" bestFit="1" customWidth="1"/>
    <col min="6" max="6" width="12.75" bestFit="1" customWidth="1"/>
    <col min="7" max="7" width="14.375" bestFit="1" customWidth="1"/>
    <col min="8" max="8" width="15.25" customWidth="1"/>
    <col min="9" max="9" width="12.5" bestFit="1" customWidth="1"/>
    <col min="10" max="10" width="11.75" bestFit="1" customWidth="1"/>
    <col min="11" max="12" width="12.75" bestFit="1" customWidth="1"/>
    <col min="13" max="13" width="13.75" customWidth="1"/>
    <col min="14" max="14" width="12.25" bestFit="1" customWidth="1"/>
    <col min="15" max="15" width="7.375" customWidth="1"/>
    <col min="16" max="16" width="21.875" customWidth="1"/>
    <col min="17" max="17" width="17.375" customWidth="1"/>
    <col min="21" max="21" width="13" customWidth="1"/>
  </cols>
  <sheetData>
    <row r="1" spans="1:17" ht="14.25">
      <c r="A1" s="67" t="s">
        <v>0</v>
      </c>
      <c r="B1" s="67"/>
      <c r="C1" s="67"/>
      <c r="D1" s="67"/>
      <c r="E1" s="67"/>
      <c r="F1" s="67"/>
      <c r="G1" s="67"/>
      <c r="H1" s="68"/>
      <c r="I1" s="68"/>
      <c r="J1" s="68"/>
      <c r="K1" s="67"/>
      <c r="L1" s="67"/>
      <c r="M1" s="67"/>
      <c r="N1" s="67"/>
      <c r="O1" s="67"/>
      <c r="P1" s="67"/>
      <c r="Q1" s="67"/>
    </row>
    <row r="2" spans="1:17" ht="15">
      <c r="A2" s="67"/>
      <c r="B2" s="67"/>
      <c r="C2" s="1245"/>
      <c r="D2" s="67"/>
      <c r="E2" s="67"/>
      <c r="F2" s="67"/>
      <c r="G2" s="67"/>
      <c r="H2" s="68"/>
      <c r="I2" s="68"/>
      <c r="J2" s="68"/>
      <c r="K2" s="67"/>
      <c r="L2" s="67"/>
      <c r="M2" s="67"/>
      <c r="N2" s="67"/>
      <c r="O2" s="67"/>
      <c r="P2" s="67"/>
      <c r="Q2" s="67"/>
    </row>
    <row r="3" spans="1:17" ht="15">
      <c r="A3" s="67"/>
      <c r="B3" s="3" t="str">
        <f>'WP II-I-1.1'!B3</f>
        <v>2022 RATE CASE</v>
      </c>
      <c r="C3" s="4"/>
      <c r="D3" s="4"/>
      <c r="E3" s="7"/>
      <c r="F3" s="7"/>
      <c r="G3" s="7"/>
      <c r="H3" s="131"/>
      <c r="I3" s="4"/>
      <c r="J3" s="4"/>
      <c r="K3" s="7"/>
      <c r="L3" s="4"/>
      <c r="M3" s="4"/>
      <c r="N3" s="4"/>
      <c r="O3" s="4"/>
      <c r="P3" s="7"/>
      <c r="Q3" s="67"/>
    </row>
    <row r="4" spans="1:17" ht="15">
      <c r="A4" s="67"/>
      <c r="B4" s="3" t="str">
        <f>'WP II-I-1.1'!B4</f>
        <v>ONCOR ELECTRIC DELIVERY COMPANY LLC</v>
      </c>
      <c r="C4" s="5"/>
      <c r="D4" s="5"/>
      <c r="E4" s="5"/>
      <c r="F4" s="7"/>
      <c r="G4" s="7"/>
      <c r="H4" s="131"/>
      <c r="I4" s="4"/>
      <c r="J4" s="4"/>
      <c r="K4" s="4"/>
      <c r="L4" s="4"/>
      <c r="M4" s="4"/>
      <c r="N4" s="4"/>
      <c r="O4" s="4"/>
      <c r="P4" s="4"/>
      <c r="Q4" s="67"/>
    </row>
    <row r="5" spans="1:17" ht="15">
      <c r="A5" s="67"/>
      <c r="B5" s="3" t="str">
        <f>'WP II-I-1.1'!B5</f>
        <v>II-I-1:  CLASS REVENUE REQUIREMENT ANALYSIS</v>
      </c>
      <c r="C5" s="3"/>
      <c r="D5" s="3"/>
      <c r="E5" s="5"/>
      <c r="F5" s="7"/>
      <c r="G5" s="7"/>
      <c r="H5" s="131"/>
      <c r="I5" s="7"/>
      <c r="J5" s="7"/>
      <c r="K5" s="7"/>
      <c r="L5" s="7"/>
      <c r="M5" s="7"/>
      <c r="N5" s="7"/>
      <c r="O5" s="7"/>
      <c r="P5" s="7"/>
      <c r="Q5" s="67"/>
    </row>
    <row r="6" spans="1:17" ht="15">
      <c r="A6" s="67"/>
      <c r="B6" s="3" t="str">
        <f>'WP II-I-1.1'!B6</f>
        <v>TEST YEAR ENDING 12/31/2021</v>
      </c>
      <c r="C6" s="3"/>
      <c r="D6" s="3"/>
      <c r="E6" s="5"/>
      <c r="F6" s="7"/>
      <c r="G6" s="7"/>
      <c r="H6" s="135"/>
      <c r="I6" s="7"/>
      <c r="J6" s="7"/>
      <c r="K6" s="7"/>
      <c r="L6" s="7"/>
      <c r="M6" s="7"/>
      <c r="N6" s="7"/>
      <c r="O6" s="7"/>
      <c r="P6" s="7"/>
      <c r="Q6" s="67"/>
    </row>
    <row r="7" spans="1:17" ht="15">
      <c r="A7" s="67"/>
      <c r="B7" s="3" t="str">
        <f>'WP II-I-1.1'!B7</f>
        <v>SPONSOR:  MATTHEW A. TROXLE</v>
      </c>
      <c r="C7" s="71"/>
      <c r="D7" s="71"/>
      <c r="E7" s="75"/>
      <c r="F7" s="7"/>
      <c r="G7" s="73"/>
      <c r="H7" s="74"/>
      <c r="I7" s="7"/>
      <c r="J7" s="73"/>
      <c r="K7" s="7"/>
      <c r="L7" s="7"/>
      <c r="M7" s="7"/>
      <c r="N7" s="7"/>
      <c r="O7" s="7"/>
      <c r="P7" s="7"/>
      <c r="Q7" s="67"/>
    </row>
    <row r="8" spans="1:17" ht="15">
      <c r="A8" s="67"/>
      <c r="B8" s="3"/>
      <c r="C8" s="3"/>
      <c r="D8" s="3"/>
      <c r="E8" s="5"/>
      <c r="F8" s="7"/>
      <c r="G8" s="7"/>
      <c r="H8" s="136"/>
      <c r="I8" s="7"/>
      <c r="J8" s="7"/>
      <c r="K8" s="7"/>
      <c r="L8" s="7"/>
      <c r="M8" s="7"/>
      <c r="N8" s="7"/>
      <c r="O8" s="7"/>
      <c r="P8" s="7"/>
      <c r="Q8" s="67"/>
    </row>
    <row r="9" spans="1:17" ht="15">
      <c r="A9" s="67"/>
      <c r="B9" s="5"/>
      <c r="C9" s="3"/>
      <c r="D9" s="3"/>
      <c r="E9" s="5"/>
      <c r="F9" s="7"/>
      <c r="G9" s="7"/>
      <c r="H9" s="3"/>
      <c r="I9" s="7"/>
      <c r="J9" s="7"/>
      <c r="K9" s="7"/>
      <c r="L9" s="7"/>
      <c r="M9" s="7"/>
      <c r="N9" s="7"/>
      <c r="O9" s="7"/>
      <c r="P9" s="7"/>
      <c r="Q9" s="67"/>
    </row>
    <row r="10" spans="1:17" ht="15.75">
      <c r="A10" s="67"/>
      <c r="B10" s="131" t="s">
        <v>1027</v>
      </c>
      <c r="C10" s="3"/>
      <c r="D10" s="3"/>
      <c r="E10" s="5"/>
      <c r="F10" s="7"/>
      <c r="G10" s="7"/>
      <c r="H10" s="137"/>
      <c r="I10" s="7"/>
      <c r="J10" s="7"/>
      <c r="K10" s="7"/>
      <c r="L10" s="7"/>
      <c r="M10" s="7"/>
      <c r="N10" s="7"/>
      <c r="O10" s="7"/>
      <c r="P10" s="7"/>
      <c r="Q10" s="67"/>
    </row>
    <row r="11" spans="1:17" ht="15.75" thickBot="1">
      <c r="A11" s="67"/>
      <c r="B11" s="138"/>
      <c r="C11" s="12"/>
      <c r="D11" s="12"/>
      <c r="E11" s="12"/>
      <c r="F11" s="12"/>
      <c r="G11" s="12"/>
      <c r="H11" s="68"/>
      <c r="I11" s="68"/>
      <c r="J11" s="68"/>
      <c r="K11" s="67"/>
      <c r="L11" s="67"/>
      <c r="M11" s="67"/>
      <c r="N11" s="67"/>
      <c r="O11" s="67"/>
      <c r="P11" s="67"/>
      <c r="Q11" s="67"/>
    </row>
    <row r="12" spans="1:17" ht="14.25">
      <c r="A12" s="67"/>
      <c r="B12" s="623"/>
      <c r="C12" s="617"/>
      <c r="D12" s="620"/>
      <c r="E12" s="620"/>
      <c r="F12" s="96"/>
      <c r="G12" s="96"/>
      <c r="H12" s="96"/>
      <c r="I12" s="96"/>
      <c r="J12" s="96"/>
      <c r="K12" s="96"/>
      <c r="L12" s="139"/>
      <c r="M12" s="139"/>
      <c r="N12" s="628"/>
      <c r="O12" s="628"/>
      <c r="P12" s="629"/>
      <c r="Q12" s="67"/>
    </row>
    <row r="13" spans="1:17" ht="14.25">
      <c r="A13" s="67"/>
      <c r="B13" s="618" t="s">
        <v>406</v>
      </c>
      <c r="C13" s="618" t="s">
        <v>4</v>
      </c>
      <c r="D13" s="621"/>
      <c r="E13" s="621" t="s">
        <v>408</v>
      </c>
      <c r="F13" s="97" t="s">
        <v>409</v>
      </c>
      <c r="G13" s="97" t="s">
        <v>409</v>
      </c>
      <c r="H13" s="97" t="s">
        <v>97</v>
      </c>
      <c r="I13" s="97" t="s">
        <v>97</v>
      </c>
      <c r="J13" s="97" t="s">
        <v>410</v>
      </c>
      <c r="K13" s="97" t="s">
        <v>411</v>
      </c>
      <c r="L13" s="97" t="s">
        <v>412</v>
      </c>
      <c r="M13" s="97" t="s">
        <v>407</v>
      </c>
      <c r="N13" s="618" t="s">
        <v>407</v>
      </c>
      <c r="O13" s="618"/>
      <c r="P13" s="621" t="s">
        <v>10</v>
      </c>
      <c r="Q13" s="67"/>
    </row>
    <row r="14" spans="1:17" ht="14.25">
      <c r="A14" s="67"/>
      <c r="B14" s="618"/>
      <c r="C14" s="618"/>
      <c r="D14" s="621"/>
      <c r="E14" s="621"/>
      <c r="F14" s="98" t="s">
        <v>416</v>
      </c>
      <c r="G14" s="98" t="s">
        <v>417</v>
      </c>
      <c r="H14" s="98" t="s">
        <v>416</v>
      </c>
      <c r="I14" s="98" t="s">
        <v>417</v>
      </c>
      <c r="J14" s="98" t="s">
        <v>414</v>
      </c>
      <c r="K14" s="97"/>
      <c r="L14" s="97"/>
      <c r="M14" s="97" t="s">
        <v>414</v>
      </c>
      <c r="N14" s="618" t="s">
        <v>415</v>
      </c>
      <c r="O14" s="618"/>
      <c r="P14" s="621" t="s">
        <v>413</v>
      </c>
      <c r="Q14" s="67"/>
    </row>
    <row r="15" spans="1:17" ht="15" thickBot="1">
      <c r="A15" s="67"/>
      <c r="B15" s="619"/>
      <c r="C15" s="619" t="s">
        <v>13</v>
      </c>
      <c r="D15" s="622"/>
      <c r="E15" s="622" t="s">
        <v>14</v>
      </c>
      <c r="F15" s="99" t="s">
        <v>15</v>
      </c>
      <c r="G15" s="99" t="s">
        <v>16</v>
      </c>
      <c r="H15" s="99" t="s">
        <v>17</v>
      </c>
      <c r="I15" s="99" t="s">
        <v>18</v>
      </c>
      <c r="J15" s="99" t="s">
        <v>19</v>
      </c>
      <c r="K15" s="99" t="s">
        <v>20</v>
      </c>
      <c r="L15" s="99" t="s">
        <v>21</v>
      </c>
      <c r="M15" s="99" t="s">
        <v>22</v>
      </c>
      <c r="N15" s="619" t="s">
        <v>418</v>
      </c>
      <c r="O15" s="619"/>
      <c r="P15" s="622" t="s">
        <v>419</v>
      </c>
      <c r="Q15" s="17"/>
    </row>
    <row r="16" spans="1:17" ht="14.25">
      <c r="A16" s="47"/>
      <c r="B16" s="1"/>
      <c r="C16" s="528"/>
      <c r="D16" s="528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"/>
      <c r="P16" s="1"/>
      <c r="Q16" s="1"/>
    </row>
    <row r="17" spans="1:17" ht="15">
      <c r="A17" s="47"/>
      <c r="B17" s="17">
        <v>1</v>
      </c>
      <c r="C17" s="141" t="s">
        <v>451</v>
      </c>
      <c r="D17" s="141"/>
      <c r="E17" s="142" t="s">
        <v>452</v>
      </c>
      <c r="F17" s="142" t="s">
        <v>452</v>
      </c>
      <c r="G17" s="142" t="s">
        <v>452</v>
      </c>
      <c r="H17" s="142" t="s">
        <v>452</v>
      </c>
      <c r="I17" s="142" t="s">
        <v>452</v>
      </c>
      <c r="J17" s="142" t="s">
        <v>452</v>
      </c>
      <c r="K17" s="142" t="s">
        <v>452</v>
      </c>
      <c r="L17" s="142" t="s">
        <v>452</v>
      </c>
      <c r="M17" s="142" t="s">
        <v>452</v>
      </c>
      <c r="N17" s="142" t="s">
        <v>452</v>
      </c>
      <c r="O17" s="142"/>
      <c r="P17" s="143">
        <f>'WP II-I-1.1'!F456</f>
        <v>1445176353.4782901</v>
      </c>
      <c r="Q17" s="24">
        <f>' WP II-I-1.4'!$F$33-P17</f>
        <v>-7.4863433837890625E-05</v>
      </c>
    </row>
    <row r="18" spans="1:17" ht="15">
      <c r="A18" s="47"/>
      <c r="B18" s="17">
        <f t="shared" si="0" ref="B18:B31">B17+1</f>
        <v>2</v>
      </c>
      <c r="C18" s="8" t="s">
        <v>1394</v>
      </c>
      <c r="D18" s="8"/>
      <c r="E18" s="54">
        <f>'II-I Summary'!$F$19</f>
        <v>824746.22336069902</v>
      </c>
      <c r="F18" s="54">
        <f>'II-I Summary'!$G$19</f>
        <v>33960.67903355274</v>
      </c>
      <c r="G18" s="54">
        <f>'II-I Summary'!$H$19</f>
        <v>560215.85273149016</v>
      </c>
      <c r="H18" s="54">
        <f>'II-I Summary'!$I$19</f>
        <v>623.20619305211824</v>
      </c>
      <c r="I18" s="54">
        <f>'II-I Summary'!$J$19</f>
        <v>114082.03459886929</v>
      </c>
      <c r="J18" s="54">
        <f>'II-I Summary'!$K$19</f>
        <v>22961.479548275718</v>
      </c>
      <c r="K18" s="54">
        <f>'II-I Summary'!$L$19</f>
        <v>63196.956486994015</v>
      </c>
      <c r="L18" s="54">
        <f>'II-I Summary'!$M$19</f>
        <v>23632.913955440974</v>
      </c>
      <c r="M18" s="54">
        <f>'II-I Summary'!$N$19</f>
        <v>604.85532078952042</v>
      </c>
      <c r="N18" s="54">
        <f>'II-I Summary'!$O$19</f>
        <v>2601.5728063862907</v>
      </c>
      <c r="O18" s="54"/>
      <c r="P18" s="370">
        <f>SUM(E18:O18)</f>
        <v>1646625.77403555</v>
      </c>
      <c r="Q18" s="1"/>
    </row>
    <row r="19" spans="1:17" ht="15">
      <c r="A19" s="47"/>
      <c r="B19" s="17">
        <f t="shared" si="0"/>
        <v>3</v>
      </c>
      <c r="C19" s="1" t="s">
        <v>30</v>
      </c>
      <c r="D19" s="8"/>
      <c r="E19" s="54">
        <f>'II-I-DIST'!J33</f>
        <v>1966558316.4801493</v>
      </c>
      <c r="F19" s="54">
        <f>'II-I-DIST'!K33</f>
        <v>62349174.07404428</v>
      </c>
      <c r="G19" s="54">
        <f>'II-I-DIST'!L33</f>
        <v>1369989855.8473969</v>
      </c>
      <c r="H19" s="54">
        <f>'II-I-DIST'!M33</f>
        <v>515183.39321837691</v>
      </c>
      <c r="I19" s="54">
        <f>'II-I-DIST'!N33</f>
        <v>272378640.68161362</v>
      </c>
      <c r="J19" s="54">
        <f>'II-I-DIST'!O33</f>
        <v>58811985.559967726</v>
      </c>
      <c r="K19" s="54">
        <f>'II-I-DIST'!P33</f>
        <v>162461694.85642991</v>
      </c>
      <c r="L19" s="54">
        <f>'II-I-DIST'!Q33</f>
        <v>59696005.279062159</v>
      </c>
      <c r="M19" s="54">
        <f>'II-I-DIST'!R33</f>
        <v>1481240.2881279618</v>
      </c>
      <c r="N19" s="54">
        <f>'II-I-DIST'!S33</f>
        <v>6552465.612596944</v>
      </c>
      <c r="O19" s="54"/>
      <c r="P19" s="54">
        <f>SUM(D19:O19)</f>
        <v>3960794562.072607</v>
      </c>
      <c r="Q19" s="144" t="b">
        <f>IF(ROUND('II-I-DIST'!F37-P19,0)=0,TRUE,'II-I-DIST'!F37-P19)</f>
        <v>1</v>
      </c>
    </row>
    <row r="20" spans="1:17" ht="16.5">
      <c r="A20" s="47"/>
      <c r="B20" s="17">
        <f t="shared" si="0"/>
        <v>4</v>
      </c>
      <c r="C20" s="1" t="s">
        <v>31</v>
      </c>
      <c r="D20" s="8"/>
      <c r="E20" s="625">
        <f>'WP II-I-1.5'!F23</f>
        <v>0</v>
      </c>
      <c r="F20" s="625">
        <f>'WP II-I-1.5'!G23</f>
        <v>0</v>
      </c>
      <c r="G20" s="625">
        <f>'WP II-I-1.5'!H23</f>
        <v>0</v>
      </c>
      <c r="H20" s="625">
        <f>'WP II-I-1.5'!I23</f>
        <v>0</v>
      </c>
      <c r="I20" s="625">
        <f>'WP II-I-1.5'!J23</f>
        <v>0</v>
      </c>
      <c r="J20" s="625">
        <f>'WP II-I-1.5'!K23</f>
        <v>0</v>
      </c>
      <c r="K20" s="625">
        <f>'WP II-I-1.5'!L23</f>
        <v>0</v>
      </c>
      <c r="L20" s="625">
        <f>'WP II-I-1.5'!M23</f>
        <v>0</v>
      </c>
      <c r="M20" s="625">
        <f>'WP II-I-1.5'!N23</f>
        <v>0</v>
      </c>
      <c r="N20" s="625">
        <f>'WP II-I-1.5'!O23</f>
        <v>0</v>
      </c>
      <c r="O20" s="625"/>
      <c r="P20" s="626">
        <f>SUM(D20:O20)</f>
        <v>0</v>
      </c>
      <c r="Q20" s="144"/>
    </row>
    <row r="21" spans="1:17" ht="15">
      <c r="A21" s="47"/>
      <c r="B21" s="17">
        <f t="shared" si="0"/>
        <v>5</v>
      </c>
      <c r="C21" s="1" t="s">
        <v>32</v>
      </c>
      <c r="D21" s="8"/>
      <c r="E21" s="54">
        <f>E19+E20</f>
        <v>1966558316.4801493</v>
      </c>
      <c r="F21" s="54">
        <f t="shared" si="1" ref="F21:N21">F19+F20</f>
        <v>62349174.07404428</v>
      </c>
      <c r="G21" s="54">
        <f t="shared" si="1"/>
        <v>1369989855.8473969</v>
      </c>
      <c r="H21" s="54">
        <f t="shared" si="1"/>
        <v>515183.39321837691</v>
      </c>
      <c r="I21" s="54">
        <f t="shared" si="1"/>
        <v>272378640.68161362</v>
      </c>
      <c r="J21" s="54">
        <f>J19+J20</f>
        <v>58811985.559967726</v>
      </c>
      <c r="K21" s="54">
        <f t="shared" si="1"/>
        <v>162461694.85642991</v>
      </c>
      <c r="L21" s="54">
        <f t="shared" si="1"/>
        <v>59696005.279062159</v>
      </c>
      <c r="M21" s="54">
        <f t="shared" si="1"/>
        <v>1481240.2881279618</v>
      </c>
      <c r="N21" s="54">
        <f t="shared" si="1"/>
        <v>6552465.612596944</v>
      </c>
      <c r="O21" s="54"/>
      <c r="P21" s="54">
        <f>SUM(D21:O21)</f>
        <v>3960794562.072607</v>
      </c>
      <c r="Q21" s="144"/>
    </row>
    <row r="22" spans="1:21" ht="16.5">
      <c r="A22" s="47"/>
      <c r="B22" s="17">
        <f t="shared" si="0"/>
        <v>6</v>
      </c>
      <c r="C22" s="730" t="s">
        <v>1273</v>
      </c>
      <c r="D22" s="85"/>
      <c r="E22" s="145">
        <f>'II-I-DIST'!J622</f>
        <v>758188212.5284481</v>
      </c>
      <c r="F22" s="145">
        <f>'II-I-DIST'!K622</f>
        <v>21192617.197626065</v>
      </c>
      <c r="G22" s="145">
        <f>'II-I-DIST'!L622</f>
        <v>551175463.58832192</v>
      </c>
      <c r="H22" s="145">
        <f>'II-I-DIST'!M622</f>
        <v>219196.03634105407</v>
      </c>
      <c r="I22" s="145">
        <f>'II-I-DIST'!N622</f>
        <v>138570539.70599067</v>
      </c>
      <c r="J22" s="145">
        <f>'II-I-DIST'!O622</f>
        <v>45384309.083489172</v>
      </c>
      <c r="K22" s="145">
        <f>'II-I-DIST'!P622</f>
        <v>137791683.29978278</v>
      </c>
      <c r="L22" s="145">
        <f>'II-I-DIST'!Q622</f>
        <v>0</v>
      </c>
      <c r="M22" s="145">
        <f>'II-I-DIST'!R622</f>
        <v>0</v>
      </c>
      <c r="N22" s="145">
        <f>'II-I-DIST'!S622</f>
        <v>0</v>
      </c>
      <c r="O22" s="145"/>
      <c r="P22" s="145">
        <f>SUM(D22:O22)</f>
        <v>1652522021.4399998</v>
      </c>
      <c r="Q22" s="145">
        <f>'II-I-DIST'!F622-P22</f>
        <v>0</v>
      </c>
      <c r="U22" s="144"/>
    </row>
    <row r="23" spans="1:17" ht="15">
      <c r="A23" s="47"/>
      <c r="B23" s="17">
        <f t="shared" si="0"/>
        <v>7</v>
      </c>
      <c r="C23" s="8" t="s">
        <v>1139</v>
      </c>
      <c r="D23" s="8"/>
      <c r="E23" s="298">
        <f>E21-E22-E18</f>
        <v>1207545357.7283404</v>
      </c>
      <c r="F23" s="907">
        <f t="shared" si="2" ref="F23:N23">F21-F22-F18</f>
        <v>41122596.197384663</v>
      </c>
      <c r="G23" s="907">
        <f t="shared" si="2"/>
        <v>818254176.40634346</v>
      </c>
      <c r="H23" s="907">
        <f t="shared" si="2"/>
        <v>295364.15068427072</v>
      </c>
      <c r="I23" s="907">
        <f t="shared" si="2"/>
        <v>133694018.94102408</v>
      </c>
      <c r="J23" s="907">
        <f t="shared" si="2"/>
        <v>13404714.996930279</v>
      </c>
      <c r="K23" s="907">
        <f t="shared" si="2"/>
        <v>24606814.600160129</v>
      </c>
      <c r="L23" s="907">
        <f t="shared" si="2"/>
        <v>59672372.365106717</v>
      </c>
      <c r="M23" s="907">
        <f t="shared" si="2"/>
        <v>1480635.4328071722</v>
      </c>
      <c r="N23" s="907">
        <f t="shared" si="2"/>
        <v>6549864.0397905577</v>
      </c>
      <c r="O23" s="298"/>
      <c r="P23" s="298">
        <f>SUM(D23:O23)</f>
        <v>2306625914.8585715</v>
      </c>
      <c r="Q23" s="144" t="b">
        <f>IF(ROUND('II-I-DIST'!F39-P23,0)=0,TRUE,'II-I-DIST'!F39-P23)</f>
        <v>1</v>
      </c>
    </row>
    <row r="24" spans="1:17" ht="15">
      <c r="A24" s="47"/>
      <c r="B24" s="17">
        <f t="shared" si="0"/>
        <v>8</v>
      </c>
      <c r="C24" s="85"/>
      <c r="D24" s="85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144"/>
    </row>
    <row r="25" spans="1:17" ht="15">
      <c r="A25" s="47"/>
      <c r="B25" s="17">
        <f t="shared" si="0"/>
        <v>9</v>
      </c>
      <c r="C25" s="85" t="s">
        <v>453</v>
      </c>
      <c r="D25" s="1"/>
      <c r="E25" s="298">
        <f>'II-I-MET'!J33</f>
        <v>111684992.49878599</v>
      </c>
      <c r="F25" s="298">
        <f>'II-I-MET'!K33</f>
        <v>17198916.707493149</v>
      </c>
      <c r="G25" s="298">
        <f>'II-I-MET'!L33</f>
        <v>53110885.934578843</v>
      </c>
      <c r="H25" s="298">
        <f>'II-I-MET'!M33</f>
        <v>744278.78978886304</v>
      </c>
      <c r="I25" s="298">
        <f>'II-I-MET'!N33</f>
        <v>15544460.27763591</v>
      </c>
      <c r="J25" s="298">
        <f>'II-I-MET'!O33</f>
        <v>532402.95398341166</v>
      </c>
      <c r="K25" s="298">
        <f>'II-I-MET'!P33</f>
        <v>1172829.3216267072</v>
      </c>
      <c r="L25" s="298">
        <f>'II-I-MET'!Q33</f>
        <v>142786.01692027733</v>
      </c>
      <c r="M25" s="298">
        <f>'II-I-MET'!R33</f>
        <v>62823.441183004914</v>
      </c>
      <c r="N25" s="298">
        <f>'II-I-MET'!S33</f>
        <v>146686.45614214157</v>
      </c>
      <c r="O25" s="298"/>
      <c r="P25" s="298">
        <f>SUM(D25:O25)</f>
        <v>200341062.39813826</v>
      </c>
      <c r="Q25" s="144" t="b">
        <f>IF(ROUND(' WP II-I-1.4'!H33-P25,0)=0,TRUE,' WP II-I-1.4'!H33-P25)</f>
        <v>1</v>
      </c>
    </row>
    <row r="26" spans="1:17" ht="15">
      <c r="A26" s="47"/>
      <c r="B26" s="17">
        <f t="shared" si="0"/>
        <v>10</v>
      </c>
      <c r="C26" s="85"/>
      <c r="D26" s="85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54"/>
      <c r="Q26" s="144"/>
    </row>
    <row r="27" spans="1:17" ht="19.5">
      <c r="A27" s="47"/>
      <c r="B27" s="17">
        <f t="shared" si="0"/>
        <v>11</v>
      </c>
      <c r="C27" s="85" t="s">
        <v>454</v>
      </c>
      <c r="D27" s="28"/>
      <c r="E27" s="627">
        <f>'II-I-TBILLTDCS'!J33</f>
        <v>57205974.739097841</v>
      </c>
      <c r="F27" s="627">
        <f>'II-I-TBILLTDCS'!K33</f>
        <v>8455436.7309308499</v>
      </c>
      <c r="G27" s="627">
        <f>'II-I-TBILLTDCS'!L33</f>
        <v>27857670.479817279</v>
      </c>
      <c r="H27" s="627">
        <f>'II-I-TBILLTDCS'!M33</f>
        <v>359398.34633882204</v>
      </c>
      <c r="I27" s="627">
        <f>'II-I-TBILLTDCS'!N33</f>
        <v>7883822.9233798599</v>
      </c>
      <c r="J27" s="627">
        <f>'II-I-TBILLTDCS'!O33</f>
        <v>305330.92314543127</v>
      </c>
      <c r="K27" s="627">
        <f>'II-I-TBILLTDCS'!P33</f>
        <v>741936.81266225758</v>
      </c>
      <c r="L27" s="627">
        <f>'II-I-TBILLTDCS'!Q33</f>
        <v>1471849.0080995939</v>
      </c>
      <c r="M27" s="627">
        <f>'II-I-TBILLTDCS'!R33</f>
        <v>29390.593528284848</v>
      </c>
      <c r="N27" s="627">
        <f>'II-I-TBILLTDCS'!S33</f>
        <v>68580.76496149553</v>
      </c>
      <c r="O27" s="627"/>
      <c r="P27" s="627">
        <f>SUM(D27:O27)</f>
        <v>104379391.32196172</v>
      </c>
      <c r="Q27" s="144" t="b">
        <f>IF(ROUND(' WP II-I-1.4'!I33-P27,0)=0,TRUE,' WP II-I-1.4'!I33-P27)</f>
        <v>1</v>
      </c>
    </row>
    <row r="28" spans="1:17" ht="14.25">
      <c r="A28" s="47"/>
      <c r="B28" s="17">
        <f t="shared" si="0"/>
        <v>12</v>
      </c>
      <c r="C28" s="31" t="s">
        <v>455</v>
      </c>
      <c r="D28" s="31"/>
      <c r="E28" s="19">
        <f>SUM(E22:E27)+E18</f>
        <v>2135449283.7180331</v>
      </c>
      <c r="F28" s="19">
        <f t="shared" si="3" ref="F28:N28">SUM(F22:F27)+F18</f>
        <v>88003527.512468264</v>
      </c>
      <c r="G28" s="19">
        <f t="shared" si="3"/>
        <v>1450958412.2617931</v>
      </c>
      <c r="H28" s="19">
        <f t="shared" si="3"/>
        <v>1618860.5293460621</v>
      </c>
      <c r="I28" s="19">
        <f t="shared" si="3"/>
        <v>295806923.88262939</v>
      </c>
      <c r="J28" s="19">
        <f t="shared" si="3"/>
        <v>59649719.437096566</v>
      </c>
      <c r="K28" s="19">
        <f t="shared" si="3"/>
        <v>164376460.99071884</v>
      </c>
      <c r="L28" s="19">
        <f t="shared" si="3"/>
        <v>61310640.304082029</v>
      </c>
      <c r="M28" s="19">
        <f t="shared" si="3"/>
        <v>1573454.3228392517</v>
      </c>
      <c r="N28" s="19">
        <f t="shared" si="3"/>
        <v>6767732.8337005805</v>
      </c>
      <c r="O28" s="19"/>
      <c r="P28" s="19">
        <f>SUM(D28:O28)</f>
        <v>4265515015.792707</v>
      </c>
      <c r="Q28" s="144" t="b">
        <f>IF(ROUND(' WP II-I-1.4'!L33-P28,0)=0,TRUE,' WP II-I-1.4'!L33-P28)</f>
        <v>1</v>
      </c>
    </row>
    <row r="29" spans="1:17" ht="14.25">
      <c r="A29" s="47"/>
      <c r="B29" s="17">
        <f t="shared" si="0"/>
        <v>13</v>
      </c>
      <c r="C29" s="31"/>
      <c r="D29" s="3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46"/>
    </row>
    <row r="30" spans="1:17" ht="15">
      <c r="A30" s="147"/>
      <c r="B30" s="17">
        <f t="shared" si="0"/>
        <v>14</v>
      </c>
      <c r="C30" s="8" t="s">
        <v>1406</v>
      </c>
      <c r="D30" s="8"/>
      <c r="E30" s="148">
        <f t="shared" si="4" ref="E30:N30">E23+E25+E27</f>
        <v>1376436324.9662242</v>
      </c>
      <c r="F30" s="148">
        <f t="shared" si="4"/>
        <v>66776949.635808662</v>
      </c>
      <c r="G30" s="148">
        <f t="shared" si="4"/>
        <v>899222732.82073963</v>
      </c>
      <c r="H30" s="148">
        <f t="shared" si="4"/>
        <v>1399041.2868119557</v>
      </c>
      <c r="I30" s="148">
        <f t="shared" si="4"/>
        <v>157122302.14203987</v>
      </c>
      <c r="J30" s="148">
        <f>J23+J25+J27</f>
        <v>14242448.874059122</v>
      </c>
      <c r="K30" s="148">
        <f t="shared" si="4"/>
        <v>26521580.734449096</v>
      </c>
      <c r="L30" s="148">
        <f t="shared" si="4"/>
        <v>61287007.390126586</v>
      </c>
      <c r="M30" s="148">
        <f t="shared" si="4"/>
        <v>1572849.4675184621</v>
      </c>
      <c r="N30" s="148">
        <f t="shared" si="4"/>
        <v>6765131.2608941942</v>
      </c>
      <c r="O30" s="148"/>
      <c r="P30" s="148">
        <f>SUM(D30:O30)</f>
        <v>2611346368.5786715</v>
      </c>
      <c r="Q30" s="144" t="b">
        <f>IF(ROUND(' WP II-I-1.4'!L33-(P22+P30+P18),0)=0,TRUE,' WP II-I-1.4'!L33-(P22+P30+P18))</f>
        <v>1</v>
      </c>
    </row>
    <row r="31" spans="1:17" ht="15">
      <c r="A31" s="147"/>
      <c r="B31" s="17">
        <f t="shared" si="0"/>
        <v>15</v>
      </c>
      <c r="C31" s="8"/>
      <c r="D31" s="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6"/>
    </row>
    <row r="32" spans="1:17" ht="15">
      <c r="A32" s="47"/>
      <c r="B32" s="17"/>
      <c r="C32" s="85"/>
      <c r="D32" s="85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814"/>
      <c r="Q32" s="144"/>
    </row>
    <row r="33" spans="1:17" ht="14.25">
      <c r="A33" s="47"/>
      <c r="B33" s="17"/>
      <c r="C33" s="733"/>
      <c r="D33" s="2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54"/>
      <c r="Q33" s="146"/>
    </row>
    <row r="34" spans="1:17" ht="15">
      <c r="A34" s="8"/>
      <c r="B34" s="17"/>
      <c r="C34" s="31" t="s">
        <v>758</v>
      </c>
      <c r="D34" s="31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8"/>
    </row>
    <row r="35" spans="1:17" ht="14.25">
      <c r="A35" s="1"/>
      <c r="B35" s="17"/>
      <c r="C35" s="733" t="s">
        <v>456</v>
      </c>
      <c r="D35" s="2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4.25">
      <c r="A36" s="1"/>
      <c r="B36" s="17"/>
      <c r="C36" s="732" t="s">
        <v>1419</v>
      </c>
      <c r="D36" s="31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"/>
    </row>
    <row r="37" spans="1:17" ht="14.25">
      <c r="A37" s="1"/>
      <c r="B37" s="17"/>
      <c r="C37" s="31"/>
      <c r="D37" s="31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"/>
    </row>
    <row r="38" spans="1:17" ht="14.25">
      <c r="A38" s="1"/>
      <c r="B38" s="17"/>
      <c r="C38" s="733" t="s">
        <v>1418</v>
      </c>
      <c r="D38" s="31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"/>
    </row>
    <row r="39" spans="1:17" ht="14.25">
      <c r="A39" s="1"/>
      <c r="B39" s="17"/>
      <c r="C39" s="733"/>
      <c r="D39" s="1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"/>
    </row>
    <row r="40" spans="1:17" ht="14.25">
      <c r="A40" s="1"/>
      <c r="B40" s="17"/>
      <c r="C40" s="28"/>
      <c r="D40" s="2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"/>
    </row>
    <row r="41" spans="1:17" ht="15">
      <c r="A41" s="8"/>
      <c r="B41" s="8"/>
      <c r="C41" s="150"/>
      <c r="D41" s="15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8"/>
    </row>
    <row r="42" spans="1:17" ht="14.25">
      <c r="A42" s="67"/>
      <c r="B42" s="12"/>
      <c r="C42" s="151"/>
      <c r="D42" s="151"/>
      <c r="E42" s="144" t="b">
        <f>IF(ROUND('II-I-Total'!J37-E28,0)=0,TRUE,'II-I-Total'!J37-E28)</f>
        <v>1</v>
      </c>
      <c r="F42" s="144" t="b">
        <f>IF(ROUND('II-I-Total'!K37-F28,0)=0,TRUE,'II-I-Total'!K37-F28)</f>
        <v>1</v>
      </c>
      <c r="G42" s="144" t="b">
        <f>IF(ROUND('II-I-Total'!L37-G28,0)=0,TRUE,'II-I-Total'!L37-G28)</f>
        <v>1</v>
      </c>
      <c r="H42" s="144" t="b">
        <f>IF(ROUND('II-I-Total'!M37-H28,0)=0,TRUE,'II-I-Total'!M37-H28)</f>
        <v>1</v>
      </c>
      <c r="I42" s="144" t="b">
        <f>IF(ROUND('II-I-Total'!N37-I28,0)=0,TRUE,'II-I-Total'!N37-I28)</f>
        <v>1</v>
      </c>
      <c r="J42" s="144" t="b">
        <f>IF(ROUND('II-I-Total'!O37-J28,0)=0,TRUE,'II-I-Total'!O37-J28)</f>
        <v>1</v>
      </c>
      <c r="K42" s="144" t="b">
        <f>IF(ROUND('II-I-Total'!P37-K28,0)=0,TRUE,'II-I-Total'!P37-K28)</f>
        <v>1</v>
      </c>
      <c r="L42" s="144" t="b">
        <f>IF(ROUND('II-I-Total'!Q37-L28,0)=0,TRUE,'II-I-Total'!Q37-L28)</f>
        <v>1</v>
      </c>
      <c r="M42" s="144" t="b">
        <f>IF(ROUND('II-I-Total'!R37-M28,0)=0,TRUE,'II-I-Total'!R37-M28)</f>
        <v>1</v>
      </c>
      <c r="N42" s="144" t="b">
        <f>IF(ROUND('II-I-Total'!S37-N28,0)=0,TRUE,'II-I-Total'!S37-N28)</f>
        <v>1</v>
      </c>
      <c r="O42" s="152"/>
      <c r="P42" s="144" t="b">
        <f>IF(ROUND('II-I-Total'!F39-P30,0)=0,TRUE,'II-I-Total'!F39-P30)</f>
        <v>1</v>
      </c>
      <c r="Q42" s="12" t="s">
        <v>0</v>
      </c>
    </row>
  </sheetData>
  <printOptions horizontalCentered="1"/>
  <pageMargins left="0.5" right="0.5" top="1.75" bottom="0.75" header="1.5" footer="0.5"/>
  <pageSetup orientation="landscape" scale="55" r:id="rId1"/>
  <headerFooter alignWithMargins="0">
    <oddHeader>&amp;RWP/ II-I-1.7
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pageSetUpPr fitToPage="1"/>
  </sheetPr>
  <dimension ref="A1:J61"/>
  <sheetViews>
    <sheetView view="pageBreakPreview" zoomScale="75" zoomScaleNormal="75" zoomScaleSheetLayoutView="75" workbookViewId="0" topLeftCell="A1">
      <selection pane="topLeft" activeCell="E27" sqref="E27"/>
    </sheetView>
  </sheetViews>
  <sheetFormatPr defaultRowHeight="14.25"/>
  <cols>
    <col min="1" max="1" width="1.5" customWidth="1"/>
    <col min="2" max="2" width="5.125" bestFit="1" customWidth="1"/>
    <col min="3" max="3" width="7.5" bestFit="1" customWidth="1"/>
    <col min="4" max="4" width="41.75" bestFit="1" customWidth="1"/>
    <col min="5" max="5" width="10.75" customWidth="1"/>
    <col min="6" max="6" width="10.625" bestFit="1" customWidth="1"/>
    <col min="7" max="7" width="15.125" bestFit="1" customWidth="1"/>
    <col min="8" max="9" width="9.125" bestFit="1" customWidth="1"/>
    <col min="10" max="10" width="14.125" bestFit="1" customWidth="1"/>
  </cols>
  <sheetData>
    <row r="1" spans="1:10" ht="14.25">
      <c r="A1" s="67"/>
      <c r="B1" s="47"/>
      <c r="C1" s="68"/>
      <c r="D1" s="67"/>
      <c r="E1" s="67"/>
      <c r="F1" s="67"/>
      <c r="G1" s="67"/>
      <c r="H1" s="67"/>
      <c r="I1" s="67"/>
      <c r="J1" s="67"/>
    </row>
    <row r="2" spans="1:10" ht="15">
      <c r="A2" s="67"/>
      <c r="B2" s="1245"/>
      <c r="C2" s="68"/>
      <c r="D2" s="67"/>
      <c r="E2" s="67"/>
      <c r="F2" s="67"/>
      <c r="G2" s="67"/>
      <c r="H2" s="67"/>
      <c r="I2" s="67"/>
      <c r="J2" s="67"/>
    </row>
    <row r="3" spans="1:10" ht="15">
      <c r="A3" s="67"/>
      <c r="B3" s="3" t="str">
        <f>'II-I-1'!B2</f>
        <v>2022 RATE CASE</v>
      </c>
      <c r="C3" s="69"/>
      <c r="D3" s="70"/>
      <c r="E3" s="69"/>
      <c r="F3" s="69"/>
      <c r="G3" s="69"/>
      <c r="H3" s="69"/>
      <c r="I3" s="69"/>
      <c r="J3" s="69"/>
    </row>
    <row r="4" spans="1:10" ht="15">
      <c r="A4" s="67"/>
      <c r="B4" s="3" t="str">
        <f>'II-I-1'!B3</f>
        <v>ONCOR ELECTRIC DELIVERY COMPANY LLC</v>
      </c>
      <c r="C4" s="69"/>
      <c r="D4" s="70"/>
      <c r="E4" s="69"/>
      <c r="F4" s="69"/>
      <c r="G4" s="69"/>
      <c r="H4" s="69"/>
      <c r="I4" s="69"/>
      <c r="J4" s="69"/>
    </row>
    <row r="5" spans="1:10" ht="15">
      <c r="A5" s="67"/>
      <c r="B5" s="3" t="str">
        <f>'II-I-1'!B4</f>
        <v>II-I-1:  CLASS REVENUE REQUIREMENT ANALYSIS</v>
      </c>
      <c r="C5" s="71"/>
      <c r="D5" s="70"/>
      <c r="E5" s="69"/>
      <c r="F5" s="69"/>
      <c r="G5" s="69"/>
      <c r="H5" s="69"/>
      <c r="I5" s="69"/>
      <c r="J5" s="69"/>
    </row>
    <row r="6" spans="1:10" ht="15">
      <c r="A6" s="67"/>
      <c r="B6" s="3" t="str">
        <f>'II-I-1'!B5</f>
        <v>TEST YEAR ENDING 12/31/2021</v>
      </c>
      <c r="C6" s="71"/>
      <c r="D6" s="70"/>
      <c r="E6" s="69"/>
      <c r="F6" s="69"/>
      <c r="G6" s="69"/>
      <c r="H6" s="69"/>
      <c r="I6" s="69"/>
      <c r="J6" s="69"/>
    </row>
    <row r="7" spans="1:10" ht="15">
      <c r="A7" s="67"/>
      <c r="B7" s="3" t="str">
        <f>'II-I-1'!B6</f>
        <v>SPONSOR:  MATTHEW A. TROXLE</v>
      </c>
      <c r="C7" s="72"/>
      <c r="D7" s="71"/>
      <c r="E7" s="73"/>
      <c r="F7" s="73"/>
      <c r="G7" s="73"/>
      <c r="H7" s="73"/>
      <c r="I7" s="73"/>
      <c r="J7" s="73"/>
    </row>
    <row r="8" spans="1:10" ht="15">
      <c r="A8" s="67"/>
      <c r="B8" s="3"/>
      <c r="C8" s="71"/>
      <c r="D8" s="74"/>
      <c r="E8" s="73"/>
      <c r="F8" s="73"/>
      <c r="G8" s="73"/>
      <c r="H8" s="73"/>
      <c r="I8" s="73"/>
      <c r="J8" s="73"/>
    </row>
    <row r="9" spans="1:10" ht="15">
      <c r="A9" s="67"/>
      <c r="C9" s="71"/>
      <c r="D9" s="75"/>
      <c r="E9" s="73"/>
      <c r="F9" s="73"/>
      <c r="G9" s="73"/>
      <c r="H9" s="73"/>
      <c r="I9" s="73"/>
      <c r="J9" s="73"/>
    </row>
    <row r="10" spans="1:10" ht="15">
      <c r="A10" s="67"/>
      <c r="B10" s="74" t="s">
        <v>1023</v>
      </c>
      <c r="C10" s="71"/>
      <c r="D10" s="74"/>
      <c r="E10" s="73"/>
      <c r="F10" s="73"/>
      <c r="G10" s="73"/>
      <c r="H10" s="73"/>
      <c r="I10" s="73"/>
      <c r="J10" s="73"/>
    </row>
    <row r="11" spans="1:10" ht="15" thickBot="1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0" ht="14.25">
      <c r="A12" s="67"/>
      <c r="B12" s="13" t="s">
        <v>2</v>
      </c>
      <c r="C12" s="13" t="s">
        <v>370</v>
      </c>
      <c r="D12" s="13" t="s">
        <v>4</v>
      </c>
      <c r="E12" s="13" t="s">
        <v>376</v>
      </c>
      <c r="F12" s="13" t="s">
        <v>6</v>
      </c>
      <c r="G12" s="13" t="s">
        <v>7</v>
      </c>
      <c r="H12" s="13" t="s">
        <v>8</v>
      </c>
      <c r="I12" s="13" t="s">
        <v>9</v>
      </c>
      <c r="J12" s="13" t="s">
        <v>10</v>
      </c>
    </row>
    <row r="13" spans="1:10" ht="14.25">
      <c r="A13" s="67"/>
      <c r="B13" s="15"/>
      <c r="C13" s="15"/>
      <c r="D13" s="15"/>
      <c r="E13" s="15" t="s">
        <v>505</v>
      </c>
      <c r="F13" s="15"/>
      <c r="G13" s="15"/>
      <c r="H13" s="15"/>
      <c r="I13" s="15"/>
      <c r="J13" s="15"/>
    </row>
    <row r="14" spans="1:10" ht="15" thickBot="1">
      <c r="A14" s="67"/>
      <c r="B14" s="16"/>
      <c r="C14" s="16" t="s">
        <v>13</v>
      </c>
      <c r="D14" s="16" t="s">
        <v>14</v>
      </c>
      <c r="E14" s="16" t="s">
        <v>15</v>
      </c>
      <c r="F14" s="16" t="s">
        <v>16</v>
      </c>
      <c r="G14" s="16" t="s">
        <v>17</v>
      </c>
      <c r="H14" s="16" t="s">
        <v>18</v>
      </c>
      <c r="I14" s="16" t="s">
        <v>21</v>
      </c>
      <c r="J14" s="16" t="s">
        <v>22</v>
      </c>
    </row>
    <row r="15" spans="1:10" ht="15">
      <c r="A15" s="67"/>
      <c r="B15" s="74"/>
      <c r="C15" s="67"/>
      <c r="D15" s="67"/>
      <c r="E15" s="67"/>
      <c r="F15" s="67"/>
      <c r="G15" s="67"/>
      <c r="H15" s="67"/>
      <c r="I15" s="67"/>
      <c r="J15" s="67"/>
    </row>
    <row r="16" spans="1:10" ht="14.25">
      <c r="A16" s="67"/>
      <c r="B16" s="17">
        <v>1</v>
      </c>
      <c r="C16" s="76" t="s">
        <v>347</v>
      </c>
      <c r="D16" s="77" t="s">
        <v>348</v>
      </c>
      <c r="E16" s="1180">
        <v>1</v>
      </c>
      <c r="F16" s="62">
        <f>'WP II-I-1.1'!F447</f>
        <v>961339</v>
      </c>
      <c r="G16" s="62">
        <f>'WP II-I-1.1'!G447</f>
        <v>1059910.96</v>
      </c>
      <c r="H16" s="62">
        <f>'WP II-I-1.1'!H447</f>
        <v>0</v>
      </c>
      <c r="I16" s="62">
        <f>'WP II-I-1.1'!I447</f>
        <v>0</v>
      </c>
      <c r="J16" s="66">
        <f>SUM(F16:I16)</f>
        <v>2021249.96</v>
      </c>
    </row>
    <row r="17" spans="1:10" ht="16.5">
      <c r="A17" s="67"/>
      <c r="B17" s="17">
        <f t="shared" si="0" ref="B17:B59">B16+1</f>
        <v>2</v>
      </c>
      <c r="C17" s="78" t="s">
        <v>372</v>
      </c>
      <c r="D17" s="12" t="s">
        <v>373</v>
      </c>
      <c r="E17" s="1181">
        <v>0.12</v>
      </c>
      <c r="F17" s="901">
        <f>F16*$E17</f>
        <v>115360.67999999999</v>
      </c>
      <c r="G17" s="901">
        <f>G16*$E17</f>
        <v>127189.3152</v>
      </c>
      <c r="H17" s="901">
        <f>H16*$E17</f>
        <v>0</v>
      </c>
      <c r="I17" s="901">
        <f>I16*$E17</f>
        <v>0</v>
      </c>
      <c r="J17" s="900">
        <f>SUM(F17:I17)</f>
        <v>242549.99520000001</v>
      </c>
    </row>
    <row r="18" spans="1:10" ht="14.25">
      <c r="A18" s="67"/>
      <c r="B18" s="17">
        <f t="shared" si="0"/>
        <v>3</v>
      </c>
      <c r="C18" s="80" t="s">
        <v>374</v>
      </c>
      <c r="D18" s="81" t="s">
        <v>375</v>
      </c>
      <c r="E18" s="1182">
        <f t="shared" si="1" ref="E18:H18">E16-E17</f>
        <v>0.88</v>
      </c>
      <c r="F18" s="83">
        <f t="shared" si="1"/>
        <v>845978.32000000007</v>
      </c>
      <c r="G18" s="83">
        <f t="shared" si="1"/>
        <v>932721.64480000001</v>
      </c>
      <c r="H18" s="83">
        <f t="shared" si="1"/>
        <v>0</v>
      </c>
      <c r="I18" s="83">
        <f>I16-I17</f>
        <v>0</v>
      </c>
      <c r="J18" s="1183">
        <f>SUM(F18:I18)</f>
        <v>1778699.9648000002</v>
      </c>
    </row>
    <row r="19" spans="1:10" ht="14.25">
      <c r="A19" s="67"/>
      <c r="B19" s="17">
        <f t="shared" si="0"/>
        <v>4</v>
      </c>
      <c r="C19" s="67"/>
      <c r="D19" s="67"/>
      <c r="E19" s="67"/>
      <c r="F19" s="67"/>
      <c r="G19" s="67"/>
      <c r="H19" s="67"/>
      <c r="I19" s="67"/>
      <c r="J19" s="67"/>
    </row>
    <row r="20" spans="1:10" ht="15" thickBot="1">
      <c r="A20" s="67"/>
      <c r="B20" s="17">
        <f t="shared" si="0"/>
        <v>5</v>
      </c>
      <c r="C20" s="68"/>
      <c r="D20" s="67"/>
      <c r="E20" s="68"/>
      <c r="F20" s="67"/>
      <c r="G20" s="67"/>
      <c r="H20" s="67"/>
      <c r="I20" s="67"/>
      <c r="J20" s="67"/>
    </row>
    <row r="21" spans="1:10" ht="14.25">
      <c r="A21" s="67"/>
      <c r="B21" s="17">
        <f t="shared" si="0"/>
        <v>6</v>
      </c>
      <c r="C21" s="13" t="s">
        <v>370</v>
      </c>
      <c r="D21" s="13" t="s">
        <v>4</v>
      </c>
      <c r="E21" s="13" t="s">
        <v>376</v>
      </c>
      <c r="F21" s="13" t="s">
        <v>6</v>
      </c>
      <c r="G21" s="13" t="s">
        <v>7</v>
      </c>
      <c r="H21" s="13" t="s">
        <v>8</v>
      </c>
      <c r="I21" s="396" t="s">
        <v>9</v>
      </c>
      <c r="J21" s="13" t="s">
        <v>10</v>
      </c>
    </row>
    <row r="22" spans="1:10" ht="14.25">
      <c r="A22" s="67"/>
      <c r="B22" s="17">
        <f t="shared" si="0"/>
        <v>7</v>
      </c>
      <c r="C22" s="15"/>
      <c r="D22" s="15"/>
      <c r="E22" s="15" t="s">
        <v>377</v>
      </c>
      <c r="F22" s="15"/>
      <c r="G22" s="15"/>
      <c r="H22" s="15"/>
      <c r="I22" s="235"/>
      <c r="J22" s="15"/>
    </row>
    <row r="23" spans="1:10" ht="15" thickBot="1">
      <c r="A23" s="67"/>
      <c r="B23" s="17">
        <f t="shared" si="0"/>
        <v>8</v>
      </c>
      <c r="C23" s="16" t="s">
        <v>13</v>
      </c>
      <c r="D23" s="16" t="s">
        <v>14</v>
      </c>
      <c r="E23" s="16" t="s">
        <v>15</v>
      </c>
      <c r="F23" s="16" t="s">
        <v>16</v>
      </c>
      <c r="G23" s="16" t="s">
        <v>17</v>
      </c>
      <c r="H23" s="16" t="s">
        <v>18</v>
      </c>
      <c r="I23" s="243" t="s">
        <v>21</v>
      </c>
      <c r="J23" s="16" t="s">
        <v>22</v>
      </c>
    </row>
    <row r="24" spans="1:10" ht="15">
      <c r="A24" s="67"/>
      <c r="B24" s="17">
        <f t="shared" si="0"/>
        <v>9</v>
      </c>
      <c r="C24" s="85"/>
      <c r="D24" s="1"/>
      <c r="E24" s="86"/>
      <c r="F24" s="1"/>
      <c r="G24" s="67"/>
      <c r="H24" s="67"/>
      <c r="I24" s="67"/>
      <c r="J24" s="1121"/>
    </row>
    <row r="25" spans="1:10" ht="15">
      <c r="A25" s="67"/>
      <c r="B25" s="17">
        <f t="shared" si="0"/>
        <v>10</v>
      </c>
      <c r="C25" s="85" t="s">
        <v>24</v>
      </c>
      <c r="D25" s="8" t="s">
        <v>378</v>
      </c>
      <c r="E25" s="86"/>
      <c r="F25" s="1"/>
      <c r="G25" s="67"/>
      <c r="H25" s="67"/>
      <c r="I25" s="67"/>
      <c r="J25" s="1121"/>
    </row>
    <row r="26" spans="1:10" ht="14.25">
      <c r="A26" s="67"/>
      <c r="B26" s="17">
        <f t="shared" si="0"/>
        <v>11</v>
      </c>
      <c r="C26" s="87" t="s">
        <v>66</v>
      </c>
      <c r="D26" s="88" t="s">
        <v>379</v>
      </c>
      <c r="E26" s="89">
        <f>SUM(E27:E28)</f>
        <v>0.99999999999999989</v>
      </c>
      <c r="F26" s="62">
        <f>'WP II-I-1.1'!F54</f>
        <v>0</v>
      </c>
      <c r="G26" s="62">
        <f>'WP II-I-1.1'!G54</f>
        <v>2678358260.8099999</v>
      </c>
      <c r="H26" s="62">
        <f>'WP II-I-1.1'!H54</f>
        <v>0</v>
      </c>
      <c r="I26" s="62">
        <f>'WP II-I-1.1'!I54</f>
        <v>0</v>
      </c>
      <c r="J26" s="1122">
        <f>SUM(F26:I26)</f>
        <v>2678358260.8099999</v>
      </c>
    </row>
    <row r="27" spans="1:10" ht="14.25">
      <c r="A27" s="67"/>
      <c r="B27" s="17">
        <f t="shared" si="0"/>
        <v>12</v>
      </c>
      <c r="C27" s="90" t="s">
        <v>380</v>
      </c>
      <c r="D27" s="1" t="s">
        <v>381</v>
      </c>
      <c r="E27" s="91">
        <f>'WP II-I-2.1'!H20</f>
        <v>0.82965692042145378</v>
      </c>
      <c r="F27" s="19">
        <f t="shared" si="2" ref="F27:H28">F$26*$E27</f>
        <v>0</v>
      </c>
      <c r="G27" s="19">
        <f t="shared" si="2"/>
        <v>2222118466.4489856</v>
      </c>
      <c r="H27" s="19">
        <f t="shared" si="2"/>
        <v>0</v>
      </c>
      <c r="I27" s="19">
        <f>I$26*$E27</f>
        <v>0</v>
      </c>
      <c r="J27" s="1123">
        <f t="shared" si="3" ref="J27:J41">SUM(F27:I27)</f>
        <v>2222118466.4489856</v>
      </c>
    </row>
    <row r="28" spans="1:10" ht="14.25">
      <c r="A28" s="67"/>
      <c r="B28" s="17">
        <f t="shared" si="0"/>
        <v>13</v>
      </c>
      <c r="C28" s="92" t="s">
        <v>382</v>
      </c>
      <c r="D28" s="65" t="s">
        <v>383</v>
      </c>
      <c r="E28" s="93">
        <f>'WP II-I-2.1'!H21</f>
        <v>0.17034307957854614</v>
      </c>
      <c r="F28" s="83">
        <f t="shared" si="2"/>
        <v>0</v>
      </c>
      <c r="G28" s="83">
        <f t="shared" si="2"/>
        <v>456239794.36101425</v>
      </c>
      <c r="H28" s="83">
        <f t="shared" si="2"/>
        <v>0</v>
      </c>
      <c r="I28" s="83">
        <f>I$26*$E28</f>
        <v>0</v>
      </c>
      <c r="J28" s="1124">
        <f t="shared" si="3"/>
        <v>456239794.36101425</v>
      </c>
    </row>
    <row r="29" spans="1:10" ht="14.25">
      <c r="A29" s="67"/>
      <c r="B29" s="17">
        <f t="shared" si="0"/>
        <v>14</v>
      </c>
      <c r="C29" s="87" t="s">
        <v>68</v>
      </c>
      <c r="D29" s="88" t="s">
        <v>384</v>
      </c>
      <c r="E29" s="89">
        <f>SUM(E30:E31)</f>
        <v>1</v>
      </c>
      <c r="F29" s="62">
        <f>'WP II-I-1.1'!F55</f>
        <v>0</v>
      </c>
      <c r="G29" s="62">
        <f>'WP II-I-1.1'!G55</f>
        <v>1675410858.1199999</v>
      </c>
      <c r="H29" s="62">
        <f>'WP II-I-1.1'!H55</f>
        <v>0</v>
      </c>
      <c r="I29" s="62">
        <f>'WP II-I-1.1'!I55</f>
        <v>0</v>
      </c>
      <c r="J29" s="1122">
        <f t="shared" si="3"/>
        <v>1675410858.1199999</v>
      </c>
    </row>
    <row r="30" spans="1:10" ht="14.25">
      <c r="A30" s="67"/>
      <c r="B30" s="17">
        <f t="shared" si="0"/>
        <v>15</v>
      </c>
      <c r="C30" s="90" t="s">
        <v>385</v>
      </c>
      <c r="D30" s="1" t="s">
        <v>386</v>
      </c>
      <c r="E30" s="91">
        <f>'WP II-I-2.1'!H23</f>
        <v>0.84945322552141245</v>
      </c>
      <c r="F30" s="19">
        <f t="shared" si="4" ref="F30:H31">F$29*$E30</f>
        <v>0</v>
      </c>
      <c r="G30" s="19">
        <f t="shared" si="4"/>
        <v>1423183157.5036314</v>
      </c>
      <c r="H30" s="19">
        <f t="shared" si="4"/>
        <v>0</v>
      </c>
      <c r="I30" s="19">
        <f>I$29*$E30</f>
        <v>0</v>
      </c>
      <c r="J30" s="1123">
        <f t="shared" si="3"/>
        <v>1423183157.5036314</v>
      </c>
    </row>
    <row r="31" spans="1:10" ht="14.25">
      <c r="A31" s="67"/>
      <c r="B31" s="17">
        <f t="shared" si="0"/>
        <v>16</v>
      </c>
      <c r="C31" s="92" t="s">
        <v>387</v>
      </c>
      <c r="D31" s="65" t="s">
        <v>388</v>
      </c>
      <c r="E31" s="93">
        <f>'WP II-I-2.1'!H24</f>
        <v>0.15054677447858755</v>
      </c>
      <c r="F31" s="83">
        <f t="shared" si="4"/>
        <v>0</v>
      </c>
      <c r="G31" s="83">
        <f t="shared" si="4"/>
        <v>252227700.61636847</v>
      </c>
      <c r="H31" s="83">
        <f t="shared" si="4"/>
        <v>0</v>
      </c>
      <c r="I31" s="83">
        <f>I$29*$E31</f>
        <v>0</v>
      </c>
      <c r="J31" s="1124">
        <f t="shared" si="3"/>
        <v>252227700.61636847</v>
      </c>
    </row>
    <row r="32" spans="1:10" ht="14.25">
      <c r="A32" s="67"/>
      <c r="B32" s="17">
        <f t="shared" si="0"/>
        <v>17</v>
      </c>
      <c r="C32" s="87" t="s">
        <v>70</v>
      </c>
      <c r="D32" s="88" t="s">
        <v>389</v>
      </c>
      <c r="E32" s="89">
        <f>SUM(E33:E34)</f>
        <v>0.99999999999999989</v>
      </c>
      <c r="F32" s="62">
        <f>'WP II-I-1.1'!F56</f>
        <v>0</v>
      </c>
      <c r="G32" s="62">
        <f>'WP II-I-1.1'!G56</f>
        <v>1082118478.1099999</v>
      </c>
      <c r="H32" s="62">
        <f>'WP II-I-1.1'!H56</f>
        <v>0</v>
      </c>
      <c r="I32" s="62">
        <f>'WP II-I-1.1'!I56</f>
        <v>0</v>
      </c>
      <c r="J32" s="1122">
        <f t="shared" si="3"/>
        <v>1082118478.1099999</v>
      </c>
    </row>
    <row r="33" spans="1:10" ht="14.25">
      <c r="A33" s="67"/>
      <c r="B33" s="17">
        <f t="shared" si="0"/>
        <v>18</v>
      </c>
      <c r="C33" s="90" t="s">
        <v>390</v>
      </c>
      <c r="D33" s="1" t="s">
        <v>391</v>
      </c>
      <c r="E33" s="91">
        <f>'WP II-I-2.1'!H26</f>
        <v>0.60713170004228945</v>
      </c>
      <c r="F33" s="19">
        <f t="shared" si="5" ref="F33:H34">F$32*$E33</f>
        <v>0</v>
      </c>
      <c r="G33" s="19">
        <f t="shared" si="5"/>
        <v>656988431.26209927</v>
      </c>
      <c r="H33" s="19">
        <f t="shared" si="5"/>
        <v>0</v>
      </c>
      <c r="I33" s="19">
        <f>I$32*$E33</f>
        <v>0</v>
      </c>
      <c r="J33" s="1123">
        <f t="shared" si="3"/>
        <v>656988431.26209927</v>
      </c>
    </row>
    <row r="34" spans="1:10" ht="14.25">
      <c r="A34" s="67"/>
      <c r="B34" s="17">
        <f t="shared" si="0"/>
        <v>19</v>
      </c>
      <c r="C34" s="92" t="s">
        <v>392</v>
      </c>
      <c r="D34" s="65" t="s">
        <v>393</v>
      </c>
      <c r="E34" s="93">
        <f>'WP II-I-2.1'!H27</f>
        <v>0.39286829995771044</v>
      </c>
      <c r="F34" s="83">
        <f t="shared" si="5"/>
        <v>0</v>
      </c>
      <c r="G34" s="83">
        <f t="shared" si="5"/>
        <v>425130046.84790057</v>
      </c>
      <c r="H34" s="83">
        <f t="shared" si="5"/>
        <v>0</v>
      </c>
      <c r="I34" s="83">
        <f>I$32*$E34</f>
        <v>0</v>
      </c>
      <c r="J34" s="1124">
        <f t="shared" si="3"/>
        <v>425130046.84790057</v>
      </c>
    </row>
    <row r="35" spans="1:10" ht="14.25">
      <c r="A35" s="67"/>
      <c r="B35" s="17">
        <f t="shared" si="0"/>
        <v>20</v>
      </c>
      <c r="C35" s="87" t="s">
        <v>72</v>
      </c>
      <c r="D35" s="88" t="s">
        <v>394</v>
      </c>
      <c r="E35" s="89">
        <f>SUM(E36:E37)</f>
        <v>1</v>
      </c>
      <c r="F35" s="62">
        <f>'WP II-I-1.1'!F57</f>
        <v>0</v>
      </c>
      <c r="G35" s="62">
        <f>'WP II-I-1.1'!G57</f>
        <v>2553927527.9699998</v>
      </c>
      <c r="H35" s="62">
        <f>'WP II-I-1.1'!H57</f>
        <v>0</v>
      </c>
      <c r="I35" s="62">
        <f>'WP II-I-1.1'!I57</f>
        <v>0</v>
      </c>
      <c r="J35" s="1122">
        <f t="shared" si="3"/>
        <v>2553927527.9699998</v>
      </c>
    </row>
    <row r="36" spans="1:10" ht="14.25">
      <c r="A36" s="67"/>
      <c r="B36" s="17">
        <f t="shared" si="0"/>
        <v>21</v>
      </c>
      <c r="C36" s="90" t="s">
        <v>395</v>
      </c>
      <c r="D36" s="1" t="s">
        <v>396</v>
      </c>
      <c r="E36" s="91">
        <f>'WP II-I-2.1'!H29</f>
        <v>0.8112846326155454</v>
      </c>
      <c r="F36" s="19">
        <f t="shared" si="6" ref="F36:H37">F$35*$E36</f>
        <v>0</v>
      </c>
      <c r="G36" s="19">
        <f t="shared" si="6"/>
        <v>2071962156.2558694</v>
      </c>
      <c r="H36" s="19">
        <f t="shared" si="6"/>
        <v>0</v>
      </c>
      <c r="I36" s="19">
        <f>I$35*$E36</f>
        <v>0</v>
      </c>
      <c r="J36" s="1123">
        <f t="shared" si="3"/>
        <v>2071962156.2558694</v>
      </c>
    </row>
    <row r="37" spans="1:10" ht="14.25">
      <c r="A37" s="67"/>
      <c r="B37" s="17">
        <f t="shared" si="0"/>
        <v>22</v>
      </c>
      <c r="C37" s="92" t="s">
        <v>397</v>
      </c>
      <c r="D37" s="65" t="s">
        <v>398</v>
      </c>
      <c r="E37" s="93">
        <f>'WP II-I-2.1'!H30</f>
        <v>0.18871536738445457</v>
      </c>
      <c r="F37" s="83">
        <f t="shared" si="6"/>
        <v>0</v>
      </c>
      <c r="G37" s="83">
        <f t="shared" si="6"/>
        <v>481965371.7141304</v>
      </c>
      <c r="H37" s="83">
        <f t="shared" si="6"/>
        <v>0</v>
      </c>
      <c r="I37" s="83">
        <f>I$35*$E37</f>
        <v>0</v>
      </c>
      <c r="J37" s="1124">
        <f t="shared" si="3"/>
        <v>481965371.7141304</v>
      </c>
    </row>
    <row r="38" spans="1:10" ht="14.25">
      <c r="A38" s="67"/>
      <c r="B38" s="17">
        <f t="shared" si="0"/>
        <v>23</v>
      </c>
      <c r="C38" s="87" t="s">
        <v>74</v>
      </c>
      <c r="D38" s="88" t="s">
        <v>399</v>
      </c>
      <c r="E38" s="89">
        <f>SUM(E39:E41)</f>
        <v>0.99999999999999989</v>
      </c>
      <c r="F38" s="62">
        <f>'WP II-I-1.1'!F58</f>
        <v>0</v>
      </c>
      <c r="G38" s="62">
        <f>'WP II-I-1.1'!G58</f>
        <v>2493077762.4000001</v>
      </c>
      <c r="H38" s="62">
        <f>'WP II-I-1.1'!H58</f>
        <v>0</v>
      </c>
      <c r="I38" s="62">
        <f>'WP II-I-1.1'!I58</f>
        <v>0</v>
      </c>
      <c r="J38" s="1122">
        <f t="shared" si="3"/>
        <v>2493077762.4000001</v>
      </c>
    </row>
    <row r="39" spans="1:10" ht="14.25">
      <c r="A39" s="67"/>
      <c r="B39" s="17">
        <f t="shared" si="0"/>
        <v>24</v>
      </c>
      <c r="C39" s="90" t="s">
        <v>400</v>
      </c>
      <c r="D39" s="1" t="s">
        <v>401</v>
      </c>
      <c r="E39" s="91">
        <f>'WP II-I-2.1'!H32</f>
        <v>0.058799651350979476</v>
      </c>
      <c r="F39" s="19">
        <f t="shared" si="7" ref="F39:H41">F$38*$E39</f>
        <v>0</v>
      </c>
      <c r="G39" s="19">
        <f t="shared" si="7"/>
        <v>146592103.22000006</v>
      </c>
      <c r="H39" s="19">
        <f t="shared" si="7"/>
        <v>0</v>
      </c>
      <c r="I39" s="19">
        <f>I$38*$E39</f>
        <v>0</v>
      </c>
      <c r="J39" s="1123">
        <f t="shared" si="3"/>
        <v>146592103.22000006</v>
      </c>
    </row>
    <row r="40" spans="1:10" ht="14.25">
      <c r="A40" s="67"/>
      <c r="B40" s="17">
        <f t="shared" si="0"/>
        <v>25</v>
      </c>
      <c r="C40" s="90" t="s">
        <v>402</v>
      </c>
      <c r="D40" s="1" t="s">
        <v>403</v>
      </c>
      <c r="E40" s="91">
        <f>'WP II-I-2.1'!H33</f>
        <v>0.88095723787039137</v>
      </c>
      <c r="F40" s="19">
        <f t="shared" si="7"/>
        <v>0</v>
      </c>
      <c r="G40" s="19">
        <f t="shared" si="7"/>
        <v>2196294899.3600001</v>
      </c>
      <c r="H40" s="19">
        <f t="shared" si="7"/>
        <v>0</v>
      </c>
      <c r="I40" s="19">
        <f>I$38*$E40</f>
        <v>0</v>
      </c>
      <c r="J40" s="1123">
        <f t="shared" si="3"/>
        <v>2196294899.3600001</v>
      </c>
    </row>
    <row r="41" spans="1:10" ht="14.25">
      <c r="A41" s="67"/>
      <c r="B41" s="17">
        <f t="shared" si="0"/>
        <v>26</v>
      </c>
      <c r="C41" s="92" t="s">
        <v>404</v>
      </c>
      <c r="D41" s="65" t="s">
        <v>405</v>
      </c>
      <c r="E41" s="93">
        <f>'WP II-I-2.1'!H34</f>
        <v>0.060243110778629136</v>
      </c>
      <c r="F41" s="83">
        <f t="shared" si="7"/>
        <v>0</v>
      </c>
      <c r="G41" s="83">
        <f t="shared" si="7"/>
        <v>150190759.82000005</v>
      </c>
      <c r="H41" s="19">
        <f t="shared" si="7"/>
        <v>0</v>
      </c>
      <c r="I41" s="19">
        <f>I$38*$E41</f>
        <v>0</v>
      </c>
      <c r="J41" s="1124">
        <f t="shared" si="3"/>
        <v>150190759.82000005</v>
      </c>
    </row>
    <row r="42" spans="1:10" ht="14.25">
      <c r="A42" s="67"/>
      <c r="B42" s="17">
        <f t="shared" si="0"/>
        <v>27</v>
      </c>
      <c r="C42" s="28"/>
      <c r="D42" s="1"/>
      <c r="E42" s="86"/>
      <c r="F42" s="1"/>
      <c r="G42" s="47"/>
      <c r="H42" s="205"/>
      <c r="I42" s="205"/>
      <c r="J42" s="422"/>
    </row>
    <row r="43" spans="1:10" ht="15">
      <c r="A43" s="67"/>
      <c r="B43" s="17">
        <f t="shared" si="0"/>
        <v>28</v>
      </c>
      <c r="C43" s="85" t="s">
        <v>36</v>
      </c>
      <c r="D43" s="8" t="s">
        <v>583</v>
      </c>
      <c r="E43" s="86"/>
      <c r="F43" s="1"/>
      <c r="G43" s="47"/>
      <c r="H43" s="67"/>
      <c r="I43" s="82"/>
      <c r="J43" s="422"/>
    </row>
    <row r="44" spans="1:10" ht="14.25">
      <c r="A44" s="67"/>
      <c r="B44" s="17">
        <f t="shared" si="0"/>
        <v>29</v>
      </c>
      <c r="C44" s="87" t="s">
        <v>66</v>
      </c>
      <c r="D44" s="88" t="s">
        <v>379</v>
      </c>
      <c r="E44" s="89">
        <f>SUM(E45:E46)</f>
        <v>0.99999999999999989</v>
      </c>
      <c r="F44" s="62">
        <f>'WP II-I-1.1'!F70</f>
        <v>0</v>
      </c>
      <c r="G44" s="62">
        <f>'WP II-I-1.1'!G70</f>
        <v>1107719583.73</v>
      </c>
      <c r="H44" s="62">
        <f>'WP II-I-1.1'!H70</f>
        <v>0</v>
      </c>
      <c r="I44" s="19">
        <f>'WP II-I-1.1'!I70</f>
        <v>0</v>
      </c>
      <c r="J44" s="1122">
        <f t="shared" si="8" ref="J44:J59">SUM(F44:I44)</f>
        <v>1107719583.73</v>
      </c>
    </row>
    <row r="45" spans="1:10" ht="14.25">
      <c r="A45" s="67"/>
      <c r="B45" s="17">
        <f t="shared" si="0"/>
        <v>30</v>
      </c>
      <c r="C45" s="90" t="s">
        <v>380</v>
      </c>
      <c r="D45" s="1" t="s">
        <v>381</v>
      </c>
      <c r="E45" s="91">
        <f>+E$27</f>
        <v>0.82965692042145378</v>
      </c>
      <c r="F45" s="19">
        <f>F$26*$E45</f>
        <v>0</v>
      </c>
      <c r="G45" s="19">
        <f t="shared" si="9" ref="G45:H46">G$44*$E45</f>
        <v>919027218.5279665</v>
      </c>
      <c r="H45" s="19">
        <f t="shared" si="9"/>
        <v>0</v>
      </c>
      <c r="I45" s="19">
        <f>I$44*$E45</f>
        <v>0</v>
      </c>
      <c r="J45" s="1123">
        <f t="shared" si="8"/>
        <v>919027218.5279665</v>
      </c>
    </row>
    <row r="46" spans="1:10" ht="14.25">
      <c r="A46" s="67"/>
      <c r="B46" s="17">
        <f t="shared" si="0"/>
        <v>31</v>
      </c>
      <c r="C46" s="92" t="s">
        <v>382</v>
      </c>
      <c r="D46" s="65" t="s">
        <v>383</v>
      </c>
      <c r="E46" s="91">
        <f>+E$28</f>
        <v>0.17034307957854614</v>
      </c>
      <c r="F46" s="83">
        <f>F$26*$E46</f>
        <v>0</v>
      </c>
      <c r="G46" s="83">
        <f t="shared" si="9"/>
        <v>188692365.2020334</v>
      </c>
      <c r="H46" s="83">
        <f t="shared" si="9"/>
        <v>0</v>
      </c>
      <c r="I46" s="83">
        <f>I$44*$E46</f>
        <v>0</v>
      </c>
      <c r="J46" s="1124">
        <f t="shared" si="8"/>
        <v>188692365.2020334</v>
      </c>
    </row>
    <row r="47" spans="1:10" ht="14.25">
      <c r="A47" s="67"/>
      <c r="B47" s="17">
        <f t="shared" si="0"/>
        <v>32</v>
      </c>
      <c r="C47" s="87" t="s">
        <v>68</v>
      </c>
      <c r="D47" s="88" t="s">
        <v>384</v>
      </c>
      <c r="E47" s="89">
        <f>SUM(E48:E49)</f>
        <v>1</v>
      </c>
      <c r="F47" s="62">
        <f>'WP II-I-1.1'!F71</f>
        <v>0</v>
      </c>
      <c r="G47" s="62">
        <f>'WP II-I-1.1'!G71</f>
        <v>635328009.49000001</v>
      </c>
      <c r="H47" s="62">
        <f>'WP II-I-1.1'!H71</f>
        <v>0</v>
      </c>
      <c r="I47" s="62">
        <f>'WP II-I-1.1'!I71</f>
        <v>0</v>
      </c>
      <c r="J47" s="1122">
        <f t="shared" si="8"/>
        <v>635328009.49000001</v>
      </c>
    </row>
    <row r="48" spans="1:10" ht="14.25">
      <c r="A48" s="67"/>
      <c r="B48" s="17">
        <f t="shared" si="0"/>
        <v>33</v>
      </c>
      <c r="C48" s="90" t="s">
        <v>385</v>
      </c>
      <c r="D48" s="1" t="s">
        <v>386</v>
      </c>
      <c r="E48" s="91">
        <f>+E$30</f>
        <v>0.84945322552141245</v>
      </c>
      <c r="F48" s="19">
        <f>F$29*$E48</f>
        <v>0</v>
      </c>
      <c r="G48" s="19">
        <f t="shared" si="10" ref="G48:H49">G$47*$E48</f>
        <v>539681426.92537904</v>
      </c>
      <c r="H48" s="19">
        <f t="shared" si="10"/>
        <v>0</v>
      </c>
      <c r="I48" s="19">
        <f>I$47*$E48</f>
        <v>0</v>
      </c>
      <c r="J48" s="1123">
        <f t="shared" si="8"/>
        <v>539681426.92537904</v>
      </c>
    </row>
    <row r="49" spans="1:10" ht="14.25">
      <c r="A49" s="67"/>
      <c r="B49" s="17">
        <f t="shared" si="0"/>
        <v>34</v>
      </c>
      <c r="C49" s="92" t="s">
        <v>387</v>
      </c>
      <c r="D49" s="65" t="s">
        <v>388</v>
      </c>
      <c r="E49" s="91">
        <f>+E$31</f>
        <v>0.15054677447858755</v>
      </c>
      <c r="F49" s="83">
        <f>F$29*$E49</f>
        <v>0</v>
      </c>
      <c r="G49" s="83">
        <f t="shared" si="10"/>
        <v>95646582.564620957</v>
      </c>
      <c r="H49" s="83">
        <f t="shared" si="10"/>
        <v>0</v>
      </c>
      <c r="I49" s="83">
        <f>I$47*$E49</f>
        <v>0</v>
      </c>
      <c r="J49" s="1124">
        <f t="shared" si="8"/>
        <v>95646582.564620957</v>
      </c>
    </row>
    <row r="50" spans="1:10" ht="14.25">
      <c r="A50" s="67"/>
      <c r="B50" s="17">
        <f t="shared" si="0"/>
        <v>35</v>
      </c>
      <c r="C50" s="87" t="s">
        <v>70</v>
      </c>
      <c r="D50" s="88" t="s">
        <v>389</v>
      </c>
      <c r="E50" s="89">
        <f>SUM(E51:E52)</f>
        <v>0.99999999999999989</v>
      </c>
      <c r="F50" s="62">
        <f>'WP II-I-1.1'!F72</f>
        <v>0</v>
      </c>
      <c r="G50" s="62">
        <f>'WP II-I-1.1'!G72</f>
        <v>452193524.26999998</v>
      </c>
      <c r="H50" s="62">
        <f>'WP II-I-1.1'!H72</f>
        <v>0</v>
      </c>
      <c r="I50" s="62">
        <f>'WP II-I-1.1'!I72</f>
        <v>0</v>
      </c>
      <c r="J50" s="1122">
        <f t="shared" si="8"/>
        <v>452193524.26999998</v>
      </c>
    </row>
    <row r="51" spans="1:10" ht="14.25">
      <c r="A51" s="67"/>
      <c r="B51" s="17">
        <f t="shared" si="0"/>
        <v>36</v>
      </c>
      <c r="C51" s="90" t="s">
        <v>390</v>
      </c>
      <c r="D51" s="1" t="s">
        <v>391</v>
      </c>
      <c r="E51" s="91">
        <f>+E$33</f>
        <v>0.60713170004228945</v>
      </c>
      <c r="F51" s="19">
        <f>F$32*$E51</f>
        <v>0</v>
      </c>
      <c r="G51" s="19">
        <f>G$50*$E51</f>
        <v>274541023.13815933</v>
      </c>
      <c r="H51" s="19">
        <f t="shared" si="11" ref="H51:H52">H$49*$E51</f>
        <v>0</v>
      </c>
      <c r="I51" s="19">
        <f>I$49*$E51</f>
        <v>0</v>
      </c>
      <c r="J51" s="1123">
        <f t="shared" si="8"/>
        <v>274541023.13815933</v>
      </c>
    </row>
    <row r="52" spans="1:10" ht="14.25">
      <c r="A52" s="67"/>
      <c r="B52" s="17">
        <f t="shared" si="0"/>
        <v>37</v>
      </c>
      <c r="C52" s="92" t="s">
        <v>392</v>
      </c>
      <c r="D52" s="65" t="s">
        <v>393</v>
      </c>
      <c r="E52" s="91">
        <f>+E$34</f>
        <v>0.39286829995771044</v>
      </c>
      <c r="F52" s="83">
        <f>F$32*$E52</f>
        <v>0</v>
      </c>
      <c r="G52" s="83">
        <f>G$50*$E52</f>
        <v>177652501.13184056</v>
      </c>
      <c r="H52" s="83">
        <f t="shared" si="11"/>
        <v>0</v>
      </c>
      <c r="I52" s="83">
        <f>I$49*$E52</f>
        <v>0</v>
      </c>
      <c r="J52" s="1124">
        <f t="shared" si="8"/>
        <v>177652501.13184056</v>
      </c>
    </row>
    <row r="53" spans="1:10" ht="14.25">
      <c r="A53" s="67"/>
      <c r="B53" s="17">
        <f t="shared" si="0"/>
        <v>38</v>
      </c>
      <c r="C53" s="87" t="s">
        <v>72</v>
      </c>
      <c r="D53" s="88" t="s">
        <v>394</v>
      </c>
      <c r="E53" s="89">
        <f>SUM(E54:E55)</f>
        <v>1</v>
      </c>
      <c r="F53" s="62">
        <f>'WP II-I-1.1'!F73</f>
        <v>0</v>
      </c>
      <c r="G53" s="62">
        <f>'WP II-I-1.1'!G73</f>
        <v>578041305.75</v>
      </c>
      <c r="H53" s="62">
        <f>'WP II-I-1.1'!H73</f>
        <v>0</v>
      </c>
      <c r="I53" s="62">
        <f>'WP II-I-1.1'!I73</f>
        <v>0</v>
      </c>
      <c r="J53" s="1122">
        <f t="shared" si="8"/>
        <v>578041305.75</v>
      </c>
    </row>
    <row r="54" spans="1:10" ht="14.25">
      <c r="A54" s="67"/>
      <c r="B54" s="17">
        <f t="shared" si="0"/>
        <v>39</v>
      </c>
      <c r="C54" s="90" t="s">
        <v>395</v>
      </c>
      <c r="D54" s="1" t="s">
        <v>396</v>
      </c>
      <c r="E54" s="91">
        <f>+E$36</f>
        <v>0.8112846326155454</v>
      </c>
      <c r="F54" s="19">
        <f>F$35*$E54</f>
        <v>0</v>
      </c>
      <c r="G54" s="19">
        <f t="shared" si="12" ref="G54:H55">G$53*$E54</f>
        <v>468956028.37199891</v>
      </c>
      <c r="H54" s="19">
        <f t="shared" si="12"/>
        <v>0</v>
      </c>
      <c r="I54" s="19">
        <f>I$53*$E54</f>
        <v>0</v>
      </c>
      <c r="J54" s="1123">
        <f t="shared" si="8"/>
        <v>468956028.37199891</v>
      </c>
    </row>
    <row r="55" spans="1:10" ht="14.25">
      <c r="A55" s="67"/>
      <c r="B55" s="17">
        <f t="shared" si="0"/>
        <v>40</v>
      </c>
      <c r="C55" s="92" t="s">
        <v>397</v>
      </c>
      <c r="D55" s="65" t="s">
        <v>398</v>
      </c>
      <c r="E55" s="91">
        <f>+E$37</f>
        <v>0.18871536738445457</v>
      </c>
      <c r="F55" s="83">
        <f>F$35*$E55</f>
        <v>0</v>
      </c>
      <c r="G55" s="83">
        <f t="shared" si="12"/>
        <v>109085277.37800108</v>
      </c>
      <c r="H55" s="83">
        <f t="shared" si="12"/>
        <v>0</v>
      </c>
      <c r="I55" s="83">
        <f>I$53*$E55</f>
        <v>0</v>
      </c>
      <c r="J55" s="1124">
        <f t="shared" si="8"/>
        <v>109085277.37800108</v>
      </c>
    </row>
    <row r="56" spans="1:10" ht="14.25">
      <c r="A56" s="67"/>
      <c r="B56" s="17">
        <f t="shared" si="0"/>
        <v>41</v>
      </c>
      <c r="C56" s="87" t="s">
        <v>74</v>
      </c>
      <c r="D56" s="88" t="s">
        <v>399</v>
      </c>
      <c r="E56" s="89">
        <f>SUM(E57:E59)</f>
        <v>0.99999999999999989</v>
      </c>
      <c r="F56" s="62">
        <f>'WP II-I-1.1'!F74</f>
        <v>0</v>
      </c>
      <c r="G56" s="62">
        <f>'WP II-I-1.1'!G74</f>
        <v>743686994.10000002</v>
      </c>
      <c r="H56" s="62">
        <f>'WP II-I-1.1'!H74</f>
        <v>0</v>
      </c>
      <c r="I56" s="62">
        <f>'WP II-I-1.1'!I74</f>
        <v>0</v>
      </c>
      <c r="J56" s="1122">
        <f t="shared" si="8"/>
        <v>743686994.10000002</v>
      </c>
    </row>
    <row r="57" spans="1:10" ht="14.25">
      <c r="A57" s="67"/>
      <c r="B57" s="17">
        <f t="shared" si="0"/>
        <v>42</v>
      </c>
      <c r="C57" s="90" t="s">
        <v>400</v>
      </c>
      <c r="D57" s="1" t="str">
        <f>D39</f>
        <v>Regulators, Protectors, Primary Transformers</v>
      </c>
      <c r="E57" s="91">
        <f>+E$39</f>
        <v>0.058799651350979476</v>
      </c>
      <c r="F57" s="19">
        <f>F$38*$E57</f>
        <v>0</v>
      </c>
      <c r="G57" s="19">
        <f>G$56*$E57</f>
        <v>43728535.967337929</v>
      </c>
      <c r="H57" s="19">
        <f>H$56*$E57</f>
        <v>0</v>
      </c>
      <c r="I57" s="19">
        <f>I$56*$E57</f>
        <v>0</v>
      </c>
      <c r="J57" s="1123">
        <f t="shared" si="8"/>
        <v>43728535.967337929</v>
      </c>
    </row>
    <row r="58" spans="1:10" ht="14.25">
      <c r="A58" s="67"/>
      <c r="B58" s="17">
        <f t="shared" si="0"/>
        <v>43</v>
      </c>
      <c r="C58" s="90" t="s">
        <v>402</v>
      </c>
      <c r="D58" s="1" t="str">
        <f>D40</f>
        <v>Secondary Transformers</v>
      </c>
      <c r="E58" s="91">
        <f>+E$40</f>
        <v>0.88095723787039137</v>
      </c>
      <c r="F58" s="19">
        <f>F$38*$E58</f>
        <v>0</v>
      </c>
      <c r="G58" s="19">
        <f t="shared" si="13" ref="G58:H59">G$56*$E58</f>
        <v>655156440.1624701</v>
      </c>
      <c r="H58" s="19">
        <f t="shared" si="13"/>
        <v>0</v>
      </c>
      <c r="I58" s="19">
        <f>I$56*$E58</f>
        <v>0</v>
      </c>
      <c r="J58" s="1123">
        <f t="shared" si="8"/>
        <v>655156440.1624701</v>
      </c>
    </row>
    <row r="59" spans="1:10" ht="14.25">
      <c r="A59" s="67"/>
      <c r="B59" s="17">
        <f t="shared" si="0"/>
        <v>44</v>
      </c>
      <c r="C59" s="92" t="s">
        <v>404</v>
      </c>
      <c r="D59" s="65" t="str">
        <f>D41</f>
        <v>Capacitors</v>
      </c>
      <c r="E59" s="93">
        <f>+E$41</f>
        <v>0.060243110778629136</v>
      </c>
      <c r="F59" s="83">
        <f>F$38*$E59</f>
        <v>0</v>
      </c>
      <c r="G59" s="83">
        <f t="shared" si="13"/>
        <v>44802017.970192015</v>
      </c>
      <c r="H59" s="83">
        <f t="shared" si="13"/>
        <v>0</v>
      </c>
      <c r="I59" s="83"/>
      <c r="J59" s="1124">
        <f t="shared" si="8"/>
        <v>44802017.970192015</v>
      </c>
    </row>
    <row r="60" spans="1:10" ht="14.25">
      <c r="A60" s="67"/>
      <c r="B60" s="17"/>
      <c r="C60" s="17"/>
      <c r="D60" s="1"/>
      <c r="E60" s="86"/>
      <c r="F60" s="1"/>
      <c r="G60" s="67"/>
      <c r="H60" s="67"/>
      <c r="I60" s="67"/>
      <c r="J60" s="67"/>
    </row>
    <row r="61" spans="2:10" ht="14.25">
      <c r="B61" s="67"/>
      <c r="C61" s="67"/>
      <c r="D61" s="67"/>
      <c r="E61" s="67"/>
      <c r="F61" s="67"/>
      <c r="G61" s="67"/>
      <c r="H61" s="67"/>
      <c r="I61" s="67"/>
      <c r="J61" s="67"/>
    </row>
  </sheetData>
  <printOptions horizontalCentered="1"/>
  <pageMargins left="1.5" right="0.5" top="1.5" bottom="0.75" header="1" footer="0.5"/>
  <pageSetup orientation="portrait" scale="61" r:id="rId1"/>
  <headerFooter alignWithMargins="0">
    <oddHeader>&amp;RWP/ II-I-1.2
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7">
    <pageSetUpPr fitToPage="1"/>
  </sheetPr>
  <dimension ref="A1:I36"/>
  <sheetViews>
    <sheetView view="pageBreakPreview" zoomScaleNormal="75" zoomScaleSheetLayoutView="100" workbookViewId="0" topLeftCell="A8">
      <selection pane="topLeft" activeCell="H20" sqref="H20"/>
    </sheetView>
  </sheetViews>
  <sheetFormatPr defaultRowHeight="14.25"/>
  <cols>
    <col min="1" max="1" width="1.5" customWidth="1"/>
    <col min="2" max="2" width="5" bestFit="1" customWidth="1"/>
    <col min="3" max="3" width="9.75" bestFit="1" customWidth="1"/>
    <col min="4" max="4" width="8" bestFit="1" customWidth="1"/>
    <col min="5" max="5" width="33.875" bestFit="1" customWidth="1"/>
    <col min="6" max="7" width="0" hidden="1" customWidth="1"/>
    <col min="8" max="8" width="39.875" customWidth="1"/>
    <col min="9" max="9" width="5.875" bestFit="1" customWidth="1"/>
  </cols>
  <sheetData>
    <row r="1" spans="1:9" ht="14.25">
      <c r="A1" s="67" t="s">
        <v>0</v>
      </c>
      <c r="B1" s="67"/>
      <c r="C1" s="67"/>
      <c r="D1" s="68"/>
      <c r="E1" s="67"/>
      <c r="F1" s="68"/>
      <c r="G1" s="67"/>
      <c r="H1" s="67"/>
      <c r="I1" s="594"/>
    </row>
    <row r="2" spans="1:9" ht="15">
      <c r="A2" s="67"/>
      <c r="B2" s="1245"/>
      <c r="C2" s="47"/>
      <c r="D2" s="68"/>
      <c r="E2" s="67"/>
      <c r="F2" s="68"/>
      <c r="G2" s="67"/>
      <c r="H2" s="67"/>
      <c r="I2" s="594"/>
    </row>
    <row r="3" spans="1:9" ht="15">
      <c r="A3" s="67"/>
      <c r="B3" s="3" t="str">
        <f>'II-I-1'!B2</f>
        <v>2022 RATE CASE</v>
      </c>
      <c r="C3" s="130"/>
      <c r="D3" s="7"/>
      <c r="E3" s="131"/>
      <c r="F3" s="7"/>
      <c r="G3" s="7"/>
      <c r="H3" s="7"/>
      <c r="I3" s="594"/>
    </row>
    <row r="4" spans="1:9" ht="15">
      <c r="A4" s="67"/>
      <c r="B4" s="3" t="str">
        <f>'II-I-1'!B3</f>
        <v>ONCOR ELECTRIC DELIVERY COMPANY LLC</v>
      </c>
      <c r="C4" s="7"/>
      <c r="D4" s="7"/>
      <c r="E4" s="131"/>
      <c r="F4" s="7"/>
      <c r="G4" s="7"/>
      <c r="H4" s="7"/>
      <c r="I4" s="594"/>
    </row>
    <row r="5" spans="1:9" ht="15">
      <c r="A5" s="67"/>
      <c r="B5" s="3" t="s">
        <v>1028</v>
      </c>
      <c r="C5" s="7"/>
      <c r="D5" s="3"/>
      <c r="E5" s="131"/>
      <c r="F5" s="7"/>
      <c r="G5" s="7"/>
      <c r="H5" s="7"/>
      <c r="I5" s="594"/>
    </row>
    <row r="6" spans="1:9" ht="15">
      <c r="A6" s="67"/>
      <c r="B6" s="3" t="str">
        <f>'II-I-1'!B5</f>
        <v>TEST YEAR ENDING 12/31/2021</v>
      </c>
      <c r="C6" s="7"/>
      <c r="D6" s="3"/>
      <c r="E6" s="131"/>
      <c r="F6" s="7"/>
      <c r="G6" s="7"/>
      <c r="H6" s="7"/>
      <c r="I6" s="594"/>
    </row>
    <row r="7" spans="1:9" ht="15">
      <c r="A7" s="67"/>
      <c r="B7" s="3" t="str">
        <f>'II-I-1'!B6</f>
        <v>SPONSOR:  MATTHEW A. TROXLE</v>
      </c>
      <c r="C7" s="7"/>
      <c r="D7" s="154"/>
      <c r="E7" s="3"/>
      <c r="F7" s="7"/>
      <c r="G7" s="7"/>
      <c r="H7" s="7"/>
      <c r="I7" s="594"/>
    </row>
    <row r="8" spans="1:9" ht="15">
      <c r="A8" s="67"/>
      <c r="B8" s="131"/>
      <c r="C8" s="7"/>
      <c r="D8" s="3"/>
      <c r="E8" s="131"/>
      <c r="F8" s="7"/>
      <c r="G8" s="7"/>
      <c r="H8" s="7"/>
      <c r="I8" s="594"/>
    </row>
    <row r="9" spans="1:9" ht="15">
      <c r="A9" s="67"/>
      <c r="B9" s="7"/>
      <c r="C9" s="67"/>
      <c r="D9" s="85"/>
      <c r="E9" s="1"/>
      <c r="F9" s="68"/>
      <c r="G9" s="67"/>
      <c r="H9" s="67"/>
      <c r="I9" s="594"/>
    </row>
    <row r="10" spans="1:9" ht="15">
      <c r="A10" s="67"/>
      <c r="B10" s="131" t="s">
        <v>1029</v>
      </c>
      <c r="C10" s="7"/>
      <c r="D10" s="3"/>
      <c r="E10" s="595"/>
      <c r="F10" s="7"/>
      <c r="G10" s="7"/>
      <c r="H10" s="7"/>
      <c r="I10" s="594"/>
    </row>
    <row r="11" spans="1:9" ht="15" thickBot="1">
      <c r="A11" s="67"/>
      <c r="B11" s="67"/>
      <c r="C11" s="67"/>
      <c r="D11" s="68"/>
      <c r="E11" s="67"/>
      <c r="F11" s="68"/>
      <c r="G11" s="68"/>
      <c r="H11" s="68"/>
      <c r="I11" s="594"/>
    </row>
    <row r="12" spans="1:9" ht="15">
      <c r="A12" s="67"/>
      <c r="B12" s="155"/>
      <c r="C12" s="155"/>
      <c r="D12" s="96"/>
      <c r="E12" s="96"/>
      <c r="F12" s="156"/>
      <c r="G12" s="156"/>
      <c r="H12" s="156"/>
      <c r="I12" s="594"/>
    </row>
    <row r="13" spans="1:9" ht="14.25">
      <c r="A13" s="67"/>
      <c r="B13" s="97" t="s">
        <v>2</v>
      </c>
      <c r="C13" s="97" t="s">
        <v>457</v>
      </c>
      <c r="D13" s="97" t="s">
        <v>3</v>
      </c>
      <c r="E13" s="97" t="s">
        <v>4</v>
      </c>
      <c r="F13" s="97"/>
      <c r="G13" s="97" t="s">
        <v>458</v>
      </c>
      <c r="H13" s="97" t="s">
        <v>376</v>
      </c>
      <c r="I13" s="594"/>
    </row>
    <row r="14" spans="1:9" ht="15.75" thickBot="1">
      <c r="A14" s="67"/>
      <c r="B14" s="157"/>
      <c r="C14" s="157"/>
      <c r="D14" s="99"/>
      <c r="E14" s="99"/>
      <c r="F14" s="99"/>
      <c r="G14" s="158"/>
      <c r="H14" s="158"/>
      <c r="I14" s="594"/>
    </row>
    <row r="15" spans="1:9" ht="15">
      <c r="A15" s="47"/>
      <c r="B15" s="160"/>
      <c r="C15" s="160"/>
      <c r="D15" s="17"/>
      <c r="E15" s="17"/>
      <c r="F15" s="17"/>
      <c r="G15" s="30"/>
      <c r="H15" s="30"/>
      <c r="I15" s="594"/>
    </row>
    <row r="16" spans="1:9" ht="14.25">
      <c r="A16" s="47"/>
      <c r="B16" s="1"/>
      <c r="C16" s="1"/>
      <c r="D16" s="17"/>
      <c r="E16" s="17"/>
      <c r="F16" s="17"/>
      <c r="G16" s="17"/>
      <c r="H16" s="17"/>
      <c r="I16" s="594"/>
    </row>
    <row r="17" spans="1:9" ht="15">
      <c r="A17" s="47"/>
      <c r="B17" s="17">
        <v>1</v>
      </c>
      <c r="C17" s="58" t="s">
        <v>459</v>
      </c>
      <c r="D17" s="85"/>
      <c r="E17" s="1"/>
      <c r="F17" s="17"/>
      <c r="G17" s="86"/>
      <c r="H17" s="86"/>
      <c r="I17" s="594"/>
    </row>
    <row r="18" spans="1:9" ht="15">
      <c r="A18" s="47"/>
      <c r="B18" s="17">
        <f t="shared" si="0" ref="B18:B34">B17+1</f>
        <v>2</v>
      </c>
      <c r="C18" s="47"/>
      <c r="D18" s="85"/>
      <c r="E18" s="1"/>
      <c r="F18" s="17"/>
      <c r="G18" s="86"/>
      <c r="H18" s="86"/>
      <c r="I18" s="594"/>
    </row>
    <row r="19" spans="1:9" ht="14.25">
      <c r="A19" s="47"/>
      <c r="B19" s="17">
        <f t="shared" si="0"/>
        <v>3</v>
      </c>
      <c r="C19" s="1"/>
      <c r="D19" s="161" t="s">
        <v>66</v>
      </c>
      <c r="E19" s="88" t="s">
        <v>460</v>
      </c>
      <c r="F19" s="162"/>
      <c r="G19" s="162">
        <f>SUM(G20:G21)</f>
        <v>0.95700000000000007</v>
      </c>
      <c r="H19" s="1184">
        <f>SUM(H20:H21)</f>
        <v>0.99999999999999989</v>
      </c>
      <c r="I19" s="17" t="b">
        <f>IF(H19=1,TRUE,H19-1)</f>
        <v>1</v>
      </c>
    </row>
    <row r="20" spans="1:9" ht="14.25">
      <c r="A20" s="47"/>
      <c r="B20" s="17">
        <f t="shared" si="0"/>
        <v>4</v>
      </c>
      <c r="C20" s="1"/>
      <c r="D20" s="163"/>
      <c r="E20" s="1" t="s">
        <v>461</v>
      </c>
      <c r="F20" s="86"/>
      <c r="G20" s="86">
        <v>0.67700000000000005</v>
      </c>
      <c r="H20" s="1185">
        <f>[4]Summary!$D$17</f>
        <v>0.82965692042145378</v>
      </c>
      <c r="I20" s="17"/>
    </row>
    <row r="21" spans="1:9" ht="14.25">
      <c r="A21" s="47"/>
      <c r="B21" s="17">
        <f t="shared" si="0"/>
        <v>5</v>
      </c>
      <c r="C21" s="1"/>
      <c r="D21" s="163"/>
      <c r="E21" s="1" t="s">
        <v>462</v>
      </c>
      <c r="F21" s="86"/>
      <c r="G21" s="86">
        <v>0.28000000000000003</v>
      </c>
      <c r="H21" s="1185">
        <f>[4]Summary!$E$17</f>
        <v>0.17034307957854614</v>
      </c>
      <c r="I21" s="17"/>
    </row>
    <row r="22" spans="1:9" ht="14.25">
      <c r="A22" s="47"/>
      <c r="B22" s="17">
        <f t="shared" si="0"/>
        <v>6</v>
      </c>
      <c r="C22" s="1"/>
      <c r="D22" s="161" t="s">
        <v>68</v>
      </c>
      <c r="E22" s="88" t="s">
        <v>69</v>
      </c>
      <c r="F22" s="162"/>
      <c r="G22" s="162">
        <f>SUM(G23:G24)</f>
        <v>1</v>
      </c>
      <c r="H22" s="1184">
        <f>SUM(H23:H24)</f>
        <v>1</v>
      </c>
      <c r="I22" s="17" t="b">
        <f>IF(H22=1,TRUE,H22-1)</f>
        <v>1</v>
      </c>
    </row>
    <row r="23" spans="1:9" ht="14.25">
      <c r="A23" s="47"/>
      <c r="B23" s="17">
        <f t="shared" si="0"/>
        <v>7</v>
      </c>
      <c r="C23" s="1"/>
      <c r="D23" s="163"/>
      <c r="E23" s="1" t="s">
        <v>463</v>
      </c>
      <c r="F23" s="86"/>
      <c r="G23" s="86">
        <v>0.83399999999999996</v>
      </c>
      <c r="H23" s="1185">
        <f>[4]Summary!$D$26</f>
        <v>0.84945322552141245</v>
      </c>
      <c r="I23" s="17"/>
    </row>
    <row r="24" spans="1:9" ht="14.25">
      <c r="A24" s="47"/>
      <c r="B24" s="17">
        <f t="shared" si="0"/>
        <v>8</v>
      </c>
      <c r="C24" s="1"/>
      <c r="D24" s="164"/>
      <c r="E24" s="65" t="s">
        <v>464</v>
      </c>
      <c r="F24" s="165"/>
      <c r="G24" s="165">
        <v>0.16600000000000001</v>
      </c>
      <c r="H24" s="1186">
        <f>[4]Summary!$E$26</f>
        <v>0.15054677447858755</v>
      </c>
      <c r="I24" s="17"/>
    </row>
    <row r="25" spans="1:9" ht="14.25">
      <c r="A25" s="47"/>
      <c r="B25" s="17">
        <f t="shared" si="0"/>
        <v>9</v>
      </c>
      <c r="C25" s="1"/>
      <c r="D25" s="161" t="s">
        <v>70</v>
      </c>
      <c r="E25" s="88" t="s">
        <v>71</v>
      </c>
      <c r="F25" s="162"/>
      <c r="G25" s="162">
        <f>SUM(G26:G27)</f>
        <v>1</v>
      </c>
      <c r="H25" s="1184">
        <f>SUM(H26:H27)</f>
        <v>0.99999999999999989</v>
      </c>
      <c r="I25" s="17" t="b">
        <f>IF(H25=1,TRUE,H25-1)</f>
        <v>1</v>
      </c>
    </row>
    <row r="26" spans="1:9" ht="14.25">
      <c r="A26" s="47"/>
      <c r="B26" s="17">
        <f t="shared" si="0"/>
        <v>10</v>
      </c>
      <c r="C26" s="1"/>
      <c r="D26" s="163"/>
      <c r="E26" s="1" t="s">
        <v>465</v>
      </c>
      <c r="F26" s="86"/>
      <c r="G26" s="86">
        <v>0.72599999999999998</v>
      </c>
      <c r="H26" s="1185">
        <f>[4]Summary!$D$49</f>
        <v>0.60713170004228945</v>
      </c>
      <c r="I26" s="17"/>
    </row>
    <row r="27" spans="1:9" ht="14.25">
      <c r="A27" s="47"/>
      <c r="B27" s="17">
        <f t="shared" si="0"/>
        <v>11</v>
      </c>
      <c r="C27" s="1"/>
      <c r="D27" s="164"/>
      <c r="E27" s="65" t="s">
        <v>466</v>
      </c>
      <c r="F27" s="165"/>
      <c r="G27" s="165">
        <v>0.27400000000000002</v>
      </c>
      <c r="H27" s="1186">
        <f>[4]Summary!$E$49</f>
        <v>0.39286829995771044</v>
      </c>
      <c r="I27" s="17"/>
    </row>
    <row r="28" spans="1:9" ht="14.25">
      <c r="A28" s="47"/>
      <c r="B28" s="17">
        <f t="shared" si="0"/>
        <v>12</v>
      </c>
      <c r="C28" s="1"/>
      <c r="D28" s="161" t="s">
        <v>72</v>
      </c>
      <c r="E28" s="88" t="s">
        <v>73</v>
      </c>
      <c r="F28" s="162"/>
      <c r="G28" s="162">
        <f>SUM(G29:G30)</f>
        <v>1</v>
      </c>
      <c r="H28" s="1184">
        <f>SUM(H29:H30)</f>
        <v>1</v>
      </c>
      <c r="I28" s="17" t="b">
        <f>IF(H28=1,TRUE,H28-1)</f>
        <v>1</v>
      </c>
    </row>
    <row r="29" spans="1:9" ht="14.25">
      <c r="A29" s="47"/>
      <c r="B29" s="17">
        <f t="shared" si="0"/>
        <v>13</v>
      </c>
      <c r="C29" s="1"/>
      <c r="D29" s="163"/>
      <c r="E29" s="1" t="s">
        <v>467</v>
      </c>
      <c r="F29" s="86"/>
      <c r="G29" s="86">
        <v>0.77800000000000002</v>
      </c>
      <c r="H29" s="1185">
        <f>[4]Summary!$D$37</f>
        <v>0.8112846326155454</v>
      </c>
      <c r="I29" s="17"/>
    </row>
    <row r="30" spans="1:9" ht="14.25">
      <c r="A30" s="47"/>
      <c r="B30" s="17">
        <f t="shared" si="0"/>
        <v>14</v>
      </c>
      <c r="C30" s="1"/>
      <c r="D30" s="164"/>
      <c r="E30" s="65" t="s">
        <v>468</v>
      </c>
      <c r="F30" s="165"/>
      <c r="G30" s="165">
        <v>0.222</v>
      </c>
      <c r="H30" s="1186">
        <f>[4]Summary!$E$37</f>
        <v>0.18871536738445457</v>
      </c>
      <c r="I30" s="17"/>
    </row>
    <row r="31" spans="1:9" ht="14.25">
      <c r="A31" s="47"/>
      <c r="B31" s="17">
        <f t="shared" si="0"/>
        <v>15</v>
      </c>
      <c r="C31" s="1"/>
      <c r="D31" s="161" t="s">
        <v>74</v>
      </c>
      <c r="E31" s="88" t="s">
        <v>75</v>
      </c>
      <c r="F31" s="162"/>
      <c r="G31" s="162">
        <f>SUM(G32:G34)</f>
        <v>1</v>
      </c>
      <c r="H31" s="1184">
        <f>SUM(H32:H34)</f>
        <v>0.99999999999999989</v>
      </c>
      <c r="I31" s="17" t="b">
        <f>IF(H31=1,TRUE,H31-1)</f>
        <v>1</v>
      </c>
    </row>
    <row r="32" spans="1:9" ht="14.25">
      <c r="A32" s="47"/>
      <c r="B32" s="17">
        <f t="shared" si="0"/>
        <v>16</v>
      </c>
      <c r="C32" s="1"/>
      <c r="D32" s="163"/>
      <c r="E32" s="1" t="s">
        <v>469</v>
      </c>
      <c r="F32" s="86"/>
      <c r="G32" s="86">
        <v>0.042000000000000003</v>
      </c>
      <c r="H32" s="1185">
        <f>[4]Summary!$D$58</f>
        <v>0.058799651350979476</v>
      </c>
      <c r="I32" s="594"/>
    </row>
    <row r="33" spans="1:9" ht="14.25">
      <c r="A33" s="47"/>
      <c r="B33" s="17">
        <f t="shared" si="0"/>
        <v>17</v>
      </c>
      <c r="C33" s="1"/>
      <c r="D33" s="163"/>
      <c r="E33" s="1" t="s">
        <v>470</v>
      </c>
      <c r="F33" s="86"/>
      <c r="G33" s="86">
        <v>0.89400000000000002</v>
      </c>
      <c r="H33" s="1185">
        <f>[4]Summary!$E$58</f>
        <v>0.88095723787039137</v>
      </c>
      <c r="I33" s="594"/>
    </row>
    <row r="34" spans="1:9" ht="14.25">
      <c r="A34" s="47"/>
      <c r="B34" s="17">
        <f t="shared" si="0"/>
        <v>18</v>
      </c>
      <c r="C34" s="1"/>
      <c r="D34" s="164"/>
      <c r="E34" s="65" t="s">
        <v>471</v>
      </c>
      <c r="F34" s="165"/>
      <c r="G34" s="165">
        <v>0.064000000000000001</v>
      </c>
      <c r="H34" s="1186">
        <f>[4]Summary!$F$58</f>
        <v>0.060243110778629136</v>
      </c>
      <c r="I34" s="594"/>
    </row>
    <row r="35" spans="1:9" ht="14.25">
      <c r="A35" s="47"/>
      <c r="B35" s="17"/>
      <c r="C35" s="1"/>
      <c r="D35" s="17"/>
      <c r="E35" s="1"/>
      <c r="F35" s="19"/>
      <c r="G35" s="86"/>
      <c r="H35" s="86"/>
      <c r="I35" s="594"/>
    </row>
    <row r="36" spans="1:8" ht="14.25">
      <c r="A36" s="129"/>
      <c r="B36" s="52"/>
      <c r="C36" s="52"/>
      <c r="D36" s="166"/>
      <c r="E36" s="52"/>
      <c r="F36" s="166"/>
      <c r="G36" s="52"/>
      <c r="H36" s="52"/>
    </row>
  </sheetData>
  <printOptions horizontalCentered="1"/>
  <pageMargins left="1.5" right="0.5" top="1.5" bottom="0.75" header="1.5" footer="0.5"/>
  <pageSetup orientation="portrait" scale="79" r:id="rId1"/>
  <headerFooter alignWithMargins="0">
    <oddHeader>&amp;RWP/ II-I-2.1
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AG1195"/>
  <sheetViews>
    <sheetView view="pageBreakPreview" zoomScale="66" zoomScaleNormal="75" zoomScaleSheetLayoutView="66" workbookViewId="0" topLeftCell="A1">
      <pane xSplit="5" topLeftCell="F1" activePane="topRight" state="frozen"/>
      <selection pane="topLeft" activeCell="A1" sqref="A1"/>
      <selection pane="topRight" activeCell="F1192" sqref="F1192"/>
    </sheetView>
  </sheetViews>
  <sheetFormatPr defaultColWidth="15.875" defaultRowHeight="14.25"/>
  <cols>
    <col min="1" max="1" width="3.875" style="386" customWidth="1"/>
    <col min="2" max="2" width="4.5" customWidth="1"/>
    <col min="3" max="3" width="7.125" customWidth="1"/>
    <col min="4" max="4" width="63.375" customWidth="1"/>
    <col min="5" max="5" width="11" customWidth="1"/>
    <col min="6" max="6" width="24.125" customWidth="1"/>
    <col min="7" max="7" width="15.375" customWidth="1"/>
    <col min="8" max="8" width="20.75" customWidth="1"/>
    <col min="9" max="10" width="15.875" customWidth="1"/>
    <col min="11" max="11" width="16.25" style="664" customWidth="1"/>
    <col min="12" max="12" width="24.5" style="664" customWidth="1"/>
    <col min="13" max="13" width="56.875" style="1033" customWidth="1"/>
    <col min="14" max="14" width="17.5" customWidth="1"/>
    <col min="15" max="15" width="22.375" bestFit="1" customWidth="1"/>
  </cols>
  <sheetData>
    <row r="1" spans="2:13" s="386" customFormat="1" ht="18.75">
      <c r="B1" s="1237"/>
      <c r="E1" s="840"/>
      <c r="J1" s="404"/>
      <c r="K1" s="703"/>
      <c r="L1" s="703"/>
      <c r="M1" s="1025"/>
    </row>
    <row r="2" spans="2:13" ht="18">
      <c r="B2" s="1240"/>
      <c r="C2" s="959"/>
      <c r="D2" s="874"/>
      <c r="E2" s="874"/>
      <c r="F2" s="874"/>
      <c r="G2" s="874"/>
      <c r="H2" s="874"/>
      <c r="I2" s="874"/>
      <c r="J2" s="874"/>
      <c r="K2" s="874"/>
      <c r="L2" s="874"/>
      <c r="M2" s="1026"/>
    </row>
    <row r="3" spans="2:13" ht="15.75" thickBot="1">
      <c r="B3" s="874"/>
      <c r="C3" s="874"/>
      <c r="D3" s="874"/>
      <c r="E3" s="874"/>
      <c r="F3" s="874"/>
      <c r="G3" s="874"/>
      <c r="H3" s="874"/>
      <c r="I3" s="874"/>
      <c r="J3" s="874"/>
      <c r="K3" s="874"/>
      <c r="L3" s="874"/>
      <c r="M3" s="1026"/>
    </row>
    <row r="4" spans="2:13" ht="15.75" customHeight="1">
      <c r="B4" s="920" t="str">
        <f>'WP II-I-1.1'!B3</f>
        <v>2022 RATE CASE</v>
      </c>
      <c r="C4" s="926"/>
      <c r="D4" s="927"/>
      <c r="E4" s="874"/>
      <c r="F4" s="874"/>
      <c r="G4" s="874"/>
      <c r="H4" s="874"/>
      <c r="I4" s="874"/>
      <c r="J4" s="874"/>
      <c r="K4" s="874"/>
      <c r="L4" s="874"/>
      <c r="M4" s="1026"/>
    </row>
    <row r="5" spans="2:13" ht="15.75" customHeight="1">
      <c r="B5" s="917" t="str">
        <f>'WP II-I-1.1'!B4</f>
        <v>ONCOR ELECTRIC DELIVERY COMPANY LLC</v>
      </c>
      <c r="C5" s="369"/>
      <c r="D5" s="928"/>
      <c r="E5" s="874"/>
      <c r="F5" s="874"/>
      <c r="G5" s="874"/>
      <c r="H5" s="874"/>
      <c r="I5" s="874"/>
      <c r="J5" s="874"/>
      <c r="K5" s="874"/>
      <c r="L5" s="874"/>
      <c r="M5" s="1026"/>
    </row>
    <row r="6" spans="2:13" ht="15.75" customHeight="1">
      <c r="B6" s="406" t="s">
        <v>1199</v>
      </c>
      <c r="C6" s="369"/>
      <c r="D6" s="928"/>
      <c r="E6" s="874"/>
      <c r="F6" s="874"/>
      <c r="G6" s="874"/>
      <c r="H6" s="874"/>
      <c r="I6" s="874"/>
      <c r="J6" s="874"/>
      <c r="K6" s="874"/>
      <c r="L6" s="874"/>
      <c r="M6" s="1026"/>
    </row>
    <row r="7" spans="2:13" ht="15">
      <c r="B7" s="406" t="str">
        <f>'WP II-I-1.1'!B6</f>
        <v>TEST YEAR ENDING 12/31/2021</v>
      </c>
      <c r="C7" s="369"/>
      <c r="D7" s="928"/>
      <c r="E7" s="369"/>
      <c r="F7" s="369"/>
      <c r="G7" s="369"/>
      <c r="H7" s="369"/>
      <c r="I7" s="369"/>
      <c r="J7" s="369"/>
      <c r="K7" s="369"/>
      <c r="L7" s="369"/>
      <c r="M7" s="1027"/>
    </row>
    <row r="8" spans="2:13" ht="15">
      <c r="B8" s="406" t="str">
        <f>'WP II-I-2.2'!$B$7</f>
        <v>SPONSOR:  MATTHEW A. TROXLE</v>
      </c>
      <c r="C8" s="369"/>
      <c r="D8" s="928"/>
      <c r="E8" s="369"/>
      <c r="F8" s="369"/>
      <c r="G8" s="369"/>
      <c r="H8" s="369"/>
      <c r="I8" s="369"/>
      <c r="J8" s="369"/>
      <c r="K8" s="369"/>
      <c r="L8" s="369"/>
      <c r="M8" s="1027"/>
    </row>
    <row r="9" spans="2:13" ht="16.5" thickBot="1">
      <c r="B9" s="410"/>
      <c r="C9" s="929"/>
      <c r="D9" s="930"/>
      <c r="E9" s="67"/>
      <c r="F9" s="67"/>
      <c r="G9" s="67"/>
      <c r="H9" s="67"/>
      <c r="I9" s="67"/>
      <c r="J9" s="67"/>
      <c r="M9" s="1028"/>
    </row>
    <row r="10" spans="2:13" ht="15">
      <c r="B10" s="396"/>
      <c r="C10" s="236"/>
      <c r="D10" s="237"/>
      <c r="E10" s="238"/>
      <c r="F10" s="13"/>
      <c r="G10" s="13"/>
      <c r="H10" s="13"/>
      <c r="I10" s="13"/>
      <c r="J10" s="13"/>
      <c r="K10" s="738"/>
      <c r="L10" s="952"/>
      <c r="M10" s="1029"/>
    </row>
    <row r="11" spans="2:13" ht="15.75">
      <c r="B11" s="235" t="s">
        <v>2</v>
      </c>
      <c r="C11" s="240"/>
      <c r="D11" s="241" t="s">
        <v>367</v>
      </c>
      <c r="E11" s="242" t="s">
        <v>371</v>
      </c>
      <c r="F11" s="743" t="s">
        <v>7</v>
      </c>
      <c r="G11" s="743" t="s">
        <v>7</v>
      </c>
      <c r="H11" s="743" t="s">
        <v>1045</v>
      </c>
      <c r="I11" s="743" t="s">
        <v>1136</v>
      </c>
      <c r="J11" s="743" t="s">
        <v>965</v>
      </c>
      <c r="K11" s="743" t="s">
        <v>965</v>
      </c>
      <c r="L11" s="743" t="s">
        <v>481</v>
      </c>
      <c r="M11" s="1030" t="s">
        <v>1046</v>
      </c>
    </row>
    <row r="12" spans="2:15" ht="15">
      <c r="B12" s="235"/>
      <c r="C12" s="240"/>
      <c r="D12" s="242"/>
      <c r="E12" s="242"/>
      <c r="F12" s="743"/>
      <c r="G12" s="743" t="s">
        <v>376</v>
      </c>
      <c r="H12" s="15"/>
      <c r="I12" s="743" t="s">
        <v>376</v>
      </c>
      <c r="J12" s="15"/>
      <c r="K12" s="743" t="s">
        <v>376</v>
      </c>
      <c r="L12" s="743" t="s">
        <v>33</v>
      </c>
      <c r="M12" s="1031"/>
      <c r="O12" t="s">
        <v>1287</v>
      </c>
    </row>
    <row r="13" spans="2:13" ht="15.75" thickBot="1">
      <c r="B13" s="243"/>
      <c r="C13" s="244"/>
      <c r="D13" s="245"/>
      <c r="E13" s="245"/>
      <c r="F13" s="747" t="s">
        <v>13</v>
      </c>
      <c r="G13" s="747" t="s">
        <v>14</v>
      </c>
      <c r="H13" s="747" t="s">
        <v>15</v>
      </c>
      <c r="I13" s="747" t="s">
        <v>16</v>
      </c>
      <c r="J13" s="747" t="s">
        <v>17</v>
      </c>
      <c r="K13" s="747" t="s">
        <v>18</v>
      </c>
      <c r="L13" s="747" t="s">
        <v>19</v>
      </c>
      <c r="M13" s="1032" t="s">
        <v>20</v>
      </c>
    </row>
    <row r="14" spans="2:12" ht="14.25">
      <c r="B14" s="67"/>
      <c r="C14" s="12"/>
      <c r="D14" s="246"/>
      <c r="E14" s="246"/>
      <c r="F14" s="246"/>
      <c r="G14" s="246"/>
      <c r="H14" s="246"/>
      <c r="I14" s="246"/>
      <c r="J14" s="246"/>
      <c r="K14" s="646"/>
      <c r="L14" s="646"/>
    </row>
    <row r="15" spans="2:13" ht="15">
      <c r="B15" s="17">
        <f t="shared" si="0" ref="B15:B30">B14+1</f>
        <v>1</v>
      </c>
      <c r="C15" s="12"/>
      <c r="D15" s="247" t="s">
        <v>642</v>
      </c>
      <c r="E15" s="58" t="s">
        <v>253</v>
      </c>
      <c r="F15" s="121">
        <f>'II-I-DIST'!F15</f>
        <v>1967625126.8699999</v>
      </c>
      <c r="G15" s="939" t="s">
        <v>1047</v>
      </c>
      <c r="H15" s="121">
        <f>'II-I-MET'!F15</f>
        <v>50235235.630000003</v>
      </c>
      <c r="I15" s="939" t="s">
        <v>1047</v>
      </c>
      <c r="J15" s="121">
        <f>'II-I-TBILLTDCS'!F15</f>
        <v>343150.72999999998</v>
      </c>
      <c r="K15" s="944" t="s">
        <v>1047</v>
      </c>
      <c r="L15" s="777">
        <f>F15+H15+J15</f>
        <v>2018203513.23</v>
      </c>
      <c r="M15" s="1034" t="s">
        <v>1048</v>
      </c>
    </row>
    <row r="16" spans="2:13" ht="15">
      <c r="B16" s="17">
        <f t="shared" si="0"/>
        <v>2</v>
      </c>
      <c r="C16" s="12"/>
      <c r="D16" s="247" t="s">
        <v>643</v>
      </c>
      <c r="E16" s="58" t="s">
        <v>253</v>
      </c>
      <c r="F16" s="121">
        <f>'II-I-DIST'!F16</f>
        <v>245305.53</v>
      </c>
      <c r="G16" s="939" t="s">
        <v>1047</v>
      </c>
      <c r="H16" s="121">
        <f>'II-I-MET'!F16</f>
        <v>8799722.5300000012</v>
      </c>
      <c r="I16" s="939" t="s">
        <v>1047</v>
      </c>
      <c r="J16" s="121">
        <f>'II-I-TBILLTDCS'!F16</f>
        <v>13109328.479999999</v>
      </c>
      <c r="K16" s="944" t="s">
        <v>1047</v>
      </c>
      <c r="L16" s="777">
        <f t="shared" si="1" ref="L16:L33">F16+H16+J16</f>
        <v>22154356.539999999</v>
      </c>
      <c r="M16" s="1034" t="s">
        <v>1048</v>
      </c>
    </row>
    <row r="17" spans="2:13" ht="16.5">
      <c r="B17" s="17">
        <f t="shared" si="0"/>
        <v>3</v>
      </c>
      <c r="C17" s="12"/>
      <c r="D17" s="632" t="s">
        <v>644</v>
      </c>
      <c r="E17" s="58" t="s">
        <v>253</v>
      </c>
      <c r="F17" s="265">
        <f>'II-I-DIST'!F17</f>
        <v>423126451.5800001</v>
      </c>
      <c r="G17" s="939" t="s">
        <v>1047</v>
      </c>
      <c r="H17" s="265">
        <f>'II-I-MET'!F17</f>
        <v>50135758.619999997</v>
      </c>
      <c r="I17" s="939" t="s">
        <v>1047</v>
      </c>
      <c r="J17" s="265">
        <f>'II-I-TBILLTDCS'!F17</f>
        <v>36701328.750000007</v>
      </c>
      <c r="K17" s="944" t="s">
        <v>1047</v>
      </c>
      <c r="L17" s="265">
        <f t="shared" si="1"/>
        <v>509963538.95000011</v>
      </c>
      <c r="M17" s="1034" t="s">
        <v>1048</v>
      </c>
    </row>
    <row r="18" spans="2:17" ht="15.75">
      <c r="B18" s="17">
        <f t="shared" si="0"/>
        <v>4</v>
      </c>
      <c r="C18" s="167"/>
      <c r="D18" s="247" t="s">
        <v>506</v>
      </c>
      <c r="E18" s="58"/>
      <c r="F18" s="53">
        <f>'II-I-DIST'!F18</f>
        <v>2390996883.98</v>
      </c>
      <c r="G18" s="922"/>
      <c r="H18" s="53">
        <f>'II-I-MET'!F18</f>
        <v>109170716.78</v>
      </c>
      <c r="I18" s="922"/>
      <c r="J18" s="53">
        <f>'II-I-TBILLTDCS'!F18</f>
        <v>50153807.960000008</v>
      </c>
      <c r="K18" s="53"/>
      <c r="L18" s="777">
        <f t="shared" si="1"/>
        <v>2550321408.7200003</v>
      </c>
      <c r="M18" s="1034"/>
      <c r="O18" t="b">
        <f>'II-I-DIST'!$F$18=F18</f>
        <v>1</v>
      </c>
      <c r="P18" t="b">
        <f>'II-I-MET'!$F$18=H18</f>
        <v>1</v>
      </c>
      <c r="Q18" t="b">
        <f>'II-I-TBILLTDCS'!$F$18=J18</f>
        <v>1</v>
      </c>
    </row>
    <row r="19" spans="2:13" ht="15.75">
      <c r="B19" s="17">
        <f t="shared" si="0"/>
        <v>5</v>
      </c>
      <c r="C19" s="167"/>
      <c r="D19" s="247"/>
      <c r="E19" s="58"/>
      <c r="F19" s="50">
        <f>'II-I-DIST'!F19</f>
        <v>0</v>
      </c>
      <c r="G19" s="922"/>
      <c r="H19" s="50">
        <f>'II-I-MET'!F19</f>
        <v>0</v>
      </c>
      <c r="I19" s="922"/>
      <c r="J19" s="50">
        <f>'II-I-TBILLTDCS'!F19</f>
        <v>0</v>
      </c>
      <c r="K19" s="704"/>
      <c r="L19" s="704"/>
      <c r="M19" s="1034"/>
    </row>
    <row r="20" spans="2:13" ht="15.75">
      <c r="B20" s="17">
        <f t="shared" si="0"/>
        <v>6</v>
      </c>
      <c r="C20" s="167"/>
      <c r="D20" s="214" t="s">
        <v>640</v>
      </c>
      <c r="E20" s="58" t="s">
        <v>297</v>
      </c>
      <c r="F20" s="50">
        <f>'II-I-DIST'!F20</f>
        <v>459817144.95999992</v>
      </c>
      <c r="G20" s="939" t="s">
        <v>1047</v>
      </c>
      <c r="H20" s="50">
        <f>'II-I-MET'!F20</f>
        <v>30914363.670000002</v>
      </c>
      <c r="I20" s="939" t="s">
        <v>1047</v>
      </c>
      <c r="J20" s="50">
        <f>'II-I-TBILLTDCS'!F20</f>
        <v>32929277.090000004</v>
      </c>
      <c r="K20" s="944" t="s">
        <v>1047</v>
      </c>
      <c r="L20" s="777">
        <f t="shared" si="1"/>
        <v>523660785.71999991</v>
      </c>
      <c r="M20" s="1034" t="s">
        <v>1048</v>
      </c>
    </row>
    <row r="21" spans="2:13" ht="17.25">
      <c r="B21" s="17">
        <f t="shared" si="0"/>
        <v>7</v>
      </c>
      <c r="C21" s="167"/>
      <c r="D21" s="633" t="s">
        <v>641</v>
      </c>
      <c r="E21" s="58" t="s">
        <v>330</v>
      </c>
      <c r="F21" s="630">
        <f>'II-I-DIST'!F21</f>
        <v>-2772903.8900000006</v>
      </c>
      <c r="G21" s="939" t="s">
        <v>1047</v>
      </c>
      <c r="H21" s="630">
        <f>'II-I-MET'!F21</f>
        <v>25459958.16</v>
      </c>
      <c r="I21" s="939" t="s">
        <v>1047</v>
      </c>
      <c r="J21" s="630">
        <f>'II-I-TBILLTDCS'!F21</f>
        <v>0</v>
      </c>
      <c r="K21" s="944" t="s">
        <v>1047</v>
      </c>
      <c r="L21" s="265">
        <f t="shared" si="1"/>
        <v>22687054.27</v>
      </c>
      <c r="M21" s="1034" t="s">
        <v>1048</v>
      </c>
    </row>
    <row r="22" spans="2:17" ht="15.75">
      <c r="B22" s="17">
        <f t="shared" si="0"/>
        <v>8</v>
      </c>
      <c r="C22" s="167"/>
      <c r="D22" s="12" t="s">
        <v>507</v>
      </c>
      <c r="E22" s="58"/>
      <c r="F22" s="53">
        <f>'II-I-DIST'!F22</f>
        <v>457044241.06999993</v>
      </c>
      <c r="G22" s="58"/>
      <c r="H22" s="53">
        <f>'II-I-MET'!F22</f>
        <v>56374321.829999998</v>
      </c>
      <c r="I22" s="58"/>
      <c r="J22" s="53">
        <f>'II-I-TBILLTDCS'!F22</f>
        <v>32929277.090000004</v>
      </c>
      <c r="K22" s="53"/>
      <c r="L22" s="777">
        <f t="shared" si="1"/>
        <v>546347839.98999989</v>
      </c>
      <c r="M22" s="1034"/>
      <c r="O22" t="b">
        <f>'II-I-DIST'!$F$22=F22</f>
        <v>1</v>
      </c>
      <c r="P22" t="b">
        <f>'II-I-MET'!$F$22=H22</f>
        <v>1</v>
      </c>
      <c r="Q22" t="b">
        <f>'II-I-TBILLTDCS'!$F$22=J22</f>
        <v>1</v>
      </c>
    </row>
    <row r="23" spans="2:13" ht="15.75">
      <c r="B23" s="17">
        <f t="shared" si="0"/>
        <v>9</v>
      </c>
      <c r="C23" s="167"/>
      <c r="D23" s="12"/>
      <c r="E23" s="58"/>
      <c r="F23" s="50">
        <f>'II-I-DIST'!F23</f>
        <v>0</v>
      </c>
      <c r="G23" s="58"/>
      <c r="H23" s="50">
        <f>'II-I-MET'!F23</f>
        <v>0</v>
      </c>
      <c r="I23" s="58"/>
      <c r="J23" s="50">
        <f>'II-I-TBILLTDCS'!F23</f>
        <v>0</v>
      </c>
      <c r="K23" s="704"/>
      <c r="L23" s="704"/>
      <c r="M23" s="1034"/>
    </row>
    <row r="24" spans="2:13" ht="15.75">
      <c r="B24" s="17">
        <f t="shared" si="0"/>
        <v>10</v>
      </c>
      <c r="C24" s="167"/>
      <c r="D24" s="12" t="s">
        <v>364</v>
      </c>
      <c r="E24" s="58" t="s">
        <v>305</v>
      </c>
      <c r="F24" s="50">
        <f>'II-I-DIST'!F24</f>
        <v>447450198.58000004</v>
      </c>
      <c r="G24" s="939" t="s">
        <v>1047</v>
      </c>
      <c r="H24" s="50">
        <f>'II-I-MET'!F24</f>
        <v>8538460.3599999994</v>
      </c>
      <c r="I24" s="939" t="s">
        <v>1047</v>
      </c>
      <c r="J24" s="50">
        <f>'II-I-TBILLTDCS'!F24</f>
        <v>4509539.7900000364</v>
      </c>
      <c r="K24" s="944" t="s">
        <v>1047</v>
      </c>
      <c r="L24" s="777">
        <f t="shared" si="1"/>
        <v>460498198.73000008</v>
      </c>
      <c r="M24" s="1034" t="s">
        <v>1048</v>
      </c>
    </row>
    <row r="25" spans="2:13" ht="15.75">
      <c r="B25" s="17">
        <f t="shared" si="0"/>
        <v>11</v>
      </c>
      <c r="C25" s="167"/>
      <c r="D25" s="247" t="s">
        <v>508</v>
      </c>
      <c r="E25" s="58" t="s">
        <v>316</v>
      </c>
      <c r="F25" s="50">
        <f>'II-I-DIST'!F25</f>
        <v>78221384.964147478</v>
      </c>
      <c r="G25" s="939" t="s">
        <v>1047</v>
      </c>
      <c r="H25" s="50">
        <f>'II-I-MET'!F25</f>
        <v>1649124.5175090355</v>
      </c>
      <c r="I25" s="939" t="s">
        <v>1047</v>
      </c>
      <c r="J25" s="50">
        <f>'II-I-TBILLTDCS'!F25</f>
        <v>2534176.4629119495</v>
      </c>
      <c r="K25" s="944" t="s">
        <v>1047</v>
      </c>
      <c r="L25" s="777">
        <f t="shared" si="1"/>
        <v>82404685.944568455</v>
      </c>
      <c r="M25" s="1034" t="s">
        <v>1048</v>
      </c>
    </row>
    <row r="26" spans="2:12" ht="15.75">
      <c r="B26" s="17">
        <f t="shared" si="0"/>
        <v>12</v>
      </c>
      <c r="C26" s="167"/>
      <c r="D26" s="151"/>
      <c r="E26" s="248"/>
      <c r="F26" s="50">
        <f>'II-I-DIST'!F26</f>
        <v>0</v>
      </c>
      <c r="G26" s="248"/>
      <c r="H26" s="50">
        <f>'II-I-MET'!F26</f>
        <v>0</v>
      </c>
      <c r="I26" s="248"/>
      <c r="J26" s="50">
        <f>'II-I-TBILLTDCS'!F26</f>
        <v>0</v>
      </c>
      <c r="K26" s="704"/>
      <c r="L26" s="777"/>
    </row>
    <row r="27" spans="2:17" ht="15.75">
      <c r="B27" s="17">
        <f t="shared" si="0"/>
        <v>13</v>
      </c>
      <c r="C27" s="167"/>
      <c r="D27" s="12" t="s">
        <v>509</v>
      </c>
      <c r="E27" s="58" t="s">
        <v>510</v>
      </c>
      <c r="F27" s="50">
        <f>'II-I-DIST'!F27</f>
        <v>638839835.45845962</v>
      </c>
      <c r="G27" s="939" t="s">
        <v>1047</v>
      </c>
      <c r="H27" s="50">
        <f>'II-I-MET'!F27</f>
        <v>29703069.880629227</v>
      </c>
      <c r="I27" s="939" t="s">
        <v>1047</v>
      </c>
      <c r="J27" s="50">
        <f>'II-I-TBILLTDCS'!F27</f>
        <v>14457604.669049723</v>
      </c>
      <c r="K27" s="944" t="s">
        <v>1047</v>
      </c>
      <c r="L27" s="777">
        <f t="shared" si="1"/>
        <v>683000510.00813854</v>
      </c>
      <c r="M27" s="1034" t="s">
        <v>1048</v>
      </c>
      <c r="O27" t="b">
        <f>'II-I-DIST'!$F$27=F27</f>
        <v>1</v>
      </c>
      <c r="P27" t="b">
        <f>'II-I-MET'!$F$27=H27</f>
        <v>1</v>
      </c>
      <c r="Q27" t="b">
        <f>'II-I-TBILLTDCS'!$F$27=J27</f>
        <v>1</v>
      </c>
    </row>
    <row r="28" spans="2:12" ht="15.75">
      <c r="B28" s="17">
        <f t="shared" si="0"/>
        <v>14</v>
      </c>
      <c r="C28" s="167"/>
      <c r="D28" s="247"/>
      <c r="E28" s="248"/>
      <c r="F28" s="12"/>
      <c r="G28" s="248"/>
      <c r="H28" s="12"/>
      <c r="I28" s="248"/>
      <c r="J28" s="12"/>
      <c r="K28" s="646"/>
      <c r="L28" s="646"/>
    </row>
    <row r="29" spans="2:17" ht="15.75">
      <c r="B29" s="17">
        <f t="shared" si="0"/>
        <v>15</v>
      </c>
      <c r="C29" s="249"/>
      <c r="D29" s="250" t="s">
        <v>511</v>
      </c>
      <c r="E29" s="248"/>
      <c r="F29" s="53">
        <f>'II-I-DIST'!F29</f>
        <v>4012552544.0526075</v>
      </c>
      <c r="G29" s="248"/>
      <c r="H29" s="53">
        <f>'II-I-MET'!F29</f>
        <v>205435693.36813831</v>
      </c>
      <c r="I29" s="248"/>
      <c r="J29" s="53">
        <f>'II-I-TBILLTDCS'!F29</f>
        <v>104584405.97196172</v>
      </c>
      <c r="K29" s="53"/>
      <c r="L29" s="777">
        <f t="shared" si="1"/>
        <v>4322572643.3927078</v>
      </c>
      <c r="O29" t="b">
        <f>'II-I-DIST'!$F$29=F29</f>
        <v>1</v>
      </c>
      <c r="P29" t="b">
        <f>'II-I-MET'!$F$29=H29</f>
        <v>1</v>
      </c>
      <c r="Q29" t="b">
        <f>'II-I-TBILLTDCS'!$F$29=J29</f>
        <v>1</v>
      </c>
    </row>
    <row r="30" spans="2:12" ht="15.75">
      <c r="B30" s="17">
        <f t="shared" si="0"/>
        <v>16</v>
      </c>
      <c r="C30" s="167"/>
      <c r="D30" s="12"/>
      <c r="E30" s="58"/>
      <c r="F30" s="12"/>
      <c r="G30" s="58"/>
      <c r="H30" s="12"/>
      <c r="I30" s="58"/>
      <c r="J30" s="12"/>
      <c r="K30" s="646"/>
      <c r="L30" s="777"/>
    </row>
    <row r="31" spans="2:17" ht="15.75">
      <c r="B31" s="17">
        <f>B30+1</f>
        <v>17</v>
      </c>
      <c r="C31" s="167"/>
      <c r="D31" s="12" t="s">
        <v>512</v>
      </c>
      <c r="E31" s="58" t="s">
        <v>335</v>
      </c>
      <c r="F31" s="50">
        <f>'II-I-DIST'!F31</f>
        <v>51757981.979999989</v>
      </c>
      <c r="G31" s="939" t="s">
        <v>1047</v>
      </c>
      <c r="H31" s="50">
        <f>'II-I-MET'!F31</f>
        <v>5094630.9699999997</v>
      </c>
      <c r="I31" s="939" t="s">
        <v>1047</v>
      </c>
      <c r="J31" s="50">
        <f>'II-I-TBILLTDCS'!F31</f>
        <v>205014.6500000013</v>
      </c>
      <c r="K31" s="944" t="s">
        <v>1047</v>
      </c>
      <c r="L31" s="777">
        <f t="shared" si="1"/>
        <v>57057627.599999987</v>
      </c>
      <c r="M31" s="1034" t="s">
        <v>1048</v>
      </c>
      <c r="O31" t="b">
        <f>'II-I-DIST'!$F$31=F31</f>
        <v>1</v>
      </c>
      <c r="P31" t="b">
        <f>'II-I-MET'!$F$31=H31</f>
        <v>1</v>
      </c>
      <c r="Q31" t="b">
        <f>'II-I-TBILLTDCS'!$F$31=J31</f>
        <v>1</v>
      </c>
    </row>
    <row r="32" spans="2:13" ht="15.75" thickBot="1">
      <c r="B32" s="17">
        <f>B31+1</f>
        <v>18</v>
      </c>
      <c r="C32" s="167"/>
      <c r="D32" s="12"/>
      <c r="E32" s="12"/>
      <c r="F32" s="121"/>
      <c r="G32" s="12"/>
      <c r="H32" s="12"/>
      <c r="I32" s="12"/>
      <c r="J32" s="12"/>
      <c r="K32" s="646"/>
      <c r="L32" s="646"/>
      <c r="M32" s="1035"/>
    </row>
    <row r="33" spans="2:17" ht="16.5" thickBot="1">
      <c r="B33" s="17">
        <f>B32+1</f>
        <v>19</v>
      </c>
      <c r="C33" s="167"/>
      <c r="D33" s="253" t="s">
        <v>358</v>
      </c>
      <c r="E33" s="254"/>
      <c r="F33" s="903">
        <f>'II-I-DIST'!F33</f>
        <v>3960794562.0726075</v>
      </c>
      <c r="G33" s="254"/>
      <c r="H33" s="903">
        <f>'II-I-MET'!F33</f>
        <v>200341062.39813831</v>
      </c>
      <c r="I33" s="254"/>
      <c r="J33" s="903">
        <f>'II-I-TBILLTDCS'!F33</f>
        <v>104379391.32196172</v>
      </c>
      <c r="K33" s="903"/>
      <c r="L33" s="380">
        <f t="shared" si="1"/>
        <v>4265515015.7927079</v>
      </c>
      <c r="M33" s="1039"/>
      <c r="O33" t="b">
        <f>'II-I-DIST'!$F$33=F33</f>
        <v>1</v>
      </c>
      <c r="P33" t="b">
        <f>'II-I-MET'!$F$33=H33</f>
        <v>1</v>
      </c>
      <c r="Q33" t="b">
        <f>'II-I-TBILLTDCS'!$F$33=J33</f>
        <v>1</v>
      </c>
    </row>
    <row r="34" spans="2:13" ht="15.75">
      <c r="B34" s="167"/>
      <c r="C34" s="167"/>
      <c r="D34" s="167"/>
      <c r="E34" s="175"/>
      <c r="F34" s="121"/>
      <c r="G34" s="150"/>
      <c r="H34" s="121"/>
      <c r="I34" s="150"/>
      <c r="J34" s="121"/>
      <c r="K34" s="175"/>
      <c r="L34" s="175"/>
      <c r="M34" s="1035"/>
    </row>
    <row r="35" spans="2:13" ht="15.75">
      <c r="B35" s="167"/>
      <c r="C35" s="167"/>
      <c r="D35" s="167"/>
      <c r="E35" s="175"/>
      <c r="F35" s="898"/>
      <c r="G35" s="404"/>
      <c r="H35" s="175"/>
      <c r="I35" s="175"/>
      <c r="J35" s="175"/>
      <c r="K35" s="175"/>
      <c r="L35" s="175"/>
      <c r="M35" s="1035"/>
    </row>
    <row r="36" spans="2:13" ht="15">
      <c r="B36" s="167"/>
      <c r="C36" s="167"/>
      <c r="D36" s="167"/>
      <c r="E36" s="175"/>
      <c r="F36" s="404"/>
      <c r="G36" s="404"/>
      <c r="H36" s="175"/>
      <c r="I36" s="175"/>
      <c r="J36" s="175"/>
      <c r="K36" s="175"/>
      <c r="L36" s="175"/>
      <c r="M36" s="1035"/>
    </row>
    <row r="37" spans="2:13" ht="15.75">
      <c r="B37" s="167"/>
      <c r="C37" s="167"/>
      <c r="D37" s="167"/>
      <c r="E37" s="175"/>
      <c r="F37" s="896"/>
      <c r="G37" s="150"/>
      <c r="H37" s="175"/>
      <c r="I37" s="175"/>
      <c r="J37" s="175"/>
      <c r="K37" s="175"/>
      <c r="L37" s="175"/>
      <c r="M37" s="1035"/>
    </row>
    <row r="38" spans="2:13" ht="15.75">
      <c r="B38" s="167"/>
      <c r="C38" s="167"/>
      <c r="D38" s="167"/>
      <c r="E38" s="175"/>
      <c r="F38" s="24"/>
      <c r="G38" s="150"/>
      <c r="H38" s="175"/>
      <c r="I38" s="175"/>
      <c r="J38" s="175"/>
      <c r="K38" s="175"/>
      <c r="L38" s="175"/>
      <c r="M38" s="1035"/>
    </row>
    <row r="39" spans="2:13" ht="15.75">
      <c r="B39" s="167"/>
      <c r="C39" s="167"/>
      <c r="D39" s="167"/>
      <c r="E39" s="175"/>
      <c r="F39" s="896"/>
      <c r="G39" s="150"/>
      <c r="H39" s="175"/>
      <c r="I39" s="175"/>
      <c r="J39" s="175"/>
      <c r="K39" s="175"/>
      <c r="L39" s="175"/>
      <c r="M39" s="1035"/>
    </row>
    <row r="40" spans="2:12" ht="21.75" customHeight="1">
      <c r="B40" s="871"/>
      <c r="C40" s="871"/>
      <c r="D40" s="871"/>
      <c r="E40" s="871"/>
      <c r="F40" s="150"/>
      <c r="G40" s="150"/>
      <c r="H40" s="150"/>
      <c r="I40" s="150"/>
      <c r="J40" s="150"/>
      <c r="K40" s="871"/>
      <c r="L40" s="871"/>
    </row>
    <row r="41" spans="2:12" ht="15.75" thickBot="1">
      <c r="B41" s="871"/>
      <c r="C41" s="871"/>
      <c r="D41" s="871"/>
      <c r="E41" s="871"/>
      <c r="F41" s="150"/>
      <c r="G41" s="134"/>
      <c r="H41" s="150"/>
      <c r="I41" s="134"/>
      <c r="J41" s="150"/>
      <c r="K41" s="871"/>
      <c r="L41" s="871"/>
    </row>
    <row r="42" spans="2:12" ht="15">
      <c r="B42" s="920" t="str">
        <f>$B$4</f>
        <v>2022 RATE CASE</v>
      </c>
      <c r="C42" s="926"/>
      <c r="D42" s="927"/>
      <c r="E42" s="871"/>
      <c r="F42" s="67"/>
      <c r="G42" s="67"/>
      <c r="H42" s="67"/>
      <c r="I42" s="67"/>
      <c r="J42" s="67"/>
      <c r="K42" s="871"/>
      <c r="L42" s="871"/>
    </row>
    <row r="43" spans="2:12" ht="15">
      <c r="B43" s="917" t="str">
        <f>$B$5</f>
        <v>ONCOR ELECTRIC DELIVERY COMPANY LLC</v>
      </c>
      <c r="C43" s="369"/>
      <c r="D43" s="928"/>
      <c r="E43" s="871"/>
      <c r="F43" s="67"/>
      <c r="G43" s="67"/>
      <c r="H43" s="67"/>
      <c r="I43" s="67"/>
      <c r="J43" s="67"/>
      <c r="K43" s="871"/>
      <c r="L43" s="871"/>
    </row>
    <row r="44" spans="2:12" ht="15">
      <c r="B44" s="406" t="str">
        <f>$B$6</f>
        <v>II-I-2.1f:  CONSOLIDATED FUNCTIONALIZED COST OF SERVICE</v>
      </c>
      <c r="C44" s="369"/>
      <c r="D44" s="928"/>
      <c r="E44" s="871"/>
      <c r="F44" s="67"/>
      <c r="G44" s="67"/>
      <c r="H44" s="67"/>
      <c r="I44" s="67"/>
      <c r="J44" s="67"/>
      <c r="K44" s="871"/>
      <c r="L44" s="871"/>
    </row>
    <row r="45" spans="2:10" ht="15">
      <c r="B45" s="406" t="str">
        <f>$B$7</f>
        <v>TEST YEAR ENDING 12/31/2021</v>
      </c>
      <c r="C45" s="369"/>
      <c r="D45" s="928"/>
      <c r="F45" s="67"/>
      <c r="G45" s="67"/>
      <c r="H45" s="67"/>
      <c r="I45" s="67"/>
      <c r="J45" s="67"/>
    </row>
    <row r="46" spans="2:12" ht="15">
      <c r="B46" s="406" t="str">
        <f>$B$8</f>
        <v>SPONSOR:  MATTHEW A. TROXLE</v>
      </c>
      <c r="C46" s="369"/>
      <c r="D46" s="928"/>
      <c r="E46" s="922"/>
      <c r="F46" s="67"/>
      <c r="G46" s="67"/>
      <c r="H46" s="67"/>
      <c r="I46" s="67"/>
      <c r="J46" s="67"/>
      <c r="K46" s="937"/>
      <c r="L46" s="937"/>
    </row>
    <row r="47" spans="2:10" ht="16.5" thickBot="1">
      <c r="B47" s="410"/>
      <c r="C47" s="929"/>
      <c r="D47" s="930"/>
      <c r="F47" s="67"/>
      <c r="G47" s="67"/>
      <c r="H47" s="67"/>
      <c r="I47" s="67"/>
      <c r="J47" s="67"/>
    </row>
    <row r="48" spans="2:13" ht="15.75">
      <c r="B48" s="857"/>
      <c r="C48" s="858"/>
      <c r="D48" s="859"/>
      <c r="E48" s="238"/>
      <c r="F48" s="14"/>
      <c r="G48" s="238"/>
      <c r="H48" s="14"/>
      <c r="I48" s="238"/>
      <c r="J48" s="14"/>
      <c r="K48" s="738"/>
      <c r="L48" s="952"/>
      <c r="M48" s="1036"/>
    </row>
    <row r="49" spans="2:13" ht="15.75">
      <c r="B49" s="235" t="s">
        <v>2</v>
      </c>
      <c r="C49" s="240"/>
      <c r="D49" s="241" t="s">
        <v>514</v>
      </c>
      <c r="E49" s="242" t="s">
        <v>371</v>
      </c>
      <c r="F49" s="287" t="str">
        <f>'II-I-DIST'!F49</f>
        <v>DIST</v>
      </c>
      <c r="G49" s="242"/>
      <c r="H49" s="287" t="str">
        <f>'II-I-MET'!F49</f>
        <v>MET</v>
      </c>
      <c r="I49" s="242"/>
      <c r="J49" s="287" t="str">
        <f>'II-I-TBILLTDCS'!F49</f>
        <v>TBILLTDCS</v>
      </c>
      <c r="K49" s="743"/>
      <c r="L49" s="743" t="s">
        <v>481</v>
      </c>
      <c r="M49" s="1030" t="s">
        <v>1046</v>
      </c>
    </row>
    <row r="50" spans="2:13" ht="15">
      <c r="B50" s="235"/>
      <c r="C50" s="240"/>
      <c r="D50" s="242"/>
      <c r="E50" s="242"/>
      <c r="F50" s="15"/>
      <c r="G50" s="242"/>
      <c r="H50" s="15"/>
      <c r="I50" s="242"/>
      <c r="J50" s="15"/>
      <c r="K50" s="743"/>
      <c r="L50" s="743" t="s">
        <v>33</v>
      </c>
      <c r="M50" s="1037"/>
    </row>
    <row r="51" spans="2:13" ht="15.75" thickBot="1">
      <c r="B51" s="243"/>
      <c r="C51" s="244"/>
      <c r="D51" s="245"/>
      <c r="E51" s="245"/>
      <c r="F51" s="747" t="s">
        <v>13</v>
      </c>
      <c r="G51" s="747" t="s">
        <v>14</v>
      </c>
      <c r="H51" s="747" t="s">
        <v>15</v>
      </c>
      <c r="I51" s="747" t="s">
        <v>16</v>
      </c>
      <c r="J51" s="747" t="s">
        <v>17</v>
      </c>
      <c r="K51" s="747" t="s">
        <v>18</v>
      </c>
      <c r="L51" s="747" t="s">
        <v>19</v>
      </c>
      <c r="M51" s="1032" t="s">
        <v>20</v>
      </c>
    </row>
    <row r="52" spans="2:12" ht="14.25">
      <c r="B52" s="67"/>
      <c r="C52" s="12"/>
      <c r="D52" s="12"/>
      <c r="E52" s="12"/>
      <c r="F52" s="12"/>
      <c r="G52" s="12"/>
      <c r="H52" s="12"/>
      <c r="I52" s="12"/>
      <c r="J52" s="12"/>
      <c r="K52" s="646"/>
      <c r="L52" s="646"/>
    </row>
    <row r="53" spans="2:13" ht="15">
      <c r="B53" s="17">
        <f t="shared" si="2" ref="B53:B83">B52+1</f>
        <v>1</v>
      </c>
      <c r="C53" s="12"/>
      <c r="D53" s="260" t="s">
        <v>646</v>
      </c>
      <c r="E53" s="261" t="s">
        <v>24</v>
      </c>
      <c r="F53" s="121">
        <f>'II-I-DIST'!F53</f>
        <v>323333372.81999999</v>
      </c>
      <c r="G53" s="939" t="s">
        <v>1047</v>
      </c>
      <c r="H53" s="121">
        <f>'II-I-MET'!F53</f>
        <v>185301712.96000001</v>
      </c>
      <c r="I53" s="939" t="s">
        <v>1047</v>
      </c>
      <c r="J53" s="121">
        <f>'II-I-TBILLTDCS'!F53</f>
        <v>310409174.74000001</v>
      </c>
      <c r="K53" s="944" t="s">
        <v>1047</v>
      </c>
      <c r="L53" s="777">
        <f>F53+H53+J53</f>
        <v>819044260.51999998</v>
      </c>
      <c r="M53" s="1034" t="s">
        <v>1048</v>
      </c>
    </row>
    <row r="54" spans="2:13" ht="15">
      <c r="B54" s="17">
        <f t="shared" si="2"/>
        <v>2</v>
      </c>
      <c r="C54" s="12"/>
      <c r="D54" s="260" t="s">
        <v>647</v>
      </c>
      <c r="E54" s="261" t="s">
        <v>24</v>
      </c>
      <c r="F54" s="121">
        <f>'II-I-DIST'!F54</f>
        <v>381860650.86000001</v>
      </c>
      <c r="G54" s="939" t="s">
        <v>1047</v>
      </c>
      <c r="H54" s="121">
        <f>'II-I-MET'!F54</f>
        <v>0</v>
      </c>
      <c r="I54" s="939" t="s">
        <v>1047</v>
      </c>
      <c r="J54" s="121">
        <f>'II-I-TBILLTDCS'!F54</f>
        <v>0</v>
      </c>
      <c r="K54" s="944" t="s">
        <v>1047</v>
      </c>
      <c r="L54" s="777">
        <f>F54+H54+J54</f>
        <v>381860650.86000001</v>
      </c>
      <c r="M54" s="1034" t="s">
        <v>1048</v>
      </c>
    </row>
    <row r="55" spans="2:13" ht="16.5">
      <c r="B55" s="17">
        <f t="shared" si="2"/>
        <v>3</v>
      </c>
      <c r="C55" s="12"/>
      <c r="D55" s="631" t="s">
        <v>645</v>
      </c>
      <c r="E55" s="261" t="s">
        <v>24</v>
      </c>
      <c r="F55" s="265">
        <f>'II-I-DIST'!F55</f>
        <v>14618819732.849999</v>
      </c>
      <c r="G55" s="939" t="s">
        <v>1047</v>
      </c>
      <c r="H55" s="265">
        <f>'II-I-MET'!F55</f>
        <v>574147483.07000005</v>
      </c>
      <c r="I55" s="939" t="s">
        <v>1047</v>
      </c>
      <c r="J55" s="265">
        <f>'II-I-TBILLTDCS'!F55</f>
        <v>0</v>
      </c>
      <c r="K55" s="944" t="s">
        <v>1047</v>
      </c>
      <c r="L55" s="265">
        <f>F55+H55+J55</f>
        <v>15192967215.919998</v>
      </c>
      <c r="M55" s="1034" t="s">
        <v>1048</v>
      </c>
    </row>
    <row r="56" spans="2:17" ht="15.75">
      <c r="B56" s="17">
        <f t="shared" si="2"/>
        <v>4</v>
      </c>
      <c r="C56" s="167"/>
      <c r="D56" s="260" t="s">
        <v>515</v>
      </c>
      <c r="E56" s="261"/>
      <c r="F56" s="269">
        <f>'II-I-DIST'!F56</f>
        <v>15324013756.529999</v>
      </c>
      <c r="G56" s="261"/>
      <c r="H56" s="269">
        <f>'II-I-MET'!F56</f>
        <v>759449196.03000009</v>
      </c>
      <c r="I56" s="261"/>
      <c r="J56" s="269">
        <f>'II-I-TBILLTDCS'!F56</f>
        <v>310409174.74000001</v>
      </c>
      <c r="K56" s="269"/>
      <c r="L56" s="269">
        <f>F56+H56+J56</f>
        <v>16393872127.299999</v>
      </c>
      <c r="M56" s="1034"/>
      <c r="O56" t="b">
        <f>'II-I-DIST'!$F$56=F56</f>
        <v>1</v>
      </c>
      <c r="P56" t="b">
        <f>'II-I-MET'!$F$56=H56</f>
        <v>1</v>
      </c>
      <c r="Q56" t="b">
        <f>'II-I-TBILLTDCS'!$F$56=J56</f>
        <v>1</v>
      </c>
    </row>
    <row r="57" spans="2:13" ht="15.75">
      <c r="B57" s="17">
        <f t="shared" si="2"/>
        <v>5</v>
      </c>
      <c r="C57" s="167"/>
      <c r="D57" s="260"/>
      <c r="E57" s="261"/>
      <c r="F57" s="262">
        <f>'II-I-DIST'!F57</f>
        <v>0</v>
      </c>
      <c r="G57" s="261"/>
      <c r="H57" s="262">
        <f>'II-I-MET'!F57</f>
        <v>0</v>
      </c>
      <c r="I57" s="261"/>
      <c r="J57" s="262">
        <f>'II-I-TBILLTDCS'!F57</f>
        <v>0</v>
      </c>
      <c r="K57" s="945"/>
      <c r="L57" s="904"/>
      <c r="M57" s="1034"/>
    </row>
    <row r="58" spans="2:17" ht="15.75">
      <c r="B58" s="17">
        <f t="shared" si="2"/>
        <v>6</v>
      </c>
      <c r="C58" s="167"/>
      <c r="D58" s="260" t="s">
        <v>516</v>
      </c>
      <c r="E58" s="261" t="s">
        <v>90</v>
      </c>
      <c r="F58" s="262">
        <f>'II-I-DIST'!F58</f>
        <v>330131994.91000003</v>
      </c>
      <c r="G58" s="939" t="s">
        <v>1047</v>
      </c>
      <c r="H58" s="262">
        <f>'II-I-MET'!F58</f>
        <v>104726621.60999998</v>
      </c>
      <c r="I58" s="939" t="s">
        <v>1047</v>
      </c>
      <c r="J58" s="262">
        <f>'II-I-TBILLTDCS'!F58</f>
        <v>100100755.95999999</v>
      </c>
      <c r="K58" s="944" t="s">
        <v>1047</v>
      </c>
      <c r="L58" s="896">
        <f>F58+H58+J58</f>
        <v>534959372.47999996</v>
      </c>
      <c r="M58" s="1034" t="s">
        <v>1048</v>
      </c>
      <c r="O58" t="b">
        <f>'II-I-DIST'!$F$58=F58</f>
        <v>1</v>
      </c>
      <c r="P58" t="b">
        <f>'II-I-MET'!$F$58=H58</f>
        <v>1</v>
      </c>
      <c r="Q58" t="b">
        <f>'II-I-TBILLTDCS'!$F$58=J58</f>
        <v>1</v>
      </c>
    </row>
    <row r="59" spans="2:17" ht="20.25">
      <c r="B59" s="17">
        <f t="shared" si="2"/>
        <v>7</v>
      </c>
      <c r="C59" s="167"/>
      <c r="D59" s="260" t="s">
        <v>517</v>
      </c>
      <c r="E59" s="261" t="s">
        <v>109</v>
      </c>
      <c r="F59" s="264">
        <f>'II-I-DIST'!F59</f>
        <v>61337953.159999996</v>
      </c>
      <c r="G59" s="939" t="s">
        <v>1047</v>
      </c>
      <c r="H59" s="264">
        <f>'II-I-MET'!F59</f>
        <v>45688861.039999999</v>
      </c>
      <c r="I59" s="939" t="s">
        <v>1047</v>
      </c>
      <c r="J59" s="264">
        <f>'II-I-TBILLTDCS'!F59</f>
        <v>1554894.4199999999</v>
      </c>
      <c r="K59" s="944" t="s">
        <v>1047</v>
      </c>
      <c r="L59" s="956">
        <f>F59+H59+J59</f>
        <v>108581708.61999999</v>
      </c>
      <c r="M59" s="1034" t="s">
        <v>1048</v>
      </c>
      <c r="O59" t="b">
        <f>'II-I-DIST'!$F$59=F59</f>
        <v>1</v>
      </c>
      <c r="P59" t="b">
        <f>'II-I-MET'!$F$59=H59</f>
        <v>1</v>
      </c>
      <c r="Q59" t="b">
        <f>'II-I-TBILLTDCS'!$F$59=J59</f>
        <v>1</v>
      </c>
    </row>
    <row r="60" spans="2:17" ht="15.75">
      <c r="B60" s="17">
        <f t="shared" si="2"/>
        <v>8</v>
      </c>
      <c r="C60" s="249"/>
      <c r="D60" s="268" t="s">
        <v>518</v>
      </c>
      <c r="E60" s="261"/>
      <c r="F60" s="269">
        <f>'II-I-DIST'!F60</f>
        <v>15715483704.599999</v>
      </c>
      <c r="G60" s="261"/>
      <c r="H60" s="269">
        <f>'II-I-MET'!F60</f>
        <v>909864678.68000007</v>
      </c>
      <c r="I60" s="261"/>
      <c r="J60" s="269">
        <f>'II-I-TBILLTDCS'!F60</f>
        <v>412064825.12</v>
      </c>
      <c r="K60" s="269"/>
      <c r="L60" s="896">
        <f>F60+H60+J60</f>
        <v>17037413208.4</v>
      </c>
      <c r="O60" t="b">
        <f>'II-I-DIST'!$F$60=F60</f>
        <v>1</v>
      </c>
      <c r="P60" t="b">
        <f>'II-I-MET'!$F$60=H60</f>
        <v>1</v>
      </c>
      <c r="Q60" t="b">
        <f>'II-I-TBILLTDCS'!$F$60=J60</f>
        <v>1</v>
      </c>
    </row>
    <row r="61" spans="2:12" ht="15.75">
      <c r="B61" s="17">
        <f t="shared" si="2"/>
        <v>9</v>
      </c>
      <c r="C61" s="167"/>
      <c r="D61" s="260"/>
      <c r="E61" s="261"/>
      <c r="F61" s="262">
        <f>'II-I-DIST'!F61</f>
        <v>0</v>
      </c>
      <c r="G61" s="261"/>
      <c r="H61" s="262">
        <f>'II-I-MET'!F61</f>
        <v>0</v>
      </c>
      <c r="I61" s="261"/>
      <c r="J61" s="262">
        <f>'II-I-TBILLTDCS'!F61</f>
        <v>0</v>
      </c>
      <c r="K61" s="945"/>
      <c r="L61" s="904"/>
    </row>
    <row r="62" spans="2:17" ht="15.75">
      <c r="B62" s="17">
        <f t="shared" si="2"/>
        <v>10</v>
      </c>
      <c r="C62" s="167"/>
      <c r="D62" s="270" t="s">
        <v>519</v>
      </c>
      <c r="E62" s="261" t="s">
        <v>36</v>
      </c>
      <c r="F62" s="262">
        <f>'II-I-DIST'!F62</f>
        <v>5869820991.1499996</v>
      </c>
      <c r="G62" s="939" t="s">
        <v>1047</v>
      </c>
      <c r="H62" s="262">
        <f>'II-I-MET'!F62</f>
        <v>575025967.10000002</v>
      </c>
      <c r="I62" s="939" t="s">
        <v>1047</v>
      </c>
      <c r="J62" s="262">
        <f>'II-I-TBILLTDCS'!F62</f>
        <v>126531352.90000001</v>
      </c>
      <c r="K62" s="944" t="s">
        <v>1047</v>
      </c>
      <c r="L62" s="896">
        <f>F62+H62+J62</f>
        <v>6571378311.1499996</v>
      </c>
      <c r="M62" s="1034" t="s">
        <v>1048</v>
      </c>
      <c r="O62" t="b">
        <f>'II-I-DIST'!$F$62=F62</f>
        <v>1</v>
      </c>
      <c r="P62" t="b">
        <f>'II-I-MET'!$F$62=H62</f>
        <v>1</v>
      </c>
      <c r="Q62" t="b">
        <f>'II-I-TBILLTDCS'!$F$62=J62</f>
        <v>1</v>
      </c>
    </row>
    <row r="63" spans="2:12" ht="15.75">
      <c r="B63" s="17">
        <f t="shared" si="2"/>
        <v>11</v>
      </c>
      <c r="C63" s="167"/>
      <c r="D63" s="260"/>
      <c r="E63" s="261"/>
      <c r="F63" s="271"/>
      <c r="G63" s="261"/>
      <c r="H63" s="271"/>
      <c r="I63" s="261"/>
      <c r="J63" s="271"/>
      <c r="K63" s="946"/>
      <c r="L63" s="918"/>
    </row>
    <row r="64" spans="2:17" ht="15.75">
      <c r="B64" s="17">
        <f t="shared" si="2"/>
        <v>12</v>
      </c>
      <c r="C64" s="249"/>
      <c r="D64" s="273" t="s">
        <v>520</v>
      </c>
      <c r="E64" s="58"/>
      <c r="F64" s="269">
        <f>'II-I-DIST'!F64</f>
        <v>9845662713.4499989</v>
      </c>
      <c r="G64" s="58"/>
      <c r="H64" s="269">
        <f>'II-I-MET'!F64</f>
        <v>334838711.58000004</v>
      </c>
      <c r="I64" s="58"/>
      <c r="J64" s="269">
        <f>'II-I-TBILLTDCS'!F64</f>
        <v>285533472.22000003</v>
      </c>
      <c r="K64" s="269"/>
      <c r="L64" s="896">
        <f>F64+H64+J64</f>
        <v>10466034897.249998</v>
      </c>
      <c r="O64" t="b">
        <f>'II-I-DIST'!$F$64=F64</f>
        <v>1</v>
      </c>
      <c r="P64" t="b">
        <f>'II-I-MET'!$F$64=H64</f>
        <v>1</v>
      </c>
      <c r="Q64" t="b">
        <f>'II-I-TBILLTDCS'!$F$64=J64</f>
        <v>1</v>
      </c>
    </row>
    <row r="65" spans="2:12" ht="15.75">
      <c r="B65" s="17">
        <f t="shared" si="2"/>
        <v>13</v>
      </c>
      <c r="C65" s="167"/>
      <c r="D65" s="260"/>
      <c r="E65" s="261"/>
      <c r="F65" s="12"/>
      <c r="G65" s="261"/>
      <c r="H65" s="12"/>
      <c r="I65" s="261"/>
      <c r="J65" s="12"/>
      <c r="K65" s="646"/>
      <c r="L65" s="646"/>
    </row>
    <row r="66" spans="2:12" ht="15.75">
      <c r="B66" s="17">
        <f t="shared" si="2"/>
        <v>14</v>
      </c>
      <c r="C66" s="167"/>
      <c r="D66" s="274" t="s">
        <v>521</v>
      </c>
      <c r="E66" s="275"/>
      <c r="F66" s="12"/>
      <c r="G66" s="275"/>
      <c r="H66" s="12"/>
      <c r="I66" s="275"/>
      <c r="J66" s="12"/>
      <c r="K66" s="646"/>
      <c r="L66" s="646"/>
    </row>
    <row r="67" spans="2:12" ht="15.75">
      <c r="B67" s="17">
        <f t="shared" si="2"/>
        <v>15</v>
      </c>
      <c r="C67" s="167"/>
      <c r="D67" s="41"/>
      <c r="E67" s="261"/>
      <c r="F67" s="12"/>
      <c r="G67" s="261"/>
      <c r="H67" s="12"/>
      <c r="I67" s="261"/>
      <c r="J67" s="12"/>
      <c r="K67" s="646"/>
      <c r="L67" s="646"/>
    </row>
    <row r="68" spans="2:17" ht="15.75">
      <c r="B68" s="17">
        <f t="shared" si="2"/>
        <v>16</v>
      </c>
      <c r="C68" s="167"/>
      <c r="D68" s="41" t="s">
        <v>116</v>
      </c>
      <c r="E68" s="261" t="s">
        <v>117</v>
      </c>
      <c r="F68" s="262">
        <f>'II-I-DIST'!F68</f>
        <v>0</v>
      </c>
      <c r="G68" s="939" t="s">
        <v>1047</v>
      </c>
      <c r="H68" s="262">
        <f>'II-I-MET'!F68</f>
        <v>0</v>
      </c>
      <c r="I68" s="939" t="s">
        <v>1047</v>
      </c>
      <c r="J68" s="262">
        <f>'II-I-TBILLTDCS'!F68</f>
        <v>0</v>
      </c>
      <c r="K68" s="944" t="s">
        <v>1047</v>
      </c>
      <c r="L68" s="945">
        <f t="shared" si="3" ref="L68:L77">F68+H68+J68</f>
        <v>0</v>
      </c>
      <c r="M68" s="1034" t="s">
        <v>1048</v>
      </c>
      <c r="O68" t="b">
        <f>'II-I-DIST'!$F$68=F68</f>
        <v>1</v>
      </c>
      <c r="P68" t="b">
        <f>'II-I-MET'!$F$68=H68</f>
        <v>1</v>
      </c>
      <c r="Q68" t="b">
        <f>'II-I-TBILLTDCS'!$F$68=J68</f>
        <v>1</v>
      </c>
    </row>
    <row r="69" spans="2:17" ht="15.75">
      <c r="B69" s="17">
        <f t="shared" si="2"/>
        <v>17</v>
      </c>
      <c r="C69" s="167"/>
      <c r="D69" s="41" t="s">
        <v>118</v>
      </c>
      <c r="E69" s="261" t="s">
        <v>119</v>
      </c>
      <c r="F69" s="262">
        <f>'II-I-DIST'!F69</f>
        <v>1745979.3400000001</v>
      </c>
      <c r="G69" s="939" t="s">
        <v>1047</v>
      </c>
      <c r="H69" s="262">
        <f>'II-I-MET'!F69</f>
        <v>0</v>
      </c>
      <c r="I69" s="939" t="s">
        <v>1047</v>
      </c>
      <c r="J69" s="262">
        <f>'II-I-TBILLTDCS'!F69</f>
        <v>0</v>
      </c>
      <c r="K69" s="944" t="s">
        <v>1047</v>
      </c>
      <c r="L69" s="945">
        <f t="shared" si="3"/>
        <v>1745979.3400000001</v>
      </c>
      <c r="M69" s="1034" t="s">
        <v>1048</v>
      </c>
      <c r="O69" t="b">
        <f>'II-I-DIST'!$F$69=F69</f>
        <v>1</v>
      </c>
      <c r="P69" t="b">
        <f>'II-I-MET'!$F$69=H69</f>
        <v>1</v>
      </c>
      <c r="Q69" t="b">
        <f>'II-I-TBILLTDCS'!$F$69=J69</f>
        <v>1</v>
      </c>
    </row>
    <row r="70" spans="2:17" ht="15.75">
      <c r="B70" s="17">
        <f t="shared" si="2"/>
        <v>18</v>
      </c>
      <c r="C70" s="167"/>
      <c r="D70" s="42" t="s">
        <v>522</v>
      </c>
      <c r="E70" s="261" t="s">
        <v>523</v>
      </c>
      <c r="F70" s="121">
        <f>'II-I-DIST'!F70</f>
        <v>0</v>
      </c>
      <c r="G70" s="939" t="s">
        <v>1047</v>
      </c>
      <c r="H70" s="121">
        <f>'II-I-MET'!F70</f>
        <v>0</v>
      </c>
      <c r="I70" s="939" t="s">
        <v>1047</v>
      </c>
      <c r="J70" s="121">
        <f>'II-I-TBILLTDCS'!F70</f>
        <v>0</v>
      </c>
      <c r="K70" s="944" t="s">
        <v>1047</v>
      </c>
      <c r="L70" s="777">
        <f t="shared" si="3"/>
        <v>0</v>
      </c>
      <c r="M70" s="1034" t="s">
        <v>1048</v>
      </c>
      <c r="O70" t="b">
        <f>'II-I-DIST'!$F$70=F70</f>
        <v>1</v>
      </c>
      <c r="P70" t="b">
        <f>'II-I-MET'!$F$70=H70</f>
        <v>1</v>
      </c>
      <c r="Q70" t="b">
        <f>'II-I-TBILLTDCS'!$F$70=J70</f>
        <v>1</v>
      </c>
    </row>
    <row r="71" spans="2:17" ht="15.75">
      <c r="B71" s="17">
        <f t="shared" si="2"/>
        <v>19</v>
      </c>
      <c r="C71" s="167"/>
      <c r="D71" s="41" t="s">
        <v>524</v>
      </c>
      <c r="E71" s="261" t="s">
        <v>121</v>
      </c>
      <c r="F71" s="262">
        <f>'II-I-DIST'!F71</f>
        <v>74690404.409999996</v>
      </c>
      <c r="G71" s="939" t="s">
        <v>1047</v>
      </c>
      <c r="H71" s="262">
        <f>'II-I-MET'!F71</f>
        <v>105783.33</v>
      </c>
      <c r="I71" s="939" t="s">
        <v>1047</v>
      </c>
      <c r="J71" s="262">
        <f>'II-I-TBILLTDCS'!F71</f>
        <v>0</v>
      </c>
      <c r="K71" s="944" t="s">
        <v>1047</v>
      </c>
      <c r="L71" s="945">
        <f t="shared" si="3"/>
        <v>74796187.739999995</v>
      </c>
      <c r="M71" s="1034" t="s">
        <v>1048</v>
      </c>
      <c r="O71" t="b">
        <f>'II-I-DIST'!$F$71=F71</f>
        <v>1</v>
      </c>
      <c r="P71" t="b">
        <f>'II-I-MET'!$F$71=H71</f>
        <v>1</v>
      </c>
      <c r="Q71" t="b">
        <f>'II-I-TBILLTDCS'!$F$71=J71</f>
        <v>1</v>
      </c>
    </row>
    <row r="72" spans="2:17" ht="15.75">
      <c r="B72" s="17">
        <f t="shared" si="2"/>
        <v>20</v>
      </c>
      <c r="C72" s="167"/>
      <c r="D72" s="41" t="s">
        <v>123</v>
      </c>
      <c r="E72" s="261" t="s">
        <v>124</v>
      </c>
      <c r="F72" s="262">
        <f>'II-I-DIST'!F72</f>
        <v>-16695371.95999999</v>
      </c>
      <c r="G72" s="939" t="s">
        <v>1047</v>
      </c>
      <c r="H72" s="262">
        <f>'II-I-MET'!F72</f>
        <v>273938.61000000028</v>
      </c>
      <c r="I72" s="939" t="s">
        <v>1047</v>
      </c>
      <c r="J72" s="262">
        <f>'II-I-TBILLTDCS'!F72</f>
        <v>141339.77999998356</v>
      </c>
      <c r="K72" s="944" t="s">
        <v>1047</v>
      </c>
      <c r="L72" s="945">
        <f t="shared" si="3"/>
        <v>-16280093.570000006</v>
      </c>
      <c r="M72" s="1034" t="s">
        <v>1048</v>
      </c>
      <c r="O72" t="b">
        <f>'II-I-DIST'!$F$72=F72</f>
        <v>1</v>
      </c>
      <c r="P72" t="b">
        <f>'II-I-MET'!$F$72=H72</f>
        <v>1</v>
      </c>
      <c r="Q72" t="b">
        <f>'II-I-TBILLTDCS'!$F$72=J72</f>
        <v>1</v>
      </c>
    </row>
    <row r="73" spans="2:17" ht="15.75">
      <c r="B73" s="17">
        <f t="shared" si="2"/>
        <v>21</v>
      </c>
      <c r="C73" s="167"/>
      <c r="D73" s="41" t="s">
        <v>125</v>
      </c>
      <c r="E73" s="261" t="s">
        <v>126</v>
      </c>
      <c r="F73" s="262">
        <f>'II-I-DIST'!F73</f>
        <v>100121671.99538463</v>
      </c>
      <c r="G73" s="939" t="s">
        <v>1047</v>
      </c>
      <c r="H73" s="262">
        <f>'II-I-MET'!F73</f>
        <v>3524809.17076923</v>
      </c>
      <c r="I73" s="939" t="s">
        <v>1047</v>
      </c>
      <c r="J73" s="262">
        <f>'II-I-TBILLTDCS'!F73</f>
        <v>930191.56999999855</v>
      </c>
      <c r="K73" s="944" t="s">
        <v>1047</v>
      </c>
      <c r="L73" s="945">
        <f t="shared" si="3"/>
        <v>104576672.73615386</v>
      </c>
      <c r="M73" s="1034" t="s">
        <v>1048</v>
      </c>
      <c r="O73" t="b">
        <f>'II-I-DIST'!$F$73=F73</f>
        <v>1</v>
      </c>
      <c r="P73" t="b">
        <f>'II-I-MET'!$F$73=H73</f>
        <v>1</v>
      </c>
      <c r="Q73" t="b">
        <f>'II-I-TBILLTDCS'!$F$73=J73</f>
        <v>1</v>
      </c>
    </row>
    <row r="74" spans="2:17" ht="15.75">
      <c r="B74" s="17">
        <f t="shared" si="2"/>
        <v>22</v>
      </c>
      <c r="C74" s="167"/>
      <c r="D74" s="42" t="s">
        <v>525</v>
      </c>
      <c r="E74" s="261" t="s">
        <v>128</v>
      </c>
      <c r="F74" s="262">
        <f>'II-I-DIST'!F74</f>
        <v>-2428360.54</v>
      </c>
      <c r="G74" s="939" t="s">
        <v>1047</v>
      </c>
      <c r="H74" s="262">
        <f>'II-I-MET'!F74</f>
        <v>-668323.90000000002</v>
      </c>
      <c r="I74" s="939" t="s">
        <v>1047</v>
      </c>
      <c r="J74" s="262">
        <f>'II-I-TBILLTDCS'!F74</f>
        <v>0</v>
      </c>
      <c r="K74" s="944" t="s">
        <v>1047</v>
      </c>
      <c r="L74" s="945">
        <f t="shared" si="3"/>
        <v>-3096684.4399999999</v>
      </c>
      <c r="M74" s="1034" t="s">
        <v>1048</v>
      </c>
      <c r="O74" t="b">
        <f>'II-I-DIST'!$F74=F74</f>
        <v>1</v>
      </c>
      <c r="P74" t="b">
        <f>'II-I-MET'!$F74=H74</f>
        <v>1</v>
      </c>
      <c r="Q74" t="b">
        <f>'II-I-TBILLTDCS'!$F$74=J74</f>
        <v>1</v>
      </c>
    </row>
    <row r="75" spans="2:17" ht="15.75">
      <c r="B75" s="17">
        <f t="shared" si="2"/>
        <v>23</v>
      </c>
      <c r="C75" s="167"/>
      <c r="D75" s="42" t="s">
        <v>526</v>
      </c>
      <c r="E75" s="261" t="s">
        <v>132</v>
      </c>
      <c r="F75" s="263">
        <f>'II-I-DIST'!F75</f>
        <v>190520108.74000001</v>
      </c>
      <c r="G75" s="939" t="s">
        <v>1047</v>
      </c>
      <c r="H75" s="262">
        <f>'II-I-MET'!F75</f>
        <v>119901695.55999999</v>
      </c>
      <c r="I75" s="939" t="s">
        <v>1047</v>
      </c>
      <c r="J75" s="262">
        <f>'II-I-TBILLTDCS'!F75</f>
        <v>4277692.1731872801</v>
      </c>
      <c r="K75" s="944" t="s">
        <v>1047</v>
      </c>
      <c r="L75" s="945">
        <f t="shared" si="3"/>
        <v>314699496.47318727</v>
      </c>
      <c r="M75" s="1034" t="s">
        <v>1048</v>
      </c>
      <c r="O75" t="b">
        <f>'II-I-DIST'!$F$75=F75</f>
        <v>1</v>
      </c>
      <c r="P75" t="b">
        <f>'II-I-MET'!$F$75=H75</f>
        <v>1</v>
      </c>
      <c r="Q75" t="b">
        <f>'II-I-TBILLTDCS'!$F$75=J75</f>
        <v>1</v>
      </c>
    </row>
    <row r="76" spans="2:17" ht="17.25">
      <c r="B76" s="17">
        <f t="shared" si="2"/>
        <v>24</v>
      </c>
      <c r="C76" s="167"/>
      <c r="D76" s="42" t="s">
        <v>1193</v>
      </c>
      <c r="E76" s="261" t="s">
        <v>528</v>
      </c>
      <c r="F76" s="264">
        <f>'II-I-DIST'!F76</f>
        <v>-1132059195.6699996</v>
      </c>
      <c r="G76" s="939" t="s">
        <v>1047</v>
      </c>
      <c r="H76" s="264">
        <f>'II-I-MET'!F76</f>
        <v>-36656474.20000001</v>
      </c>
      <c r="I76" s="939" t="s">
        <v>1047</v>
      </c>
      <c r="J76" s="264">
        <f>'II-I-TBILLTDCS'!F76</f>
        <v>-85810289.089999706</v>
      </c>
      <c r="K76" s="944" t="s">
        <v>1047</v>
      </c>
      <c r="L76" s="264">
        <f t="shared" si="3"/>
        <v>-1254525958.9599993</v>
      </c>
      <c r="M76" s="1034" t="s">
        <v>1048</v>
      </c>
      <c r="O76" t="b">
        <f>'II-I-DIST'!$F$76=F76</f>
        <v>1</v>
      </c>
      <c r="P76" t="b">
        <f>'II-I-MET'!$F$76=H76</f>
        <v>1</v>
      </c>
      <c r="Q76" t="b">
        <f>'II-I-TBILLTDCS'!$F$76=J76</f>
        <v>1</v>
      </c>
    </row>
    <row r="77" spans="2:17" ht="15.75">
      <c r="B77" s="17">
        <f t="shared" si="2"/>
        <v>25</v>
      </c>
      <c r="C77" s="249"/>
      <c r="D77" s="213" t="s">
        <v>491</v>
      </c>
      <c r="E77" s="213"/>
      <c r="F77" s="269">
        <f>'II-I-DIST'!F77</f>
        <v>-784104763.6846149</v>
      </c>
      <c r="G77" s="213"/>
      <c r="H77" s="269">
        <f>'II-I-MET'!F77</f>
        <v>86481428.570769221</v>
      </c>
      <c r="I77" s="213"/>
      <c r="J77" s="269">
        <f>'II-I-TBILLTDCS'!F77</f>
        <v>-80461065.566812441</v>
      </c>
      <c r="K77" s="269"/>
      <c r="L77" s="269">
        <f t="shared" si="3"/>
        <v>-778084400.6806581</v>
      </c>
      <c r="O77" t="b">
        <f>'II-I-DIST'!$F$77=F77</f>
        <v>1</v>
      </c>
      <c r="P77" t="b">
        <f>'II-I-MET'!$F$77=H77</f>
        <v>1</v>
      </c>
      <c r="Q77" t="b">
        <f>'II-I-TBILLTDCS'!$F$77=J77</f>
        <v>1</v>
      </c>
    </row>
    <row r="78" spans="2:12" ht="15.75" thickBot="1">
      <c r="B78" s="17">
        <f t="shared" si="2"/>
        <v>26</v>
      </c>
      <c r="C78" s="167"/>
      <c r="D78" s="41"/>
      <c r="E78" s="41"/>
      <c r="F78" s="12"/>
      <c r="G78" s="41"/>
      <c r="H78" s="12"/>
      <c r="I78" s="41"/>
      <c r="J78" s="12"/>
      <c r="K78" s="646"/>
      <c r="L78" s="646"/>
    </row>
    <row r="79" spans="2:17" ht="16.5" thickBot="1">
      <c r="B79" s="17">
        <f t="shared" si="2"/>
        <v>27</v>
      </c>
      <c r="C79" s="249"/>
      <c r="D79" s="276" t="s">
        <v>529</v>
      </c>
      <c r="E79" s="277"/>
      <c r="F79" s="905">
        <f>'II-I-DIST'!F79</f>
        <v>9061557949.7653847</v>
      </c>
      <c r="G79" s="277"/>
      <c r="H79" s="905">
        <f>'II-I-MET'!F79</f>
        <v>421320140.15076923</v>
      </c>
      <c r="I79" s="277"/>
      <c r="J79" s="905">
        <f>'II-I-TBILLTDCS'!F79</f>
        <v>205072406.65318757</v>
      </c>
      <c r="K79" s="905"/>
      <c r="L79" s="279">
        <f>F79+H79+J79</f>
        <v>9687950496.5693398</v>
      </c>
      <c r="O79" t="b">
        <f>'II-I-DIST'!$F$79=F79</f>
        <v>1</v>
      </c>
      <c r="P79" t="b">
        <f>'II-I-MET'!$F$79=H79</f>
        <v>1</v>
      </c>
      <c r="Q79" t="b">
        <f>'II-I-TBILLTDCS'!$F$79=J79</f>
        <v>1</v>
      </c>
    </row>
    <row r="80" spans="2:12" ht="15">
      <c r="B80" s="17">
        <f t="shared" si="2"/>
        <v>28</v>
      </c>
      <c r="C80" s="167"/>
      <c r="D80" s="281"/>
      <c r="E80" s="281"/>
      <c r="F80" s="262">
        <f>'II-I-DIST'!F80</f>
        <v>0</v>
      </c>
      <c r="G80" s="281"/>
      <c r="H80" s="262">
        <f>'II-I-MET'!F80</f>
        <v>0</v>
      </c>
      <c r="I80" s="281"/>
      <c r="J80" s="262">
        <f>'II-I-TBILLTDCS'!F80</f>
        <v>0</v>
      </c>
      <c r="K80" s="945"/>
      <c r="L80" s="945"/>
    </row>
    <row r="81" spans="2:17" ht="15.75">
      <c r="B81" s="17">
        <f t="shared" si="2"/>
        <v>29</v>
      </c>
      <c r="C81" s="167"/>
      <c r="D81" s="48" t="s">
        <v>530</v>
      </c>
      <c r="E81" s="281"/>
      <c r="F81" s="282">
        <f>'II-I-DIST'!F81</f>
        <v>0.070499999999999993</v>
      </c>
      <c r="G81" s="281"/>
      <c r="H81" s="282">
        <f>'II-I-MET'!F81</f>
        <v>0.070499999999999993</v>
      </c>
      <c r="I81" s="281"/>
      <c r="J81" s="282">
        <f>'II-I-TBILLTDCS'!F81</f>
        <v>0.070499999999999993</v>
      </c>
      <c r="K81" s="906"/>
      <c r="L81" s="906">
        <v>0.072300000000000003</v>
      </c>
      <c r="M81" s="1034" t="s">
        <v>1049</v>
      </c>
      <c r="O81" t="b">
        <f>'II-I-DIST'!$F$81=F81</f>
        <v>1</v>
      </c>
      <c r="P81" t="b">
        <f>'II-I-MET'!$F$81=H81</f>
        <v>1</v>
      </c>
      <c r="Q81" t="b">
        <f>'II-I-TBILLTDCS'!$F$81=J81</f>
        <v>1</v>
      </c>
    </row>
    <row r="82" spans="2:12" ht="15.75" thickBot="1">
      <c r="B82" s="17">
        <f t="shared" si="2"/>
        <v>30</v>
      </c>
      <c r="C82" s="167"/>
      <c r="D82" s="1"/>
      <c r="E82" s="1"/>
      <c r="F82" s="262">
        <f>'II-I-DIST'!F82</f>
        <v>0</v>
      </c>
      <c r="G82" s="1"/>
      <c r="H82" s="262">
        <f>'II-I-MET'!F82</f>
        <v>0</v>
      </c>
      <c r="I82" s="1"/>
      <c r="J82" s="262">
        <f>'II-I-TBILLTDCS'!F82</f>
        <v>0</v>
      </c>
      <c r="K82" s="945"/>
      <c r="L82" s="945"/>
    </row>
    <row r="83" spans="2:17" ht="16.5" thickBot="1">
      <c r="B83" s="17">
        <f t="shared" si="2"/>
        <v>31</v>
      </c>
      <c r="C83" s="249"/>
      <c r="D83" s="284" t="s">
        <v>531</v>
      </c>
      <c r="E83" s="285"/>
      <c r="F83" s="905">
        <f>'II-I-DIST'!F83</f>
        <v>638839835.45845962</v>
      </c>
      <c r="G83" s="285"/>
      <c r="H83" s="905">
        <f>'II-I-MET'!F83</f>
        <v>29703069.880629227</v>
      </c>
      <c r="I83" s="285"/>
      <c r="J83" s="905">
        <f>'II-I-TBILLTDCS'!F83</f>
        <v>14457604.669049723</v>
      </c>
      <c r="K83" s="905"/>
      <c r="L83" s="279">
        <f>F83+H83+J83</f>
        <v>683000510.00813854</v>
      </c>
      <c r="O83" t="b">
        <f>'II-I-DIST'!$F$83=F83</f>
        <v>1</v>
      </c>
      <c r="P83" t="b">
        <f>'II-I-MET'!$F$83=H83</f>
        <v>1</v>
      </c>
      <c r="Q83" t="b">
        <f>'II-I-TBILLTDCS'!$F$83=J83</f>
        <v>1</v>
      </c>
    </row>
    <row r="84" spans="2:9" ht="15.75">
      <c r="B84" s="17"/>
      <c r="C84" s="249"/>
      <c r="E84" s="422"/>
      <c r="F84" s="422"/>
      <c r="G84" s="422"/>
      <c r="H84" s="422"/>
      <c r="I84" s="422"/>
    </row>
    <row r="85" spans="2:12" ht="15.75">
      <c r="B85" s="167"/>
      <c r="C85" s="167"/>
      <c r="D85" s="167"/>
      <c r="E85" s="175"/>
      <c r="F85" s="269"/>
      <c r="G85" s="422"/>
      <c r="H85" s="175"/>
      <c r="I85" s="175"/>
      <c r="J85" s="167"/>
      <c r="K85" s="167"/>
      <c r="L85" s="167"/>
    </row>
    <row r="86" spans="2:12" ht="15">
      <c r="B86" s="167"/>
      <c r="C86" s="167"/>
      <c r="D86" s="167"/>
      <c r="E86" s="175"/>
      <c r="F86" s="422"/>
      <c r="G86" s="422"/>
      <c r="H86" s="175"/>
      <c r="I86" s="175"/>
      <c r="J86" s="167"/>
      <c r="K86" s="167"/>
      <c r="L86" s="167"/>
    </row>
    <row r="87" spans="2:12" ht="15.75">
      <c r="B87" s="167"/>
      <c r="C87" s="167"/>
      <c r="D87" s="167"/>
      <c r="E87" s="175"/>
      <c r="F87" s="269"/>
      <c r="G87" s="422"/>
      <c r="H87" s="175"/>
      <c r="I87" s="175"/>
      <c r="J87" s="167"/>
      <c r="K87" s="167"/>
      <c r="L87" s="167"/>
    </row>
    <row r="88" spans="2:12" ht="15">
      <c r="B88" s="167"/>
      <c r="C88" s="167"/>
      <c r="D88" s="167"/>
      <c r="E88" s="175"/>
      <c r="F88" s="422"/>
      <c r="G88" s="422"/>
      <c r="H88" s="175"/>
      <c r="I88" s="175"/>
      <c r="J88" s="167"/>
      <c r="K88" s="167"/>
      <c r="L88" s="167"/>
    </row>
    <row r="89" spans="2:12" ht="15.75">
      <c r="B89" s="874"/>
      <c r="C89" s="874"/>
      <c r="D89" s="874"/>
      <c r="E89" s="925"/>
      <c r="F89" s="940"/>
      <c r="G89" s="941"/>
      <c r="H89" s="175"/>
      <c r="I89" s="175"/>
      <c r="J89" s="167"/>
      <c r="K89" s="874"/>
      <c r="L89" s="874"/>
    </row>
    <row r="90" spans="2:12" ht="15.75" thickBot="1">
      <c r="B90" s="874"/>
      <c r="C90" s="874"/>
      <c r="D90" s="874"/>
      <c r="E90" s="874"/>
      <c r="K90" s="874"/>
      <c r="L90" s="874"/>
    </row>
    <row r="91" spans="2:12" ht="15">
      <c r="B91" s="920" t="str">
        <f>$B$4</f>
        <v>2022 RATE CASE</v>
      </c>
      <c r="C91" s="926"/>
      <c r="D91" s="927"/>
      <c r="E91" s="874"/>
      <c r="K91" s="874"/>
      <c r="L91" s="874"/>
    </row>
    <row r="92" spans="2:12" ht="15">
      <c r="B92" s="917" t="str">
        <f>$B$5</f>
        <v>ONCOR ELECTRIC DELIVERY COMPANY LLC</v>
      </c>
      <c r="C92" s="369"/>
      <c r="D92" s="928"/>
      <c r="E92" s="874"/>
      <c r="K92" s="874"/>
      <c r="L92" s="874"/>
    </row>
    <row r="93" spans="2:12" ht="15">
      <c r="B93" s="406" t="str">
        <f>$B$6</f>
        <v>II-I-2.1f:  CONSOLIDATED FUNCTIONALIZED COST OF SERVICE</v>
      </c>
      <c r="C93" s="369"/>
      <c r="D93" s="928"/>
      <c r="E93" s="874"/>
      <c r="K93" s="874"/>
      <c r="L93" s="874"/>
    </row>
    <row r="94" spans="2:4" ht="15">
      <c r="B94" s="406" t="str">
        <f>$B$7</f>
        <v>TEST YEAR ENDING 12/31/2021</v>
      </c>
      <c r="C94" s="404"/>
      <c r="D94" s="405"/>
    </row>
    <row r="95" spans="2:12" ht="15.75" customHeight="1">
      <c r="B95" s="406" t="str">
        <f>$B$8</f>
        <v>SPONSOR:  MATTHEW A. TROXLE</v>
      </c>
      <c r="C95" s="369"/>
      <c r="D95" s="928"/>
      <c r="E95" s="369"/>
      <c r="K95" s="369"/>
      <c r="L95" s="369"/>
    </row>
    <row r="96" spans="2:10" ht="15.75" thickBot="1">
      <c r="B96" s="410"/>
      <c r="C96" s="942"/>
      <c r="D96" s="943"/>
      <c r="F96" s="67"/>
      <c r="G96" s="67"/>
      <c r="H96" s="67"/>
      <c r="I96" s="67"/>
      <c r="J96" s="67"/>
    </row>
    <row r="97" spans="2:13" ht="14.25">
      <c r="B97" s="13"/>
      <c r="C97" s="14"/>
      <c r="D97" s="238"/>
      <c r="E97" s="14"/>
      <c r="F97" s="14"/>
      <c r="G97" s="14"/>
      <c r="H97" s="14"/>
      <c r="I97" s="14"/>
      <c r="J97" s="14"/>
      <c r="K97" s="738"/>
      <c r="L97" s="952"/>
      <c r="M97" s="1036"/>
    </row>
    <row r="98" spans="2:13" ht="15">
      <c r="B98" s="15" t="s">
        <v>2</v>
      </c>
      <c r="C98" s="15" t="s">
        <v>370</v>
      </c>
      <c r="D98" s="241" t="s">
        <v>532</v>
      </c>
      <c r="E98" s="15" t="s">
        <v>371</v>
      </c>
      <c r="F98" s="287" t="str">
        <f>'II-I-DIST'!F98</f>
        <v>DIST</v>
      </c>
      <c r="G98" s="242" t="s">
        <v>376</v>
      </c>
      <c r="H98" s="287" t="str">
        <f>'II-I-MET'!F98</f>
        <v>MET</v>
      </c>
      <c r="I98" s="242" t="s">
        <v>376</v>
      </c>
      <c r="J98" s="287" t="str">
        <f>'II-I-TBILLTDCS'!F98</f>
        <v>TBILLTDCS</v>
      </c>
      <c r="K98" s="744" t="s">
        <v>376</v>
      </c>
      <c r="L98" s="743" t="s">
        <v>481</v>
      </c>
      <c r="M98" s="1030" t="s">
        <v>1046</v>
      </c>
    </row>
    <row r="99" spans="2:13" ht="14.25">
      <c r="B99" s="15"/>
      <c r="C99" s="15"/>
      <c r="D99" s="242"/>
      <c r="E99" s="15"/>
      <c r="F99" s="15"/>
      <c r="G99" s="242" t="s">
        <v>743</v>
      </c>
      <c r="H99" s="15"/>
      <c r="I99" s="242" t="s">
        <v>743</v>
      </c>
      <c r="J99" s="15"/>
      <c r="K99" s="744" t="s">
        <v>743</v>
      </c>
      <c r="L99" s="743" t="s">
        <v>33</v>
      </c>
      <c r="M99" s="1037"/>
    </row>
    <row r="100" spans="2:13" ht="15.75" thickBot="1">
      <c r="B100" s="243"/>
      <c r="C100" s="957"/>
      <c r="D100" s="245"/>
      <c r="E100" s="245"/>
      <c r="F100" s="747" t="s">
        <v>13</v>
      </c>
      <c r="G100" s="747" t="s">
        <v>14</v>
      </c>
      <c r="H100" s="747" t="s">
        <v>15</v>
      </c>
      <c r="I100" s="747" t="s">
        <v>16</v>
      </c>
      <c r="J100" s="747" t="s">
        <v>17</v>
      </c>
      <c r="K100" s="747" t="s">
        <v>18</v>
      </c>
      <c r="L100" s="747" t="s">
        <v>19</v>
      </c>
      <c r="M100" s="1032" t="s">
        <v>20</v>
      </c>
    </row>
    <row r="101" spans="2:12" ht="14.25">
      <c r="B101" s="67"/>
      <c r="C101" s="67"/>
      <c r="D101" s="100"/>
      <c r="E101" s="100"/>
      <c r="F101" s="100"/>
      <c r="G101" s="100"/>
      <c r="H101" s="100"/>
      <c r="I101" s="100"/>
      <c r="J101" s="100"/>
      <c r="K101" s="947"/>
      <c r="L101" s="947"/>
    </row>
    <row r="102" spans="2:12" ht="15" customHeight="1">
      <c r="B102" s="17">
        <f t="shared" si="4" ref="B102:B118">B101+1</f>
        <v>1</v>
      </c>
      <c r="C102" s="8" t="s">
        <v>533</v>
      </c>
      <c r="D102" s="8"/>
      <c r="E102" s="922" t="s">
        <v>24</v>
      </c>
      <c r="F102" s="922"/>
      <c r="G102" s="922"/>
      <c r="H102" s="922"/>
      <c r="I102" s="922"/>
      <c r="J102" s="922"/>
      <c r="K102" s="896"/>
      <c r="L102" s="8"/>
    </row>
    <row r="103" spans="2:15" s="386" customFormat="1" ht="14.25">
      <c r="B103" s="17">
        <f t="shared" si="4"/>
        <v>2</v>
      </c>
      <c r="C103" s="1" t="s">
        <v>25</v>
      </c>
      <c r="D103" s="1" t="s">
        <v>26</v>
      </c>
      <c r="E103" s="17"/>
      <c r="F103" s="118">
        <f>'II-I-DIST'!F103</f>
        <v>0</v>
      </c>
      <c r="G103" s="118" t="str">
        <f>'II-I-DIST'!H103</f>
        <v>PLT_N XINT</v>
      </c>
      <c r="H103" s="118">
        <f>'II-I-MET'!F103</f>
        <v>0</v>
      </c>
      <c r="I103" s="118" t="str">
        <f>'II-I-MET'!H103</f>
        <v>PLT_N XINT</v>
      </c>
      <c r="J103" s="118">
        <f>'II-I-TBILLTDCS'!F103</f>
        <v>0</v>
      </c>
      <c r="K103" s="118" t="str">
        <f>'II-I-TBILLTDCS'!H103</f>
        <v>PLT_N XINT</v>
      </c>
      <c r="L103" s="893">
        <v>0</v>
      </c>
      <c r="M103" s="1033"/>
      <c r="N103" s="1" t="b">
        <f>'II-I-DIST'!$C$103=C103</f>
        <v>1</v>
      </c>
      <c r="O103" t="b">
        <f>'II-I-DIST'!$F$103=F103</f>
        <v>1</v>
      </c>
    </row>
    <row r="104" spans="2:14" s="386" customFormat="1" ht="14.25">
      <c r="B104" s="17">
        <f t="shared" si="4"/>
        <v>3</v>
      </c>
      <c r="C104" s="1" t="s">
        <v>27</v>
      </c>
      <c r="D104" s="1" t="s">
        <v>28</v>
      </c>
      <c r="E104" s="17"/>
      <c r="F104" s="118">
        <f>'II-I-DIST'!F104</f>
        <v>0</v>
      </c>
      <c r="G104" s="118" t="str">
        <f>'II-I-DIST'!H104</f>
        <v>PLT_N XINT</v>
      </c>
      <c r="H104" s="118">
        <f>'II-I-MET'!F104</f>
        <v>0</v>
      </c>
      <c r="I104" s="118" t="str">
        <f>'II-I-MET'!H104</f>
        <v>PLT_N XINT</v>
      </c>
      <c r="J104" s="118">
        <f>'II-I-TBILLTDCS'!F104</f>
        <v>0</v>
      </c>
      <c r="K104" s="118" t="str">
        <f>'II-I-TBILLTDCS'!H104</f>
        <v>PLT_N XINT</v>
      </c>
      <c r="L104" s="893">
        <v>0</v>
      </c>
      <c r="M104" s="1033"/>
      <c r="N104" s="1" t="b">
        <f>'II-I-DIST'!$D$104=D104</f>
        <v>1</v>
      </c>
    </row>
    <row r="105" spans="2:13" s="386" customFormat="1" ht="29.25" customHeight="1">
      <c r="B105" s="17">
        <f t="shared" si="4"/>
        <v>4</v>
      </c>
      <c r="C105" s="1" t="s">
        <v>29</v>
      </c>
      <c r="D105" s="1" t="s">
        <v>34</v>
      </c>
      <c r="E105" s="17"/>
      <c r="F105" s="118">
        <f>'II-I-DIST'!F105</f>
        <v>323333372.81999999</v>
      </c>
      <c r="G105" s="47" t="s">
        <v>842</v>
      </c>
      <c r="H105" s="118">
        <f>'II-I-MET'!F105</f>
        <v>185301712.96000001</v>
      </c>
      <c r="I105" s="47" t="s">
        <v>842</v>
      </c>
      <c r="J105" s="118">
        <f>'II-I-TBILLTDCS'!F105</f>
        <v>310409174.74000001</v>
      </c>
      <c r="K105" s="703" t="s">
        <v>842</v>
      </c>
      <c r="L105" s="893">
        <f>F105+H105+J105</f>
        <v>819044260.51999998</v>
      </c>
      <c r="M105" s="923" t="s">
        <v>1050</v>
      </c>
    </row>
    <row r="106" spans="2:17" ht="15">
      <c r="B106" s="17">
        <f t="shared" si="4"/>
        <v>5</v>
      </c>
      <c r="C106" s="8"/>
      <c r="D106" s="297" t="s">
        <v>491</v>
      </c>
      <c r="E106" s="922"/>
      <c r="F106" s="907">
        <f>'II-I-DIST'!F106</f>
        <v>323333372.81999999</v>
      </c>
      <c r="G106" s="922"/>
      <c r="H106" s="907">
        <f>'II-I-MET'!F106</f>
        <v>185301712.96000001</v>
      </c>
      <c r="I106" s="922"/>
      <c r="J106" s="907">
        <f>'II-I-TBILLTDCS'!F106</f>
        <v>310409174.74000001</v>
      </c>
      <c r="K106" s="907"/>
      <c r="L106" s="907">
        <f>F106+H106+J106</f>
        <v>819044260.51999998</v>
      </c>
      <c r="O106" t="b">
        <f>'II-I-DIST'!$F$106=F106</f>
        <v>1</v>
      </c>
      <c r="P106" t="b">
        <f>'II-I-MET'!$F$106=H106</f>
        <v>1</v>
      </c>
      <c r="Q106" t="b">
        <f>'II-I-TBILLTDCS'!$F$106=J106</f>
        <v>1</v>
      </c>
    </row>
    <row r="107" spans="2:12" ht="15">
      <c r="B107" s="17">
        <f t="shared" si="4"/>
        <v>6</v>
      </c>
      <c r="C107" s="8" t="s">
        <v>566</v>
      </c>
      <c r="D107" s="8"/>
      <c r="E107" s="922" t="s">
        <v>24</v>
      </c>
      <c r="F107" s="922"/>
      <c r="G107" s="17"/>
      <c r="H107" s="922"/>
      <c r="I107" s="17"/>
      <c r="J107" s="922"/>
      <c r="K107" s="896"/>
      <c r="L107" s="896"/>
    </row>
    <row r="108" spans="2:13" s="386" customFormat="1" ht="15">
      <c r="B108" s="17">
        <f t="shared" si="4"/>
        <v>7</v>
      </c>
      <c r="C108" s="1" t="s">
        <v>39</v>
      </c>
      <c r="D108" s="1" t="s">
        <v>40</v>
      </c>
      <c r="E108" s="922"/>
      <c r="F108" s="118">
        <f>'II-I-DIST'!F108</f>
        <v>0</v>
      </c>
      <c r="G108" s="118" t="str">
        <f>'II-I-DIST'!H108</f>
        <v>NCP XHV</v>
      </c>
      <c r="H108" s="118">
        <f>'II-I-MET'!F108</f>
        <v>0</v>
      </c>
      <c r="I108" s="118" t="str">
        <f>'II-I-MET'!H108</f>
        <v>NCP XHV</v>
      </c>
      <c r="J108" s="118">
        <f>'II-I-TBILLTDCS'!F108</f>
        <v>0</v>
      </c>
      <c r="K108" s="118" t="str">
        <f>'II-I-TBILLTDCS'!H108</f>
        <v>NCP XHV</v>
      </c>
      <c r="L108" s="893">
        <v>0</v>
      </c>
      <c r="M108" s="1033"/>
    </row>
    <row r="109" spans="2:13" s="386" customFormat="1" ht="14.25">
      <c r="B109" s="17">
        <f t="shared" si="4"/>
        <v>8</v>
      </c>
      <c r="C109" s="1" t="s">
        <v>41</v>
      </c>
      <c r="D109" s="1" t="s">
        <v>42</v>
      </c>
      <c r="E109" s="17"/>
      <c r="F109" s="118">
        <f>'II-I-DIST'!F109</f>
        <v>0</v>
      </c>
      <c r="G109" s="118" t="str">
        <f>'II-I-DIST'!H109</f>
        <v>NCP XHV</v>
      </c>
      <c r="H109" s="118">
        <f>'II-I-MET'!F109</f>
        <v>0</v>
      </c>
      <c r="I109" s="118" t="str">
        <f>'II-I-MET'!H109</f>
        <v>NCP XHV</v>
      </c>
      <c r="J109" s="118">
        <f>'II-I-TBILLTDCS'!F109</f>
        <v>0</v>
      </c>
      <c r="K109" s="118" t="str">
        <f>'II-I-TBILLTDCS'!H109</f>
        <v>NCP XHV</v>
      </c>
      <c r="L109" s="893">
        <v>0</v>
      </c>
      <c r="M109" s="1033"/>
    </row>
    <row r="110" spans="2:13" s="386" customFormat="1" ht="49.5" customHeight="1">
      <c r="B110" s="17">
        <f t="shared" si="4"/>
        <v>9</v>
      </c>
      <c r="C110" s="1" t="s">
        <v>43</v>
      </c>
      <c r="D110" s="1" t="s">
        <v>44</v>
      </c>
      <c r="E110" s="17"/>
      <c r="F110" s="118">
        <f>'II-I-DIST'!F110</f>
        <v>0</v>
      </c>
      <c r="G110" s="118" t="str">
        <f>'II-I-DIST'!H110</f>
        <v>NCP XHV</v>
      </c>
      <c r="H110" s="118">
        <f>'II-I-MET'!F110</f>
        <v>0</v>
      </c>
      <c r="I110" s="118" t="str">
        <f>'II-I-MET'!H110</f>
        <v>NCP XHV</v>
      </c>
      <c r="J110" s="118">
        <f>'II-I-TBILLTDCS'!F110</f>
        <v>0</v>
      </c>
      <c r="K110" s="118" t="str">
        <f>'II-I-TBILLTDCS'!H110</f>
        <v>NCP XHV</v>
      </c>
      <c r="L110" s="893">
        <v>0</v>
      </c>
      <c r="M110" s="924" t="s">
        <v>1191</v>
      </c>
    </row>
    <row r="111" spans="2:13" s="386" customFormat="1" ht="19.5" customHeight="1">
      <c r="B111" s="17">
        <f t="shared" si="4"/>
        <v>10</v>
      </c>
      <c r="C111" s="1" t="s">
        <v>45</v>
      </c>
      <c r="D111" s="1" t="s">
        <v>46</v>
      </c>
      <c r="E111" s="17"/>
      <c r="F111" s="118">
        <f>'II-I-DIST'!F111</f>
        <v>381860650.86000001</v>
      </c>
      <c r="G111" s="118" t="str">
        <f>'II-I-DIST'!H111</f>
        <v>NCP XHV</v>
      </c>
      <c r="H111" s="118">
        <f>'II-I-MET'!F111</f>
        <v>0</v>
      </c>
      <c r="I111" s="118" t="str">
        <f>'II-I-MET'!H111</f>
        <v>NCP XHV</v>
      </c>
      <c r="J111" s="118">
        <f>'II-I-TBILLTDCS'!F111</f>
        <v>0</v>
      </c>
      <c r="K111" s="118" t="str">
        <f>'II-I-TBILLTDCS'!H111</f>
        <v>NCP XHV</v>
      </c>
      <c r="L111" s="893">
        <f>F111+H111+J111</f>
        <v>381860650.86000001</v>
      </c>
      <c r="M111" s="924"/>
    </row>
    <row r="112" spans="2:13" s="386" customFormat="1" ht="14.25">
      <c r="B112" s="17">
        <f t="shared" si="4"/>
        <v>11</v>
      </c>
      <c r="C112" s="1" t="s">
        <v>47</v>
      </c>
      <c r="D112" s="1" t="s">
        <v>48</v>
      </c>
      <c r="E112" s="17"/>
      <c r="F112" s="118">
        <f>'II-I-DIST'!F112</f>
        <v>0</v>
      </c>
      <c r="G112" s="118" t="str">
        <f>'II-I-DIST'!H112</f>
        <v>NCP XHV</v>
      </c>
      <c r="H112" s="118">
        <f>'II-I-MET'!F112</f>
        <v>0</v>
      </c>
      <c r="I112" s="118" t="str">
        <f>'II-I-MET'!H112</f>
        <v>NCP XHV</v>
      </c>
      <c r="J112" s="118">
        <f>'II-I-TBILLTDCS'!F112</f>
        <v>0</v>
      </c>
      <c r="K112" s="118" t="str">
        <f>'II-I-TBILLTDCS'!H112</f>
        <v>NCP XHV</v>
      </c>
      <c r="L112" s="893">
        <v>0</v>
      </c>
      <c r="M112" s="1033"/>
    </row>
    <row r="113" spans="2:13" s="386" customFormat="1" ht="14.25">
      <c r="B113" s="17">
        <f t="shared" si="4"/>
        <v>12</v>
      </c>
      <c r="C113" s="1" t="s">
        <v>49</v>
      </c>
      <c r="D113" s="730" t="s">
        <v>50</v>
      </c>
      <c r="E113" s="17"/>
      <c r="F113" s="118">
        <f>'II-I-DIST'!F113</f>
        <v>0</v>
      </c>
      <c r="G113" s="118" t="str">
        <f>'II-I-DIST'!H113</f>
        <v>NCP XHV</v>
      </c>
      <c r="H113" s="118">
        <f>'II-I-MET'!F113</f>
        <v>0</v>
      </c>
      <c r="I113" s="118" t="str">
        <f>'II-I-MET'!H113</f>
        <v>NCP XHV</v>
      </c>
      <c r="J113" s="118">
        <f>'II-I-TBILLTDCS'!F113</f>
        <v>0</v>
      </c>
      <c r="K113" s="118" t="str">
        <f>'II-I-TBILLTDCS'!H113</f>
        <v>NCP XHV</v>
      </c>
      <c r="L113" s="893">
        <v>0</v>
      </c>
      <c r="M113" s="1033"/>
    </row>
    <row r="114" spans="2:13" s="386" customFormat="1" ht="14.25">
      <c r="B114" s="17">
        <f t="shared" si="4"/>
        <v>13</v>
      </c>
      <c r="C114" s="1" t="s">
        <v>51</v>
      </c>
      <c r="D114" s="1" t="s">
        <v>534</v>
      </c>
      <c r="E114" s="17"/>
      <c r="F114" s="118">
        <f>'II-I-DIST'!F114</f>
        <v>0</v>
      </c>
      <c r="G114" s="118" t="str">
        <f>'II-I-DIST'!H114</f>
        <v>NCP XHV</v>
      </c>
      <c r="H114" s="118">
        <f>'II-I-MET'!F114</f>
        <v>0</v>
      </c>
      <c r="I114" s="118" t="str">
        <f>'II-I-MET'!H114</f>
        <v>NCP XHV</v>
      </c>
      <c r="J114" s="118">
        <f>'II-I-TBILLTDCS'!F114</f>
        <v>0</v>
      </c>
      <c r="K114" s="118" t="str">
        <f>'II-I-TBILLTDCS'!H114</f>
        <v>NCP XHV</v>
      </c>
      <c r="L114" s="893">
        <v>0</v>
      </c>
      <c r="M114" s="1033"/>
    </row>
    <row r="115" spans="2:13" s="386" customFormat="1" ht="14.25">
      <c r="B115" s="17">
        <f t="shared" si="4"/>
        <v>14</v>
      </c>
      <c r="C115" s="1" t="s">
        <v>53</v>
      </c>
      <c r="D115" s="730" t="s">
        <v>695</v>
      </c>
      <c r="E115" s="17"/>
      <c r="F115" s="118">
        <f>'II-I-DIST'!F115</f>
        <v>0</v>
      </c>
      <c r="G115" s="118" t="str">
        <f>'II-I-DIST'!H115</f>
        <v>NCP XHV</v>
      </c>
      <c r="H115" s="118">
        <f>'II-I-MET'!F115</f>
        <v>0</v>
      </c>
      <c r="I115" s="118" t="str">
        <f>'II-I-MET'!H115</f>
        <v>NCP XHV</v>
      </c>
      <c r="J115" s="118">
        <f>'II-I-TBILLTDCS'!F115</f>
        <v>0</v>
      </c>
      <c r="K115" s="118" t="str">
        <f>'II-I-TBILLTDCS'!H115</f>
        <v>NCP XHV</v>
      </c>
      <c r="L115" s="893">
        <v>0</v>
      </c>
      <c r="M115" s="1033"/>
    </row>
    <row r="116" spans="2:13" s="386" customFormat="1" ht="14.25">
      <c r="B116" s="17">
        <f t="shared" si="4"/>
        <v>15</v>
      </c>
      <c r="C116" s="1" t="s">
        <v>55</v>
      </c>
      <c r="D116" s="31" t="s">
        <v>535</v>
      </c>
      <c r="E116" s="17"/>
      <c r="F116" s="118">
        <f>'II-I-DIST'!F116</f>
        <v>0</v>
      </c>
      <c r="G116" s="118" t="str">
        <f>'II-I-DIST'!H116</f>
        <v>NCP XHV</v>
      </c>
      <c r="H116" s="118">
        <f>'II-I-MET'!F116</f>
        <v>0</v>
      </c>
      <c r="I116" s="118" t="str">
        <f>'II-I-MET'!H116</f>
        <v>NCP XHV</v>
      </c>
      <c r="J116" s="118">
        <f>'II-I-TBILLTDCS'!F116</f>
        <v>0</v>
      </c>
      <c r="K116" s="118" t="str">
        <f>'II-I-TBILLTDCS'!H116</f>
        <v>NCP XHV</v>
      </c>
      <c r="L116" s="893">
        <v>0</v>
      </c>
      <c r="M116" s="1033"/>
    </row>
    <row r="117" spans="2:13" s="386" customFormat="1" ht="14.25">
      <c r="B117" s="17">
        <f t="shared" si="4"/>
        <v>16</v>
      </c>
      <c r="C117" s="1" t="s">
        <v>57</v>
      </c>
      <c r="D117" s="1" t="s">
        <v>58</v>
      </c>
      <c r="E117" s="17"/>
      <c r="F117" s="118">
        <f>'II-I-DIST'!F117</f>
        <v>0</v>
      </c>
      <c r="G117" s="118" t="str">
        <f>'II-I-DIST'!H117</f>
        <v>NCP XHV</v>
      </c>
      <c r="H117" s="118">
        <f>'II-I-MET'!F117</f>
        <v>0</v>
      </c>
      <c r="I117" s="118" t="str">
        <f>'II-I-MET'!H117</f>
        <v>NCP XHV</v>
      </c>
      <c r="J117" s="118">
        <f>'II-I-TBILLTDCS'!F117</f>
        <v>0</v>
      </c>
      <c r="K117" s="118" t="str">
        <f>'II-I-TBILLTDCS'!H117</f>
        <v>NCP XHV</v>
      </c>
      <c r="L117" s="893">
        <v>0</v>
      </c>
      <c r="M117" s="1033"/>
    </row>
    <row r="118" spans="2:17" ht="15">
      <c r="B118" s="17">
        <f t="shared" si="4"/>
        <v>17</v>
      </c>
      <c r="C118" s="8"/>
      <c r="D118" s="297" t="s">
        <v>491</v>
      </c>
      <c r="E118" s="922"/>
      <c r="F118" s="896">
        <f>'II-I-DIST'!F118</f>
        <v>381860650.86000001</v>
      </c>
      <c r="G118" s="922"/>
      <c r="H118" s="896">
        <f>'II-I-MET'!F118</f>
        <v>0</v>
      </c>
      <c r="I118" s="922"/>
      <c r="J118" s="896">
        <f>'II-I-TBILLTDCS'!F118</f>
        <v>0</v>
      </c>
      <c r="K118" s="896"/>
      <c r="L118" s="896">
        <f>F118+H118+J118</f>
        <v>381860650.86000001</v>
      </c>
      <c r="O118" t="b">
        <f>'II-I-DIST'!$F$117=F117</f>
        <v>1</v>
      </c>
      <c r="P118" t="b">
        <f>'II-I-MET'!$F$117=H117</f>
        <v>1</v>
      </c>
      <c r="Q118" t="b">
        <f>'II-I-TBILLTDCS'!$F$117=J117</f>
        <v>1</v>
      </c>
    </row>
    <row r="119" spans="2:12" ht="15">
      <c r="B119" s="874"/>
      <c r="C119" s="874"/>
      <c r="D119" s="874"/>
      <c r="E119" s="874"/>
      <c r="F119" s="19"/>
      <c r="G119" s="134"/>
      <c r="H119" s="19"/>
      <c r="I119" s="134"/>
      <c r="J119" s="19"/>
      <c r="K119" s="874"/>
      <c r="L119" s="874"/>
    </row>
    <row r="120" spans="2:12" ht="15.75" thickBot="1">
      <c r="B120" s="874"/>
      <c r="C120" s="874"/>
      <c r="D120" s="874"/>
      <c r="E120" s="874"/>
      <c r="F120" s="19"/>
      <c r="G120" s="17"/>
      <c r="H120" s="19"/>
      <c r="I120" s="17"/>
      <c r="J120" s="19"/>
      <c r="K120" s="874"/>
      <c r="L120" s="874"/>
    </row>
    <row r="121" spans="2:12" ht="15">
      <c r="B121" s="953" t="str">
        <f>$B$4</f>
        <v>2022 RATE CASE</v>
      </c>
      <c r="C121" s="926"/>
      <c r="D121" s="927"/>
      <c r="E121" s="874"/>
      <c r="F121" s="67"/>
      <c r="H121" s="67"/>
      <c r="J121" s="67"/>
      <c r="K121" s="874"/>
      <c r="L121" s="874"/>
    </row>
    <row r="122" spans="2:12" ht="15">
      <c r="B122" s="954" t="str">
        <f>$B$5</f>
        <v>ONCOR ELECTRIC DELIVERY COMPANY LLC</v>
      </c>
      <c r="C122" s="369"/>
      <c r="D122" s="928"/>
      <c r="E122" s="874"/>
      <c r="F122" s="67"/>
      <c r="H122" s="67"/>
      <c r="J122" s="67"/>
      <c r="K122" s="874"/>
      <c r="L122" s="874"/>
    </row>
    <row r="123" spans="2:12" ht="15">
      <c r="B123" s="954" t="str">
        <f>$B$6</f>
        <v>II-I-2.1f:  CONSOLIDATED FUNCTIONALIZED COST OF SERVICE</v>
      </c>
      <c r="C123" s="369"/>
      <c r="D123" s="928"/>
      <c r="E123" s="874"/>
      <c r="F123" s="12"/>
      <c r="H123" s="12"/>
      <c r="J123" s="12"/>
      <c r="K123" s="874"/>
      <c r="L123" s="874"/>
    </row>
    <row r="124" spans="2:10" ht="15">
      <c r="B124" s="917" t="str">
        <f>$B$7</f>
        <v>TEST YEAR ENDING 12/31/2021</v>
      </c>
      <c r="C124" s="404"/>
      <c r="D124" s="405"/>
      <c r="F124" s="12"/>
      <c r="H124" s="12"/>
      <c r="J124" s="12"/>
    </row>
    <row r="125" spans="2:12" ht="15.75" customHeight="1">
      <c r="B125" s="954" t="str">
        <f>$B$8</f>
        <v>SPONSOR:  MATTHEW A. TROXLE</v>
      </c>
      <c r="C125" s="369"/>
      <c r="D125" s="928"/>
      <c r="E125" s="369"/>
      <c r="F125" s="12"/>
      <c r="H125" s="12"/>
      <c r="J125" s="12"/>
      <c r="K125" s="369"/>
      <c r="L125" s="369"/>
    </row>
    <row r="126" spans="2:10" ht="15" thickBot="1">
      <c r="B126" s="955"/>
      <c r="C126" s="942"/>
      <c r="D126" s="943"/>
      <c r="F126" s="12"/>
      <c r="H126" s="12"/>
      <c r="J126" s="12"/>
    </row>
    <row r="127" spans="2:13" ht="14.25">
      <c r="B127" s="13"/>
      <c r="C127" s="14"/>
      <c r="D127" s="238"/>
      <c r="E127" s="14"/>
      <c r="F127" s="13"/>
      <c r="G127" s="14"/>
      <c r="H127" s="13"/>
      <c r="I127" s="14"/>
      <c r="J127" s="13"/>
      <c r="K127" s="738"/>
      <c r="L127" s="952"/>
      <c r="M127" s="1036"/>
    </row>
    <row r="128" spans="2:13" ht="15">
      <c r="B128" s="15" t="s">
        <v>2</v>
      </c>
      <c r="C128" s="15" t="s">
        <v>370</v>
      </c>
      <c r="D128" s="241" t="s">
        <v>567</v>
      </c>
      <c r="E128" s="15" t="s">
        <v>371</v>
      </c>
      <c r="F128" s="287" t="str">
        <f>'II-I-DIST'!F128</f>
        <v>DIST</v>
      </c>
      <c r="G128" s="242" t="s">
        <v>376</v>
      </c>
      <c r="H128" s="287" t="str">
        <f>'II-I-MET'!F128</f>
        <v>MET</v>
      </c>
      <c r="I128" s="242" t="s">
        <v>376</v>
      </c>
      <c r="J128" s="287" t="str">
        <f>'II-I-TBILLTDCS'!F128</f>
        <v>TBILLTDCS</v>
      </c>
      <c r="K128" s="743" t="s">
        <v>376</v>
      </c>
      <c r="L128" s="743" t="s">
        <v>481</v>
      </c>
      <c r="M128" s="1030" t="s">
        <v>1046</v>
      </c>
    </row>
    <row r="129" spans="2:13" ht="14.25">
      <c r="B129" s="15"/>
      <c r="C129" s="15"/>
      <c r="D129" s="242"/>
      <c r="E129" s="15"/>
      <c r="F129" s="15"/>
      <c r="G129" s="242" t="s">
        <v>743</v>
      </c>
      <c r="H129" s="15"/>
      <c r="I129" s="242" t="s">
        <v>743</v>
      </c>
      <c r="J129" s="15"/>
      <c r="K129" s="743" t="s">
        <v>743</v>
      </c>
      <c r="L129" s="743" t="s">
        <v>33</v>
      </c>
      <c r="M129" s="1037"/>
    </row>
    <row r="130" spans="2:13" ht="15.75" thickBot="1">
      <c r="B130" s="243"/>
      <c r="C130" s="957"/>
      <c r="D130" s="245"/>
      <c r="E130" s="245"/>
      <c r="F130" s="747" t="s">
        <v>13</v>
      </c>
      <c r="G130" s="747" t="s">
        <v>14</v>
      </c>
      <c r="H130" s="747" t="s">
        <v>15</v>
      </c>
      <c r="I130" s="747" t="s">
        <v>16</v>
      </c>
      <c r="J130" s="747" t="s">
        <v>17</v>
      </c>
      <c r="K130" s="747" t="s">
        <v>18</v>
      </c>
      <c r="L130" s="747" t="s">
        <v>19</v>
      </c>
      <c r="M130" s="1032" t="s">
        <v>20</v>
      </c>
    </row>
    <row r="131" spans="2:12" ht="14.25">
      <c r="B131" s="67"/>
      <c r="C131" s="67"/>
      <c r="D131" s="100"/>
      <c r="E131" s="100"/>
      <c r="F131" s="288"/>
      <c r="G131" s="100"/>
      <c r="H131" s="288"/>
      <c r="I131" s="100"/>
      <c r="J131" s="288"/>
      <c r="K131" s="947"/>
      <c r="L131" s="947"/>
    </row>
    <row r="132" spans="2:12" ht="15">
      <c r="B132" s="17">
        <v>1</v>
      </c>
      <c r="C132" s="8" t="s">
        <v>567</v>
      </c>
      <c r="D132" s="8"/>
      <c r="E132" s="922" t="s">
        <v>24</v>
      </c>
      <c r="F132" s="896"/>
      <c r="G132" s="922"/>
      <c r="H132" s="896"/>
      <c r="I132" s="922"/>
      <c r="J132" s="896"/>
      <c r="K132" s="896"/>
      <c r="L132" s="896"/>
    </row>
    <row r="133" spans="2:16" s="386" customFormat="1" ht="28.5">
      <c r="B133" s="17">
        <f t="shared" si="5" ref="B133:B163">B132+1</f>
        <v>2</v>
      </c>
      <c r="C133" s="1" t="s">
        <v>61</v>
      </c>
      <c r="D133" s="1" t="s">
        <v>42</v>
      </c>
      <c r="E133" s="17"/>
      <c r="F133" s="118">
        <f>'II-I-DIST'!F133</f>
        <v>23046028.010000002</v>
      </c>
      <c r="G133" s="118" t="str">
        <f>'II-I-DIST'!H133</f>
        <v>PLT 362-373</v>
      </c>
      <c r="H133" s="118">
        <f>'II-I-MET'!F133</f>
        <v>0</v>
      </c>
      <c r="I133" s="118" t="str">
        <f>'II-I-MET'!H133</f>
        <v>PLT 362-373</v>
      </c>
      <c r="J133" s="118">
        <f>'II-I-TBILLTDCS'!F133</f>
        <v>0</v>
      </c>
      <c r="K133" s="118" t="str">
        <f>'II-I-TBILLTDCS'!H133</f>
        <v>PLT 362-373</v>
      </c>
      <c r="L133" s="893">
        <f t="shared" si="6" ref="L133:L194">F133+H133+J133</f>
        <v>23046028.010000002</v>
      </c>
      <c r="M133" s="1033" t="s">
        <v>1051</v>
      </c>
      <c r="N133" s="1" t="b">
        <f>'II-I-DIST'!$C$133=C133</f>
        <v>1</v>
      </c>
      <c r="O133" s="1"/>
      <c r="P133" s="1"/>
    </row>
    <row r="134" spans="2:16" s="386" customFormat="1" ht="28.5">
      <c r="B134" s="17">
        <f t="shared" si="5"/>
        <v>3</v>
      </c>
      <c r="C134" s="1" t="s">
        <v>62</v>
      </c>
      <c r="D134" s="31" t="s">
        <v>44</v>
      </c>
      <c r="E134" s="17"/>
      <c r="F134" s="118">
        <f>'II-I-DIST'!F134</f>
        <v>137062053.49000001</v>
      </c>
      <c r="G134" s="118" t="str">
        <f>'II-I-DIST'!H134</f>
        <v>PLT 362-373</v>
      </c>
      <c r="H134" s="118">
        <f>'II-I-MET'!F134</f>
        <v>0</v>
      </c>
      <c r="I134" s="118" t="str">
        <f>'II-I-MET'!H134</f>
        <v>PLT 362-373</v>
      </c>
      <c r="J134" s="118">
        <f>'II-I-TBILLTDCS'!F134</f>
        <v>0</v>
      </c>
      <c r="K134" s="118" t="str">
        <f>'II-I-TBILLTDCS'!H134</f>
        <v>PLT 362-373</v>
      </c>
      <c r="L134" s="893">
        <f t="shared" si="6"/>
        <v>137062053.49000001</v>
      </c>
      <c r="M134" s="1033" t="s">
        <v>1051</v>
      </c>
      <c r="N134" s="1" t="b">
        <f>'II-I-DIST'!$D$134=D134</f>
        <v>1</v>
      </c>
      <c r="O134" s="1"/>
      <c r="P134" s="1"/>
    </row>
    <row r="135" spans="2:13" s="386" customFormat="1" ht="28.5">
      <c r="B135" s="17">
        <f t="shared" si="5"/>
        <v>4</v>
      </c>
      <c r="C135" s="1" t="s">
        <v>63</v>
      </c>
      <c r="D135" s="1" t="s">
        <v>46</v>
      </c>
      <c r="E135" s="17"/>
      <c r="F135" s="118">
        <f>'II-I-DIST'!F135</f>
        <v>1760200029.54</v>
      </c>
      <c r="G135" s="118" t="str">
        <f>'II-I-DIST'!H135</f>
        <v>NCP XHV</v>
      </c>
      <c r="H135" s="118">
        <f>'II-I-MET'!F135</f>
        <v>0</v>
      </c>
      <c r="I135" s="118" t="str">
        <f>'II-I-MET'!H135</f>
        <v>NCP XHV</v>
      </c>
      <c r="J135" s="118">
        <f>'II-I-TBILLTDCS'!F135</f>
        <v>0</v>
      </c>
      <c r="K135" s="118" t="str">
        <f>'II-I-TBILLTDCS'!H135</f>
        <v>NCP XHV</v>
      </c>
      <c r="L135" s="893">
        <f t="shared" si="6"/>
        <v>1760200029.54</v>
      </c>
      <c r="M135" s="1033" t="s">
        <v>1052</v>
      </c>
    </row>
    <row r="136" spans="2:13" s="386" customFormat="1" ht="19.5" customHeight="1">
      <c r="B136" s="17">
        <f t="shared" si="5"/>
        <v>5</v>
      </c>
      <c r="C136" s="1" t="s">
        <v>64</v>
      </c>
      <c r="D136" s="1" t="s">
        <v>65</v>
      </c>
      <c r="E136" s="17"/>
      <c r="F136" s="118">
        <f>'II-I-DIST'!F136</f>
        <v>0</v>
      </c>
      <c r="G136" s="118" t="str">
        <f>'II-I-DIST'!H136</f>
        <v>NCP XHV</v>
      </c>
      <c r="H136" s="118">
        <f>'II-I-MET'!F136</f>
        <v>0</v>
      </c>
      <c r="I136" s="118" t="str">
        <f>'II-I-MET'!H136</f>
        <v>NCP XHV</v>
      </c>
      <c r="J136" s="118">
        <f>'II-I-TBILLTDCS'!F136</f>
        <v>0</v>
      </c>
      <c r="K136" s="118" t="str">
        <f>'II-I-TBILLTDCS'!H136</f>
        <v>NCP XHV</v>
      </c>
      <c r="L136" s="893">
        <f t="shared" si="6"/>
        <v>0</v>
      </c>
      <c r="M136" s="1033"/>
    </row>
    <row r="137" spans="2:13" s="386" customFormat="1" ht="28.5">
      <c r="B137" s="17">
        <f t="shared" si="5"/>
        <v>6</v>
      </c>
      <c r="C137" s="1" t="s">
        <v>380</v>
      </c>
      <c r="D137" s="31" t="s">
        <v>537</v>
      </c>
      <c r="E137" s="17"/>
      <c r="F137" s="118">
        <f>'II-I-DIST'!F137</f>
        <v>2222118466.4489856</v>
      </c>
      <c r="G137" s="118" t="str">
        <f>'II-I-DIST'!H137</f>
        <v>NCP XSS</v>
      </c>
      <c r="H137" s="118">
        <f>'II-I-MET'!F137</f>
        <v>0</v>
      </c>
      <c r="I137" s="118" t="str">
        <f>'II-I-MET'!H137</f>
        <v>NCP XSS</v>
      </c>
      <c r="J137" s="118">
        <f>'II-I-TBILLTDCS'!F137</f>
        <v>0</v>
      </c>
      <c r="K137" s="118" t="str">
        <f>'II-I-TBILLTDCS'!H137</f>
        <v>NCP XSS</v>
      </c>
      <c r="L137" s="893">
        <f t="shared" si="6"/>
        <v>2222118466.4489856</v>
      </c>
      <c r="M137" s="1033" t="s">
        <v>1053</v>
      </c>
    </row>
    <row r="138" spans="2:13" s="386" customFormat="1" ht="28.5">
      <c r="B138" s="17">
        <f t="shared" si="5"/>
        <v>7</v>
      </c>
      <c r="C138" s="1" t="s">
        <v>382</v>
      </c>
      <c r="D138" s="31" t="s">
        <v>538</v>
      </c>
      <c r="E138" s="17"/>
      <c r="F138" s="118">
        <f>'II-I-DIST'!F138</f>
        <v>456239794.36101425</v>
      </c>
      <c r="G138" s="118" t="str">
        <f>'II-I-DIST'!H138</f>
        <v>NCP SEC</v>
      </c>
      <c r="H138" s="118">
        <f>'II-I-MET'!F138</f>
        <v>0</v>
      </c>
      <c r="I138" s="118" t="str">
        <f>'II-I-MET'!H138</f>
        <v>NCP SEC</v>
      </c>
      <c r="J138" s="118">
        <f>'II-I-TBILLTDCS'!F138</f>
        <v>0</v>
      </c>
      <c r="K138" s="118" t="str">
        <f>'II-I-TBILLTDCS'!H138</f>
        <v>NCP SEC</v>
      </c>
      <c r="L138" s="893">
        <f t="shared" si="6"/>
        <v>456239794.36101425</v>
      </c>
      <c r="M138" s="1033" t="s">
        <v>1053</v>
      </c>
    </row>
    <row r="139" spans="2:13" s="386" customFormat="1" ht="28.5">
      <c r="B139" s="17">
        <f t="shared" si="5"/>
        <v>8</v>
      </c>
      <c r="C139" s="1" t="s">
        <v>385</v>
      </c>
      <c r="D139" s="1" t="s">
        <v>539</v>
      </c>
      <c r="E139" s="17"/>
      <c r="F139" s="118">
        <f>'II-I-DIST'!F139</f>
        <v>1423183157.5036314</v>
      </c>
      <c r="G139" s="118" t="str">
        <f>'II-I-DIST'!H139</f>
        <v>NCP XSS</v>
      </c>
      <c r="H139" s="118">
        <f>'II-I-MET'!F139</f>
        <v>0</v>
      </c>
      <c r="I139" s="118" t="str">
        <f>'II-I-MET'!H139</f>
        <v>NCP XSS</v>
      </c>
      <c r="J139" s="118">
        <f>'II-I-TBILLTDCS'!F139</f>
        <v>0</v>
      </c>
      <c r="K139" s="118" t="str">
        <f>'II-I-TBILLTDCS'!H139</f>
        <v>NCP XSS</v>
      </c>
      <c r="L139" s="893">
        <f t="shared" si="6"/>
        <v>1423183157.5036314</v>
      </c>
      <c r="M139" s="1033" t="s">
        <v>1053</v>
      </c>
    </row>
    <row r="140" spans="2:13" s="386" customFormat="1" ht="28.5">
      <c r="B140" s="17">
        <f t="shared" si="5"/>
        <v>9</v>
      </c>
      <c r="C140" s="1" t="s">
        <v>387</v>
      </c>
      <c r="D140" s="1" t="s">
        <v>540</v>
      </c>
      <c r="E140" s="17"/>
      <c r="F140" s="118">
        <f>'II-I-DIST'!F140</f>
        <v>252227700.61636847</v>
      </c>
      <c r="G140" s="118" t="str">
        <f>'II-I-DIST'!H140</f>
        <v>NCP SEC</v>
      </c>
      <c r="H140" s="118">
        <f>'II-I-MET'!F140</f>
        <v>0</v>
      </c>
      <c r="I140" s="118" t="str">
        <f>'II-I-MET'!H140</f>
        <v>NCP SEC</v>
      </c>
      <c r="J140" s="118">
        <f>'II-I-TBILLTDCS'!F140</f>
        <v>0</v>
      </c>
      <c r="K140" s="118" t="str">
        <f>'II-I-TBILLTDCS'!H140</f>
        <v>NCP SEC</v>
      </c>
      <c r="L140" s="893">
        <f t="shared" si="6"/>
        <v>252227700.61636847</v>
      </c>
      <c r="M140" s="1033" t="s">
        <v>1053</v>
      </c>
    </row>
    <row r="141" spans="2:13" s="386" customFormat="1" ht="28.5">
      <c r="B141" s="17">
        <f t="shared" si="5"/>
        <v>10</v>
      </c>
      <c r="C141" s="1" t="s">
        <v>390</v>
      </c>
      <c r="D141" s="1" t="s">
        <v>391</v>
      </c>
      <c r="E141" s="17"/>
      <c r="F141" s="118">
        <f>'II-I-DIST'!F141</f>
        <v>656988431.26209927</v>
      </c>
      <c r="G141" s="118" t="str">
        <f>'II-I-DIST'!H141</f>
        <v>NCP XSS</v>
      </c>
      <c r="H141" s="118">
        <f>'II-I-MET'!F141</f>
        <v>0</v>
      </c>
      <c r="I141" s="118" t="str">
        <f>'II-I-MET'!H141</f>
        <v>NCP XSS</v>
      </c>
      <c r="J141" s="118">
        <f>'II-I-TBILLTDCS'!F141</f>
        <v>0</v>
      </c>
      <c r="K141" s="118" t="str">
        <f>'II-I-TBILLTDCS'!H141</f>
        <v>NCP XSS</v>
      </c>
      <c r="L141" s="893">
        <f t="shared" si="6"/>
        <v>656988431.26209927</v>
      </c>
      <c r="M141" s="1033" t="s">
        <v>1053</v>
      </c>
    </row>
    <row r="142" spans="2:13" s="386" customFormat="1" ht="28.5">
      <c r="B142" s="17">
        <f t="shared" si="5"/>
        <v>11</v>
      </c>
      <c r="C142" s="1" t="s">
        <v>392</v>
      </c>
      <c r="D142" s="1" t="s">
        <v>393</v>
      </c>
      <c r="E142" s="17"/>
      <c r="F142" s="118">
        <f>'II-I-DIST'!F142</f>
        <v>425130046.84790057</v>
      </c>
      <c r="G142" s="118" t="str">
        <f>'II-I-DIST'!H142</f>
        <v>NCP SEC</v>
      </c>
      <c r="H142" s="118">
        <f>'II-I-MET'!F142</f>
        <v>0</v>
      </c>
      <c r="I142" s="118" t="str">
        <f>'II-I-MET'!H142</f>
        <v>NCP SEC</v>
      </c>
      <c r="J142" s="118">
        <f>'II-I-TBILLTDCS'!F142</f>
        <v>0</v>
      </c>
      <c r="K142" s="118" t="str">
        <f>'II-I-TBILLTDCS'!H142</f>
        <v>NCP SEC</v>
      </c>
      <c r="L142" s="893">
        <f t="shared" si="6"/>
        <v>425130046.84790057</v>
      </c>
      <c r="M142" s="1033" t="s">
        <v>1053</v>
      </c>
    </row>
    <row r="143" spans="2:13" s="386" customFormat="1" ht="28.5">
      <c r="B143" s="17">
        <f t="shared" si="5"/>
        <v>12</v>
      </c>
      <c r="C143" s="1" t="s">
        <v>395</v>
      </c>
      <c r="D143" s="31" t="s">
        <v>541</v>
      </c>
      <c r="E143" s="30"/>
      <c r="F143" s="118">
        <f>'II-I-DIST'!F143</f>
        <v>2071962156.2558694</v>
      </c>
      <c r="G143" s="118" t="str">
        <f>'II-I-DIST'!H143</f>
        <v>NCP XSS</v>
      </c>
      <c r="H143" s="118">
        <f>'II-I-MET'!F143</f>
        <v>0</v>
      </c>
      <c r="I143" s="118" t="str">
        <f>'II-I-MET'!H143</f>
        <v>NCP XSS</v>
      </c>
      <c r="J143" s="118">
        <f>'II-I-TBILLTDCS'!F143</f>
        <v>0</v>
      </c>
      <c r="K143" s="118" t="str">
        <f>'II-I-TBILLTDCS'!H143</f>
        <v>NCP XSS</v>
      </c>
      <c r="L143" s="893">
        <f t="shared" si="6"/>
        <v>2071962156.2558694</v>
      </c>
      <c r="M143" s="1033" t="s">
        <v>1053</v>
      </c>
    </row>
    <row r="144" spans="2:13" s="386" customFormat="1" ht="28.5">
      <c r="B144" s="17">
        <f t="shared" si="5"/>
        <v>13</v>
      </c>
      <c r="C144" s="1" t="s">
        <v>397</v>
      </c>
      <c r="D144" s="31" t="s">
        <v>542</v>
      </c>
      <c r="E144" s="30"/>
      <c r="F144" s="118">
        <f>'II-I-DIST'!F144</f>
        <v>481965371.7141304</v>
      </c>
      <c r="G144" s="118" t="str">
        <f>'II-I-DIST'!H144</f>
        <v>NCP SEC</v>
      </c>
      <c r="H144" s="118">
        <f>'II-I-MET'!F144</f>
        <v>0</v>
      </c>
      <c r="I144" s="118" t="str">
        <f>'II-I-MET'!H144</f>
        <v>NCP SEC</v>
      </c>
      <c r="J144" s="118">
        <f>'II-I-TBILLTDCS'!F144</f>
        <v>0</v>
      </c>
      <c r="K144" s="118" t="str">
        <f>'II-I-TBILLTDCS'!H144</f>
        <v>NCP SEC</v>
      </c>
      <c r="L144" s="893">
        <f t="shared" si="6"/>
        <v>481965371.7141304</v>
      </c>
      <c r="M144" s="1033" t="s">
        <v>1053</v>
      </c>
    </row>
    <row r="145" spans="2:13" s="386" customFormat="1" ht="28.5">
      <c r="B145" s="17">
        <f t="shared" si="5"/>
        <v>14</v>
      </c>
      <c r="C145" s="1" t="s">
        <v>400</v>
      </c>
      <c r="D145" s="1" t="str">
        <f>'WP II-I-1.2'!D39</f>
        <v>Regulators, Protectors, Primary Transformers</v>
      </c>
      <c r="E145" s="17"/>
      <c r="F145" s="118">
        <f>'II-I-DIST'!F145</f>
        <v>146592103.22000006</v>
      </c>
      <c r="G145" s="118" t="str">
        <f>'II-I-DIST'!H145</f>
        <v>NCP XSS</v>
      </c>
      <c r="H145" s="118">
        <f>'II-I-MET'!F145</f>
        <v>0</v>
      </c>
      <c r="I145" s="118" t="str">
        <f>'II-I-MET'!H145</f>
        <v>NCP XSS</v>
      </c>
      <c r="J145" s="118">
        <f>'II-I-TBILLTDCS'!F145</f>
        <v>0</v>
      </c>
      <c r="K145" s="118" t="str">
        <f>'II-I-TBILLTDCS'!H145</f>
        <v>NCP XSS</v>
      </c>
      <c r="L145" s="893">
        <f t="shared" si="6"/>
        <v>146592103.22000006</v>
      </c>
      <c r="M145" s="1033" t="s">
        <v>1054</v>
      </c>
    </row>
    <row r="146" spans="2:13" s="386" customFormat="1" ht="28.5">
      <c r="B146" s="17">
        <f t="shared" si="5"/>
        <v>15</v>
      </c>
      <c r="C146" s="1" t="s">
        <v>402</v>
      </c>
      <c r="D146" s="1" t="str">
        <f>'WP II-I-1.2'!D40</f>
        <v>Secondary Transformers</v>
      </c>
      <c r="E146" s="17"/>
      <c r="F146" s="118">
        <f>'II-I-DIST'!F146</f>
        <v>2196294899.3600001</v>
      </c>
      <c r="G146" s="118" t="str">
        <f>'II-I-DIST'!H146</f>
        <v>NCP SEC</v>
      </c>
      <c r="H146" s="118">
        <f>'II-I-MET'!F146</f>
        <v>0</v>
      </c>
      <c r="I146" s="118" t="str">
        <f>'II-I-MET'!H146</f>
        <v>NCP SEC</v>
      </c>
      <c r="J146" s="118">
        <f>'II-I-TBILLTDCS'!F146</f>
        <v>0</v>
      </c>
      <c r="K146" s="118" t="str">
        <f>'II-I-TBILLTDCS'!H146</f>
        <v>NCP SEC</v>
      </c>
      <c r="L146" s="893">
        <f t="shared" si="6"/>
        <v>2196294899.3600001</v>
      </c>
      <c r="M146" s="1033" t="s">
        <v>1053</v>
      </c>
    </row>
    <row r="147" spans="2:13" s="386" customFormat="1" ht="14.25">
      <c r="B147" s="17">
        <f t="shared" si="5"/>
        <v>16</v>
      </c>
      <c r="C147" s="1" t="s">
        <v>404</v>
      </c>
      <c r="D147" s="1" t="str">
        <f>'WP II-I-1.2'!D41</f>
        <v>Capacitors</v>
      </c>
      <c r="E147" s="17"/>
      <c r="F147" s="118">
        <f>'II-I-DIST'!F147</f>
        <v>150190759.82000005</v>
      </c>
      <c r="G147" s="118" t="str">
        <f>'II-I-DIST'!H147</f>
        <v>NCP ALL</v>
      </c>
      <c r="H147" s="118">
        <f>'II-I-MET'!F147</f>
        <v>0</v>
      </c>
      <c r="I147" s="118" t="str">
        <f>'II-I-MET'!H147</f>
        <v>NCP ALL</v>
      </c>
      <c r="J147" s="118">
        <f>'II-I-TBILLTDCS'!F147</f>
        <v>0</v>
      </c>
      <c r="K147" s="118" t="str">
        <f>'II-I-TBILLTDCS'!H147</f>
        <v>NCP ALL</v>
      </c>
      <c r="L147" s="893">
        <f t="shared" si="6"/>
        <v>150190759.82000005</v>
      </c>
      <c r="M147" s="1033" t="s">
        <v>1055</v>
      </c>
    </row>
    <row r="148" spans="2:14" s="386" customFormat="1" ht="28.5">
      <c r="B148" s="17">
        <f t="shared" si="5"/>
        <v>17</v>
      </c>
      <c r="C148" s="1" t="s">
        <v>76</v>
      </c>
      <c r="D148" s="31" t="s">
        <v>77</v>
      </c>
      <c r="E148" s="30"/>
      <c r="F148" s="118">
        <f>'II-I-DIST'!F148</f>
        <v>1652238990.3599999</v>
      </c>
      <c r="G148" s="118" t="str">
        <f>'II-I-DIST'!H148</f>
        <v>CUS W SEC</v>
      </c>
      <c r="H148" s="118">
        <f>'II-I-MET'!F148</f>
        <v>0</v>
      </c>
      <c r="I148" s="118" t="str">
        <f>'II-I-MET'!H148</f>
        <v>CUS W SEC</v>
      </c>
      <c r="J148" s="118">
        <f>'II-I-TBILLTDCS'!F148</f>
        <v>0</v>
      </c>
      <c r="K148" s="118" t="str">
        <f>'II-I-TBILLTDCS'!H148</f>
        <v>CUS W SEC</v>
      </c>
      <c r="L148" s="893">
        <f t="shared" si="6"/>
        <v>1652238990.3599999</v>
      </c>
      <c r="M148" s="1033" t="s">
        <v>1056</v>
      </c>
      <c r="N148" s="1" t="b">
        <f>'II-I-DIST'!$C$148=C148</f>
        <v>1</v>
      </c>
    </row>
    <row r="149" spans="2:14" s="386" customFormat="1" ht="28.5">
      <c r="B149" s="17">
        <f t="shared" si="5"/>
        <v>18</v>
      </c>
      <c r="C149" s="1" t="s">
        <v>78</v>
      </c>
      <c r="D149" s="1" t="s">
        <v>79</v>
      </c>
      <c r="E149" s="17"/>
      <c r="F149" s="118">
        <f>'II-I-DIST'!F149</f>
        <v>0</v>
      </c>
      <c r="G149" s="118" t="str">
        <f>'II-I-DIST'!H149</f>
        <v>CUS W ALL</v>
      </c>
      <c r="H149" s="118">
        <f>'II-I-MET'!F149</f>
        <v>574147483.07000005</v>
      </c>
      <c r="I149" s="118" t="str">
        <f>'II-I-MET'!H149</f>
        <v>CUS W ALL</v>
      </c>
      <c r="J149" s="118">
        <f>'II-I-TBILLTDCS'!F149</f>
        <v>0</v>
      </c>
      <c r="K149" s="118" t="str">
        <f>'II-I-TBILLTDCS'!H149</f>
        <v>CUS W ALL</v>
      </c>
      <c r="L149" s="893">
        <f t="shared" si="6"/>
        <v>574147483.07000005</v>
      </c>
      <c r="M149" s="1033" t="s">
        <v>1057</v>
      </c>
      <c r="N149" s="1" t="b">
        <f>'II-I-DIST'!$D$149=D149</f>
        <v>1</v>
      </c>
    </row>
    <row r="150" spans="2:13" s="386" customFormat="1" ht="14.25">
      <c r="B150" s="17">
        <f t="shared" si="5"/>
        <v>19</v>
      </c>
      <c r="C150" s="1" t="s">
        <v>80</v>
      </c>
      <c r="D150" s="1" t="s">
        <v>543</v>
      </c>
      <c r="E150" s="17"/>
      <c r="F150" s="118">
        <f>'II-I-DIST'!F150</f>
        <v>54631096.93</v>
      </c>
      <c r="G150" s="118" t="str">
        <f>'II-I-DIST'!H150</f>
        <v>NCP LGT</v>
      </c>
      <c r="H150" s="118">
        <f>'II-I-MET'!F150</f>
        <v>0</v>
      </c>
      <c r="I150" s="118" t="str">
        <f>'II-I-MET'!H150</f>
        <v>NCP LGT</v>
      </c>
      <c r="J150" s="118">
        <f>'II-I-TBILLTDCS'!F150</f>
        <v>0</v>
      </c>
      <c r="K150" s="118" t="str">
        <f>'II-I-TBILLTDCS'!H150</f>
        <v>NCP LGT</v>
      </c>
      <c r="L150" s="893">
        <f t="shared" si="6"/>
        <v>54631096.93</v>
      </c>
      <c r="M150" s="1033" t="s">
        <v>1058</v>
      </c>
    </row>
    <row r="151" spans="2:13" s="386" customFormat="1" ht="14.25">
      <c r="B151" s="17">
        <f t="shared" si="5"/>
        <v>20</v>
      </c>
      <c r="C151" s="1" t="s">
        <v>82</v>
      </c>
      <c r="D151" s="1" t="s">
        <v>544</v>
      </c>
      <c r="E151" s="17"/>
      <c r="F151" s="118">
        <f>'II-I-DIST'!F151</f>
        <v>0</v>
      </c>
      <c r="G151" s="118" t="str">
        <f>'II-I-DIST'!H151</f>
        <v>CUS W ALL</v>
      </c>
      <c r="H151" s="118">
        <f>'II-I-MET'!F151</f>
        <v>0</v>
      </c>
      <c r="I151" s="118" t="str">
        <f>'II-I-MET'!H151</f>
        <v>CUS W ALL</v>
      </c>
      <c r="J151" s="118">
        <f>'II-I-TBILLTDCS'!F151</f>
        <v>0</v>
      </c>
      <c r="K151" s="118" t="str">
        <f>'II-I-TBILLTDCS'!H151</f>
        <v>CUS W ALL</v>
      </c>
      <c r="L151" s="893">
        <f t="shared" si="6"/>
        <v>0</v>
      </c>
      <c r="M151" s="1033"/>
    </row>
    <row r="152" spans="2:13" s="386" customFormat="1" ht="14.25">
      <c r="B152" s="17">
        <f t="shared" si="5"/>
        <v>21</v>
      </c>
      <c r="C152" s="1" t="s">
        <v>84</v>
      </c>
      <c r="D152" s="1" t="s">
        <v>88</v>
      </c>
      <c r="E152" s="17"/>
      <c r="F152" s="118">
        <f>'II-I-DIST'!F152</f>
        <v>437403825.88999999</v>
      </c>
      <c r="G152" s="118" t="str">
        <f>'II-I-DIST'!H152</f>
        <v>NCP LGT</v>
      </c>
      <c r="H152" s="118">
        <f>'II-I-MET'!F152</f>
        <v>0</v>
      </c>
      <c r="I152" s="118" t="str">
        <f>'II-I-MET'!H152</f>
        <v>NCP LGT</v>
      </c>
      <c r="J152" s="118">
        <f>'II-I-TBILLTDCS'!F152</f>
        <v>0</v>
      </c>
      <c r="K152" s="118" t="str">
        <f>'II-I-TBILLTDCS'!H152</f>
        <v>NCP LGT</v>
      </c>
      <c r="L152" s="893">
        <f t="shared" si="6"/>
        <v>437403825.88999999</v>
      </c>
      <c r="M152" s="1033" t="s">
        <v>1058</v>
      </c>
    </row>
    <row r="153" spans="2:13" s="386" customFormat="1" ht="28.5">
      <c r="B153" s="17">
        <f t="shared" si="5"/>
        <v>22</v>
      </c>
      <c r="C153" s="1" t="s">
        <v>86</v>
      </c>
      <c r="D153" s="1" t="s">
        <v>40</v>
      </c>
      <c r="E153" s="17"/>
      <c r="F153" s="118">
        <f>'II-I-DIST'!F153</f>
        <v>71344821.219999999</v>
      </c>
      <c r="G153" s="118" t="str">
        <f>'II-I-DIST'!H153</f>
        <v>PLT 362-373</v>
      </c>
      <c r="H153" s="118">
        <f>'II-I-MET'!F153</f>
        <v>0</v>
      </c>
      <c r="I153" s="118">
        <f>'II-I-MET'!G153</f>
        <v>54</v>
      </c>
      <c r="J153" s="118">
        <f>'II-I-TBILLTDCS'!F153</f>
        <v>0</v>
      </c>
      <c r="K153" s="893" t="s">
        <v>835</v>
      </c>
      <c r="L153" s="893">
        <f t="shared" si="6"/>
        <v>71344821.219999999</v>
      </c>
      <c r="M153" s="1033" t="s">
        <v>1059</v>
      </c>
    </row>
    <row r="154" spans="2:12" ht="15">
      <c r="B154" s="17">
        <f t="shared" si="5"/>
        <v>23</v>
      </c>
      <c r="C154" s="67"/>
      <c r="D154" s="297" t="s">
        <v>491</v>
      </c>
      <c r="E154" s="150"/>
      <c r="F154" s="896">
        <f>'II-I-DIST'!F154</f>
        <v>14618819732.849999</v>
      </c>
      <c r="G154" s="150"/>
      <c r="H154" s="896">
        <f>'II-I-MET'!F154</f>
        <v>574147483.07000005</v>
      </c>
      <c r="I154" s="150"/>
      <c r="J154" s="896">
        <f>'II-I-TBILLTDCS'!F154</f>
        <v>0</v>
      </c>
      <c r="K154" s="896"/>
      <c r="L154" s="896">
        <f t="shared" si="6"/>
        <v>15192967215.919998</v>
      </c>
    </row>
    <row r="155" spans="2:12" ht="14.25">
      <c r="B155" s="17">
        <f t="shared" si="5"/>
        <v>24</v>
      </c>
      <c r="C155" s="67"/>
      <c r="D155" s="1"/>
      <c r="E155" s="17"/>
      <c r="F155" s="19"/>
      <c r="G155" s="17"/>
      <c r="H155" s="19"/>
      <c r="I155" s="17"/>
      <c r="J155" s="19"/>
      <c r="K155" s="894"/>
      <c r="L155" s="730"/>
    </row>
    <row r="156" spans="2:12" ht="15">
      <c r="B156" s="17">
        <f t="shared" si="5"/>
        <v>25</v>
      </c>
      <c r="C156" s="67"/>
      <c r="D156" s="297" t="s">
        <v>568</v>
      </c>
      <c r="E156" s="17"/>
      <c r="F156" s="896">
        <f>'II-I-DIST'!F156</f>
        <v>2678358260.8099999</v>
      </c>
      <c r="G156" s="17"/>
      <c r="H156" s="896">
        <f>'II-I-MET'!F156</f>
        <v>0</v>
      </c>
      <c r="I156" s="17"/>
      <c r="J156" s="896">
        <f>'II-I-TBILLTDCS'!F156</f>
        <v>0</v>
      </c>
      <c r="K156" s="896"/>
      <c r="L156" s="896">
        <f t="shared" si="6"/>
        <v>2678358260.8099999</v>
      </c>
    </row>
    <row r="157" spans="2:12" ht="15">
      <c r="B157" s="17">
        <f t="shared" si="5"/>
        <v>26</v>
      </c>
      <c r="C157" s="67"/>
      <c r="D157" s="297" t="s">
        <v>569</v>
      </c>
      <c r="E157" s="17"/>
      <c r="F157" s="896">
        <f>'II-I-DIST'!F157</f>
        <v>1675410858.1199999</v>
      </c>
      <c r="G157" s="17"/>
      <c r="H157" s="896">
        <f>'II-I-MET'!F157</f>
        <v>0</v>
      </c>
      <c r="I157" s="17"/>
      <c r="J157" s="896">
        <f>'II-I-TBILLTDCS'!F157</f>
        <v>0</v>
      </c>
      <c r="K157" s="896"/>
      <c r="L157" s="896">
        <f t="shared" si="6"/>
        <v>1675410858.1199999</v>
      </c>
    </row>
    <row r="158" spans="2:12" ht="15">
      <c r="B158" s="17">
        <f t="shared" si="5"/>
        <v>27</v>
      </c>
      <c r="C158" s="67"/>
      <c r="D158" s="297" t="s">
        <v>570</v>
      </c>
      <c r="E158" s="17"/>
      <c r="F158" s="896">
        <f>'II-I-DIST'!F158</f>
        <v>1082118478.1099999</v>
      </c>
      <c r="G158" s="17"/>
      <c r="H158" s="896">
        <f>'II-I-MET'!F158</f>
        <v>0</v>
      </c>
      <c r="I158" s="17"/>
      <c r="J158" s="896">
        <f>'II-I-TBILLTDCS'!F158</f>
        <v>0</v>
      </c>
      <c r="K158" s="896"/>
      <c r="L158" s="896">
        <f t="shared" si="6"/>
        <v>1082118478.1099999</v>
      </c>
    </row>
    <row r="159" spans="2:12" ht="15">
      <c r="B159" s="17">
        <f t="shared" si="5"/>
        <v>28</v>
      </c>
      <c r="C159" s="67"/>
      <c r="D159" s="297" t="s">
        <v>571</v>
      </c>
      <c r="E159" s="17"/>
      <c r="F159" s="896">
        <f>'II-I-DIST'!F159</f>
        <v>2553927527.9699998</v>
      </c>
      <c r="G159" s="17"/>
      <c r="H159" s="896">
        <f>'II-I-MET'!F159</f>
        <v>0</v>
      </c>
      <c r="I159" s="17"/>
      <c r="J159" s="896">
        <f>'II-I-TBILLTDCS'!F159</f>
        <v>0</v>
      </c>
      <c r="K159" s="896"/>
      <c r="L159" s="896">
        <f t="shared" si="6"/>
        <v>2553927527.9699998</v>
      </c>
    </row>
    <row r="160" spans="2:12" ht="15">
      <c r="B160" s="17">
        <f t="shared" si="5"/>
        <v>29</v>
      </c>
      <c r="C160" s="67"/>
      <c r="D160" s="297" t="s">
        <v>572</v>
      </c>
      <c r="E160" s="17"/>
      <c r="F160" s="896">
        <f>'II-I-DIST'!F160</f>
        <v>2493077762.4000006</v>
      </c>
      <c r="G160" s="17"/>
      <c r="H160" s="896">
        <f>'II-I-MET'!F160</f>
        <v>0</v>
      </c>
      <c r="I160" s="17"/>
      <c r="J160" s="896">
        <f>'II-I-TBILLTDCS'!F160</f>
        <v>0</v>
      </c>
      <c r="K160" s="896"/>
      <c r="L160" s="896">
        <f t="shared" si="6"/>
        <v>2493077762.4000006</v>
      </c>
    </row>
    <row r="161" spans="2:12" ht="15" thickBot="1">
      <c r="B161" s="17">
        <f t="shared" si="5"/>
        <v>30</v>
      </c>
      <c r="C161" s="67"/>
      <c r="D161" s="1"/>
      <c r="E161" s="17"/>
      <c r="F161" s="19"/>
      <c r="G161" s="17"/>
      <c r="H161" s="19"/>
      <c r="I161" s="17"/>
      <c r="J161" s="19"/>
      <c r="K161" s="894"/>
      <c r="L161" s="730"/>
    </row>
    <row r="162" spans="2:12" ht="15">
      <c r="B162" s="17">
        <f t="shared" si="5"/>
        <v>31</v>
      </c>
      <c r="C162" s="303" t="s">
        <v>545</v>
      </c>
      <c r="D162" s="304"/>
      <c r="E162" s="305" t="s">
        <v>24</v>
      </c>
      <c r="F162" s="908">
        <f>'II-I-DIST'!F162</f>
        <v>15324013756.529999</v>
      </c>
      <c r="G162" s="305"/>
      <c r="H162" s="908">
        <f>'II-I-MET'!F162</f>
        <v>759449196.03000009</v>
      </c>
      <c r="I162" s="305"/>
      <c r="J162" s="908">
        <f>'II-I-TBILLTDCS'!F162</f>
        <v>310409174.74000001</v>
      </c>
      <c r="K162" s="908"/>
      <c r="L162" s="641">
        <f t="shared" si="6"/>
        <v>16393872127.299999</v>
      </c>
    </row>
    <row r="163" spans="2:12" ht="15.75" thickBot="1">
      <c r="B163" s="17">
        <f t="shared" si="5"/>
        <v>32</v>
      </c>
      <c r="C163" s="309" t="s">
        <v>546</v>
      </c>
      <c r="D163" s="310"/>
      <c r="E163" s="311" t="s">
        <v>24</v>
      </c>
      <c r="F163" s="312">
        <f>'II-I-DIST'!F163</f>
        <v>15000680383.709999</v>
      </c>
      <c r="G163" s="311"/>
      <c r="H163" s="312">
        <f>'II-I-MET'!F163</f>
        <v>574147483.07000005</v>
      </c>
      <c r="I163" s="311"/>
      <c r="J163" s="312">
        <f>'II-I-TBILLTDCS'!F163</f>
        <v>0</v>
      </c>
      <c r="K163" s="312"/>
      <c r="L163" s="443">
        <f t="shared" si="6"/>
        <v>15574827866.779999</v>
      </c>
    </row>
    <row r="164" spans="2:10" ht="14.25">
      <c r="B164" s="67"/>
      <c r="C164" s="67"/>
      <c r="D164" s="67"/>
      <c r="E164" s="67"/>
      <c r="F164" s="67"/>
      <c r="G164" s="67"/>
      <c r="H164" s="67"/>
      <c r="I164" s="67"/>
      <c r="J164" s="67"/>
    </row>
    <row r="165" spans="2:12" ht="15">
      <c r="B165" s="874"/>
      <c r="C165" s="874"/>
      <c r="D165" s="874"/>
      <c r="E165" s="874"/>
      <c r="F165" s="67"/>
      <c r="G165" s="134"/>
      <c r="H165" s="67"/>
      <c r="I165" s="134"/>
      <c r="J165" s="67"/>
      <c r="K165" s="874"/>
      <c r="L165" s="874"/>
    </row>
    <row r="166" spans="2:12" ht="15.75" thickBot="1">
      <c r="B166" s="874"/>
      <c r="C166" s="874"/>
      <c r="D166" s="874"/>
      <c r="E166" s="874"/>
      <c r="F166" s="67"/>
      <c r="G166" s="67"/>
      <c r="H166" s="67"/>
      <c r="I166" s="67"/>
      <c r="J166" s="67"/>
      <c r="K166" s="874"/>
      <c r="L166" s="874"/>
    </row>
    <row r="167" spans="2:12" ht="15">
      <c r="B167" s="920" t="str">
        <f>$B$4</f>
        <v>2022 RATE CASE</v>
      </c>
      <c r="C167" s="926"/>
      <c r="D167" s="927"/>
      <c r="E167" s="874"/>
      <c r="F167" s="12"/>
      <c r="H167" s="12"/>
      <c r="J167" s="12"/>
      <c r="K167" s="874"/>
      <c r="L167" s="874"/>
    </row>
    <row r="168" spans="2:12" ht="15">
      <c r="B168" s="917" t="str">
        <f>$B$5</f>
        <v>ONCOR ELECTRIC DELIVERY COMPANY LLC</v>
      </c>
      <c r="C168" s="369"/>
      <c r="D168" s="928"/>
      <c r="E168" s="874"/>
      <c r="F168" s="12"/>
      <c r="H168" s="12"/>
      <c r="J168" s="12"/>
      <c r="K168" s="874"/>
      <c r="L168" s="874"/>
    </row>
    <row r="169" spans="2:12" ht="15">
      <c r="B169" s="406" t="str">
        <f>$B$6</f>
        <v>II-I-2.1f:  CONSOLIDATED FUNCTIONALIZED COST OF SERVICE</v>
      </c>
      <c r="C169" s="369"/>
      <c r="D169" s="928"/>
      <c r="E169" s="874"/>
      <c r="F169" s="12"/>
      <c r="H169" s="12"/>
      <c r="J169" s="12"/>
      <c r="K169" s="874"/>
      <c r="L169" s="874"/>
    </row>
    <row r="170" spans="2:12" ht="15">
      <c r="B170" s="406" t="str">
        <f>$B$7</f>
        <v>TEST YEAR ENDING 12/31/2021</v>
      </c>
      <c r="C170" s="369"/>
      <c r="D170" s="928"/>
      <c r="E170" s="369"/>
      <c r="F170" s="12"/>
      <c r="H170" s="12"/>
      <c r="J170" s="12"/>
      <c r="K170" s="369"/>
      <c r="L170" s="369"/>
    </row>
    <row r="171" spans="2:12" ht="15">
      <c r="B171" s="406" t="str">
        <f>$B$8</f>
        <v>SPONSOR:  MATTHEW A. TROXLE</v>
      </c>
      <c r="C171" s="369"/>
      <c r="D171" s="928"/>
      <c r="E171" s="369"/>
      <c r="F171" s="12"/>
      <c r="H171" s="12"/>
      <c r="J171" s="12"/>
      <c r="K171" s="369"/>
      <c r="L171" s="369"/>
    </row>
    <row r="172" spans="2:12" ht="15.75" thickBot="1">
      <c r="B172" s="410"/>
      <c r="C172" s="931"/>
      <c r="D172" s="932"/>
      <c r="E172" s="369"/>
      <c r="F172" s="12"/>
      <c r="H172" s="12"/>
      <c r="J172" s="12"/>
      <c r="K172" s="369"/>
      <c r="L172" s="369"/>
    </row>
    <row r="173" spans="2:13" ht="14.25">
      <c r="B173" s="13"/>
      <c r="C173" s="14"/>
      <c r="D173" s="238"/>
      <c r="E173" s="14"/>
      <c r="F173" s="13"/>
      <c r="G173" s="14"/>
      <c r="H173" s="13"/>
      <c r="I173" s="14"/>
      <c r="J173" s="13"/>
      <c r="K173" s="738"/>
      <c r="L173" s="952"/>
      <c r="M173" s="1036"/>
    </row>
    <row r="174" spans="2:13" ht="15">
      <c r="B174" s="15" t="s">
        <v>2</v>
      </c>
      <c r="C174" s="15" t="s">
        <v>370</v>
      </c>
      <c r="D174" s="241" t="s">
        <v>547</v>
      </c>
      <c r="E174" s="15" t="s">
        <v>371</v>
      </c>
      <c r="F174" s="287" t="str">
        <f>'II-I-DIST'!F174</f>
        <v>DIST</v>
      </c>
      <c r="G174" s="242" t="s">
        <v>376</v>
      </c>
      <c r="H174" s="287" t="str">
        <f>'II-I-MET'!F174</f>
        <v>MET</v>
      </c>
      <c r="I174" s="242" t="s">
        <v>376</v>
      </c>
      <c r="J174" s="287" t="str">
        <f>'II-I-TBILLTDCS'!F174</f>
        <v>TBILLTDCS</v>
      </c>
      <c r="K174" s="743" t="s">
        <v>376</v>
      </c>
      <c r="L174" s="743" t="s">
        <v>481</v>
      </c>
      <c r="M174" s="1030" t="s">
        <v>1046</v>
      </c>
    </row>
    <row r="175" spans="2:13" ht="14.25">
      <c r="B175" s="15"/>
      <c r="C175" s="15"/>
      <c r="D175" s="242"/>
      <c r="E175" s="15"/>
      <c r="F175" s="15"/>
      <c r="G175" s="242" t="s">
        <v>743</v>
      </c>
      <c r="H175" s="15"/>
      <c r="I175" s="242" t="s">
        <v>743</v>
      </c>
      <c r="J175" s="15"/>
      <c r="K175" s="743" t="s">
        <v>743</v>
      </c>
      <c r="L175" s="743" t="s">
        <v>33</v>
      </c>
      <c r="M175" s="1037"/>
    </row>
    <row r="176" spans="2:13" ht="15.75" thickBot="1">
      <c r="B176" s="243"/>
      <c r="C176" s="957"/>
      <c r="D176" s="245"/>
      <c r="E176" s="245"/>
      <c r="F176" s="747" t="s">
        <v>13</v>
      </c>
      <c r="G176" s="747" t="s">
        <v>14</v>
      </c>
      <c r="H176" s="747" t="s">
        <v>15</v>
      </c>
      <c r="I176" s="747" t="s">
        <v>16</v>
      </c>
      <c r="J176" s="747" t="s">
        <v>17</v>
      </c>
      <c r="K176" s="747" t="s">
        <v>18</v>
      </c>
      <c r="L176" s="747" t="s">
        <v>19</v>
      </c>
      <c r="M176" s="1032" t="s">
        <v>20</v>
      </c>
    </row>
    <row r="177" spans="2:12" ht="14.25">
      <c r="B177" s="67"/>
      <c r="C177" s="100"/>
      <c r="D177" s="100"/>
      <c r="E177" s="315"/>
      <c r="F177" s="100"/>
      <c r="G177" s="315"/>
      <c r="H177" s="100"/>
      <c r="I177" s="315"/>
      <c r="J177" s="100"/>
      <c r="K177" s="730"/>
      <c r="L177" s="730"/>
    </row>
    <row r="178" spans="2:13" ht="15">
      <c r="B178" s="17">
        <f t="shared" si="7" ref="B178:B194">B177+1</f>
        <v>1</v>
      </c>
      <c r="C178" s="49" t="s">
        <v>547</v>
      </c>
      <c r="D178" s="49"/>
      <c r="E178" s="58" t="s">
        <v>90</v>
      </c>
      <c r="F178" s="49"/>
      <c r="G178" s="58"/>
      <c r="H178" s="49"/>
      <c r="I178" s="58"/>
      <c r="J178" s="49"/>
      <c r="K178" s="49"/>
      <c r="L178" s="49"/>
      <c r="M178" s="1035"/>
    </row>
    <row r="179" spans="2:14" s="386" customFormat="1" ht="71.25">
      <c r="B179" s="17">
        <f t="shared" si="7"/>
        <v>2</v>
      </c>
      <c r="C179" s="1" t="s">
        <v>91</v>
      </c>
      <c r="D179" s="1" t="s">
        <v>40</v>
      </c>
      <c r="E179" s="17"/>
      <c r="F179" s="118">
        <f>'II-I-DIST'!F179</f>
        <v>19410065.620000001</v>
      </c>
      <c r="G179" s="118" t="str">
        <f>'II-I-DIST'!H179</f>
        <v>PLTOPER_N</v>
      </c>
      <c r="H179" s="118">
        <f>'II-I-MET'!F179</f>
        <v>3908190.4500000002</v>
      </c>
      <c r="I179" s="118" t="str">
        <f>'II-I-MET'!H179</f>
        <v>PLTOPER_N</v>
      </c>
      <c r="J179" s="121">
        <f>'II-I-TBILLTDCS'!F179</f>
        <v>2557941.0099999998</v>
      </c>
      <c r="K179" s="121" t="str">
        <f>'II-I-TBILLTDCS'!H179</f>
        <v>PAYROLL XAG</v>
      </c>
      <c r="L179" s="893">
        <f t="shared" si="6"/>
        <v>25876197.079999998</v>
      </c>
      <c r="M179" s="1050" t="s">
        <v>1192</v>
      </c>
      <c r="N179" s="893" t="s">
        <v>861</v>
      </c>
    </row>
    <row r="180" spans="2:13" s="386" customFormat="1" ht="20.25" customHeight="1">
      <c r="B180" s="17">
        <f t="shared" si="7"/>
        <v>3</v>
      </c>
      <c r="C180" s="1" t="s">
        <v>92</v>
      </c>
      <c r="D180" s="1" t="s">
        <v>42</v>
      </c>
      <c r="E180" s="17"/>
      <c r="F180" s="118">
        <f>'II-I-DIST'!F180</f>
        <v>78748.830000000002</v>
      </c>
      <c r="G180" s="118" t="str">
        <f>'II-I-DIST'!H180</f>
        <v>PLTOPER_N</v>
      </c>
      <c r="H180" s="118">
        <f>'II-I-MET'!F180</f>
        <v>3342.98</v>
      </c>
      <c r="I180" s="118" t="str">
        <f>'II-I-MET'!H180</f>
        <v>PLTOPER_N</v>
      </c>
      <c r="J180" s="121">
        <f>'II-I-TBILLTDCS'!F180</f>
        <v>12.49</v>
      </c>
      <c r="K180" s="121" t="str">
        <f>'II-I-TBILLTDCS'!H180</f>
        <v>PAYROLL XAG</v>
      </c>
      <c r="L180" s="893">
        <f t="shared" si="6"/>
        <v>82104.300000000003</v>
      </c>
      <c r="M180" s="1035" t="s">
        <v>1060</v>
      </c>
    </row>
    <row r="181" spans="2:13" s="386" customFormat="1" ht="18.75" customHeight="1">
      <c r="B181" s="17">
        <f t="shared" si="7"/>
        <v>4</v>
      </c>
      <c r="C181" s="1" t="s">
        <v>93</v>
      </c>
      <c r="D181" s="1" t="s">
        <v>44</v>
      </c>
      <c r="E181" s="17"/>
      <c r="F181" s="118">
        <f>'II-I-DIST'!F181</f>
        <v>141498136</v>
      </c>
      <c r="G181" s="118" t="str">
        <f>'II-I-DIST'!H181</f>
        <v>PLTOPER_N</v>
      </c>
      <c r="H181" s="118">
        <f>'II-I-MET'!F181</f>
        <v>24868885.27</v>
      </c>
      <c r="I181" s="118" t="str">
        <f>'II-I-MET'!H181</f>
        <v>PLTOPER_N</v>
      </c>
      <c r="J181" s="121">
        <f>'II-I-TBILLTDCS'!F181</f>
        <v>13542694.41</v>
      </c>
      <c r="K181" s="121" t="str">
        <f>'II-I-TBILLTDCS'!H181</f>
        <v>PAYROLL XAG</v>
      </c>
      <c r="L181" s="893">
        <f t="shared" si="6"/>
        <v>179909715.68000001</v>
      </c>
      <c r="M181" s="1035" t="s">
        <v>1060</v>
      </c>
    </row>
    <row r="182" spans="2:13" s="386" customFormat="1" ht="14.25">
      <c r="B182" s="17">
        <f t="shared" si="7"/>
        <v>5</v>
      </c>
      <c r="C182" s="1" t="s">
        <v>94</v>
      </c>
      <c r="D182" s="1" t="s">
        <v>95</v>
      </c>
      <c r="E182" s="17"/>
      <c r="F182" s="118">
        <f>'II-I-DIST'!F182</f>
        <v>96093234.140000001</v>
      </c>
      <c r="G182" s="118" t="str">
        <f>'II-I-DIST'!H182</f>
        <v>PLTOPER_N</v>
      </c>
      <c r="H182" s="118">
        <f>'II-I-MET'!F182</f>
        <v>66950477.740000002</v>
      </c>
      <c r="I182" s="118" t="str">
        <f>'II-I-MET'!H182</f>
        <v>PLTOPER_N</v>
      </c>
      <c r="J182" s="121">
        <f>'II-I-TBILLTDCS'!F182</f>
        <v>84000108.049999997</v>
      </c>
      <c r="K182" s="121" t="str">
        <f>'II-I-TBILLTDCS'!H182</f>
        <v>PAYROLL XAG</v>
      </c>
      <c r="L182" s="893">
        <f t="shared" si="6"/>
        <v>247043819.93000001</v>
      </c>
      <c r="M182" s="1035" t="s">
        <v>1060</v>
      </c>
    </row>
    <row r="183" spans="2:13" s="386" customFormat="1" ht="14.25">
      <c r="B183" s="17">
        <f t="shared" si="7"/>
        <v>6</v>
      </c>
      <c r="C183" s="1" t="s">
        <v>96</v>
      </c>
      <c r="D183" s="1" t="s">
        <v>98</v>
      </c>
      <c r="E183" s="17"/>
      <c r="F183" s="118">
        <f>'II-I-DIST'!F183</f>
        <v>12716429.41</v>
      </c>
      <c r="G183" s="118" t="str">
        <f>'II-I-DIST'!H183</f>
        <v>PLTOPER_N</v>
      </c>
      <c r="H183" s="118">
        <f>'II-I-MET'!F183</f>
        <v>0</v>
      </c>
      <c r="I183" s="118" t="str">
        <f>'II-I-MET'!H183</f>
        <v>PLTOPER_N</v>
      </c>
      <c r="J183" s="121">
        <f>'II-I-TBILLTDCS'!F183</f>
        <v>0</v>
      </c>
      <c r="K183" s="121" t="str">
        <f>'II-I-TBILLTDCS'!H183</f>
        <v>PAYROLL XAG</v>
      </c>
      <c r="L183" s="893">
        <f t="shared" si="6"/>
        <v>12716429.41</v>
      </c>
      <c r="M183" s="1035" t="s">
        <v>1060</v>
      </c>
    </row>
    <row r="184" spans="2:13" s="386" customFormat="1" ht="14.25">
      <c r="B184" s="17">
        <f t="shared" si="7"/>
        <v>7</v>
      </c>
      <c r="C184" s="1" t="s">
        <v>99</v>
      </c>
      <c r="D184" s="1" t="s">
        <v>548</v>
      </c>
      <c r="E184" s="17"/>
      <c r="F184" s="118">
        <f>'II-I-DIST'!F184</f>
        <v>3228206.2200000002</v>
      </c>
      <c r="G184" s="118" t="str">
        <f>'II-I-DIST'!H184</f>
        <v>PLTOPER_N</v>
      </c>
      <c r="H184" s="118">
        <f>'II-I-MET'!F184</f>
        <v>575148.54000000004</v>
      </c>
      <c r="I184" s="118" t="str">
        <f>'II-I-MET'!H184</f>
        <v>PLTOPER_N</v>
      </c>
      <c r="J184" s="121">
        <f>'II-I-TBILLTDCS'!F184</f>
        <v>0</v>
      </c>
      <c r="K184" s="121" t="str">
        <f>'II-I-TBILLTDCS'!H184</f>
        <v>PAYROLL XAG</v>
      </c>
      <c r="L184" s="893">
        <f t="shared" si="6"/>
        <v>3803354.7600000002</v>
      </c>
      <c r="M184" s="1035" t="s">
        <v>1060</v>
      </c>
    </row>
    <row r="185" spans="2:13" s="386" customFormat="1" ht="14.25">
      <c r="B185" s="17">
        <f t="shared" si="7"/>
        <v>8</v>
      </c>
      <c r="C185" s="1" t="s">
        <v>101</v>
      </c>
      <c r="D185" s="1" t="s">
        <v>549</v>
      </c>
      <c r="E185" s="17"/>
      <c r="F185" s="118">
        <f>'II-I-DIST'!F185</f>
        <v>25982536.489999998</v>
      </c>
      <c r="G185" s="118" t="str">
        <f>'II-I-DIST'!H185</f>
        <v>PLTOPER_N</v>
      </c>
      <c r="H185" s="118">
        <f>'II-I-MET'!F185</f>
        <v>2568972.02</v>
      </c>
      <c r="I185" s="118" t="str">
        <f>'II-I-MET'!H185</f>
        <v>PLTOPER_N</v>
      </c>
      <c r="J185" s="121">
        <f>'II-I-TBILLTDCS'!F185</f>
        <v>0</v>
      </c>
      <c r="K185" s="121" t="str">
        <f>'II-I-TBILLTDCS'!H185</f>
        <v>PAYROLL XAG</v>
      </c>
      <c r="L185" s="893">
        <f t="shared" si="6"/>
        <v>28551508.509999998</v>
      </c>
      <c r="M185" s="1035" t="s">
        <v>1060</v>
      </c>
    </row>
    <row r="186" spans="2:13" s="386" customFormat="1" ht="14.25">
      <c r="B186" s="17">
        <f t="shared" si="7"/>
        <v>9</v>
      </c>
      <c r="C186" s="1" t="s">
        <v>103</v>
      </c>
      <c r="D186" s="1" t="s">
        <v>104</v>
      </c>
      <c r="E186" s="17"/>
      <c r="F186" s="118">
        <f>'II-I-DIST'!F186</f>
        <v>17734119.199999999</v>
      </c>
      <c r="G186" s="118" t="str">
        <f>'II-I-DIST'!H186</f>
        <v>PLTOPER_N</v>
      </c>
      <c r="H186" s="118">
        <f>'II-I-MET'!F186</f>
        <v>3737188.5699999998</v>
      </c>
      <c r="I186" s="118" t="str">
        <f>'II-I-MET'!H186</f>
        <v>PLTOPER_N</v>
      </c>
      <c r="J186" s="121">
        <f>'II-I-TBILLTDCS'!F186</f>
        <v>0</v>
      </c>
      <c r="K186" s="121" t="str">
        <f>'II-I-TBILLTDCS'!H186</f>
        <v>PAYROLL XAG</v>
      </c>
      <c r="L186" s="893">
        <f t="shared" si="6"/>
        <v>21471307.77</v>
      </c>
      <c r="M186" s="1035" t="s">
        <v>1060</v>
      </c>
    </row>
    <row r="187" spans="2:13" s="386" customFormat="1" ht="14.25">
      <c r="B187" s="17">
        <f t="shared" si="7"/>
        <v>10</v>
      </c>
      <c r="C187" s="1" t="s">
        <v>105</v>
      </c>
      <c r="D187" s="1" t="s">
        <v>106</v>
      </c>
      <c r="E187" s="17"/>
      <c r="F187" s="118">
        <f>'II-I-DIST'!F187</f>
        <v>7626625.3200000003</v>
      </c>
      <c r="G187" s="118" t="str">
        <f>'II-I-DIST'!H187</f>
        <v>PLTOPER_N</v>
      </c>
      <c r="H187" s="118">
        <f>'II-I-MET'!F187</f>
        <v>930590.34999999998</v>
      </c>
      <c r="I187" s="118" t="str">
        <f>'II-I-MET'!H187</f>
        <v>PLTOPER_N</v>
      </c>
      <c r="J187" s="121">
        <f>'II-I-TBILLTDCS'!F187</f>
        <v>0</v>
      </c>
      <c r="K187" s="121" t="str">
        <f>'II-I-TBILLTDCS'!H187</f>
        <v>PAYROLL XAG</v>
      </c>
      <c r="L187" s="893">
        <f t="shared" si="6"/>
        <v>8557215.6699999999</v>
      </c>
      <c r="M187" s="1035" t="s">
        <v>1060</v>
      </c>
    </row>
    <row r="188" spans="2:13" ht="15">
      <c r="B188" s="17">
        <f t="shared" si="7"/>
        <v>11</v>
      </c>
      <c r="C188" s="1"/>
      <c r="D188" s="297" t="s">
        <v>491</v>
      </c>
      <c r="E188" s="922"/>
      <c r="F188" s="895">
        <f>'II-I-DIST'!F188</f>
        <v>324368101.23000002</v>
      </c>
      <c r="G188" s="922"/>
      <c r="H188" s="895">
        <f>'II-I-MET'!F188</f>
        <v>103542795.91999999</v>
      </c>
      <c r="I188" s="922"/>
      <c r="J188" s="895">
        <f>'II-I-TBILLTDCS'!F188</f>
        <v>100100755.95999999</v>
      </c>
      <c r="K188" s="895"/>
      <c r="L188" s="895">
        <f t="shared" si="6"/>
        <v>528011653.10999995</v>
      </c>
      <c r="M188" s="1035"/>
    </row>
    <row r="189" spans="2:13" ht="15">
      <c r="B189" s="17">
        <f t="shared" si="7"/>
        <v>12</v>
      </c>
      <c r="C189" s="8"/>
      <c r="D189" s="297"/>
      <c r="E189" s="922"/>
      <c r="F189" s="18"/>
      <c r="G189" s="922"/>
      <c r="H189" s="18"/>
      <c r="I189" s="922"/>
      <c r="J189" s="18"/>
      <c r="K189" s="893"/>
      <c r="L189" s="893">
        <f t="shared" si="6"/>
        <v>0</v>
      </c>
      <c r="M189" s="1035"/>
    </row>
    <row r="190" spans="2:13" s="386" customFormat="1" ht="14.25">
      <c r="B190" s="17">
        <f t="shared" si="7"/>
        <v>13</v>
      </c>
      <c r="C190" s="1" t="s">
        <v>110</v>
      </c>
      <c r="D190" s="1" t="s">
        <v>550</v>
      </c>
      <c r="E190" s="17"/>
      <c r="F190" s="118">
        <f>'II-I-DIST'!F190</f>
        <v>5763893.6799999997</v>
      </c>
      <c r="G190" s="118" t="str">
        <f>'II-I-DIST'!H190</f>
        <v>PLTOPER_N</v>
      </c>
      <c r="H190" s="118">
        <f>'II-I-MET'!F190</f>
        <v>1183825.6899999999</v>
      </c>
      <c r="I190" s="118" t="str">
        <f>'II-I-MET'!H190</f>
        <v>PLTOPER_N</v>
      </c>
      <c r="J190" s="121">
        <f>'II-I-TBILLTDCS'!F190</f>
        <v>0</v>
      </c>
      <c r="K190" s="121" t="str">
        <f>'II-I-TBILLTDCS'!H190</f>
        <v>PAYROLL XAG</v>
      </c>
      <c r="L190" s="893">
        <f t="shared" si="6"/>
        <v>6947719.3699999992</v>
      </c>
      <c r="M190" s="1035" t="s">
        <v>1060</v>
      </c>
    </row>
    <row r="191" spans="2:13" s="386" customFormat="1" ht="14.25">
      <c r="B191" s="17">
        <f t="shared" si="7"/>
        <v>14</v>
      </c>
      <c r="C191" s="1" t="s">
        <v>112</v>
      </c>
      <c r="D191" s="1" t="s">
        <v>551</v>
      </c>
      <c r="E191" s="17"/>
      <c r="F191" s="118">
        <f>'II-I-DIST'!F191</f>
        <v>0</v>
      </c>
      <c r="G191" s="118" t="str">
        <f>'II-I-DIST'!H191</f>
        <v>PLTOPER_N</v>
      </c>
      <c r="H191" s="118">
        <f>'II-I-MET'!F191</f>
        <v>0</v>
      </c>
      <c r="I191" s="118" t="str">
        <f>'II-I-MET'!H191</f>
        <v>PLTOPER_N</v>
      </c>
      <c r="J191" s="121">
        <f>'II-I-TBILLTDCS'!F191</f>
        <v>0</v>
      </c>
      <c r="K191" s="121" t="str">
        <f>'II-I-TBILLTDCS'!H191</f>
        <v>PAYROLL XAG</v>
      </c>
      <c r="L191" s="893">
        <f t="shared" si="6"/>
        <v>0</v>
      </c>
      <c r="M191" s="1035" t="s">
        <v>1060</v>
      </c>
    </row>
    <row r="192" spans="2:13" ht="15">
      <c r="B192" s="17">
        <f t="shared" si="7"/>
        <v>15</v>
      </c>
      <c r="C192" s="8"/>
      <c r="D192" s="297" t="s">
        <v>491</v>
      </c>
      <c r="E192" s="922"/>
      <c r="F192" s="895">
        <f>'II-I-DIST'!F192</f>
        <v>5763893.6799999997</v>
      </c>
      <c r="G192" s="922"/>
      <c r="H192" s="895">
        <f>'II-I-MET'!F192</f>
        <v>1183825.6899999999</v>
      </c>
      <c r="I192" s="922"/>
      <c r="J192" s="895">
        <f>'II-I-TBILLTDCS'!F192</f>
        <v>0</v>
      </c>
      <c r="K192" s="895"/>
      <c r="L192" s="895">
        <f t="shared" si="6"/>
        <v>6947719.3699999992</v>
      </c>
      <c r="M192" s="1035"/>
    </row>
    <row r="193" spans="2:12" ht="15.75" thickBot="1">
      <c r="B193" s="17">
        <f t="shared" si="7"/>
        <v>16</v>
      </c>
      <c r="C193" s="8"/>
      <c r="D193" s="297"/>
      <c r="E193" s="922"/>
      <c r="F193" s="896"/>
      <c r="G193" s="922"/>
      <c r="H193" s="896"/>
      <c r="I193" s="922"/>
      <c r="J193" s="896"/>
      <c r="K193" s="896"/>
      <c r="L193" s="896"/>
    </row>
    <row r="194" spans="2:12" ht="15.75" thickBot="1">
      <c r="B194" s="17">
        <f t="shared" si="7"/>
        <v>17</v>
      </c>
      <c r="C194" s="284" t="s">
        <v>552</v>
      </c>
      <c r="D194" s="285"/>
      <c r="E194" s="316" t="s">
        <v>90</v>
      </c>
      <c r="F194" s="903">
        <f>'II-I-DIST'!F194</f>
        <v>330131994.91000003</v>
      </c>
      <c r="G194" s="444"/>
      <c r="H194" s="903">
        <f>'II-I-MET'!F194</f>
        <v>104726621.60999998</v>
      </c>
      <c r="I194" s="444"/>
      <c r="J194" s="446">
        <f>'II-I-TBILLTDCS'!F194</f>
        <v>100100755.95999999</v>
      </c>
      <c r="K194" s="903"/>
      <c r="L194" s="380">
        <f t="shared" si="6"/>
        <v>534959372.47999996</v>
      </c>
    </row>
    <row r="195" spans="2:10" ht="14.25">
      <c r="B195" s="67"/>
      <c r="C195" s="67"/>
      <c r="D195" s="67"/>
      <c r="E195" s="67"/>
      <c r="F195" s="67"/>
      <c r="G195" s="67"/>
      <c r="H195" s="67"/>
      <c r="I195" s="67"/>
      <c r="J195" s="67"/>
    </row>
    <row r="196" spans="2:12" ht="15">
      <c r="B196" s="874"/>
      <c r="C196" s="874"/>
      <c r="D196" s="874"/>
      <c r="E196" s="874"/>
      <c r="F196" s="67"/>
      <c r="G196" s="134"/>
      <c r="H196" s="67"/>
      <c r="I196" s="134"/>
      <c r="J196" s="67"/>
      <c r="K196" s="874"/>
      <c r="L196" s="874"/>
    </row>
    <row r="197" spans="2:12" ht="15.75" thickBot="1">
      <c r="B197" s="404"/>
      <c r="C197" s="369"/>
      <c r="D197" s="369"/>
      <c r="E197" s="874"/>
      <c r="F197" s="67"/>
      <c r="G197" s="67"/>
      <c r="H197" s="67"/>
      <c r="I197" s="67"/>
      <c r="J197" s="67"/>
      <c r="K197" s="874"/>
      <c r="L197" s="874"/>
    </row>
    <row r="198" spans="2:12" ht="15">
      <c r="B198" s="920" t="str">
        <f>$B$4</f>
        <v>2022 RATE CASE</v>
      </c>
      <c r="C198" s="926"/>
      <c r="D198" s="927"/>
      <c r="E198" s="874"/>
      <c r="F198" s="12"/>
      <c r="H198" s="12"/>
      <c r="J198" s="12"/>
      <c r="K198" s="874"/>
      <c r="L198" s="874"/>
    </row>
    <row r="199" spans="2:12" ht="15">
      <c r="B199" s="917" t="str">
        <f>$B$5</f>
        <v>ONCOR ELECTRIC DELIVERY COMPANY LLC</v>
      </c>
      <c r="C199" s="369"/>
      <c r="D199" s="928"/>
      <c r="E199" s="874"/>
      <c r="F199" s="12"/>
      <c r="H199" s="12"/>
      <c r="J199" s="12"/>
      <c r="K199" s="874"/>
      <c r="L199" s="874"/>
    </row>
    <row r="200" spans="2:12" ht="15">
      <c r="B200" s="406" t="str">
        <f>$B$6</f>
        <v>II-I-2.1f:  CONSOLIDATED FUNCTIONALIZED COST OF SERVICE</v>
      </c>
      <c r="C200" s="369"/>
      <c r="D200" s="928"/>
      <c r="E200" s="874"/>
      <c r="F200" s="12"/>
      <c r="H200" s="12"/>
      <c r="J200" s="12"/>
      <c r="K200" s="874"/>
      <c r="L200" s="874"/>
    </row>
    <row r="201" spans="2:12" ht="15">
      <c r="B201" s="406" t="str">
        <f>$B$7</f>
        <v>TEST YEAR ENDING 12/31/2021</v>
      </c>
      <c r="C201" s="369"/>
      <c r="D201" s="928"/>
      <c r="E201" s="369"/>
      <c r="F201" s="12"/>
      <c r="H201" s="12"/>
      <c r="J201" s="12"/>
      <c r="K201" s="369"/>
      <c r="L201" s="369"/>
    </row>
    <row r="202" spans="2:12" ht="15">
      <c r="B202" s="406" t="str">
        <f>$B$8</f>
        <v>SPONSOR:  MATTHEW A. TROXLE</v>
      </c>
      <c r="C202" s="369"/>
      <c r="D202" s="928"/>
      <c r="E202" s="369"/>
      <c r="F202" s="12"/>
      <c r="H202" s="12"/>
      <c r="J202" s="12"/>
      <c r="K202" s="369"/>
      <c r="L202" s="369"/>
    </row>
    <row r="203" spans="2:12" ht="15.75" thickBot="1">
      <c r="B203" s="960"/>
      <c r="C203" s="931"/>
      <c r="D203" s="932"/>
      <c r="E203" s="369"/>
      <c r="F203" s="12"/>
      <c r="H203" s="12"/>
      <c r="J203" s="12"/>
      <c r="K203" s="369"/>
      <c r="L203" s="369"/>
    </row>
    <row r="204" spans="2:13" ht="14.25">
      <c r="B204" s="13"/>
      <c r="C204" s="14"/>
      <c r="D204" s="238"/>
      <c r="E204" s="14"/>
      <c r="F204" s="13"/>
      <c r="G204" s="14"/>
      <c r="H204" s="13"/>
      <c r="I204" s="14"/>
      <c r="J204" s="13"/>
      <c r="K204" s="738"/>
      <c r="L204" s="952"/>
      <c r="M204" s="1036"/>
    </row>
    <row r="205" spans="2:13" ht="15">
      <c r="B205" s="15" t="s">
        <v>2</v>
      </c>
      <c r="C205" s="15" t="s">
        <v>370</v>
      </c>
      <c r="D205" s="241" t="s">
        <v>108</v>
      </c>
      <c r="E205" s="15" t="s">
        <v>371</v>
      </c>
      <c r="F205" s="287" t="str">
        <f>'II-I-DIST'!F205</f>
        <v>DIST</v>
      </c>
      <c r="G205" s="242" t="s">
        <v>376</v>
      </c>
      <c r="H205" s="287" t="str">
        <f>'II-I-MET'!F205</f>
        <v>MET</v>
      </c>
      <c r="I205" s="242" t="s">
        <v>376</v>
      </c>
      <c r="J205" s="287" t="str">
        <f>'II-I-TBILLTDCS'!F205</f>
        <v>TBILLTDCS</v>
      </c>
      <c r="K205" s="743" t="s">
        <v>376</v>
      </c>
      <c r="L205" s="743" t="s">
        <v>481</v>
      </c>
      <c r="M205" s="1030" t="s">
        <v>1046</v>
      </c>
    </row>
    <row r="206" spans="2:13" ht="14.25">
      <c r="B206" s="15"/>
      <c r="C206" s="15"/>
      <c r="D206" s="242"/>
      <c r="E206" s="15"/>
      <c r="F206" s="15"/>
      <c r="G206" s="242" t="s">
        <v>743</v>
      </c>
      <c r="H206" s="15"/>
      <c r="I206" s="242" t="s">
        <v>743</v>
      </c>
      <c r="J206" s="15"/>
      <c r="K206" s="743" t="s">
        <v>743</v>
      </c>
      <c r="L206" s="743" t="s">
        <v>33</v>
      </c>
      <c r="M206" s="1037"/>
    </row>
    <row r="207" spans="2:13" ht="15.75" thickBot="1">
      <c r="B207" s="243"/>
      <c r="C207" s="957"/>
      <c r="D207" s="245"/>
      <c r="E207" s="245"/>
      <c r="F207" s="747" t="s">
        <v>13</v>
      </c>
      <c r="G207" s="747" t="s">
        <v>14</v>
      </c>
      <c r="H207" s="747" t="s">
        <v>15</v>
      </c>
      <c r="I207" s="747" t="s">
        <v>16</v>
      </c>
      <c r="J207" s="747" t="s">
        <v>17</v>
      </c>
      <c r="K207" s="747" t="s">
        <v>18</v>
      </c>
      <c r="L207" s="747" t="s">
        <v>19</v>
      </c>
      <c r="M207" s="1032" t="s">
        <v>20</v>
      </c>
    </row>
    <row r="208" spans="2:12" ht="14.25">
      <c r="B208" s="67"/>
      <c r="C208" s="100"/>
      <c r="D208" s="100"/>
      <c r="E208" s="315"/>
      <c r="F208" s="100"/>
      <c r="G208" s="315"/>
      <c r="H208" s="100"/>
      <c r="I208" s="315"/>
      <c r="J208" s="100"/>
      <c r="K208" s="730"/>
      <c r="L208" s="730"/>
    </row>
    <row r="209" spans="2:13" s="386" customFormat="1" ht="15">
      <c r="B209" s="17">
        <f t="shared" si="8" ref="B209:B218">B208+1</f>
        <v>1</v>
      </c>
      <c r="C209" s="1" t="s">
        <v>107</v>
      </c>
      <c r="D209" s="1" t="s">
        <v>553</v>
      </c>
      <c r="E209" s="922" t="s">
        <v>109</v>
      </c>
      <c r="F209" s="118">
        <f>'II-I-DIST'!F209</f>
        <v>61337953.159999996</v>
      </c>
      <c r="G209" s="118" t="str">
        <f>'II-I-DIST'!H209</f>
        <v>PLTOPER_N</v>
      </c>
      <c r="H209" s="118">
        <f>'II-I-MET'!F209</f>
        <v>45688861.039999999</v>
      </c>
      <c r="I209" s="118" t="str">
        <f>'II-I-MET'!H209</f>
        <v>PLTOPER_N</v>
      </c>
      <c r="J209" s="118">
        <f>'II-I-TBILLTDCS'!F209</f>
        <v>1554894.4199999999</v>
      </c>
      <c r="K209" s="118" t="str">
        <f>'II-I-TBILLTDCS'!H209</f>
        <v>PAYROLL XAG</v>
      </c>
      <c r="L209" s="893">
        <f>F209+H209+J209</f>
        <v>108581708.61999999</v>
      </c>
      <c r="M209" s="1033" t="s">
        <v>1061</v>
      </c>
    </row>
    <row r="210" spans="2:12" ht="15">
      <c r="B210" s="17">
        <f t="shared" si="8"/>
        <v>2</v>
      </c>
      <c r="C210" s="8"/>
      <c r="D210" s="297" t="s">
        <v>491</v>
      </c>
      <c r="E210" s="922"/>
      <c r="F210" s="896">
        <f>'II-I-DIST'!F210</f>
        <v>61337953.159999996</v>
      </c>
      <c r="G210" s="922"/>
      <c r="H210" s="896">
        <f>'II-I-MET'!F210</f>
        <v>45688861.039999999</v>
      </c>
      <c r="I210" s="922"/>
      <c r="J210" s="896">
        <f>'II-I-TBILLTDCS'!F210</f>
        <v>1554894.4199999999</v>
      </c>
      <c r="K210" s="896"/>
      <c r="L210" s="896">
        <f>F210+H210+J210</f>
        <v>108581708.61999999</v>
      </c>
    </row>
    <row r="211" spans="2:12" ht="15.75" thickBot="1">
      <c r="B211" s="17">
        <f t="shared" si="8"/>
        <v>3</v>
      </c>
      <c r="C211" s="1"/>
      <c r="D211" s="297"/>
      <c r="E211" s="17"/>
      <c r="F211" s="19"/>
      <c r="G211" s="17"/>
      <c r="H211" s="19"/>
      <c r="I211" s="17"/>
      <c r="J211" s="19"/>
      <c r="K211" s="894"/>
      <c r="L211" s="894"/>
    </row>
    <row r="212" spans="2:12" ht="15.75" thickBot="1">
      <c r="B212" s="17">
        <f t="shared" si="8"/>
        <v>4</v>
      </c>
      <c r="C212" s="284" t="s">
        <v>554</v>
      </c>
      <c r="D212" s="285"/>
      <c r="E212" s="316"/>
      <c r="F212" s="317">
        <f>'II-I-DIST'!F212</f>
        <v>61337953.159999996</v>
      </c>
      <c r="G212" s="316"/>
      <c r="H212" s="317">
        <f>'II-I-MET'!F212</f>
        <v>45688861.039999999</v>
      </c>
      <c r="I212" s="316"/>
      <c r="J212" s="317">
        <f>'II-I-TBILLTDCS'!F212</f>
        <v>1554894.4199999999</v>
      </c>
      <c r="K212" s="317"/>
      <c r="L212" s="256">
        <f>F212+H212+J212</f>
        <v>108581708.61999999</v>
      </c>
    </row>
    <row r="213" spans="2:12" ht="15" thickBot="1">
      <c r="B213" s="17">
        <f t="shared" si="8"/>
        <v>5</v>
      </c>
      <c r="C213" s="12"/>
      <c r="D213" s="12"/>
      <c r="E213" s="11"/>
      <c r="F213" s="12"/>
      <c r="G213" s="11"/>
      <c r="H213" s="12"/>
      <c r="I213" s="11"/>
      <c r="J213" s="12"/>
      <c r="K213" s="646"/>
      <c r="L213" s="646"/>
    </row>
    <row r="214" spans="2:12" ht="15.75" thickBot="1">
      <c r="B214" s="17">
        <f t="shared" si="8"/>
        <v>6</v>
      </c>
      <c r="C214" s="284" t="s">
        <v>555</v>
      </c>
      <c r="D214" s="285"/>
      <c r="E214" s="316" t="s">
        <v>556</v>
      </c>
      <c r="F214" s="317">
        <f>'II-I-DIST'!F214</f>
        <v>391469948.07000005</v>
      </c>
      <c r="G214" s="316"/>
      <c r="H214" s="317">
        <f>'II-I-MET'!F214</f>
        <v>150415482.64999998</v>
      </c>
      <c r="I214" s="316"/>
      <c r="J214" s="317">
        <f>'II-I-TBILLTDCS'!F214</f>
        <v>101655650.38</v>
      </c>
      <c r="K214" s="317"/>
      <c r="L214" s="256">
        <f>F214+H214+J214</f>
        <v>643541081.10000002</v>
      </c>
    </row>
    <row r="215" spans="2:12" ht="15" thickBot="1">
      <c r="B215" s="17">
        <f t="shared" si="8"/>
        <v>7</v>
      </c>
      <c r="C215" s="12"/>
      <c r="D215" s="12"/>
      <c r="E215" s="11"/>
      <c r="F215" s="12"/>
      <c r="G215" s="11"/>
      <c r="H215" s="12"/>
      <c r="I215" s="11"/>
      <c r="J215" s="12"/>
      <c r="K215" s="646"/>
      <c r="L215" s="646"/>
    </row>
    <row r="216" spans="2:12" ht="15.75" thickBot="1">
      <c r="B216" s="17">
        <f t="shared" si="8"/>
        <v>8</v>
      </c>
      <c r="C216" s="284" t="s">
        <v>557</v>
      </c>
      <c r="D216" s="285"/>
      <c r="E216" s="316" t="s">
        <v>558</v>
      </c>
      <c r="F216" s="903">
        <f>'II-I-DIST'!F216</f>
        <v>15715483704.599999</v>
      </c>
      <c r="G216" s="316"/>
      <c r="H216" s="903">
        <f>'II-I-MET'!F216</f>
        <v>909864678.68000007</v>
      </c>
      <c r="I216" s="316"/>
      <c r="J216" s="903">
        <f>'II-I-TBILLTDCS'!F216</f>
        <v>412064825.12</v>
      </c>
      <c r="K216" s="903"/>
      <c r="L216" s="380">
        <f>F216+H216+J216</f>
        <v>17037413208.4</v>
      </c>
    </row>
    <row r="217" spans="2:12" ht="15.75" thickBot="1">
      <c r="B217" s="17">
        <f t="shared" si="8"/>
        <v>9</v>
      </c>
      <c r="C217" s="8"/>
      <c r="D217" s="1"/>
      <c r="E217" s="17"/>
      <c r="F217" s="1"/>
      <c r="G217" s="17"/>
      <c r="H217" s="1"/>
      <c r="I217" s="17"/>
      <c r="J217" s="1"/>
      <c r="K217" s="730"/>
      <c r="L217" s="730"/>
    </row>
    <row r="218" spans="2:12" ht="15.75" thickBot="1">
      <c r="B218" s="17">
        <f t="shared" si="8"/>
        <v>10</v>
      </c>
      <c r="C218" s="284" t="s">
        <v>559</v>
      </c>
      <c r="D218" s="285"/>
      <c r="E218" s="316" t="s">
        <v>558</v>
      </c>
      <c r="F218" s="903">
        <f>'II-I-DIST'!F218</f>
        <v>15392150331.779999</v>
      </c>
      <c r="G218" s="444"/>
      <c r="H218" s="903">
        <f>'II-I-MET'!F218</f>
        <v>724562965.72000003</v>
      </c>
      <c r="I218" s="444"/>
      <c r="J218" s="903">
        <f>'II-I-TBILLTDCS'!F218</f>
        <v>101655650.38</v>
      </c>
      <c r="K218" s="903"/>
      <c r="L218" s="933">
        <f>F218+H218+J218</f>
        <v>16218368947.879997</v>
      </c>
    </row>
    <row r="219" spans="2:10" ht="14.25">
      <c r="B219" s="67"/>
      <c r="C219" s="67"/>
      <c r="D219" s="67"/>
      <c r="E219" s="67"/>
      <c r="F219" s="67"/>
      <c r="G219" s="67"/>
      <c r="H219" s="67"/>
      <c r="I219" s="67"/>
      <c r="J219" s="67"/>
    </row>
    <row r="220" spans="2:12" ht="15">
      <c r="B220" s="874"/>
      <c r="C220" s="874"/>
      <c r="D220" s="874"/>
      <c r="E220" s="874"/>
      <c r="F220" s="67"/>
      <c r="G220" s="134"/>
      <c r="H220" s="67"/>
      <c r="I220" s="134"/>
      <c r="J220" s="67"/>
      <c r="K220" s="874"/>
      <c r="L220" s="874"/>
    </row>
    <row r="221" spans="3:12" ht="15.75" thickBot="1">
      <c r="C221" s="874"/>
      <c r="D221" s="874"/>
      <c r="E221" s="874"/>
      <c r="F221" s="67"/>
      <c r="G221" s="67"/>
      <c r="H221" s="67"/>
      <c r="I221" s="67"/>
      <c r="J221" s="67"/>
      <c r="K221" s="874"/>
      <c r="L221" s="874"/>
    </row>
    <row r="222" spans="2:12" ht="15">
      <c r="B222" s="920" t="str">
        <f>$B$4</f>
        <v>2022 RATE CASE</v>
      </c>
      <c r="C222" s="926"/>
      <c r="D222" s="927"/>
      <c r="E222" s="874"/>
      <c r="F222" s="12"/>
      <c r="H222" s="12"/>
      <c r="J222" s="12"/>
      <c r="K222" s="874"/>
      <c r="L222" s="874"/>
    </row>
    <row r="223" spans="2:12" ht="15">
      <c r="B223" s="917" t="str">
        <f>$B$5</f>
        <v>ONCOR ELECTRIC DELIVERY COMPANY LLC</v>
      </c>
      <c r="C223" s="369"/>
      <c r="D223" s="928"/>
      <c r="E223" s="874"/>
      <c r="F223" s="12"/>
      <c r="H223" s="12"/>
      <c r="J223" s="12"/>
      <c r="K223" s="874"/>
      <c r="L223" s="874"/>
    </row>
    <row r="224" spans="2:12" ht="15">
      <c r="B224" s="406" t="str">
        <f>$B$6</f>
        <v>II-I-2.1f:  CONSOLIDATED FUNCTIONALIZED COST OF SERVICE</v>
      </c>
      <c r="C224" s="369"/>
      <c r="D224" s="928"/>
      <c r="E224" s="874"/>
      <c r="F224" s="12"/>
      <c r="H224" s="12"/>
      <c r="J224" s="12"/>
      <c r="K224" s="874"/>
      <c r="L224" s="874"/>
    </row>
    <row r="225" spans="2:12" ht="15">
      <c r="B225" s="406" t="str">
        <f>$B$7</f>
        <v>TEST YEAR ENDING 12/31/2021</v>
      </c>
      <c r="C225" s="369"/>
      <c r="D225" s="928"/>
      <c r="E225" s="369"/>
      <c r="F225" s="12"/>
      <c r="H225" s="12"/>
      <c r="J225" s="12"/>
      <c r="K225" s="369"/>
      <c r="L225" s="369"/>
    </row>
    <row r="226" spans="2:12" ht="15">
      <c r="B226" s="406" t="str">
        <f>$B$8</f>
        <v>SPONSOR:  MATTHEW A. TROXLE</v>
      </c>
      <c r="C226" s="369"/>
      <c r="D226" s="928"/>
      <c r="E226" s="369"/>
      <c r="F226" s="12"/>
      <c r="H226" s="12"/>
      <c r="J226" s="12"/>
      <c r="K226" s="369"/>
      <c r="L226" s="369"/>
    </row>
    <row r="227" spans="2:12" ht="15.75" thickBot="1">
      <c r="B227" s="410"/>
      <c r="C227" s="931"/>
      <c r="D227" s="932"/>
      <c r="E227" s="369"/>
      <c r="F227" s="12"/>
      <c r="H227" s="12"/>
      <c r="J227" s="12"/>
      <c r="K227" s="369"/>
      <c r="L227" s="369"/>
    </row>
    <row r="228" spans="2:13" ht="14.25">
      <c r="B228" s="13"/>
      <c r="C228" s="14"/>
      <c r="D228" s="238"/>
      <c r="E228" s="14"/>
      <c r="F228" s="13"/>
      <c r="G228" s="14"/>
      <c r="H228" s="13"/>
      <c r="I228" s="14"/>
      <c r="J228" s="13"/>
      <c r="K228" s="738"/>
      <c r="L228" s="952"/>
      <c r="M228" s="1036"/>
    </row>
    <row r="229" spans="2:13" ht="15">
      <c r="B229" s="15" t="s">
        <v>2</v>
      </c>
      <c r="C229" s="15" t="s">
        <v>370</v>
      </c>
      <c r="D229" s="241" t="s">
        <v>560</v>
      </c>
      <c r="E229" s="15" t="s">
        <v>371</v>
      </c>
      <c r="F229" s="287" t="str">
        <f>'II-I-DIST'!F229</f>
        <v>DIST</v>
      </c>
      <c r="G229" s="242" t="s">
        <v>376</v>
      </c>
      <c r="H229" s="287" t="str">
        <f>'II-I-MET'!F229</f>
        <v>MET</v>
      </c>
      <c r="I229" s="242" t="s">
        <v>376</v>
      </c>
      <c r="J229" s="287" t="str">
        <f>'II-I-TBILLTDCS'!F229</f>
        <v>TBILLTDCS</v>
      </c>
      <c r="K229" s="743" t="s">
        <v>376</v>
      </c>
      <c r="L229" s="743" t="s">
        <v>481</v>
      </c>
      <c r="M229" s="1030" t="s">
        <v>1046</v>
      </c>
    </row>
    <row r="230" spans="2:13" ht="14.25">
      <c r="B230" s="15"/>
      <c r="C230" s="15"/>
      <c r="D230" s="242"/>
      <c r="E230" s="15"/>
      <c r="F230" s="15"/>
      <c r="G230" s="242" t="s">
        <v>743</v>
      </c>
      <c r="H230" s="15"/>
      <c r="I230" s="242" t="s">
        <v>743</v>
      </c>
      <c r="J230" s="15"/>
      <c r="K230" s="743" t="s">
        <v>743</v>
      </c>
      <c r="L230" s="743" t="s">
        <v>33</v>
      </c>
      <c r="M230" s="1037"/>
    </row>
    <row r="231" spans="2:13" ht="15.75" thickBot="1">
      <c r="B231" s="243"/>
      <c r="C231" s="957"/>
      <c r="D231" s="245"/>
      <c r="E231" s="245"/>
      <c r="F231" s="747" t="s">
        <v>13</v>
      </c>
      <c r="G231" s="747" t="s">
        <v>14</v>
      </c>
      <c r="H231" s="747" t="s">
        <v>15</v>
      </c>
      <c r="I231" s="747" t="s">
        <v>16</v>
      </c>
      <c r="J231" s="747" t="s">
        <v>17</v>
      </c>
      <c r="K231" s="747" t="s">
        <v>18</v>
      </c>
      <c r="L231" s="747" t="s">
        <v>19</v>
      </c>
      <c r="M231" s="1032" t="s">
        <v>20</v>
      </c>
    </row>
    <row r="232" spans="2:12" ht="14.25">
      <c r="B232" s="67"/>
      <c r="C232" s="100"/>
      <c r="D232" s="100"/>
      <c r="E232" s="315"/>
      <c r="F232" s="100"/>
      <c r="G232" s="315"/>
      <c r="H232" s="100"/>
      <c r="I232" s="315"/>
      <c r="J232" s="100"/>
      <c r="K232" s="730"/>
      <c r="L232" s="730"/>
    </row>
    <row r="233" spans="2:12" ht="15">
      <c r="B233" s="17">
        <f>B232+1</f>
        <v>1</v>
      </c>
      <c r="C233" s="8"/>
      <c r="D233" s="8" t="s">
        <v>560</v>
      </c>
      <c r="E233" s="922"/>
      <c r="F233" s="8"/>
      <c r="G233" s="922"/>
      <c r="H233" s="8"/>
      <c r="I233" s="922"/>
      <c r="J233" s="8"/>
      <c r="K233" s="775"/>
      <c r="L233" s="8"/>
    </row>
    <row r="234" spans="2:13" s="386" customFormat="1" ht="14.25">
      <c r="B234" s="17">
        <f>B233+1</f>
        <v>2</v>
      </c>
      <c r="C234" s="1" t="s">
        <v>561</v>
      </c>
      <c r="D234" s="1" t="s">
        <v>116</v>
      </c>
      <c r="E234" s="17"/>
      <c r="F234" s="118">
        <f>'II-I-DIST'!F234</f>
        <v>0</v>
      </c>
      <c r="G234" s="118" t="str">
        <f>'II-I-DIST'!H234</f>
        <v>NCP XHV</v>
      </c>
      <c r="H234" s="118">
        <f>'II-I-MET'!F234</f>
        <v>0</v>
      </c>
      <c r="I234" s="118" t="str">
        <f>'II-I-MET'!H234</f>
        <v>NCP XHV</v>
      </c>
      <c r="J234" s="118">
        <f>'II-I-TBILLTDCS'!F234</f>
        <v>0</v>
      </c>
      <c r="K234" s="118" t="str">
        <f>'II-I-TBILLTDCS'!H234</f>
        <v>NCP XHV</v>
      </c>
      <c r="L234" s="893">
        <f>F234+H234+J234</f>
        <v>0</v>
      </c>
      <c r="M234" s="1033"/>
    </row>
    <row r="235" spans="2:12" ht="15">
      <c r="B235" s="17">
        <f>B234+1</f>
        <v>3</v>
      </c>
      <c r="C235" s="1"/>
      <c r="D235" s="297" t="s">
        <v>491</v>
      </c>
      <c r="E235" s="922"/>
      <c r="F235" s="896">
        <f>'II-I-DIST'!F235</f>
        <v>0</v>
      </c>
      <c r="G235" s="922"/>
      <c r="H235" s="896">
        <f>'II-I-MET'!F235</f>
        <v>0</v>
      </c>
      <c r="I235" s="922"/>
      <c r="J235" s="896">
        <f>'II-I-TBILLTDCS'!F235</f>
        <v>0</v>
      </c>
      <c r="K235" s="896"/>
      <c r="L235" s="896">
        <f>F235+H235+J235</f>
        <v>0</v>
      </c>
    </row>
    <row r="236" spans="2:12" ht="15.75" thickBot="1">
      <c r="B236" s="17">
        <f>B235+1</f>
        <v>4</v>
      </c>
      <c r="C236" s="1"/>
      <c r="D236" s="1"/>
      <c r="E236" s="922"/>
      <c r="F236" s="19"/>
      <c r="G236" s="922"/>
      <c r="H236" s="19"/>
      <c r="I236" s="922"/>
      <c r="J236" s="19"/>
      <c r="K236" s="894"/>
      <c r="L236" s="894"/>
    </row>
    <row r="237" spans="2:12" ht="15.75" thickBot="1">
      <c r="B237" s="17">
        <f>B236+1</f>
        <v>5</v>
      </c>
      <c r="C237" s="284" t="s">
        <v>562</v>
      </c>
      <c r="D237" s="285"/>
      <c r="E237" s="316" t="s">
        <v>117</v>
      </c>
      <c r="F237" s="903">
        <f>'II-I-DIST'!F237</f>
        <v>0</v>
      </c>
      <c r="G237" s="444"/>
      <c r="H237" s="903">
        <f>'II-I-MET'!F237</f>
        <v>0</v>
      </c>
      <c r="I237" s="444"/>
      <c r="J237" s="903">
        <f>'II-I-TBILLTDCS'!F237</f>
        <v>0</v>
      </c>
      <c r="K237" s="903"/>
      <c r="L237" s="933">
        <f>F237+H237+J237</f>
        <v>0</v>
      </c>
    </row>
    <row r="238" spans="2:12" ht="15.75" thickBot="1">
      <c r="B238" s="874"/>
      <c r="C238" s="874"/>
      <c r="D238" s="874"/>
      <c r="E238" s="874"/>
      <c r="F238" s="67"/>
      <c r="G238" s="67"/>
      <c r="H238" s="67"/>
      <c r="I238" s="67"/>
      <c r="J238" s="67"/>
      <c r="K238" s="874"/>
      <c r="L238" s="874"/>
    </row>
    <row r="239" spans="2:12" ht="15">
      <c r="B239" s="920" t="str">
        <f>$B$4</f>
        <v>2022 RATE CASE</v>
      </c>
      <c r="C239" s="926"/>
      <c r="D239" s="927"/>
      <c r="E239" s="874"/>
      <c r="F239" s="67"/>
      <c r="G239" s="134"/>
      <c r="H239" s="67"/>
      <c r="I239" s="134"/>
      <c r="J239" s="67"/>
      <c r="K239" s="874"/>
      <c r="L239" s="874"/>
    </row>
    <row r="240" spans="2:12" ht="15">
      <c r="B240" s="917" t="str">
        <f>$B$5</f>
        <v>ONCOR ELECTRIC DELIVERY COMPANY LLC</v>
      </c>
      <c r="C240" s="369"/>
      <c r="D240" s="928"/>
      <c r="E240" s="874"/>
      <c r="F240" s="67"/>
      <c r="G240" s="67"/>
      <c r="H240" s="67"/>
      <c r="I240" s="67"/>
      <c r="J240" s="67"/>
      <c r="K240" s="874"/>
      <c r="L240" s="874"/>
    </row>
    <row r="241" spans="2:12" ht="15">
      <c r="B241" s="406" t="str">
        <f>$B$6</f>
        <v>II-I-2.1f:  CONSOLIDATED FUNCTIONALIZED COST OF SERVICE</v>
      </c>
      <c r="C241" s="369"/>
      <c r="D241" s="928"/>
      <c r="E241" s="874"/>
      <c r="F241" s="12"/>
      <c r="G241" s="67"/>
      <c r="H241" s="12"/>
      <c r="I241" s="67"/>
      <c r="J241" s="12"/>
      <c r="K241" s="874"/>
      <c r="L241" s="874"/>
    </row>
    <row r="242" spans="2:12" ht="15">
      <c r="B242" s="406" t="str">
        <f>$B$7</f>
        <v>TEST YEAR ENDING 12/31/2021</v>
      </c>
      <c r="C242" s="369"/>
      <c r="D242" s="928"/>
      <c r="E242" s="874"/>
      <c r="F242" s="12"/>
      <c r="G242" s="67"/>
      <c r="H242" s="12"/>
      <c r="I242" s="67"/>
      <c r="J242" s="12"/>
      <c r="K242" s="874"/>
      <c r="L242" s="874"/>
    </row>
    <row r="243" spans="2:10" ht="15.75">
      <c r="B243" s="406" t="str">
        <f>$B$8</f>
        <v>SPONSOR:  MATTHEW A. TROXLE</v>
      </c>
      <c r="C243" s="840"/>
      <c r="D243" s="921"/>
      <c r="E243" s="67"/>
      <c r="F243" s="12"/>
      <c r="G243" s="67"/>
      <c r="H243" s="12"/>
      <c r="I243" s="67"/>
      <c r="J243" s="12"/>
    </row>
    <row r="244" spans="2:12" ht="15.75" thickBot="1">
      <c r="B244" s="410"/>
      <c r="C244" s="931"/>
      <c r="D244" s="932"/>
      <c r="E244" s="369"/>
      <c r="F244" s="12"/>
      <c r="G244" s="67"/>
      <c r="H244" s="12"/>
      <c r="I244" s="67"/>
      <c r="J244" s="12"/>
      <c r="K244" s="369"/>
      <c r="L244" s="369"/>
    </row>
    <row r="245" spans="2:13" ht="14.25">
      <c r="B245" s="13"/>
      <c r="C245" s="14"/>
      <c r="D245" s="14"/>
      <c r="E245" s="14"/>
      <c r="F245" s="13"/>
      <c r="G245" s="14"/>
      <c r="H245" s="13"/>
      <c r="I245" s="14"/>
      <c r="J245" s="13"/>
      <c r="K245" s="738"/>
      <c r="L245" s="952"/>
      <c r="M245" s="1036"/>
    </row>
    <row r="246" spans="2:13" ht="15">
      <c r="B246" s="15" t="s">
        <v>2</v>
      </c>
      <c r="C246" s="15" t="s">
        <v>370</v>
      </c>
      <c r="D246" s="287" t="s">
        <v>563</v>
      </c>
      <c r="E246" s="15" t="s">
        <v>371</v>
      </c>
      <c r="F246" s="287" t="str">
        <f>'II-I-DIST'!F246</f>
        <v>DIST</v>
      </c>
      <c r="G246" s="242" t="s">
        <v>376</v>
      </c>
      <c r="H246" s="287" t="str">
        <f>'II-I-MET'!F246</f>
        <v>MET</v>
      </c>
      <c r="I246" s="242" t="s">
        <v>376</v>
      </c>
      <c r="J246" s="287" t="str">
        <f>'II-I-TBILLTDCS'!F246</f>
        <v>TBILLTDCS</v>
      </c>
      <c r="K246" s="743" t="s">
        <v>376</v>
      </c>
      <c r="L246" s="743" t="s">
        <v>481</v>
      </c>
      <c r="M246" s="1030" t="s">
        <v>1046</v>
      </c>
    </row>
    <row r="247" spans="2:13" ht="14.25">
      <c r="B247" s="15"/>
      <c r="C247" s="15"/>
      <c r="D247" s="15"/>
      <c r="E247" s="15"/>
      <c r="F247" s="15"/>
      <c r="G247" s="242" t="s">
        <v>743</v>
      </c>
      <c r="H247" s="15"/>
      <c r="I247" s="242" t="s">
        <v>743</v>
      </c>
      <c r="J247" s="15"/>
      <c r="K247" s="743" t="s">
        <v>743</v>
      </c>
      <c r="L247" s="743" t="s">
        <v>33</v>
      </c>
      <c r="M247" s="1037"/>
    </row>
    <row r="248" spans="2:13" ht="15.75" thickBot="1">
      <c r="B248" s="243"/>
      <c r="C248" s="962"/>
      <c r="D248" s="245"/>
      <c r="E248" s="245"/>
      <c r="F248" s="747" t="s">
        <v>13</v>
      </c>
      <c r="G248" s="747" t="s">
        <v>14</v>
      </c>
      <c r="H248" s="747" t="s">
        <v>15</v>
      </c>
      <c r="I248" s="747" t="s">
        <v>16</v>
      </c>
      <c r="J248" s="747" t="s">
        <v>17</v>
      </c>
      <c r="K248" s="747" t="s">
        <v>18</v>
      </c>
      <c r="L248" s="747" t="s">
        <v>19</v>
      </c>
      <c r="M248" s="1032" t="s">
        <v>20</v>
      </c>
    </row>
    <row r="249" spans="2:12" ht="14.25">
      <c r="B249" s="67"/>
      <c r="C249" s="67"/>
      <c r="D249" s="100"/>
      <c r="E249" s="100"/>
      <c r="F249" s="288"/>
      <c r="G249" s="100"/>
      <c r="H249" s="288"/>
      <c r="I249" s="100"/>
      <c r="J249" s="288"/>
      <c r="K249" s="894"/>
      <c r="L249" s="894"/>
    </row>
    <row r="250" spans="2:12" ht="15">
      <c r="B250" s="17">
        <f t="shared" si="9" ref="B250:B266">B249+1</f>
        <v>1</v>
      </c>
      <c r="C250" s="8" t="s">
        <v>564</v>
      </c>
      <c r="D250" s="8"/>
      <c r="E250" s="922" t="s">
        <v>24</v>
      </c>
      <c r="F250" s="895"/>
      <c r="G250" s="922"/>
      <c r="H250" s="895"/>
      <c r="I250" s="922"/>
      <c r="J250" s="895"/>
      <c r="K250" s="896"/>
      <c r="L250" s="8"/>
    </row>
    <row r="251" spans="2:13" s="386" customFormat="1" ht="14.25">
      <c r="B251" s="17">
        <f t="shared" si="9"/>
        <v>2</v>
      </c>
      <c r="C251" s="1" t="s">
        <v>25</v>
      </c>
      <c r="D251" s="1" t="s">
        <v>26</v>
      </c>
      <c r="E251" s="17"/>
      <c r="F251" s="118">
        <f>'II-I-DIST'!F251</f>
        <v>0</v>
      </c>
      <c r="G251" s="118" t="str">
        <f>'II-I-DIST'!H251</f>
        <v>PLT_N XINT</v>
      </c>
      <c r="H251" s="118">
        <f>'II-I-MET'!F251</f>
        <v>0</v>
      </c>
      <c r="I251" s="118" t="str">
        <f>'II-I-MET'!H251</f>
        <v>PLT_N XINT</v>
      </c>
      <c r="J251" s="118">
        <f>'II-I-TBILLTDCS'!F251</f>
        <v>0</v>
      </c>
      <c r="K251" s="118" t="str">
        <f>'II-I-TBILLTDCS'!H251</f>
        <v>PLT_N XINT</v>
      </c>
      <c r="L251" s="893">
        <f>F251+H251+J251</f>
        <v>0</v>
      </c>
      <c r="M251" s="1033"/>
    </row>
    <row r="252" spans="2:13" s="386" customFormat="1" ht="14.25">
      <c r="B252" s="17">
        <f t="shared" si="9"/>
        <v>3</v>
      </c>
      <c r="C252" s="1" t="s">
        <v>27</v>
      </c>
      <c r="D252" s="1" t="s">
        <v>28</v>
      </c>
      <c r="E252" s="17"/>
      <c r="F252" s="118">
        <f>'II-I-DIST'!F252</f>
        <v>0</v>
      </c>
      <c r="G252" s="118" t="str">
        <f>'II-I-DIST'!H252</f>
        <v>PLT_N XINT</v>
      </c>
      <c r="H252" s="118">
        <f>'II-I-MET'!F252</f>
        <v>0</v>
      </c>
      <c r="I252" s="118" t="str">
        <f>'II-I-MET'!H252</f>
        <v>PLT_N XINT</v>
      </c>
      <c r="J252" s="118">
        <f>'II-I-TBILLTDCS'!F252</f>
        <v>0</v>
      </c>
      <c r="K252" s="118" t="str">
        <f>'II-I-TBILLTDCS'!H252</f>
        <v>PLT_N XINT</v>
      </c>
      <c r="L252" s="893">
        <f>F252+H252+J252</f>
        <v>0</v>
      </c>
      <c r="M252" s="1033"/>
    </row>
    <row r="253" spans="2:13" s="386" customFormat="1" ht="28.5">
      <c r="B253" s="17">
        <f t="shared" si="9"/>
        <v>4</v>
      </c>
      <c r="C253" s="1" t="s">
        <v>29</v>
      </c>
      <c r="D253" s="1" t="s">
        <v>34</v>
      </c>
      <c r="E253" s="17"/>
      <c r="F253" s="118">
        <f>'II-I-DIST'!F253</f>
        <v>114122847.83</v>
      </c>
      <c r="G253" s="118" t="str">
        <f>'II-I-DIST'!H253</f>
        <v>PLT_N XINT</v>
      </c>
      <c r="H253" s="118">
        <f>'II-I-MET'!F253</f>
        <v>155161422.72999999</v>
      </c>
      <c r="I253" s="118" t="str">
        <f>'II-I-MET'!H253</f>
        <v>PLT_N XINT</v>
      </c>
      <c r="J253" s="118">
        <f>'II-I-TBILLTDCS'!F253</f>
        <v>84146159.569999993</v>
      </c>
      <c r="K253" s="118" t="str">
        <f>'II-I-TBILLTDCS'!H253</f>
        <v>PLT_N XINT</v>
      </c>
      <c r="L253" s="893">
        <f>F253+H253+J253</f>
        <v>353430430.13</v>
      </c>
      <c r="M253" s="1038" t="str">
        <f>M105</f>
        <v xml:space="preserve"> Classified on a composite basis derived from all tangible plant, since intangible plant is a common cost.</v>
      </c>
    </row>
    <row r="254" spans="2:12" ht="15">
      <c r="B254" s="17">
        <f t="shared" si="9"/>
        <v>5</v>
      </c>
      <c r="C254" s="8"/>
      <c r="D254" s="297" t="s">
        <v>491</v>
      </c>
      <c r="E254" s="922"/>
      <c r="F254" s="907">
        <f>'II-I-DIST'!F254</f>
        <v>114122847.83</v>
      </c>
      <c r="G254" s="17"/>
      <c r="H254" s="907">
        <f>'II-I-MET'!F254</f>
        <v>155161422.72999999</v>
      </c>
      <c r="I254" s="17"/>
      <c r="J254" s="907">
        <f>'II-I-TBILLTDCS'!F254</f>
        <v>84146159.569999993</v>
      </c>
      <c r="K254" s="907"/>
      <c r="L254" s="907">
        <f>F254+H254+J254</f>
        <v>353430430.13</v>
      </c>
    </row>
    <row r="255" spans="2:12" ht="15">
      <c r="B255" s="17">
        <f t="shared" si="9"/>
        <v>6</v>
      </c>
      <c r="C255" s="8" t="s">
        <v>573</v>
      </c>
      <c r="D255" s="8"/>
      <c r="E255" s="922" t="s">
        <v>24</v>
      </c>
      <c r="F255" s="896"/>
      <c r="G255" s="922"/>
      <c r="H255" s="896"/>
      <c r="I255" s="922"/>
      <c r="J255" s="896"/>
      <c r="K255" s="896"/>
      <c r="L255" s="896"/>
    </row>
    <row r="256" spans="2:13" s="386" customFormat="1" ht="15">
      <c r="B256" s="17">
        <f t="shared" si="9"/>
        <v>7</v>
      </c>
      <c r="C256" s="1" t="s">
        <v>39</v>
      </c>
      <c r="D256" s="1" t="s">
        <v>40</v>
      </c>
      <c r="E256" s="922"/>
      <c r="F256" s="118">
        <f>'II-I-DIST'!F256</f>
        <v>0</v>
      </c>
      <c r="G256" s="118" t="str">
        <f>'II-I-DIST'!H256</f>
        <v>NCP XHV</v>
      </c>
      <c r="H256" s="118">
        <f>'II-I-MET'!F256</f>
        <v>0</v>
      </c>
      <c r="I256" s="118" t="str">
        <f>'II-I-MET'!H256</f>
        <v>NCP XHV</v>
      </c>
      <c r="J256" s="118">
        <f>'II-I-TBILLTDCS'!F256</f>
        <v>0</v>
      </c>
      <c r="K256" s="118" t="str">
        <f>'II-I-TBILLTDCS'!H256</f>
        <v>NCP XHV</v>
      </c>
      <c r="L256" s="893">
        <f>F256+H256+J256</f>
        <v>0</v>
      </c>
      <c r="M256" s="1033"/>
    </row>
    <row r="257" spans="2:13" s="386" customFormat="1" ht="14.25">
      <c r="B257" s="17">
        <f t="shared" si="9"/>
        <v>8</v>
      </c>
      <c r="C257" s="1" t="s">
        <v>41</v>
      </c>
      <c r="D257" s="1" t="s">
        <v>42</v>
      </c>
      <c r="E257" s="17"/>
      <c r="F257" s="118">
        <f>'II-I-DIST'!F257</f>
        <v>0</v>
      </c>
      <c r="G257" s="118" t="str">
        <f>'II-I-DIST'!H257</f>
        <v>NCP XHV</v>
      </c>
      <c r="H257" s="118">
        <f>'II-I-MET'!F257</f>
        <v>0</v>
      </c>
      <c r="I257" s="118" t="str">
        <f>'II-I-MET'!H257</f>
        <v>NCP XHV</v>
      </c>
      <c r="J257" s="118">
        <f>'II-I-TBILLTDCS'!F257</f>
        <v>0</v>
      </c>
      <c r="K257" s="118" t="str">
        <f>'II-I-TBILLTDCS'!H257</f>
        <v>NCP XHV</v>
      </c>
      <c r="L257" s="893">
        <f>F257+H257+J257</f>
        <v>0</v>
      </c>
      <c r="M257" s="1033"/>
    </row>
    <row r="258" spans="2:13" s="386" customFormat="1" ht="42.75">
      <c r="B258" s="17">
        <f t="shared" si="9"/>
        <v>9</v>
      </c>
      <c r="C258" s="1" t="s">
        <v>43</v>
      </c>
      <c r="D258" s="1" t="s">
        <v>44</v>
      </c>
      <c r="E258" s="17"/>
      <c r="F258" s="118">
        <f>'II-I-DIST'!F258</f>
        <v>0</v>
      </c>
      <c r="G258" s="118" t="str">
        <f>'II-I-DIST'!H258</f>
        <v>NCP XHV</v>
      </c>
      <c r="H258" s="118">
        <f>'II-I-MET'!F258</f>
        <v>0</v>
      </c>
      <c r="I258" s="118" t="str">
        <f>'II-I-MET'!H258</f>
        <v>NCP XHV</v>
      </c>
      <c r="J258" s="118">
        <f>'II-I-TBILLTDCS'!F258</f>
        <v>0</v>
      </c>
      <c r="K258" s="118" t="str">
        <f>'II-I-TBILLTDCS'!H258</f>
        <v>NCP XHV</v>
      </c>
      <c r="L258" s="893">
        <f>F258+H258+J258</f>
        <v>0</v>
      </c>
      <c r="M258" s="1038" t="str">
        <f>M110</f>
        <v xml:space="preserve"> All transmission plant accounts are demand related, because the capacity of the equipment required  to serve the system load represents a fixed investment.</v>
      </c>
    </row>
    <row r="259" spans="2:13" s="386" customFormat="1" ht="14.25">
      <c r="B259" s="17">
        <f t="shared" si="9"/>
        <v>10</v>
      </c>
      <c r="C259" s="1" t="s">
        <v>45</v>
      </c>
      <c r="D259" s="1" t="s">
        <v>46</v>
      </c>
      <c r="E259" s="17"/>
      <c r="F259" s="118">
        <f>'II-I-DIST'!F259</f>
        <v>97170477.010000005</v>
      </c>
      <c r="G259" s="118" t="str">
        <f>'II-I-DIST'!H259</f>
        <v>NCP XHV</v>
      </c>
      <c r="H259" s="118">
        <f>'II-I-MET'!F259</f>
        <v>0</v>
      </c>
      <c r="I259" s="118" t="str">
        <f>'II-I-MET'!H259</f>
        <v>NCP XHV</v>
      </c>
      <c r="J259" s="118">
        <f>'II-I-TBILLTDCS'!F259</f>
        <v>0</v>
      </c>
      <c r="K259" s="118" t="str">
        <f>'II-I-TBILLTDCS'!H259</f>
        <v>NCP XHV</v>
      </c>
      <c r="L259" s="893">
        <f>F259+H259+J259</f>
        <v>97170477.010000005</v>
      </c>
      <c r="M259" s="1038">
        <f>M111</f>
        <v>0</v>
      </c>
    </row>
    <row r="260" spans="2:13" s="386" customFormat="1" ht="14.25">
      <c r="B260" s="17">
        <f t="shared" si="9"/>
        <v>11</v>
      </c>
      <c r="C260" s="1" t="s">
        <v>47</v>
      </c>
      <c r="D260" s="1" t="s">
        <v>48</v>
      </c>
      <c r="E260" s="17"/>
      <c r="F260" s="118">
        <f>'II-I-DIST'!F260</f>
        <v>0</v>
      </c>
      <c r="G260" s="118" t="str">
        <f>'II-I-DIST'!H260</f>
        <v>NCP XHV</v>
      </c>
      <c r="H260" s="118">
        <f>'II-I-MET'!F260</f>
        <v>0</v>
      </c>
      <c r="I260" s="118" t="str">
        <f>'II-I-MET'!H260</f>
        <v>NCP XHV</v>
      </c>
      <c r="J260" s="118">
        <f>'II-I-TBILLTDCS'!F260</f>
        <v>0</v>
      </c>
      <c r="K260" s="118" t="str">
        <f>'II-I-TBILLTDCS'!H260</f>
        <v>NCP XHV</v>
      </c>
      <c r="L260" s="893">
        <f>F260+H260+J260</f>
        <v>0</v>
      </c>
      <c r="M260" s="1033"/>
    </row>
    <row r="261" spans="2:13" s="386" customFormat="1" ht="14.25">
      <c r="B261" s="17">
        <f t="shared" si="9"/>
        <v>12</v>
      </c>
      <c r="C261" s="1" t="s">
        <v>49</v>
      </c>
      <c r="D261" s="1" t="s">
        <v>50</v>
      </c>
      <c r="E261" s="17"/>
      <c r="F261" s="118">
        <f>'II-I-DIST'!F261</f>
        <v>0</v>
      </c>
      <c r="G261" s="118" t="str">
        <f>'II-I-DIST'!H261</f>
        <v>NCP XHV</v>
      </c>
      <c r="H261" s="118">
        <f>'II-I-MET'!F261</f>
        <v>0</v>
      </c>
      <c r="I261" s="118" t="str">
        <f>'II-I-MET'!H261</f>
        <v>NCP XHV</v>
      </c>
      <c r="J261" s="118">
        <f>'II-I-TBILLTDCS'!F261</f>
        <v>0</v>
      </c>
      <c r="K261" s="118" t="str">
        <f>'II-I-TBILLTDCS'!H261</f>
        <v>NCP XHV</v>
      </c>
      <c r="L261" s="893">
        <f t="shared" si="10" ref="L261:L315">F261+H261+J261</f>
        <v>0</v>
      </c>
      <c r="M261" s="1033"/>
    </row>
    <row r="262" spans="2:13" s="386" customFormat="1" ht="14.25">
      <c r="B262" s="17">
        <f t="shared" si="9"/>
        <v>13</v>
      </c>
      <c r="C262" s="1" t="s">
        <v>51</v>
      </c>
      <c r="D262" s="1" t="s">
        <v>534</v>
      </c>
      <c r="E262" s="17"/>
      <c r="F262" s="118">
        <f>'II-I-DIST'!F262</f>
        <v>0</v>
      </c>
      <c r="G262" s="118" t="str">
        <f>'II-I-DIST'!H262</f>
        <v>NCP XHV</v>
      </c>
      <c r="H262" s="118">
        <f>'II-I-MET'!F262</f>
        <v>0</v>
      </c>
      <c r="I262" s="118" t="str">
        <f>'II-I-MET'!H262</f>
        <v>NCP XHV</v>
      </c>
      <c r="J262" s="118">
        <f>'II-I-TBILLTDCS'!F262</f>
        <v>0</v>
      </c>
      <c r="K262" s="118" t="str">
        <f>'II-I-TBILLTDCS'!H262</f>
        <v>NCP XHV</v>
      </c>
      <c r="L262" s="893">
        <f t="shared" si="10"/>
        <v>0</v>
      </c>
      <c r="M262" s="1033"/>
    </row>
    <row r="263" spans="2:13" s="386" customFormat="1" ht="14.25">
      <c r="B263" s="17">
        <f t="shared" si="9"/>
        <v>14</v>
      </c>
      <c r="C263" s="1" t="s">
        <v>53</v>
      </c>
      <c r="D263" s="730" t="s">
        <v>695</v>
      </c>
      <c r="E263" s="17"/>
      <c r="F263" s="118">
        <f>'II-I-DIST'!F263</f>
        <v>0</v>
      </c>
      <c r="G263" s="118" t="str">
        <f>'II-I-DIST'!H263</f>
        <v>NCP XHV</v>
      </c>
      <c r="H263" s="118">
        <f>'II-I-MET'!F263</f>
        <v>0</v>
      </c>
      <c r="I263" s="118" t="str">
        <f>'II-I-MET'!H263</f>
        <v>NCP XHV</v>
      </c>
      <c r="J263" s="118">
        <f>'II-I-TBILLTDCS'!F263</f>
        <v>0</v>
      </c>
      <c r="K263" s="118" t="str">
        <f>'II-I-TBILLTDCS'!H263</f>
        <v>NCP XHV</v>
      </c>
      <c r="L263" s="893">
        <f t="shared" si="10"/>
        <v>0</v>
      </c>
      <c r="M263" s="1033"/>
    </row>
    <row r="264" spans="2:13" s="386" customFormat="1" ht="14.25">
      <c r="B264" s="17">
        <f t="shared" si="9"/>
        <v>15</v>
      </c>
      <c r="C264" s="1" t="s">
        <v>55</v>
      </c>
      <c r="D264" s="31" t="s">
        <v>535</v>
      </c>
      <c r="E264" s="17"/>
      <c r="F264" s="118">
        <f>'II-I-DIST'!F264</f>
        <v>0</v>
      </c>
      <c r="G264" s="118" t="str">
        <f>'II-I-DIST'!H264</f>
        <v>NCP XHV</v>
      </c>
      <c r="H264" s="118">
        <f>'II-I-MET'!F264</f>
        <v>0</v>
      </c>
      <c r="I264" s="118" t="str">
        <f>'II-I-MET'!H264</f>
        <v>NCP XHV</v>
      </c>
      <c r="J264" s="118">
        <f>'II-I-TBILLTDCS'!F264</f>
        <v>0</v>
      </c>
      <c r="K264" s="118" t="str">
        <f>'II-I-TBILLTDCS'!H264</f>
        <v>NCP XHV</v>
      </c>
      <c r="L264" s="893">
        <f t="shared" si="10"/>
        <v>0</v>
      </c>
      <c r="M264" s="1033"/>
    </row>
    <row r="265" spans="2:13" s="386" customFormat="1" ht="14.25">
      <c r="B265" s="17">
        <f t="shared" si="9"/>
        <v>16</v>
      </c>
      <c r="C265" s="1" t="s">
        <v>57</v>
      </c>
      <c r="D265" s="1" t="s">
        <v>58</v>
      </c>
      <c r="E265" s="17"/>
      <c r="F265" s="118">
        <f>'II-I-DIST'!F265</f>
        <v>0</v>
      </c>
      <c r="G265" s="118" t="str">
        <f>'II-I-DIST'!H265</f>
        <v>NCP XHV</v>
      </c>
      <c r="H265" s="118">
        <f>'II-I-MET'!F265</f>
        <v>0</v>
      </c>
      <c r="I265" s="118" t="str">
        <f>'II-I-MET'!H265</f>
        <v>NCP XHV</v>
      </c>
      <c r="J265" s="118">
        <f>'II-I-TBILLTDCS'!F265</f>
        <v>0</v>
      </c>
      <c r="K265" s="118" t="str">
        <f>'II-I-TBILLTDCS'!H265</f>
        <v>NCP XHV</v>
      </c>
      <c r="L265" s="893">
        <f t="shared" si="10"/>
        <v>0</v>
      </c>
      <c r="M265" s="1033"/>
    </row>
    <row r="266" spans="2:12" ht="15">
      <c r="B266" s="17">
        <f t="shared" si="9"/>
        <v>17</v>
      </c>
      <c r="C266" s="8"/>
      <c r="D266" s="297" t="s">
        <v>491</v>
      </c>
      <c r="E266" s="922"/>
      <c r="F266" s="896">
        <f>'II-I-DIST'!F266</f>
        <v>97170477.010000005</v>
      </c>
      <c r="G266" s="922"/>
      <c r="H266" s="896">
        <f>'II-I-MET'!F266</f>
        <v>0</v>
      </c>
      <c r="I266" s="922"/>
      <c r="J266" s="896">
        <f>'II-I-TBILLTDCS'!F266</f>
        <v>0</v>
      </c>
      <c r="K266" s="896"/>
      <c r="L266" s="896">
        <f t="shared" si="10"/>
        <v>97170477.010000005</v>
      </c>
    </row>
    <row r="267" spans="2:12" ht="15.75" thickBot="1">
      <c r="B267" s="874"/>
      <c r="C267" s="874"/>
      <c r="D267" s="874"/>
      <c r="E267" s="874"/>
      <c r="F267" s="896"/>
      <c r="G267" s="134"/>
      <c r="H267" s="896"/>
      <c r="I267" s="134"/>
      <c r="J267" s="896"/>
      <c r="K267" s="874"/>
      <c r="L267" s="874"/>
    </row>
    <row r="268" spans="2:12" ht="15">
      <c r="B268" s="920" t="str">
        <f>$B$4</f>
        <v>2022 RATE CASE</v>
      </c>
      <c r="C268" s="926"/>
      <c r="D268" s="927"/>
      <c r="E268" s="874"/>
      <c r="F268" s="67"/>
      <c r="G268" s="134"/>
      <c r="H268" s="67"/>
      <c r="I268" s="134"/>
      <c r="J268" s="67"/>
      <c r="K268" s="874"/>
      <c r="L268" s="874"/>
    </row>
    <row r="269" spans="2:12" ht="15">
      <c r="B269" s="917" t="str">
        <f>$B$5</f>
        <v>ONCOR ELECTRIC DELIVERY COMPANY LLC</v>
      </c>
      <c r="C269" s="369"/>
      <c r="D269" s="928"/>
      <c r="E269" s="874"/>
      <c r="F269" s="67"/>
      <c r="H269" s="67"/>
      <c r="J269" s="67"/>
      <c r="K269" s="874"/>
      <c r="L269" s="874"/>
    </row>
    <row r="270" spans="2:12" ht="15">
      <c r="B270" s="406" t="str">
        <f>$B$6</f>
        <v>II-I-2.1f:  CONSOLIDATED FUNCTIONALIZED COST OF SERVICE</v>
      </c>
      <c r="C270" s="369"/>
      <c r="D270" s="928"/>
      <c r="E270" s="874"/>
      <c r="F270" s="12"/>
      <c r="H270" s="12"/>
      <c r="J270" s="12"/>
      <c r="K270" s="874"/>
      <c r="L270" s="874"/>
    </row>
    <row r="271" spans="2:12" ht="15">
      <c r="B271" s="406" t="str">
        <f>$B$7</f>
        <v>TEST YEAR ENDING 12/31/2021</v>
      </c>
      <c r="C271" s="369"/>
      <c r="D271" s="928"/>
      <c r="E271" s="874"/>
      <c r="F271" s="12"/>
      <c r="H271" s="12"/>
      <c r="J271" s="12"/>
      <c r="K271" s="874"/>
      <c r="L271" s="874"/>
    </row>
    <row r="272" spans="2:10" ht="15.75">
      <c r="B272" s="406" t="str">
        <f>$B$8</f>
        <v>SPONSOR:  MATTHEW A. TROXLE</v>
      </c>
      <c r="C272" s="840"/>
      <c r="D272" s="921"/>
      <c r="E272" s="67"/>
      <c r="F272" s="12"/>
      <c r="H272" s="12"/>
      <c r="J272" s="12"/>
    </row>
    <row r="273" spans="2:12" ht="15.75" thickBot="1">
      <c r="B273" s="410"/>
      <c r="C273" s="931"/>
      <c r="D273" s="932"/>
      <c r="E273" s="369"/>
      <c r="F273" s="12"/>
      <c r="H273" s="12"/>
      <c r="J273" s="12"/>
      <c r="K273" s="369"/>
      <c r="L273" s="369"/>
    </row>
    <row r="274" spans="2:13" ht="14.25">
      <c r="B274" s="13"/>
      <c r="C274" s="14"/>
      <c r="D274" s="238"/>
      <c r="E274" s="14"/>
      <c r="F274" s="13"/>
      <c r="G274" s="14"/>
      <c r="H274" s="13"/>
      <c r="I274" s="14"/>
      <c r="J274" s="13"/>
      <c r="K274" s="738"/>
      <c r="L274" s="952"/>
      <c r="M274" s="1036"/>
    </row>
    <row r="275" spans="2:13" ht="15">
      <c r="B275" s="15" t="s">
        <v>2</v>
      </c>
      <c r="C275" s="15" t="s">
        <v>370</v>
      </c>
      <c r="D275" s="241" t="s">
        <v>574</v>
      </c>
      <c r="E275" s="15" t="s">
        <v>371</v>
      </c>
      <c r="F275" s="287" t="str">
        <f>'II-I-DIST'!F275</f>
        <v>DIST</v>
      </c>
      <c r="G275" s="242" t="s">
        <v>376</v>
      </c>
      <c r="H275" s="287" t="str">
        <f>'II-I-MET'!F275</f>
        <v>MET</v>
      </c>
      <c r="I275" s="242" t="s">
        <v>376</v>
      </c>
      <c r="J275" s="287" t="str">
        <f>'II-I-TBILLTDCS'!F275</f>
        <v>TBILLTDCS</v>
      </c>
      <c r="K275" s="743" t="s">
        <v>376</v>
      </c>
      <c r="L275" s="743" t="s">
        <v>481</v>
      </c>
      <c r="M275" s="1030" t="s">
        <v>1046</v>
      </c>
    </row>
    <row r="276" spans="2:13" ht="14.25">
      <c r="B276" s="15"/>
      <c r="C276" s="15"/>
      <c r="D276" s="242"/>
      <c r="E276" s="15"/>
      <c r="F276" s="15"/>
      <c r="G276" s="242" t="s">
        <v>743</v>
      </c>
      <c r="H276" s="15"/>
      <c r="I276" s="242" t="s">
        <v>743</v>
      </c>
      <c r="J276" s="15"/>
      <c r="K276" s="743" t="s">
        <v>743</v>
      </c>
      <c r="L276" s="743" t="s">
        <v>33</v>
      </c>
      <c r="M276" s="1037"/>
    </row>
    <row r="277" spans="2:13" ht="15.75" thickBot="1">
      <c r="B277" s="243"/>
      <c r="C277" s="957"/>
      <c r="D277" s="245"/>
      <c r="E277" s="245"/>
      <c r="F277" s="747" t="s">
        <v>13</v>
      </c>
      <c r="G277" s="747" t="s">
        <v>14</v>
      </c>
      <c r="H277" s="747" t="s">
        <v>15</v>
      </c>
      <c r="I277" s="747" t="s">
        <v>16</v>
      </c>
      <c r="J277" s="747" t="s">
        <v>17</v>
      </c>
      <c r="K277" s="747" t="s">
        <v>18</v>
      </c>
      <c r="L277" s="747" t="s">
        <v>19</v>
      </c>
      <c r="M277" s="1032" t="s">
        <v>20</v>
      </c>
    </row>
    <row r="278" spans="2:12" ht="14.25">
      <c r="B278" s="67"/>
      <c r="C278" s="67"/>
      <c r="D278" s="100"/>
      <c r="E278" s="100"/>
      <c r="F278" s="288"/>
      <c r="G278" s="100"/>
      <c r="H278" s="288"/>
      <c r="I278" s="100"/>
      <c r="J278" s="288"/>
      <c r="K278" s="947"/>
      <c r="L278" s="947"/>
    </row>
    <row r="279" spans="2:12" ht="15">
      <c r="B279" s="17">
        <v>1</v>
      </c>
      <c r="C279" s="8" t="s">
        <v>574</v>
      </c>
      <c r="D279" s="8"/>
      <c r="E279" s="922" t="s">
        <v>24</v>
      </c>
      <c r="F279" s="896"/>
      <c r="G279" s="922"/>
      <c r="H279" s="896"/>
      <c r="I279" s="922"/>
      <c r="J279" s="896"/>
      <c r="K279" s="896"/>
      <c r="L279" s="896"/>
    </row>
    <row r="280" spans="2:13" s="386" customFormat="1" ht="28.5">
      <c r="B280" s="17">
        <f t="shared" si="11" ref="B280:B315">B279+1</f>
        <v>2</v>
      </c>
      <c r="C280" s="1" t="s">
        <v>61</v>
      </c>
      <c r="D280" s="1" t="s">
        <v>42</v>
      </c>
      <c r="E280" s="17"/>
      <c r="F280" s="118">
        <f>'II-I-DIST'!F280</f>
        <v>9695344.3800000008</v>
      </c>
      <c r="G280" s="118" t="str">
        <f>'II-I-DIST'!H280</f>
        <v>PLT 362-373</v>
      </c>
      <c r="H280" s="118">
        <f>'II-I-MET'!F280</f>
        <v>0</v>
      </c>
      <c r="I280" s="118" t="str">
        <f>'II-I-MET'!H280</f>
        <v>PLT 362-373</v>
      </c>
      <c r="J280" s="118">
        <f>'II-I-TBILLTDCS'!F280</f>
        <v>0</v>
      </c>
      <c r="K280" s="118" t="str">
        <f>'II-I-TBILLTDCS'!H280</f>
        <v>PLT 362-373</v>
      </c>
      <c r="L280" s="893">
        <f t="shared" si="10"/>
        <v>9695344.3800000008</v>
      </c>
      <c r="M280" s="1033" t="s">
        <v>1051</v>
      </c>
    </row>
    <row r="281" spans="2:13" s="386" customFormat="1" ht="28.5">
      <c r="B281" s="17">
        <f t="shared" si="11"/>
        <v>3</v>
      </c>
      <c r="C281" s="1" t="s">
        <v>62</v>
      </c>
      <c r="D281" s="31" t="s">
        <v>44</v>
      </c>
      <c r="E281" s="17"/>
      <c r="F281" s="118">
        <f>'II-I-DIST'!F281</f>
        <v>41745977.75</v>
      </c>
      <c r="G281" s="118" t="str">
        <f>'II-I-DIST'!H281</f>
        <v>PLT 362-373</v>
      </c>
      <c r="H281" s="118">
        <f>'II-I-MET'!F281</f>
        <v>0</v>
      </c>
      <c r="I281" s="118" t="str">
        <f>'II-I-MET'!H281</f>
        <v>PLT 362-373</v>
      </c>
      <c r="J281" s="118">
        <f>'II-I-TBILLTDCS'!F281</f>
        <v>0</v>
      </c>
      <c r="K281" s="118" t="str">
        <f>'II-I-TBILLTDCS'!H281</f>
        <v>PLT 362-373</v>
      </c>
      <c r="L281" s="893">
        <f t="shared" si="10"/>
        <v>41745977.75</v>
      </c>
      <c r="M281" s="1033" t="s">
        <v>1051</v>
      </c>
    </row>
    <row r="282" spans="2:13" s="386" customFormat="1" ht="31.5" customHeight="1">
      <c r="B282" s="17">
        <f t="shared" si="11"/>
        <v>4</v>
      </c>
      <c r="C282" s="1" t="s">
        <v>63</v>
      </c>
      <c r="D282" s="1" t="s">
        <v>46</v>
      </c>
      <c r="E282" s="17"/>
      <c r="F282" s="118">
        <f>'II-I-DIST'!F282</f>
        <v>463683928.67000002</v>
      </c>
      <c r="G282" s="118" t="str">
        <f>'II-I-DIST'!H282</f>
        <v>NCP XHV</v>
      </c>
      <c r="H282" s="118">
        <f>'II-I-MET'!F282</f>
        <v>0</v>
      </c>
      <c r="I282" s="118" t="str">
        <f>'II-I-MET'!H282</f>
        <v>NCP XHV</v>
      </c>
      <c r="J282" s="118">
        <f>'II-I-TBILLTDCS'!F282</f>
        <v>0</v>
      </c>
      <c r="K282" s="118" t="str">
        <f>'II-I-TBILLTDCS'!H282</f>
        <v>NCP XHV</v>
      </c>
      <c r="L282" s="893">
        <f t="shared" si="10"/>
        <v>463683928.67000002</v>
      </c>
      <c r="M282" s="1033" t="s">
        <v>1052</v>
      </c>
    </row>
    <row r="283" spans="2:13" s="386" customFormat="1" ht="19.5" customHeight="1">
      <c r="B283" s="17">
        <f t="shared" si="11"/>
        <v>5</v>
      </c>
      <c r="C283" s="1" t="s">
        <v>64</v>
      </c>
      <c r="D283" s="1" t="s">
        <v>65</v>
      </c>
      <c r="E283" s="17"/>
      <c r="F283" s="118">
        <f>'II-I-DIST'!F283</f>
        <v>0</v>
      </c>
      <c r="G283" s="118" t="str">
        <f>'II-I-DIST'!H283</f>
        <v>NCP XHV</v>
      </c>
      <c r="H283" s="118">
        <f>'II-I-MET'!F283</f>
        <v>0</v>
      </c>
      <c r="I283" s="118" t="str">
        <f>'II-I-MET'!H283</f>
        <v>NCP XHV</v>
      </c>
      <c r="J283" s="118">
        <f>'II-I-TBILLTDCS'!F283</f>
        <v>0</v>
      </c>
      <c r="K283" s="118" t="str">
        <f>'II-I-TBILLTDCS'!H283</f>
        <v>NCP XHV</v>
      </c>
      <c r="L283" s="893">
        <f t="shared" si="10"/>
        <v>0</v>
      </c>
      <c r="M283" s="1033"/>
    </row>
    <row r="284" spans="2:13" s="386" customFormat="1" ht="28.5">
      <c r="B284" s="17">
        <f t="shared" si="11"/>
        <v>6</v>
      </c>
      <c r="C284" s="1" t="s">
        <v>380</v>
      </c>
      <c r="D284" s="31" t="s">
        <v>537</v>
      </c>
      <c r="E284" s="17"/>
      <c r="F284" s="118">
        <f>'II-I-DIST'!F284</f>
        <v>919027218.5279665</v>
      </c>
      <c r="G284" s="118" t="str">
        <f>'II-I-DIST'!H284</f>
        <v>NCP XSS</v>
      </c>
      <c r="H284" s="118">
        <f>'II-I-MET'!F284</f>
        <v>0</v>
      </c>
      <c r="I284" s="118" t="str">
        <f>'II-I-MET'!H284</f>
        <v>NCP XSS</v>
      </c>
      <c r="J284" s="118">
        <f>'II-I-TBILLTDCS'!F284</f>
        <v>0</v>
      </c>
      <c r="K284" s="118" t="str">
        <f>'II-I-TBILLTDCS'!H284</f>
        <v>NCP XSS</v>
      </c>
      <c r="L284" s="893">
        <f t="shared" si="10"/>
        <v>919027218.5279665</v>
      </c>
      <c r="M284" s="1033" t="s">
        <v>1053</v>
      </c>
    </row>
    <row r="285" spans="2:13" s="386" customFormat="1" ht="28.5">
      <c r="B285" s="17">
        <f t="shared" si="11"/>
        <v>7</v>
      </c>
      <c r="C285" s="1" t="s">
        <v>382</v>
      </c>
      <c r="D285" s="31" t="s">
        <v>538</v>
      </c>
      <c r="E285" s="17"/>
      <c r="F285" s="118">
        <f>'II-I-DIST'!F285</f>
        <v>188692365.2020334</v>
      </c>
      <c r="G285" s="118" t="str">
        <f>'II-I-DIST'!H285</f>
        <v>NCP SEC</v>
      </c>
      <c r="H285" s="118">
        <f>'II-I-MET'!F285</f>
        <v>0</v>
      </c>
      <c r="I285" s="118" t="str">
        <f>'II-I-MET'!H285</f>
        <v>NCP SEC</v>
      </c>
      <c r="J285" s="118">
        <f>'II-I-TBILLTDCS'!F285</f>
        <v>0</v>
      </c>
      <c r="K285" s="118" t="str">
        <f>'II-I-TBILLTDCS'!H285</f>
        <v>NCP SEC</v>
      </c>
      <c r="L285" s="893">
        <f t="shared" si="10"/>
        <v>188692365.2020334</v>
      </c>
      <c r="M285" s="1033" t="s">
        <v>1053</v>
      </c>
    </row>
    <row r="286" spans="2:13" s="386" customFormat="1" ht="28.5">
      <c r="B286" s="17">
        <f t="shared" si="11"/>
        <v>8</v>
      </c>
      <c r="C286" s="1" t="s">
        <v>385</v>
      </c>
      <c r="D286" s="1" t="s">
        <v>539</v>
      </c>
      <c r="E286" s="17"/>
      <c r="F286" s="118">
        <f>'II-I-DIST'!F286</f>
        <v>539681426.92537904</v>
      </c>
      <c r="G286" s="118" t="str">
        <f>'II-I-DIST'!H286</f>
        <v>NCP XSS</v>
      </c>
      <c r="H286" s="118">
        <f>'II-I-MET'!F286</f>
        <v>0</v>
      </c>
      <c r="I286" s="118" t="str">
        <f>'II-I-MET'!H286</f>
        <v>NCP XSS</v>
      </c>
      <c r="J286" s="118">
        <f>'II-I-TBILLTDCS'!F286</f>
        <v>0</v>
      </c>
      <c r="K286" s="118" t="str">
        <f>'II-I-TBILLTDCS'!H286</f>
        <v>NCP XSS</v>
      </c>
      <c r="L286" s="893">
        <f t="shared" si="10"/>
        <v>539681426.92537904</v>
      </c>
      <c r="M286" s="1033" t="s">
        <v>1053</v>
      </c>
    </row>
    <row r="287" spans="2:13" s="386" customFormat="1" ht="28.5">
      <c r="B287" s="17">
        <f t="shared" si="11"/>
        <v>9</v>
      </c>
      <c r="C287" s="1" t="s">
        <v>387</v>
      </c>
      <c r="D287" s="1" t="s">
        <v>540</v>
      </c>
      <c r="E287" s="17"/>
      <c r="F287" s="118">
        <f>'II-I-DIST'!F287</f>
        <v>95646582.564620957</v>
      </c>
      <c r="G287" s="118" t="str">
        <f>'II-I-DIST'!H287</f>
        <v>NCP SEC</v>
      </c>
      <c r="H287" s="118">
        <f>'II-I-MET'!F287</f>
        <v>0</v>
      </c>
      <c r="I287" s="118" t="str">
        <f>'II-I-MET'!H287</f>
        <v>NCP SEC</v>
      </c>
      <c r="J287" s="118">
        <f>'II-I-TBILLTDCS'!F287</f>
        <v>0</v>
      </c>
      <c r="K287" s="118" t="str">
        <f>'II-I-TBILLTDCS'!H287</f>
        <v>NCP SEC</v>
      </c>
      <c r="L287" s="893">
        <f t="shared" si="10"/>
        <v>95646582.564620957</v>
      </c>
      <c r="M287" s="1033" t="s">
        <v>1053</v>
      </c>
    </row>
    <row r="288" spans="2:13" s="386" customFormat="1" ht="28.5">
      <c r="B288" s="17">
        <f t="shared" si="11"/>
        <v>10</v>
      </c>
      <c r="C288" s="1" t="s">
        <v>390</v>
      </c>
      <c r="D288" s="1" t="s">
        <v>391</v>
      </c>
      <c r="E288" s="17"/>
      <c r="F288" s="118">
        <f>'II-I-DIST'!F288</f>
        <v>274541023.13815933</v>
      </c>
      <c r="G288" s="118" t="str">
        <f>'II-I-DIST'!H288</f>
        <v>NCP XSS</v>
      </c>
      <c r="H288" s="118">
        <f>'II-I-MET'!F288</f>
        <v>0</v>
      </c>
      <c r="I288" s="118" t="str">
        <f>'II-I-MET'!H288</f>
        <v>NCP XSS</v>
      </c>
      <c r="J288" s="118">
        <f>'II-I-TBILLTDCS'!F288</f>
        <v>0</v>
      </c>
      <c r="K288" s="118" t="str">
        <f>'II-I-TBILLTDCS'!H288</f>
        <v>NCP XSS</v>
      </c>
      <c r="L288" s="893">
        <f t="shared" si="10"/>
        <v>274541023.13815933</v>
      </c>
      <c r="M288" s="1033" t="s">
        <v>1053</v>
      </c>
    </row>
    <row r="289" spans="2:14" s="386" customFormat="1" ht="28.5">
      <c r="B289" s="17">
        <f t="shared" si="11"/>
        <v>11</v>
      </c>
      <c r="C289" s="1" t="s">
        <v>392</v>
      </c>
      <c r="D289" s="1" t="s">
        <v>393</v>
      </c>
      <c r="E289" s="17"/>
      <c r="F289" s="118">
        <f>'II-I-DIST'!F289</f>
        <v>177652501.13184056</v>
      </c>
      <c r="G289" s="118" t="str">
        <f>'II-I-DIST'!H289</f>
        <v>NCP SEC</v>
      </c>
      <c r="H289" s="118">
        <f>'II-I-MET'!F289</f>
        <v>0</v>
      </c>
      <c r="I289" s="118" t="str">
        <f>'II-I-MET'!H289</f>
        <v>NCP SEC</v>
      </c>
      <c r="J289" s="118">
        <f>'II-I-TBILLTDCS'!F289</f>
        <v>0</v>
      </c>
      <c r="K289" s="118" t="str">
        <f>'II-I-TBILLTDCS'!H289</f>
        <v>NCP SEC</v>
      </c>
      <c r="L289" s="893">
        <f t="shared" si="10"/>
        <v>177652501.13184056</v>
      </c>
      <c r="M289" s="1033" t="s">
        <v>1053</v>
      </c>
      <c r="N289" s="1" t="b">
        <f>'II-I-DIST'!$C$289=C289</f>
        <v>1</v>
      </c>
    </row>
    <row r="290" spans="2:14" s="386" customFormat="1" ht="28.5">
      <c r="B290" s="17">
        <f t="shared" si="11"/>
        <v>12</v>
      </c>
      <c r="C290" s="1" t="s">
        <v>395</v>
      </c>
      <c r="D290" s="31" t="s">
        <v>541</v>
      </c>
      <c r="E290" s="30"/>
      <c r="F290" s="118">
        <f>'II-I-DIST'!F290</f>
        <v>468956028.37199891</v>
      </c>
      <c r="G290" s="118" t="str">
        <f>'II-I-DIST'!H290</f>
        <v>NCP XSS</v>
      </c>
      <c r="H290" s="118">
        <f>'II-I-MET'!F290</f>
        <v>0</v>
      </c>
      <c r="I290" s="118" t="str">
        <f>'II-I-MET'!H290</f>
        <v>NCP XSS</v>
      </c>
      <c r="J290" s="118">
        <f>'II-I-TBILLTDCS'!F290</f>
        <v>0</v>
      </c>
      <c r="K290" s="118" t="str">
        <f>'II-I-TBILLTDCS'!H290</f>
        <v>NCP XSS</v>
      </c>
      <c r="L290" s="893">
        <f t="shared" si="10"/>
        <v>468956028.37199891</v>
      </c>
      <c r="M290" s="1033" t="s">
        <v>1053</v>
      </c>
      <c r="N290" s="1" t="b">
        <f>'II-I-DIST'!$D$290=D290</f>
        <v>1</v>
      </c>
    </row>
    <row r="291" spans="2:13" s="386" customFormat="1" ht="28.5">
      <c r="B291" s="17">
        <f t="shared" si="11"/>
        <v>13</v>
      </c>
      <c r="C291" s="1" t="s">
        <v>397</v>
      </c>
      <c r="D291" s="31" t="s">
        <v>542</v>
      </c>
      <c r="E291" s="30"/>
      <c r="F291" s="118">
        <f>'II-I-DIST'!F291</f>
        <v>109085277.37800108</v>
      </c>
      <c r="G291" s="118" t="str">
        <f>'II-I-DIST'!H291</f>
        <v>NCP SEC</v>
      </c>
      <c r="H291" s="118">
        <f>'II-I-MET'!F291</f>
        <v>0</v>
      </c>
      <c r="I291" s="118" t="str">
        <f>'II-I-MET'!H291</f>
        <v>NCP SEC</v>
      </c>
      <c r="J291" s="118">
        <f>'II-I-TBILLTDCS'!F291</f>
        <v>0</v>
      </c>
      <c r="K291" s="118" t="str">
        <f>'II-I-TBILLTDCS'!H291</f>
        <v>NCP SEC</v>
      </c>
      <c r="L291" s="893">
        <f t="shared" si="10"/>
        <v>109085277.37800108</v>
      </c>
      <c r="M291" s="1033" t="s">
        <v>1053</v>
      </c>
    </row>
    <row r="292" spans="2:13" s="386" customFormat="1" ht="28.5">
      <c r="B292" s="17">
        <f t="shared" si="11"/>
        <v>14</v>
      </c>
      <c r="C292" s="1" t="s">
        <v>400</v>
      </c>
      <c r="D292" s="1" t="str">
        <f>'WP II-I-1.2'!D39</f>
        <v>Regulators, Protectors, Primary Transformers</v>
      </c>
      <c r="E292" s="17"/>
      <c r="F292" s="118">
        <f>'II-I-DIST'!F292</f>
        <v>43728535.967337929</v>
      </c>
      <c r="G292" s="118" t="str">
        <f>'II-I-DIST'!H292</f>
        <v>NCP XSS</v>
      </c>
      <c r="H292" s="118">
        <f>'II-I-MET'!F292</f>
        <v>0</v>
      </c>
      <c r="I292" s="118" t="str">
        <f>'II-I-MET'!H292</f>
        <v>NCP XSS</v>
      </c>
      <c r="J292" s="118">
        <f>'II-I-TBILLTDCS'!F292</f>
        <v>0</v>
      </c>
      <c r="K292" s="118" t="str">
        <f>'II-I-TBILLTDCS'!H292</f>
        <v>NCP XSS</v>
      </c>
      <c r="L292" s="893">
        <f t="shared" si="10"/>
        <v>43728535.967337929</v>
      </c>
      <c r="M292" s="1033" t="s">
        <v>1054</v>
      </c>
    </row>
    <row r="293" spans="2:13" s="386" customFormat="1" ht="28.5">
      <c r="B293" s="17">
        <f t="shared" si="11"/>
        <v>15</v>
      </c>
      <c r="C293" s="1" t="s">
        <v>402</v>
      </c>
      <c r="D293" s="1" t="str">
        <f>'WP II-I-1.2'!D40</f>
        <v>Secondary Transformers</v>
      </c>
      <c r="E293" s="17"/>
      <c r="F293" s="118">
        <f>'II-I-DIST'!F293</f>
        <v>655156440.1624701</v>
      </c>
      <c r="G293" s="118" t="str">
        <f>'II-I-DIST'!H293</f>
        <v>NCP SEC</v>
      </c>
      <c r="H293" s="118">
        <f>'II-I-MET'!F293</f>
        <v>0</v>
      </c>
      <c r="I293" s="118" t="str">
        <f>'II-I-MET'!H293</f>
        <v>NCP SEC</v>
      </c>
      <c r="J293" s="118">
        <f>'II-I-TBILLTDCS'!F293</f>
        <v>0</v>
      </c>
      <c r="K293" s="118" t="str">
        <f>'II-I-TBILLTDCS'!H293</f>
        <v>NCP SEC</v>
      </c>
      <c r="L293" s="893">
        <f t="shared" si="10"/>
        <v>655156440.1624701</v>
      </c>
      <c r="M293" s="1033" t="s">
        <v>1053</v>
      </c>
    </row>
    <row r="294" spans="2:13" s="386" customFormat="1" ht="14.25">
      <c r="B294" s="17">
        <f t="shared" si="11"/>
        <v>16</v>
      </c>
      <c r="C294" s="1" t="s">
        <v>404</v>
      </c>
      <c r="D294" s="1" t="str">
        <f>'WP II-I-1.2'!D41</f>
        <v>Capacitors</v>
      </c>
      <c r="E294" s="17"/>
      <c r="F294" s="118">
        <f>'II-I-DIST'!F294</f>
        <v>44802017.970192015</v>
      </c>
      <c r="G294" s="118" t="str">
        <f>'II-I-DIST'!H294</f>
        <v>NCP ALL</v>
      </c>
      <c r="H294" s="118">
        <f>'II-I-MET'!F294</f>
        <v>0</v>
      </c>
      <c r="I294" s="118" t="str">
        <f>'II-I-MET'!H294</f>
        <v>NCP ALL</v>
      </c>
      <c r="J294" s="118">
        <f>'II-I-TBILLTDCS'!F294</f>
        <v>0</v>
      </c>
      <c r="K294" s="118" t="str">
        <f>'II-I-TBILLTDCS'!H294</f>
        <v>NCP ALL</v>
      </c>
      <c r="L294" s="893">
        <f t="shared" si="10"/>
        <v>44802017.970192015</v>
      </c>
      <c r="M294" s="1033" t="s">
        <v>1055</v>
      </c>
    </row>
    <row r="295" spans="2:13" s="386" customFormat="1" ht="28.5">
      <c r="B295" s="17">
        <f t="shared" si="11"/>
        <v>17</v>
      </c>
      <c r="C295" s="1" t="s">
        <v>76</v>
      </c>
      <c r="D295" s="31" t="s">
        <v>77</v>
      </c>
      <c r="E295" s="30"/>
      <c r="F295" s="118">
        <f>'II-I-DIST'!F295</f>
        <v>1097314112.99</v>
      </c>
      <c r="G295" s="118" t="str">
        <f>'II-I-DIST'!H295</f>
        <v>CUS W SEC</v>
      </c>
      <c r="H295" s="118">
        <f>'II-I-MET'!F295</f>
        <v>0</v>
      </c>
      <c r="I295" s="118" t="str">
        <f>'II-I-MET'!H295</f>
        <v>CUS W SEC</v>
      </c>
      <c r="J295" s="118">
        <f>'II-I-TBILLTDCS'!F295</f>
        <v>0</v>
      </c>
      <c r="K295" s="118" t="str">
        <f>'II-I-TBILLTDCS'!H295</f>
        <v>CUS W SEC</v>
      </c>
      <c r="L295" s="893">
        <f t="shared" si="10"/>
        <v>1097314112.99</v>
      </c>
      <c r="M295" s="1033" t="s">
        <v>1056</v>
      </c>
    </row>
    <row r="296" spans="2:13" s="386" customFormat="1" ht="28.5">
      <c r="B296" s="17">
        <f t="shared" si="11"/>
        <v>18</v>
      </c>
      <c r="C296" s="1" t="s">
        <v>78</v>
      </c>
      <c r="D296" s="1" t="s">
        <v>79</v>
      </c>
      <c r="E296" s="17"/>
      <c r="F296" s="118">
        <f>'II-I-DIST'!F296</f>
        <v>0</v>
      </c>
      <c r="G296" s="118" t="str">
        <f>'II-I-DIST'!H296</f>
        <v>CUS W ALL</v>
      </c>
      <c r="H296" s="118">
        <f>'II-I-MET'!F296</f>
        <v>336239857.38</v>
      </c>
      <c r="I296" s="118" t="str">
        <f>'II-I-MET'!H296</f>
        <v>CUS W ALL</v>
      </c>
      <c r="J296" s="118">
        <f>'II-I-TBILLTDCS'!F296</f>
        <v>0</v>
      </c>
      <c r="K296" s="118" t="str">
        <f>'II-I-TBILLTDCS'!H296</f>
        <v>CUS W ALL</v>
      </c>
      <c r="L296" s="893">
        <f t="shared" si="10"/>
        <v>336239857.38</v>
      </c>
      <c r="M296" s="1033" t="s">
        <v>1057</v>
      </c>
    </row>
    <row r="297" spans="2:13" s="386" customFormat="1" ht="14.25">
      <c r="B297" s="17">
        <f t="shared" si="11"/>
        <v>19</v>
      </c>
      <c r="C297" s="1" t="s">
        <v>80</v>
      </c>
      <c r="D297" s="1" t="s">
        <v>543</v>
      </c>
      <c r="E297" s="17"/>
      <c r="F297" s="118">
        <f>'II-I-DIST'!F297</f>
        <v>75069053.349999994</v>
      </c>
      <c r="G297" s="118" t="str">
        <f>'II-I-DIST'!H297</f>
        <v>NCP LGT</v>
      </c>
      <c r="H297" s="118">
        <f>'II-I-MET'!F297</f>
        <v>0</v>
      </c>
      <c r="I297" s="118" t="str">
        <f>'II-I-MET'!H297</f>
        <v>NCP LGT</v>
      </c>
      <c r="J297" s="118">
        <f>'II-I-TBILLTDCS'!F297</f>
        <v>0</v>
      </c>
      <c r="K297" s="118" t="str">
        <f>'II-I-TBILLTDCS'!H297</f>
        <v>NCP LGT</v>
      </c>
      <c r="L297" s="893">
        <f t="shared" si="10"/>
        <v>75069053.349999994</v>
      </c>
      <c r="M297" s="1033" t="s">
        <v>1058</v>
      </c>
    </row>
    <row r="298" spans="2:13" s="386" customFormat="1" ht="14.25">
      <c r="B298" s="17">
        <f t="shared" si="11"/>
        <v>20</v>
      </c>
      <c r="C298" s="1" t="s">
        <v>82</v>
      </c>
      <c r="D298" s="1" t="s">
        <v>544</v>
      </c>
      <c r="E298" s="17"/>
      <c r="F298" s="118">
        <f>'II-I-DIST'!F298</f>
        <v>0</v>
      </c>
      <c r="G298" s="118" t="str">
        <f>'II-I-DIST'!H298</f>
        <v>CUS W ALL</v>
      </c>
      <c r="H298" s="118">
        <f>'II-I-MET'!F298</f>
        <v>0</v>
      </c>
      <c r="I298" s="118" t="str">
        <f>'II-I-MET'!H298</f>
        <v>CUS W ALL</v>
      </c>
      <c r="J298" s="118">
        <f>'II-I-TBILLTDCS'!F298</f>
        <v>0</v>
      </c>
      <c r="K298" s="118" t="str">
        <f>'II-I-TBILLTDCS'!H298</f>
        <v>CUS W ALL</v>
      </c>
      <c r="L298" s="893">
        <f t="shared" si="10"/>
        <v>0</v>
      </c>
      <c r="M298" s="1033"/>
    </row>
    <row r="299" spans="2:13" s="386" customFormat="1" ht="14.25">
      <c r="B299" s="17">
        <f t="shared" si="11"/>
        <v>21</v>
      </c>
      <c r="C299" s="1" t="s">
        <v>84</v>
      </c>
      <c r="D299" s="1" t="s">
        <v>88</v>
      </c>
      <c r="E299" s="17"/>
      <c r="F299" s="118">
        <f>'II-I-DIST'!F299</f>
        <v>372032656.80000001</v>
      </c>
      <c r="G299" s="118" t="str">
        <f>'II-I-DIST'!H299</f>
        <v>NCP LGT</v>
      </c>
      <c r="H299" s="118">
        <f>'II-I-MET'!F299</f>
        <v>0</v>
      </c>
      <c r="I299" s="118" t="str">
        <f>'II-I-MET'!H299</f>
        <v>NCP LGT</v>
      </c>
      <c r="J299" s="118">
        <f>'II-I-TBILLTDCS'!F299</f>
        <v>0</v>
      </c>
      <c r="K299" s="118" t="str">
        <f>'II-I-TBILLTDCS'!H299</f>
        <v>NCP LGT</v>
      </c>
      <c r="L299" s="893">
        <f t="shared" si="10"/>
        <v>372032656.80000001</v>
      </c>
      <c r="M299" s="1033" t="s">
        <v>1058</v>
      </c>
    </row>
    <row r="300" spans="2:12" ht="15">
      <c r="B300" s="17">
        <f t="shared" si="11"/>
        <v>22</v>
      </c>
      <c r="C300" s="67"/>
      <c r="D300" s="297" t="s">
        <v>491</v>
      </c>
      <c r="E300" s="150"/>
      <c r="F300" s="896">
        <f>'II-I-DIST'!F300</f>
        <v>5576510491.2799997</v>
      </c>
      <c r="G300" s="150"/>
      <c r="H300" s="896">
        <f>'II-I-MET'!F300</f>
        <v>336239857.38</v>
      </c>
      <c r="I300" s="150"/>
      <c r="J300" s="896">
        <f>'II-I-TBILLTDCS'!F300</f>
        <v>0</v>
      </c>
      <c r="K300" s="896"/>
      <c r="L300" s="896">
        <f t="shared" si="10"/>
        <v>5912750348.6599998</v>
      </c>
    </row>
    <row r="301" spans="2:12" ht="14.25">
      <c r="B301" s="17">
        <f t="shared" si="11"/>
        <v>23</v>
      </c>
      <c r="C301" s="67"/>
      <c r="D301" s="1"/>
      <c r="E301" s="17"/>
      <c r="F301" s="19"/>
      <c r="G301" s="17"/>
      <c r="H301" s="19"/>
      <c r="I301" s="17"/>
      <c r="J301" s="19"/>
      <c r="K301" s="894"/>
      <c r="L301" s="730"/>
    </row>
    <row r="302" spans="2:13" s="386" customFormat="1" ht="13.5" customHeight="1">
      <c r="B302" s="17">
        <f t="shared" si="11"/>
        <v>24</v>
      </c>
      <c r="C302" s="47"/>
      <c r="D302" s="297"/>
      <c r="E302" s="17"/>
      <c r="F302" s="896"/>
      <c r="G302" s="17"/>
      <c r="H302" s="896"/>
      <c r="I302" s="17"/>
      <c r="J302" s="896"/>
      <c r="K302" s="896"/>
      <c r="L302" s="896"/>
      <c r="M302" s="1040"/>
    </row>
    <row r="303" spans="2:12" ht="15">
      <c r="B303" s="17">
        <f t="shared" si="11"/>
        <v>25</v>
      </c>
      <c r="C303" s="67"/>
      <c r="D303" s="297"/>
      <c r="E303" s="17"/>
      <c r="F303" s="896"/>
      <c r="G303" s="17"/>
      <c r="H303" s="896"/>
      <c r="I303" s="17"/>
      <c r="J303" s="896"/>
      <c r="K303" s="896"/>
      <c r="L303" s="896"/>
    </row>
    <row r="304" spans="2:12" ht="15">
      <c r="B304" s="17">
        <f t="shared" si="11"/>
        <v>26</v>
      </c>
      <c r="C304" s="67"/>
      <c r="D304" s="297"/>
      <c r="E304" s="17"/>
      <c r="F304" s="896"/>
      <c r="G304" s="17"/>
      <c r="H304" s="896"/>
      <c r="I304" s="17"/>
      <c r="J304" s="896"/>
      <c r="K304" s="896"/>
      <c r="L304" s="896"/>
    </row>
    <row r="305" spans="2:12" ht="15">
      <c r="B305" s="17">
        <f t="shared" si="11"/>
        <v>27</v>
      </c>
      <c r="C305" s="67"/>
      <c r="D305" s="297"/>
      <c r="E305" s="17"/>
      <c r="F305" s="896"/>
      <c r="G305" s="17"/>
      <c r="H305" s="896"/>
      <c r="I305" s="17"/>
      <c r="J305" s="896"/>
      <c r="K305" s="896"/>
      <c r="L305" s="896"/>
    </row>
    <row r="306" spans="2:12" ht="15">
      <c r="B306" s="17">
        <f t="shared" si="11"/>
        <v>28</v>
      </c>
      <c r="C306" s="67"/>
      <c r="D306" s="297"/>
      <c r="E306" s="17"/>
      <c r="F306" s="896"/>
      <c r="G306" s="17"/>
      <c r="H306" s="896"/>
      <c r="I306" s="17"/>
      <c r="J306" s="896"/>
      <c r="K306" s="896"/>
      <c r="L306" s="896"/>
    </row>
    <row r="307" spans="2:12" ht="15" thickBot="1">
      <c r="B307" s="17">
        <f t="shared" si="11"/>
        <v>29</v>
      </c>
      <c r="C307" s="67"/>
      <c r="D307" s="1"/>
      <c r="E307" s="17"/>
      <c r="F307" s="19"/>
      <c r="G307" s="17"/>
      <c r="H307" s="19"/>
      <c r="I307" s="17"/>
      <c r="J307" s="19"/>
      <c r="K307" s="894"/>
      <c r="L307" s="730"/>
    </row>
    <row r="308" spans="2:12" ht="15">
      <c r="B308" s="17">
        <f t="shared" si="11"/>
        <v>30</v>
      </c>
      <c r="C308" s="303" t="s">
        <v>575</v>
      </c>
      <c r="D308" s="304"/>
      <c r="E308" s="305" t="s">
        <v>24</v>
      </c>
      <c r="F308" s="908">
        <f>'II-I-DIST'!F308</f>
        <v>5787803816.1199999</v>
      </c>
      <c r="G308" s="305"/>
      <c r="H308" s="908">
        <f>'II-I-MET'!F308</f>
        <v>491401280.11000001</v>
      </c>
      <c r="I308" s="305"/>
      <c r="J308" s="908">
        <f>'II-I-TBILLTDCS'!F308</f>
        <v>84146159.569999993</v>
      </c>
      <c r="K308" s="908"/>
      <c r="L308" s="641">
        <f t="shared" si="10"/>
        <v>6363351255.7999992</v>
      </c>
    </row>
    <row r="309" spans="2:12" ht="15.75" thickBot="1">
      <c r="B309" s="17">
        <f t="shared" si="11"/>
        <v>31</v>
      </c>
      <c r="C309" s="309" t="s">
        <v>576</v>
      </c>
      <c r="D309" s="310"/>
      <c r="E309" s="311" t="s">
        <v>24</v>
      </c>
      <c r="F309" s="312">
        <f>'II-I-DIST'!F309</f>
        <v>5673680968.29</v>
      </c>
      <c r="G309" s="311"/>
      <c r="H309" s="312">
        <f>'II-I-MET'!F309</f>
        <v>336239857.38</v>
      </c>
      <c r="I309" s="311"/>
      <c r="J309" s="312">
        <f>'II-I-TBILLTDCS'!F309</f>
        <v>0</v>
      </c>
      <c r="K309" s="312"/>
      <c r="L309" s="443">
        <f t="shared" si="10"/>
        <v>6009920825.6700001</v>
      </c>
    </row>
    <row r="310" spans="2:12" ht="15.75" thickBot="1">
      <c r="B310" s="17">
        <f t="shared" si="11"/>
        <v>32</v>
      </c>
      <c r="C310" s="8"/>
      <c r="D310" s="8"/>
      <c r="E310" s="922"/>
      <c r="F310" s="896"/>
      <c r="G310" s="922"/>
      <c r="H310" s="896"/>
      <c r="I310" s="922"/>
      <c r="J310" s="896"/>
      <c r="K310" s="896"/>
      <c r="L310" s="896"/>
    </row>
    <row r="311" spans="2:12" ht="15">
      <c r="B311" s="17">
        <f t="shared" si="11"/>
        <v>33</v>
      </c>
      <c r="C311" s="319" t="s">
        <v>577</v>
      </c>
      <c r="D311" s="304"/>
      <c r="E311" s="320"/>
      <c r="F311" s="908">
        <f>'II-I-DIST'!F311</f>
        <v>209210524.99000001</v>
      </c>
      <c r="G311" s="320"/>
      <c r="H311" s="908">
        <f>'II-I-MET'!F311</f>
        <v>30140290.230000019</v>
      </c>
      <c r="I311" s="320"/>
      <c r="J311" s="908">
        <f>'II-I-TBILLTDCS'!F311</f>
        <v>226263015.17000002</v>
      </c>
      <c r="K311" s="908"/>
      <c r="L311" s="641">
        <f t="shared" si="10"/>
        <v>465613830.39000005</v>
      </c>
    </row>
    <row r="312" spans="2:12" ht="15">
      <c r="B312" s="17">
        <f t="shared" si="11"/>
        <v>34</v>
      </c>
      <c r="C312" s="234" t="s">
        <v>578</v>
      </c>
      <c r="D312" s="286"/>
      <c r="E312" s="321"/>
      <c r="F312" s="322">
        <f>'II-I-DIST'!F312</f>
        <v>284690173.85000002</v>
      </c>
      <c r="G312" s="321"/>
      <c r="H312" s="322">
        <f>'II-I-MET'!F312</f>
        <v>0</v>
      </c>
      <c r="I312" s="321"/>
      <c r="J312" s="322">
        <f>'II-I-TBILLTDCS'!F312</f>
        <v>0</v>
      </c>
      <c r="K312" s="322"/>
      <c r="L312" s="323">
        <f t="shared" si="10"/>
        <v>284690173.85000002</v>
      </c>
    </row>
    <row r="313" spans="2:12" ht="15">
      <c r="B313" s="17">
        <f t="shared" si="11"/>
        <v>35</v>
      </c>
      <c r="C313" s="234" t="s">
        <v>579</v>
      </c>
      <c r="D313" s="286"/>
      <c r="E313" s="321"/>
      <c r="F313" s="322">
        <f>'II-I-DIST'!F313</f>
        <v>9042309241.5699997</v>
      </c>
      <c r="G313" s="321"/>
      <c r="H313" s="322">
        <f>'II-I-MET'!F313</f>
        <v>237907625.69000006</v>
      </c>
      <c r="I313" s="321"/>
      <c r="J313" s="322">
        <f>'II-I-TBILLTDCS'!F313</f>
        <v>0</v>
      </c>
      <c r="K313" s="322"/>
      <c r="L313" s="323">
        <f t="shared" si="10"/>
        <v>9280216867.2600002</v>
      </c>
    </row>
    <row r="314" spans="2:12" ht="15">
      <c r="B314" s="17">
        <f t="shared" si="11"/>
        <v>36</v>
      </c>
      <c r="C314" s="234" t="s">
        <v>580</v>
      </c>
      <c r="D314" s="286"/>
      <c r="E314" s="321"/>
      <c r="F314" s="322">
        <f>'II-I-DIST'!F314</f>
        <v>9326999415.4200001</v>
      </c>
      <c r="G314" s="321"/>
      <c r="H314" s="322">
        <f>'II-I-MET'!F314</f>
        <v>237907625.69000006</v>
      </c>
      <c r="I314" s="321"/>
      <c r="J314" s="322">
        <f>'II-I-TBILLTDCS'!F314</f>
        <v>0</v>
      </c>
      <c r="K314" s="322"/>
      <c r="L314" s="323">
        <f t="shared" si="10"/>
        <v>9564907041.1100006</v>
      </c>
    </row>
    <row r="315" spans="2:12" ht="15.75" thickBot="1">
      <c r="B315" s="17">
        <f t="shared" si="11"/>
        <v>37</v>
      </c>
      <c r="C315" s="326" t="s">
        <v>581</v>
      </c>
      <c r="D315" s="310"/>
      <c r="E315" s="327"/>
      <c r="F315" s="312">
        <f>'II-I-DIST'!F315</f>
        <v>9536209940.4099998</v>
      </c>
      <c r="G315" s="327"/>
      <c r="H315" s="312">
        <f>'II-I-MET'!F315</f>
        <v>268047915.92000008</v>
      </c>
      <c r="I315" s="327"/>
      <c r="J315" s="312">
        <f>'II-I-TBILLTDCS'!F315</f>
        <v>226263015.17000002</v>
      </c>
      <c r="K315" s="312"/>
      <c r="L315" s="443">
        <f t="shared" si="10"/>
        <v>10030520871.5</v>
      </c>
    </row>
    <row r="316" spans="2:10" ht="14.25">
      <c r="B316" s="67"/>
      <c r="C316" s="67"/>
      <c r="D316" s="67"/>
      <c r="E316" s="67"/>
      <c r="F316" s="67"/>
      <c r="G316" s="67"/>
      <c r="H316" s="67"/>
      <c r="I316" s="67"/>
      <c r="J316" s="67"/>
    </row>
    <row r="317" spans="2:12" ht="15">
      <c r="B317" s="874"/>
      <c r="C317" s="874"/>
      <c r="D317" s="874"/>
      <c r="E317" s="874"/>
      <c r="F317" s="18"/>
      <c r="G317" s="134"/>
      <c r="H317" s="18"/>
      <c r="I317" s="134"/>
      <c r="J317" s="18"/>
      <c r="K317" s="874"/>
      <c r="L317" s="874"/>
    </row>
    <row r="318" spans="2:12" ht="15.75" thickBot="1">
      <c r="B318" s="874"/>
      <c r="C318" s="874"/>
      <c r="D318" s="874"/>
      <c r="E318" s="874"/>
      <c r="F318" s="18"/>
      <c r="G318" s="17"/>
      <c r="H318" s="18"/>
      <c r="I318" s="17"/>
      <c r="J318" s="18"/>
      <c r="K318" s="874"/>
      <c r="L318" s="874"/>
    </row>
    <row r="319" spans="2:12" ht="15">
      <c r="B319" s="920" t="str">
        <f>$B$4</f>
        <v>2022 RATE CASE</v>
      </c>
      <c r="C319" s="926"/>
      <c r="D319" s="927"/>
      <c r="E319" s="874"/>
      <c r="F319" s="12"/>
      <c r="H319" s="12"/>
      <c r="J319" s="12"/>
      <c r="K319" s="874"/>
      <c r="L319" s="874"/>
    </row>
    <row r="320" spans="2:12" ht="15">
      <c r="B320" s="917" t="str">
        <f>$B$5</f>
        <v>ONCOR ELECTRIC DELIVERY COMPANY LLC</v>
      </c>
      <c r="C320" s="369"/>
      <c r="D320" s="928"/>
      <c r="E320" s="874"/>
      <c r="F320" s="12"/>
      <c r="H320" s="12"/>
      <c r="J320" s="12"/>
      <c r="K320" s="874"/>
      <c r="L320" s="874"/>
    </row>
    <row r="321" spans="2:12" ht="15">
      <c r="B321" s="406" t="str">
        <f>$B$6</f>
        <v>II-I-2.1f:  CONSOLIDATED FUNCTIONALIZED COST OF SERVICE</v>
      </c>
      <c r="C321" s="369"/>
      <c r="D321" s="928"/>
      <c r="E321" s="874"/>
      <c r="F321" s="12"/>
      <c r="H321" s="12"/>
      <c r="J321" s="12"/>
      <c r="K321" s="874"/>
      <c r="L321" s="874"/>
    </row>
    <row r="322" spans="2:10" ht="15.75">
      <c r="B322" s="406" t="str">
        <f>$B$7</f>
        <v>TEST YEAR ENDING 12/31/2021</v>
      </c>
      <c r="C322" s="840"/>
      <c r="D322" s="921"/>
      <c r="E322" s="67"/>
      <c r="F322" s="12"/>
      <c r="H322" s="12"/>
      <c r="J322" s="12"/>
    </row>
    <row r="323" spans="2:12" ht="15">
      <c r="B323" s="406" t="str">
        <f>$B$8</f>
        <v>SPONSOR:  MATTHEW A. TROXLE</v>
      </c>
      <c r="C323" s="369"/>
      <c r="D323" s="928"/>
      <c r="E323" s="369"/>
      <c r="F323" s="12"/>
      <c r="H323" s="12"/>
      <c r="J323" s="12"/>
      <c r="K323" s="369"/>
      <c r="L323" s="369"/>
    </row>
    <row r="324" spans="2:12" ht="15.75" thickBot="1">
      <c r="B324" s="410"/>
      <c r="C324" s="934"/>
      <c r="D324" s="622"/>
      <c r="F324" s="12"/>
      <c r="H324" s="12"/>
      <c r="J324" s="12"/>
      <c r="K324" s="646"/>
      <c r="L324" s="646"/>
    </row>
    <row r="325" spans="2:13" ht="14.25">
      <c r="B325" s="13"/>
      <c r="C325" s="14"/>
      <c r="D325" s="238"/>
      <c r="E325" s="14"/>
      <c r="F325" s="13"/>
      <c r="G325" s="14"/>
      <c r="H325" s="13"/>
      <c r="I325" s="14"/>
      <c r="J325" s="13"/>
      <c r="K325" s="738"/>
      <c r="L325" s="952"/>
      <c r="M325" s="1036"/>
    </row>
    <row r="326" spans="2:13" ht="15">
      <c r="B326" s="15" t="s">
        <v>2</v>
      </c>
      <c r="C326" s="15" t="s">
        <v>370</v>
      </c>
      <c r="D326" s="241" t="s">
        <v>582</v>
      </c>
      <c r="E326" s="15" t="s">
        <v>371</v>
      </c>
      <c r="F326" s="287" t="str">
        <f>'II-I-DIST'!F326</f>
        <v>DIST</v>
      </c>
      <c r="G326" s="242" t="s">
        <v>376</v>
      </c>
      <c r="H326" s="287" t="str">
        <f>'II-I-MET'!F326</f>
        <v>MET</v>
      </c>
      <c r="I326" s="242" t="s">
        <v>376</v>
      </c>
      <c r="J326" s="287" t="str">
        <f>'II-I-TBILLTDCS'!F326</f>
        <v>TBILLTDCS</v>
      </c>
      <c r="K326" s="743" t="s">
        <v>376</v>
      </c>
      <c r="L326" s="743" t="s">
        <v>481</v>
      </c>
      <c r="M326" s="1030" t="s">
        <v>1046</v>
      </c>
    </row>
    <row r="327" spans="2:13" ht="14.25">
      <c r="B327" s="15"/>
      <c r="C327" s="15"/>
      <c r="D327" s="242"/>
      <c r="E327" s="15"/>
      <c r="F327" s="15"/>
      <c r="G327" s="242" t="s">
        <v>743</v>
      </c>
      <c r="H327" s="15"/>
      <c r="I327" s="242" t="s">
        <v>743</v>
      </c>
      <c r="J327" s="15"/>
      <c r="K327" s="743" t="s">
        <v>743</v>
      </c>
      <c r="L327" s="743" t="s">
        <v>33</v>
      </c>
      <c r="M327" s="1037"/>
    </row>
    <row r="328" spans="2:13" ht="15.75" thickBot="1">
      <c r="B328" s="243"/>
      <c r="C328" s="957"/>
      <c r="D328" s="245"/>
      <c r="E328" s="245"/>
      <c r="F328" s="747" t="s">
        <v>13</v>
      </c>
      <c r="G328" s="747" t="s">
        <v>14</v>
      </c>
      <c r="H328" s="747" t="s">
        <v>15</v>
      </c>
      <c r="I328" s="747" t="s">
        <v>16</v>
      </c>
      <c r="J328" s="747" t="s">
        <v>17</v>
      </c>
      <c r="K328" s="747" t="s">
        <v>18</v>
      </c>
      <c r="L328" s="747" t="s">
        <v>19</v>
      </c>
      <c r="M328" s="1032" t="s">
        <v>20</v>
      </c>
    </row>
    <row r="329" spans="2:12" ht="14.25">
      <c r="B329" s="67"/>
      <c r="C329" s="17"/>
      <c r="D329" s="17"/>
      <c r="E329" s="17"/>
      <c r="F329" s="17"/>
      <c r="G329" s="17"/>
      <c r="H329" s="17"/>
      <c r="I329" s="17"/>
      <c r="J329" s="17"/>
      <c r="K329" s="728"/>
      <c r="L329" s="730"/>
    </row>
    <row r="330" spans="2:12" ht="14.25">
      <c r="B330" s="17"/>
      <c r="C330" s="1"/>
      <c r="D330" s="1"/>
      <c r="E330" s="17"/>
      <c r="F330" s="18"/>
      <c r="G330" s="17"/>
      <c r="H330" s="18"/>
      <c r="I330" s="17"/>
      <c r="J330" s="18"/>
      <c r="K330" s="775"/>
      <c r="L330" s="775"/>
    </row>
    <row r="331" spans="2:12" ht="15">
      <c r="B331" s="17">
        <f t="shared" si="12" ref="B331:B354">B330+1</f>
        <v>1</v>
      </c>
      <c r="C331" s="8" t="s">
        <v>301</v>
      </c>
      <c r="D331" s="1"/>
      <c r="E331" s="922" t="s">
        <v>36</v>
      </c>
      <c r="F331" s="18"/>
      <c r="G331" s="922"/>
      <c r="H331" s="18"/>
      <c r="I331" s="922"/>
      <c r="J331" s="18"/>
      <c r="K331" s="775"/>
      <c r="L331" s="730"/>
    </row>
    <row r="332" spans="2:12" ht="15">
      <c r="B332" s="17">
        <f t="shared" si="12"/>
        <v>2</v>
      </c>
      <c r="C332" s="8" t="s">
        <v>583</v>
      </c>
      <c r="D332" s="8"/>
      <c r="E332" s="922"/>
      <c r="F332" s="8"/>
      <c r="G332" s="922"/>
      <c r="H332" s="8"/>
      <c r="I332" s="922"/>
      <c r="J332" s="8"/>
      <c r="K332" s="775"/>
      <c r="L332" s="8"/>
    </row>
    <row r="333" spans="2:13" s="386" customFormat="1" ht="63" customHeight="1">
      <c r="B333" s="17">
        <f t="shared" si="12"/>
        <v>3</v>
      </c>
      <c r="C333" s="1" t="s">
        <v>91</v>
      </c>
      <c r="D333" s="1" t="s">
        <v>40</v>
      </c>
      <c r="E333" s="17"/>
      <c r="F333" s="118">
        <f>'II-I-DIST'!F333</f>
        <v>0</v>
      </c>
      <c r="G333" s="118" t="str">
        <f>'II-I-DIST'!H333</f>
        <v>PLTOPER_N</v>
      </c>
      <c r="H333" s="118">
        <f>'II-I-MET'!F333</f>
        <v>0</v>
      </c>
      <c r="I333" s="47" t="s">
        <v>838</v>
      </c>
      <c r="J333" s="118">
        <f>'II-I-TBILLTDCS'!F333</f>
        <v>0</v>
      </c>
      <c r="K333" s="893" t="s">
        <v>861</v>
      </c>
      <c r="L333" s="893">
        <f t="shared" si="13" ref="L333:L372">F333+H333+J333</f>
        <v>0</v>
      </c>
      <c r="M333" s="1033" t="str">
        <f>M179</f>
        <v xml:space="preserve"> Related to, and supporting all operating plant facilities; classified on a composite basis using  operating plant or Labor excluding A&amp;G.  The DIST and MET functions are allocated based on operating  plant, and the TDCS function is allocated based on Labor less A&amp;G.</v>
      </c>
    </row>
    <row r="334" spans="2:13" s="386" customFormat="1" ht="15">
      <c r="B334" s="17">
        <f t="shared" si="12"/>
        <v>4</v>
      </c>
      <c r="C334" s="1" t="s">
        <v>92</v>
      </c>
      <c r="D334" s="1" t="s">
        <v>42</v>
      </c>
      <c r="E334" s="922"/>
      <c r="F334" s="118">
        <f>'II-I-DIST'!F334</f>
        <v>13158.09</v>
      </c>
      <c r="G334" s="118" t="str">
        <f>'II-I-DIST'!H334</f>
        <v>PLTOPER_N</v>
      </c>
      <c r="H334" s="118">
        <f>'II-I-MET'!F334</f>
        <v>558.58000000000004</v>
      </c>
      <c r="I334" s="47" t="s">
        <v>838</v>
      </c>
      <c r="J334" s="118">
        <f>'II-I-TBILLTDCS'!F334</f>
        <v>2.0899999999999999</v>
      </c>
      <c r="K334" s="893" t="s">
        <v>861</v>
      </c>
      <c r="L334" s="893">
        <f t="shared" si="13"/>
        <v>13718.76</v>
      </c>
      <c r="M334" s="1033" t="str">
        <f>M180</f>
        <v xml:space="preserve"> See Above</v>
      </c>
    </row>
    <row r="335" spans="2:13" s="386" customFormat="1" ht="15">
      <c r="B335" s="17">
        <f t="shared" si="12"/>
        <v>5</v>
      </c>
      <c r="C335" s="1" t="s">
        <v>93</v>
      </c>
      <c r="D335" s="1" t="s">
        <v>44</v>
      </c>
      <c r="E335" s="922"/>
      <c r="F335" s="118">
        <f>'II-I-DIST'!F335</f>
        <v>11904359.49</v>
      </c>
      <c r="G335" s="118" t="str">
        <f>'II-I-DIST'!H335</f>
        <v>PLTOPER_N</v>
      </c>
      <c r="H335" s="118">
        <f>'II-I-MET'!F335</f>
        <v>2097789.6299999999</v>
      </c>
      <c r="I335" s="47" t="s">
        <v>838</v>
      </c>
      <c r="J335" s="118">
        <f>'II-I-TBILLTDCS'!F335</f>
        <v>1141161.6499999999</v>
      </c>
      <c r="K335" s="893" t="s">
        <v>861</v>
      </c>
      <c r="L335" s="893">
        <f t="shared" si="13"/>
        <v>15143310.770000001</v>
      </c>
      <c r="M335" s="1033" t="str">
        <f>M181</f>
        <v xml:space="preserve"> See Above</v>
      </c>
    </row>
    <row r="336" spans="2:13" s="386" customFormat="1" ht="15">
      <c r="B336" s="17">
        <f t="shared" si="12"/>
        <v>6</v>
      </c>
      <c r="C336" s="1" t="s">
        <v>94</v>
      </c>
      <c r="D336" s="1" t="s">
        <v>95</v>
      </c>
      <c r="E336" s="922"/>
      <c r="F336" s="118">
        <f>'II-I-DIST'!F336</f>
        <v>43244355.240000002</v>
      </c>
      <c r="G336" s="118" t="str">
        <f>'II-I-DIST'!H336</f>
        <v>PLTOPER_N</v>
      </c>
      <c r="H336" s="118">
        <f>'II-I-MET'!F336</f>
        <v>37302658.030000001</v>
      </c>
      <c r="I336" s="47" t="s">
        <v>838</v>
      </c>
      <c r="J336" s="118">
        <f>'II-I-TBILLTDCS'!F336</f>
        <v>40970025.210000001</v>
      </c>
      <c r="K336" s="893" t="s">
        <v>861</v>
      </c>
      <c r="L336" s="893">
        <f t="shared" si="13"/>
        <v>121517038.48000002</v>
      </c>
      <c r="M336" s="1033" t="str">
        <f>M182</f>
        <v xml:space="preserve"> See Above</v>
      </c>
    </row>
    <row r="337" spans="2:13" s="386" customFormat="1" ht="15">
      <c r="B337" s="17">
        <f t="shared" si="12"/>
        <v>7</v>
      </c>
      <c r="C337" s="1" t="s">
        <v>96</v>
      </c>
      <c r="D337" s="1" t="s">
        <v>98</v>
      </c>
      <c r="E337" s="922"/>
      <c r="F337" s="118">
        <f>'II-I-DIST'!F337</f>
        <v>2889835.1699999999</v>
      </c>
      <c r="G337" s="118" t="str">
        <f>'II-I-DIST'!H337</f>
        <v>PLTOPER_N</v>
      </c>
      <c r="H337" s="118">
        <f>'II-I-MET'!F337</f>
        <v>0</v>
      </c>
      <c r="I337" s="47" t="s">
        <v>838</v>
      </c>
      <c r="J337" s="118">
        <f>'II-I-TBILLTDCS'!F337</f>
        <v>0</v>
      </c>
      <c r="K337" s="893" t="s">
        <v>861</v>
      </c>
      <c r="L337" s="893">
        <f t="shared" si="13"/>
        <v>2889835.1699999999</v>
      </c>
      <c r="M337" s="1033" t="s">
        <v>1060</v>
      </c>
    </row>
    <row r="338" spans="2:13" s="386" customFormat="1" ht="15">
      <c r="B338" s="17">
        <f t="shared" si="12"/>
        <v>8</v>
      </c>
      <c r="C338" s="1" t="s">
        <v>99</v>
      </c>
      <c r="D338" s="1" t="s">
        <v>548</v>
      </c>
      <c r="E338" s="922"/>
      <c r="F338" s="118">
        <f>'II-I-DIST'!F338</f>
        <v>642515.64000000001</v>
      </c>
      <c r="G338" s="118" t="str">
        <f>'II-I-DIST'!H338</f>
        <v>PLTOPER_N</v>
      </c>
      <c r="H338" s="118">
        <f>'II-I-MET'!F338</f>
        <v>114472.84</v>
      </c>
      <c r="I338" s="47" t="s">
        <v>838</v>
      </c>
      <c r="J338" s="118">
        <f>'II-I-TBILLTDCS'!F338</f>
        <v>0</v>
      </c>
      <c r="K338" s="893" t="s">
        <v>861</v>
      </c>
      <c r="L338" s="893">
        <f t="shared" si="13"/>
        <v>756988.47999999998</v>
      </c>
      <c r="M338" s="1033" t="s">
        <v>1060</v>
      </c>
    </row>
    <row r="339" spans="2:13" s="386" customFormat="1" ht="15">
      <c r="B339" s="17">
        <f t="shared" si="12"/>
        <v>9</v>
      </c>
      <c r="C339" s="1" t="s">
        <v>101</v>
      </c>
      <c r="D339" s="1" t="s">
        <v>549</v>
      </c>
      <c r="E339" s="922"/>
      <c r="F339" s="118">
        <f>'II-I-DIST'!F339</f>
        <v>10062139.470000001</v>
      </c>
      <c r="G339" s="118" t="str">
        <f>'II-I-DIST'!H339</f>
        <v>PLTOPER_N</v>
      </c>
      <c r="H339" s="118">
        <f>'II-I-MET'!F339</f>
        <v>959169.15000000002</v>
      </c>
      <c r="I339" s="47" t="s">
        <v>838</v>
      </c>
      <c r="J339" s="118">
        <f>'II-I-TBILLTDCS'!F339</f>
        <v>0</v>
      </c>
      <c r="K339" s="893" t="s">
        <v>861</v>
      </c>
      <c r="L339" s="893">
        <f t="shared" si="13"/>
        <v>11021308.620000001</v>
      </c>
      <c r="M339" s="1033" t="s">
        <v>1060</v>
      </c>
    </row>
    <row r="340" spans="2:13" s="386" customFormat="1" ht="15">
      <c r="B340" s="17">
        <f t="shared" si="12"/>
        <v>10</v>
      </c>
      <c r="C340" s="1" t="s">
        <v>103</v>
      </c>
      <c r="D340" s="1" t="s">
        <v>104</v>
      </c>
      <c r="E340" s="922"/>
      <c r="F340" s="118">
        <f>'II-I-DIST'!F340</f>
        <v>2811643.6499999999</v>
      </c>
      <c r="G340" s="118" t="str">
        <f>'II-I-DIST'!H340</f>
        <v>PLTOPER_N</v>
      </c>
      <c r="H340" s="118">
        <f>'II-I-MET'!F340</f>
        <v>592509.96999999997</v>
      </c>
      <c r="I340" s="47" t="s">
        <v>838</v>
      </c>
      <c r="J340" s="118">
        <f>'II-I-TBILLTDCS'!F340</f>
        <v>0</v>
      </c>
      <c r="K340" s="893" t="s">
        <v>861</v>
      </c>
      <c r="L340" s="893">
        <f t="shared" si="13"/>
        <v>3404153.6200000001</v>
      </c>
      <c r="M340" s="1033" t="s">
        <v>1060</v>
      </c>
    </row>
    <row r="341" spans="2:13" s="386" customFormat="1" ht="15">
      <c r="B341" s="17">
        <f t="shared" si="12"/>
        <v>11</v>
      </c>
      <c r="C341" s="1" t="s">
        <v>105</v>
      </c>
      <c r="D341" s="1" t="s">
        <v>106</v>
      </c>
      <c r="E341" s="922"/>
      <c r="F341" s="118">
        <f>'II-I-DIST'!F341</f>
        <v>2373053.8799999999</v>
      </c>
      <c r="G341" s="118" t="str">
        <f>'II-I-DIST'!H341</f>
        <v>PLTOPER_N</v>
      </c>
      <c r="H341" s="118">
        <f>'II-I-MET'!F341</f>
        <v>289556.78000000003</v>
      </c>
      <c r="I341" s="47" t="s">
        <v>838</v>
      </c>
      <c r="J341" s="118">
        <f>'II-I-TBILLTDCS'!F341</f>
        <v>0</v>
      </c>
      <c r="K341" s="893" t="s">
        <v>861</v>
      </c>
      <c r="L341" s="893">
        <f t="shared" si="13"/>
        <v>2662610.6600000001</v>
      </c>
      <c r="M341" s="1033" t="s">
        <v>1060</v>
      </c>
    </row>
    <row r="342" spans="2:13" s="386" customFormat="1" ht="15">
      <c r="B342" s="17">
        <f t="shared" si="12"/>
        <v>12</v>
      </c>
      <c r="C342" s="8"/>
      <c r="D342" s="297" t="s">
        <v>491</v>
      </c>
      <c r="E342" s="922"/>
      <c r="F342" s="907">
        <f>'II-I-DIST'!F342</f>
        <v>73941060.63000001</v>
      </c>
      <c r="G342" s="922"/>
      <c r="H342" s="907">
        <f>'II-I-MET'!F342</f>
        <v>41356714.980000004</v>
      </c>
      <c r="I342" s="922"/>
      <c r="J342" s="907">
        <f>'II-I-TBILLTDCS'!F342</f>
        <v>42111188.950000003</v>
      </c>
      <c r="K342" s="907"/>
      <c r="L342" s="907">
        <f t="shared" si="13"/>
        <v>157408964.56</v>
      </c>
      <c r="M342" s="1033"/>
    </row>
    <row r="343" spans="2:12" ht="15">
      <c r="B343" s="17">
        <f t="shared" si="12"/>
        <v>13</v>
      </c>
      <c r="C343" s="1"/>
      <c r="D343" s="297"/>
      <c r="E343" s="922"/>
      <c r="F343" s="896"/>
      <c r="G343" s="922"/>
      <c r="H343" s="896"/>
      <c r="I343" s="922"/>
      <c r="J343" s="896"/>
      <c r="K343" s="896"/>
      <c r="L343" s="896"/>
    </row>
    <row r="344" spans="2:13" s="386" customFormat="1" ht="15">
      <c r="B344" s="17">
        <f t="shared" si="12"/>
        <v>14</v>
      </c>
      <c r="C344" s="1" t="s">
        <v>107</v>
      </c>
      <c r="D344" s="1" t="s">
        <v>108</v>
      </c>
      <c r="E344" s="922"/>
      <c r="F344" s="118">
        <f>'II-I-DIST'!F344</f>
        <v>7510868.3600000003</v>
      </c>
      <c r="G344" s="118" t="str">
        <f>'II-I-DIST'!H344</f>
        <v>PLTOPER_N</v>
      </c>
      <c r="H344" s="118">
        <f>'II-I-MET'!F344</f>
        <v>42151878.130000003</v>
      </c>
      <c r="I344" s="118" t="str">
        <f>'II-I-MET'!H344</f>
        <v>PLTOPER_N</v>
      </c>
      <c r="J344" s="118">
        <f>'II-I-TBILLTDCS'!F344</f>
        <v>274004.38</v>
      </c>
      <c r="K344" s="118" t="str">
        <f>'II-I-TBILLTDCS'!H344</f>
        <v>PAYROLL XAG</v>
      </c>
      <c r="L344" s="893">
        <f t="shared" si="13"/>
        <v>49936750.870000005</v>
      </c>
      <c r="M344" s="1033" t="s">
        <v>1060</v>
      </c>
    </row>
    <row r="345" spans="2:13" s="386" customFormat="1" ht="15">
      <c r="B345" s="17">
        <f t="shared" si="12"/>
        <v>15</v>
      </c>
      <c r="C345" s="1" t="s">
        <v>110</v>
      </c>
      <c r="D345" s="1" t="s">
        <v>550</v>
      </c>
      <c r="E345" s="922"/>
      <c r="F345" s="118">
        <f>'II-I-DIST'!F345</f>
        <v>565246.04000000004</v>
      </c>
      <c r="G345" s="118" t="str">
        <f>'II-I-DIST'!H345</f>
        <v>PLTOPER_N</v>
      </c>
      <c r="H345" s="118">
        <f>'II-I-MET'!F345</f>
        <v>116093.88000000001</v>
      </c>
      <c r="I345" s="118" t="str">
        <f>'II-I-MET'!H345</f>
        <v>PLTOPER_N</v>
      </c>
      <c r="J345" s="118">
        <f>'II-I-TBILLTDCS'!F345</f>
        <v>0</v>
      </c>
      <c r="K345" s="118" t="str">
        <f>'II-I-TBILLTDCS'!H345</f>
        <v>PAYROLL XAG</v>
      </c>
      <c r="L345" s="893">
        <f t="shared" si="13"/>
        <v>681339.92000000004</v>
      </c>
      <c r="M345" s="1033" t="s">
        <v>1060</v>
      </c>
    </row>
    <row r="346" spans="2:13" s="386" customFormat="1" ht="15">
      <c r="B346" s="17">
        <f t="shared" si="12"/>
        <v>16</v>
      </c>
      <c r="C346" s="1" t="s">
        <v>112</v>
      </c>
      <c r="D346" s="1" t="s">
        <v>584</v>
      </c>
      <c r="E346" s="922"/>
      <c r="F346" s="118">
        <f>'II-I-DIST'!F346</f>
        <v>0</v>
      </c>
      <c r="G346" s="118" t="str">
        <f>'II-I-DIST'!H346</f>
        <v>PLTOPER_N</v>
      </c>
      <c r="H346" s="118">
        <f>'II-I-MET'!F346</f>
        <v>0</v>
      </c>
      <c r="I346" s="118" t="str">
        <f>'II-I-MET'!H346</f>
        <v>PLTOPER_N</v>
      </c>
      <c r="J346" s="118">
        <f>'II-I-TBILLTDCS'!F346</f>
        <v>0</v>
      </c>
      <c r="K346" s="118" t="str">
        <f>'II-I-TBILLTDCS'!H346</f>
        <v>PAYROLL XAG</v>
      </c>
      <c r="L346" s="893">
        <f t="shared" si="13"/>
        <v>0</v>
      </c>
      <c r="M346" s="1033" t="s">
        <v>1060</v>
      </c>
    </row>
    <row r="347" spans="2:12" ht="15">
      <c r="B347" s="17">
        <f t="shared" si="12"/>
        <v>17</v>
      </c>
      <c r="C347" s="8"/>
      <c r="D347" s="297" t="s">
        <v>491</v>
      </c>
      <c r="E347" s="922"/>
      <c r="F347" s="896">
        <f>'II-I-DIST'!F347</f>
        <v>8076114.4000000004</v>
      </c>
      <c r="G347" s="922"/>
      <c r="H347" s="896">
        <f>'II-I-MET'!F347</f>
        <v>42267972.010000005</v>
      </c>
      <c r="I347" s="922"/>
      <c r="J347" s="896">
        <f>'II-I-TBILLTDCS'!F347</f>
        <v>274004.38</v>
      </c>
      <c r="K347" s="896"/>
      <c r="L347" s="896">
        <f t="shared" si="13"/>
        <v>50618090.790000007</v>
      </c>
    </row>
    <row r="348" spans="2:12" ht="15" thickBot="1">
      <c r="B348" s="17">
        <f t="shared" si="12"/>
        <v>18</v>
      </c>
      <c r="C348" s="1"/>
      <c r="D348" s="1"/>
      <c r="E348" s="17"/>
      <c r="F348" s="18"/>
      <c r="G348" s="17"/>
      <c r="H348" s="18"/>
      <c r="I348" s="17"/>
      <c r="J348" s="18"/>
      <c r="K348" s="775"/>
      <c r="L348" s="730"/>
    </row>
    <row r="349" spans="2:12" ht="15">
      <c r="B349" s="17">
        <f t="shared" si="12"/>
        <v>19</v>
      </c>
      <c r="C349" s="319" t="s">
        <v>585</v>
      </c>
      <c r="D349" s="304"/>
      <c r="E349" s="305"/>
      <c r="F349" s="328">
        <f>'II-I-DIST'!F349</f>
        <v>82017175.030000016</v>
      </c>
      <c r="G349" s="305"/>
      <c r="H349" s="328">
        <f>'II-I-MET'!F349</f>
        <v>83624686.99000001</v>
      </c>
      <c r="I349" s="305"/>
      <c r="J349" s="328">
        <f>'II-I-TBILLTDCS'!F349</f>
        <v>42385193.330000006</v>
      </c>
      <c r="K349" s="328"/>
      <c r="L349" s="307">
        <f t="shared" si="13"/>
        <v>208027055.35000005</v>
      </c>
    </row>
    <row r="350" spans="2:12" ht="15.75" thickBot="1">
      <c r="B350" s="17">
        <f t="shared" si="12"/>
        <v>20</v>
      </c>
      <c r="C350" s="326" t="s">
        <v>586</v>
      </c>
      <c r="D350" s="310"/>
      <c r="E350" s="327"/>
      <c r="F350" s="312">
        <f>'II-I-DIST'!F350</f>
        <v>309452773.04000002</v>
      </c>
      <c r="G350" s="327"/>
      <c r="H350" s="312">
        <f>'II-I-MET'!F350</f>
        <v>66790795.659999967</v>
      </c>
      <c r="I350" s="327"/>
      <c r="J350" s="312">
        <f>'II-I-TBILLTDCS'!F350</f>
        <v>59270457.04999999</v>
      </c>
      <c r="K350" s="312"/>
      <c r="L350" s="443">
        <f t="shared" si="13"/>
        <v>435514025.75</v>
      </c>
    </row>
    <row r="351" spans="2:12" ht="15" thickBot="1">
      <c r="B351" s="17">
        <f t="shared" si="12"/>
        <v>21</v>
      </c>
      <c r="C351" s="1"/>
      <c r="D351" s="31"/>
      <c r="E351" s="330"/>
      <c r="F351" s="18"/>
      <c r="G351" s="330"/>
      <c r="H351" s="18"/>
      <c r="I351" s="330"/>
      <c r="J351" s="18"/>
      <c r="K351" s="893"/>
      <c r="L351" s="893"/>
    </row>
    <row r="352" spans="2:12" ht="15.75" thickBot="1">
      <c r="B352" s="17">
        <f t="shared" si="12"/>
        <v>22</v>
      </c>
      <c r="C352" s="284" t="s">
        <v>587</v>
      </c>
      <c r="D352" s="285"/>
      <c r="E352" s="331"/>
      <c r="F352" s="903">
        <f>'II-I-DIST'!F352</f>
        <v>9845662713.4500008</v>
      </c>
      <c r="G352" s="331"/>
      <c r="H352" s="903">
        <f>'II-I-MET'!F352</f>
        <v>334838711.58000004</v>
      </c>
      <c r="I352" s="331"/>
      <c r="J352" s="903">
        <f>'II-I-TBILLTDCS'!F352</f>
        <v>285533472.22000003</v>
      </c>
      <c r="K352" s="903"/>
      <c r="L352" s="380">
        <f t="shared" si="13"/>
        <v>10466034897.25</v>
      </c>
    </row>
    <row r="353" spans="2:12" ht="15.75" thickBot="1">
      <c r="B353" s="17">
        <f t="shared" si="12"/>
        <v>23</v>
      </c>
      <c r="C353" s="8"/>
      <c r="D353" s="8"/>
      <c r="E353" s="297"/>
      <c r="F353" s="896"/>
      <c r="G353" s="297"/>
      <c r="H353" s="896"/>
      <c r="I353" s="297"/>
      <c r="J353" s="896"/>
      <c r="K353" s="896"/>
      <c r="L353" s="896"/>
    </row>
    <row r="354" spans="2:12" ht="15.75" thickBot="1">
      <c r="B354" s="17">
        <f t="shared" si="12"/>
        <v>24</v>
      </c>
      <c r="C354" s="284" t="s">
        <v>588</v>
      </c>
      <c r="D354" s="285"/>
      <c r="E354" s="331"/>
      <c r="F354" s="903">
        <f>'II-I-DIST'!F354</f>
        <v>9636452188.460001</v>
      </c>
      <c r="G354" s="331"/>
      <c r="H354" s="903">
        <f>'II-I-MET'!F354</f>
        <v>304698421.35000002</v>
      </c>
      <c r="I354" s="331"/>
      <c r="J354" s="903">
        <f>'II-I-TBILLTDCS'!F354</f>
        <v>59270457.04999999</v>
      </c>
      <c r="K354" s="903"/>
      <c r="L354" s="380">
        <f t="shared" si="13"/>
        <v>10000421066.860001</v>
      </c>
    </row>
    <row r="355" spans="2:10" ht="14.25">
      <c r="B355" s="67"/>
      <c r="C355" s="67"/>
      <c r="D355" s="67"/>
      <c r="E355" s="67"/>
      <c r="F355" s="67"/>
      <c r="G355" s="67"/>
      <c r="H355" s="67"/>
      <c r="I355" s="67"/>
      <c r="J355" s="67"/>
    </row>
    <row r="356" spans="2:12" ht="15">
      <c r="B356" s="874"/>
      <c r="C356" s="874"/>
      <c r="D356" s="874"/>
      <c r="E356" s="874"/>
      <c r="F356" s="67"/>
      <c r="G356" s="134"/>
      <c r="H356" s="67"/>
      <c r="I356" s="134"/>
      <c r="J356" s="67"/>
      <c r="K356" s="874"/>
      <c r="L356" s="874"/>
    </row>
    <row r="357" spans="2:12" ht="15.75" thickBot="1">
      <c r="B357" s="874"/>
      <c r="C357" s="874"/>
      <c r="D357" s="874"/>
      <c r="E357" s="874"/>
      <c r="F357" s="67"/>
      <c r="G357" s="67"/>
      <c r="H357" s="67"/>
      <c r="I357" s="67"/>
      <c r="J357" s="67"/>
      <c r="K357" s="874"/>
      <c r="L357" s="874"/>
    </row>
    <row r="358" spans="2:12" ht="15">
      <c r="B358" s="920" t="str">
        <f>$B$4</f>
        <v>2022 RATE CASE</v>
      </c>
      <c r="C358" s="926"/>
      <c r="D358" s="927"/>
      <c r="E358" s="874"/>
      <c r="F358" s="332"/>
      <c r="H358" s="332"/>
      <c r="J358" s="332"/>
      <c r="K358" s="874"/>
      <c r="L358" s="874"/>
    </row>
    <row r="359" spans="2:12" ht="15">
      <c r="B359" s="917" t="str">
        <f>$B$5</f>
        <v>ONCOR ELECTRIC DELIVERY COMPANY LLC</v>
      </c>
      <c r="C359" s="369"/>
      <c r="D359" s="928"/>
      <c r="E359" s="874"/>
      <c r="F359" s="332"/>
      <c r="H359" s="332"/>
      <c r="J359" s="332"/>
      <c r="K359" s="874"/>
      <c r="L359" s="874"/>
    </row>
    <row r="360" spans="2:12" ht="15">
      <c r="B360" s="406" t="str">
        <f>$B$6</f>
        <v>II-I-2.1f:  CONSOLIDATED FUNCTIONALIZED COST OF SERVICE</v>
      </c>
      <c r="C360" s="369"/>
      <c r="D360" s="928"/>
      <c r="E360" s="874"/>
      <c r="F360" s="332"/>
      <c r="H360" s="332"/>
      <c r="J360" s="332"/>
      <c r="K360" s="874"/>
      <c r="L360" s="874"/>
    </row>
    <row r="361" spans="2:12" ht="15">
      <c r="B361" s="406" t="str">
        <f>$B$7</f>
        <v>TEST YEAR ENDING 12/31/2021</v>
      </c>
      <c r="C361" s="369"/>
      <c r="D361" s="928"/>
      <c r="E361" s="369"/>
      <c r="F361" s="332"/>
      <c r="H361" s="332"/>
      <c r="J361" s="332"/>
      <c r="K361" s="369"/>
      <c r="L361" s="369"/>
    </row>
    <row r="362" spans="2:12" ht="15">
      <c r="B362" s="406" t="str">
        <f>$B$8</f>
        <v>SPONSOR:  MATTHEW A. TROXLE</v>
      </c>
      <c r="C362" s="369"/>
      <c r="D362" s="928"/>
      <c r="E362" s="369"/>
      <c r="F362" s="332"/>
      <c r="H362" s="332"/>
      <c r="J362" s="332"/>
      <c r="K362" s="369"/>
      <c r="L362" s="369"/>
    </row>
    <row r="363" spans="2:12" ht="15.75" thickBot="1">
      <c r="B363" s="410"/>
      <c r="C363" s="931"/>
      <c r="D363" s="932"/>
      <c r="E363" s="369"/>
      <c r="F363" s="332"/>
      <c r="H363" s="332"/>
      <c r="J363" s="332"/>
      <c r="K363" s="369"/>
      <c r="L363" s="369"/>
    </row>
    <row r="364" spans="2:13" ht="14.25">
      <c r="B364" s="13"/>
      <c r="C364" s="14"/>
      <c r="D364" s="238"/>
      <c r="E364" s="14"/>
      <c r="F364" s="13"/>
      <c r="G364" s="14"/>
      <c r="H364" s="13"/>
      <c r="I364" s="14"/>
      <c r="J364" s="13"/>
      <c r="K364" s="738"/>
      <c r="L364" s="952"/>
      <c r="M364" s="1036"/>
    </row>
    <row r="365" spans="2:13" ht="15">
      <c r="B365" s="15" t="s">
        <v>2</v>
      </c>
      <c r="C365" s="15" t="s">
        <v>370</v>
      </c>
      <c r="D365" s="241" t="s">
        <v>118</v>
      </c>
      <c r="E365" s="15" t="s">
        <v>371</v>
      </c>
      <c r="F365" s="287" t="str">
        <f>'II-I-DIST'!F365</f>
        <v>DIST</v>
      </c>
      <c r="G365" s="242" t="s">
        <v>376</v>
      </c>
      <c r="H365" s="287" t="str">
        <f>'II-I-MET'!F365</f>
        <v>MET</v>
      </c>
      <c r="I365" s="242" t="s">
        <v>376</v>
      </c>
      <c r="J365" s="287" t="str">
        <f>'II-I-TBILLTDCS'!F365</f>
        <v>TBILLTDCS</v>
      </c>
      <c r="K365" s="743" t="s">
        <v>376</v>
      </c>
      <c r="L365" s="743" t="s">
        <v>481</v>
      </c>
      <c r="M365" s="1030" t="s">
        <v>1046</v>
      </c>
    </row>
    <row r="366" spans="2:13" ht="14.25">
      <c r="B366" s="15"/>
      <c r="C366" s="15"/>
      <c r="D366" s="242"/>
      <c r="E366" s="15"/>
      <c r="F366" s="15"/>
      <c r="G366" s="242" t="s">
        <v>743</v>
      </c>
      <c r="H366" s="15"/>
      <c r="I366" s="242" t="s">
        <v>743</v>
      </c>
      <c r="J366" s="15"/>
      <c r="K366" s="743" t="s">
        <v>743</v>
      </c>
      <c r="L366" s="743" t="s">
        <v>33</v>
      </c>
      <c r="M366" s="1037"/>
    </row>
    <row r="367" spans="2:13" ht="15.75" thickBot="1">
      <c r="B367" s="243"/>
      <c r="C367" s="957"/>
      <c r="D367" s="245"/>
      <c r="E367" s="245"/>
      <c r="F367" s="747" t="s">
        <v>13</v>
      </c>
      <c r="G367" s="747" t="s">
        <v>14</v>
      </c>
      <c r="H367" s="747" t="s">
        <v>15</v>
      </c>
      <c r="I367" s="747" t="s">
        <v>16</v>
      </c>
      <c r="J367" s="747" t="s">
        <v>17</v>
      </c>
      <c r="K367" s="747" t="s">
        <v>18</v>
      </c>
      <c r="L367" s="747" t="s">
        <v>19</v>
      </c>
      <c r="M367" s="1032" t="s">
        <v>20</v>
      </c>
    </row>
    <row r="368" spans="2:12" ht="14.25">
      <c r="B368" s="67"/>
      <c r="C368" s="333"/>
      <c r="D368" s="333"/>
      <c r="E368" s="333"/>
      <c r="F368" s="333"/>
      <c r="G368" s="333"/>
      <c r="H368" s="333"/>
      <c r="I368" s="333"/>
      <c r="J368" s="333"/>
      <c r="K368" s="691"/>
      <c r="L368" s="691"/>
    </row>
    <row r="369" spans="2:12" ht="15">
      <c r="B369" s="17">
        <f t="shared" si="14" ref="B369:B374">B368+1</f>
        <v>1</v>
      </c>
      <c r="C369" s="334" t="s">
        <v>115</v>
      </c>
      <c r="D369" s="36"/>
      <c r="E369" s="897"/>
      <c r="F369" s="898"/>
      <c r="G369" s="897"/>
      <c r="H369" s="898"/>
      <c r="I369" s="897"/>
      <c r="J369" s="898"/>
      <c r="K369" s="36"/>
      <c r="L369" s="36"/>
    </row>
    <row r="370" spans="2:12" ht="15">
      <c r="B370" s="17">
        <f t="shared" si="14"/>
        <v>2</v>
      </c>
      <c r="C370" s="334"/>
      <c r="D370" s="43"/>
      <c r="E370" s="263"/>
      <c r="F370" s="263"/>
      <c r="G370" s="263"/>
      <c r="H370" s="263"/>
      <c r="I370" s="263"/>
      <c r="J370" s="263"/>
      <c r="K370" s="691"/>
      <c r="L370" s="691"/>
    </row>
    <row r="371" spans="2:13" s="386" customFormat="1" ht="15">
      <c r="B371" s="17">
        <f t="shared" si="14"/>
        <v>3</v>
      </c>
      <c r="C371" s="43" t="s">
        <v>589</v>
      </c>
      <c r="D371" s="43" t="s">
        <v>118</v>
      </c>
      <c r="E371" s="38" t="s">
        <v>119</v>
      </c>
      <c r="F371" s="118">
        <f>'II-I-DIST'!F371</f>
        <v>1745979.3400000001</v>
      </c>
      <c r="G371" s="118" t="str">
        <f>'II-I-DIST'!H371</f>
        <v>NCP XHV</v>
      </c>
      <c r="H371" s="118">
        <f>'II-I-MET'!F371</f>
        <v>0</v>
      </c>
      <c r="I371" s="118" t="str">
        <f>'II-I-MET'!H371</f>
        <v>NCP XHV</v>
      </c>
      <c r="J371" s="118">
        <f>'II-I-TBILLTDCS'!F371</f>
        <v>0</v>
      </c>
      <c r="K371" s="118" t="str">
        <f>'II-I-TBILLTDCS'!H371</f>
        <v>NCP XHV</v>
      </c>
      <c r="L371" s="893">
        <f t="shared" si="13"/>
        <v>1745979.3400000001</v>
      </c>
      <c r="M371" s="1033" t="s">
        <v>1062</v>
      </c>
    </row>
    <row r="372" spans="2:12" ht="15">
      <c r="B372" s="17">
        <f t="shared" si="14"/>
        <v>4</v>
      </c>
      <c r="C372" s="36"/>
      <c r="D372" s="44" t="s">
        <v>491</v>
      </c>
      <c r="E372" s="898"/>
      <c r="F372" s="898">
        <f>'II-I-DIST'!F372</f>
        <v>1745979.3400000001</v>
      </c>
      <c r="G372" s="898"/>
      <c r="H372" s="898">
        <f>'II-I-MET'!F372</f>
        <v>0</v>
      </c>
      <c r="I372" s="898"/>
      <c r="J372" s="898">
        <f>'II-I-TBILLTDCS'!F372</f>
        <v>0</v>
      </c>
      <c r="K372" s="898"/>
      <c r="L372" s="898">
        <f t="shared" si="13"/>
        <v>1745979.3400000001</v>
      </c>
    </row>
    <row r="373" spans="2:12" ht="15" thickBot="1">
      <c r="B373" s="17">
        <f t="shared" si="14"/>
        <v>5</v>
      </c>
      <c r="C373" s="43"/>
      <c r="D373" s="43"/>
      <c r="E373" s="263"/>
      <c r="F373" s="263"/>
      <c r="G373" s="263"/>
      <c r="H373" s="263"/>
      <c r="I373" s="263"/>
      <c r="J373" s="263"/>
      <c r="K373" s="691"/>
      <c r="L373" s="691"/>
    </row>
    <row r="374" spans="2:12" ht="15.75" thickBot="1">
      <c r="B374" s="17">
        <f t="shared" si="14"/>
        <v>6</v>
      </c>
      <c r="C374" s="335" t="s">
        <v>590</v>
      </c>
      <c r="D374" s="336"/>
      <c r="E374" s="337" t="s">
        <v>119</v>
      </c>
      <c r="F374" s="905"/>
      <c r="G374" s="337"/>
      <c r="H374" s="905"/>
      <c r="I374" s="337"/>
      <c r="J374" s="905"/>
      <c r="K374" s="905"/>
      <c r="L374" s="279"/>
    </row>
    <row r="375" spans="2:10" ht="14.25">
      <c r="B375" s="67"/>
      <c r="C375" s="67"/>
      <c r="D375" s="67"/>
      <c r="E375" s="67"/>
      <c r="F375" s="67"/>
      <c r="G375" s="67"/>
      <c r="H375" s="67"/>
      <c r="I375" s="67"/>
      <c r="J375" s="67"/>
    </row>
    <row r="376" spans="2:12" ht="15">
      <c r="B376" s="874"/>
      <c r="C376" s="874"/>
      <c r="D376" s="874"/>
      <c r="E376" s="874"/>
      <c r="F376" s="67"/>
      <c r="G376" s="134"/>
      <c r="H376" s="67"/>
      <c r="I376" s="134"/>
      <c r="J376" s="67"/>
      <c r="K376" s="874"/>
      <c r="L376" s="874"/>
    </row>
    <row r="377" spans="2:12" ht="15.75" thickBot="1">
      <c r="B377" s="874"/>
      <c r="C377" s="874"/>
      <c r="D377" s="874"/>
      <c r="E377" s="874"/>
      <c r="F377" s="67"/>
      <c r="G377" s="67"/>
      <c r="H377" s="67"/>
      <c r="I377" s="67"/>
      <c r="J377" s="67"/>
      <c r="K377" s="874"/>
      <c r="L377" s="874"/>
    </row>
    <row r="378" spans="2:12" ht="15">
      <c r="B378" s="920" t="str">
        <f>$B$4</f>
        <v>2022 RATE CASE</v>
      </c>
      <c r="C378" s="926"/>
      <c r="D378" s="927"/>
      <c r="E378" s="874"/>
      <c r="F378" s="332"/>
      <c r="H378" s="332"/>
      <c r="J378" s="332"/>
      <c r="K378" s="874"/>
      <c r="L378" s="874"/>
    </row>
    <row r="379" spans="2:12" ht="15">
      <c r="B379" s="917" t="str">
        <f>$B$5</f>
        <v>ONCOR ELECTRIC DELIVERY COMPANY LLC</v>
      </c>
      <c r="C379" s="369"/>
      <c r="D379" s="928"/>
      <c r="E379" s="874"/>
      <c r="F379" s="332"/>
      <c r="H379" s="332"/>
      <c r="J379" s="332"/>
      <c r="K379" s="874"/>
      <c r="L379" s="874"/>
    </row>
    <row r="380" spans="2:12" ht="15">
      <c r="B380" s="406" t="str">
        <f>$B$6</f>
        <v>II-I-2.1f:  CONSOLIDATED FUNCTIONALIZED COST OF SERVICE</v>
      </c>
      <c r="C380" s="369"/>
      <c r="D380" s="928"/>
      <c r="E380" s="874"/>
      <c r="F380" s="332"/>
      <c r="H380" s="332"/>
      <c r="J380" s="332"/>
      <c r="K380" s="874"/>
      <c r="L380" s="874"/>
    </row>
    <row r="381" spans="2:12" ht="15">
      <c r="B381" s="406" t="str">
        <f>$B$7</f>
        <v>TEST YEAR ENDING 12/31/2021</v>
      </c>
      <c r="C381" s="369"/>
      <c r="D381" s="928"/>
      <c r="E381" s="369"/>
      <c r="F381" s="332"/>
      <c r="H381" s="332"/>
      <c r="J381" s="332"/>
      <c r="K381" s="369"/>
      <c r="L381" s="369"/>
    </row>
    <row r="382" spans="2:12" ht="15">
      <c r="B382" s="406" t="str">
        <f>$B$8</f>
        <v>SPONSOR:  MATTHEW A. TROXLE</v>
      </c>
      <c r="C382" s="369"/>
      <c r="D382" s="928"/>
      <c r="E382" s="369"/>
      <c r="F382" s="332"/>
      <c r="H382" s="332"/>
      <c r="J382" s="332"/>
      <c r="K382" s="369"/>
      <c r="L382" s="369"/>
    </row>
    <row r="383" spans="2:12" ht="15.75" thickBot="1">
      <c r="B383" s="410"/>
      <c r="C383" s="931"/>
      <c r="D383" s="932"/>
      <c r="E383" s="369"/>
      <c r="F383" s="332"/>
      <c r="H383" s="332"/>
      <c r="J383" s="332"/>
      <c r="K383" s="369"/>
      <c r="L383" s="369"/>
    </row>
    <row r="384" spans="2:13" ht="14.25">
      <c r="B384" s="13"/>
      <c r="C384" s="14"/>
      <c r="D384" s="14"/>
      <c r="E384" s="14"/>
      <c r="F384" s="13"/>
      <c r="G384" s="14"/>
      <c r="H384" s="13"/>
      <c r="I384" s="14"/>
      <c r="J384" s="13"/>
      <c r="K384" s="738"/>
      <c r="L384" s="952"/>
      <c r="M384" s="1036"/>
    </row>
    <row r="385" spans="2:13" ht="15">
      <c r="B385" s="15" t="s">
        <v>2</v>
      </c>
      <c r="C385" s="15" t="s">
        <v>370</v>
      </c>
      <c r="D385" s="287" t="s">
        <v>591</v>
      </c>
      <c r="E385" s="15" t="s">
        <v>371</v>
      </c>
      <c r="F385" s="287" t="str">
        <f>'II-I-DIST'!F385</f>
        <v>DIST</v>
      </c>
      <c r="G385" s="242" t="s">
        <v>376</v>
      </c>
      <c r="H385" s="287" t="str">
        <f>'II-I-MET'!F385</f>
        <v>MET</v>
      </c>
      <c r="I385" s="242" t="s">
        <v>376</v>
      </c>
      <c r="J385" s="287" t="str">
        <f>'II-I-TBILLTDCS'!F385</f>
        <v>TBILLTDCS</v>
      </c>
      <c r="K385" s="743" t="s">
        <v>376</v>
      </c>
      <c r="L385" s="743" t="s">
        <v>481</v>
      </c>
      <c r="M385" s="1030" t="s">
        <v>1046</v>
      </c>
    </row>
    <row r="386" spans="2:13" ht="14.25">
      <c r="B386" s="15"/>
      <c r="C386" s="15"/>
      <c r="D386" s="15"/>
      <c r="E386" s="15"/>
      <c r="F386" s="15"/>
      <c r="G386" s="242" t="s">
        <v>743</v>
      </c>
      <c r="H386" s="15"/>
      <c r="I386" s="242" t="s">
        <v>743</v>
      </c>
      <c r="J386" s="15"/>
      <c r="K386" s="743" t="s">
        <v>743</v>
      </c>
      <c r="L386" s="743" t="s">
        <v>33</v>
      </c>
      <c r="M386" s="1037"/>
    </row>
    <row r="387" spans="2:13" ht="15.75" thickBot="1">
      <c r="B387" s="243"/>
      <c r="C387" s="962"/>
      <c r="D387" s="245"/>
      <c r="E387" s="245"/>
      <c r="F387" s="747" t="s">
        <v>13</v>
      </c>
      <c r="G387" s="747" t="s">
        <v>14</v>
      </c>
      <c r="H387" s="747" t="s">
        <v>15</v>
      </c>
      <c r="I387" s="747" t="s">
        <v>16</v>
      </c>
      <c r="J387" s="747" t="s">
        <v>17</v>
      </c>
      <c r="K387" s="747" t="s">
        <v>18</v>
      </c>
      <c r="L387" s="747" t="s">
        <v>19</v>
      </c>
      <c r="M387" s="1032" t="s">
        <v>20</v>
      </c>
    </row>
    <row r="388" spans="2:12" ht="14.25">
      <c r="B388" s="67"/>
      <c r="C388" s="333"/>
      <c r="D388" s="333"/>
      <c r="E388" s="333"/>
      <c r="F388" s="333"/>
      <c r="G388" s="333"/>
      <c r="H388" s="333"/>
      <c r="I388" s="333"/>
      <c r="J388" s="333"/>
      <c r="K388" s="691"/>
      <c r="L388" s="691"/>
    </row>
    <row r="389" spans="2:12" ht="15">
      <c r="B389" s="17">
        <f t="shared" si="15" ref="B389:B399">B388+1</f>
        <v>1</v>
      </c>
      <c r="C389" s="334" t="s">
        <v>115</v>
      </c>
      <c r="D389" s="36"/>
      <c r="E389" s="897"/>
      <c r="F389" s="909"/>
      <c r="G389" s="897"/>
      <c r="H389" s="909"/>
      <c r="I389" s="897"/>
      <c r="J389" s="909"/>
      <c r="K389" s="44"/>
      <c r="L389" s="44"/>
    </row>
    <row r="390" spans="2:12" ht="15">
      <c r="B390" s="17">
        <f t="shared" si="15"/>
        <v>2</v>
      </c>
      <c r="C390" s="334"/>
      <c r="D390" s="43"/>
      <c r="E390" s="263"/>
      <c r="F390" s="339"/>
      <c r="G390" s="263"/>
      <c r="H390" s="339"/>
      <c r="I390" s="263"/>
      <c r="J390" s="339"/>
      <c r="K390" s="702"/>
      <c r="L390" s="702"/>
    </row>
    <row r="391" spans="2:12" ht="15">
      <c r="B391" s="17">
        <f t="shared" si="15"/>
        <v>3</v>
      </c>
      <c r="C391" s="43"/>
      <c r="D391" s="43" t="s">
        <v>143</v>
      </c>
      <c r="E391" s="897" t="s">
        <v>523</v>
      </c>
      <c r="F391" s="118">
        <f>'II-I-DIST'!F391</f>
        <v>0</v>
      </c>
      <c r="G391" s="118" t="str">
        <f>'II-I-DIST'!H391</f>
        <v>N / A</v>
      </c>
      <c r="H391" s="118">
        <f>'II-I-MET'!F391</f>
        <v>0</v>
      </c>
      <c r="I391" s="118" t="str">
        <f>'II-I-MET'!H391</f>
        <v>N / A</v>
      </c>
      <c r="J391" s="118">
        <f>'II-I-TBILLTDCS'!F391</f>
        <v>0</v>
      </c>
      <c r="K391" s="118" t="str">
        <f>'II-I-TBILLTDCS'!H391</f>
        <v>N / A</v>
      </c>
      <c r="L391" s="893">
        <f>F391+H391+J391</f>
        <v>0</v>
      </c>
    </row>
    <row r="392" spans="2:12" ht="15">
      <c r="B392" s="17">
        <f t="shared" si="15"/>
        <v>4</v>
      </c>
      <c r="C392" s="43"/>
      <c r="D392" s="43" t="s">
        <v>592</v>
      </c>
      <c r="E392" s="897"/>
      <c r="F392" s="118">
        <f>'II-I-DIST'!F392</f>
        <v>0</v>
      </c>
      <c r="G392" s="118" t="str">
        <f>'II-I-DIST'!H392</f>
        <v>N / A</v>
      </c>
      <c r="H392" s="118">
        <f>'II-I-MET'!F392</f>
        <v>0</v>
      </c>
      <c r="I392" s="118" t="str">
        <f>'II-I-MET'!H392</f>
        <v>N / A</v>
      </c>
      <c r="J392" s="118">
        <f>'II-I-TBILLTDCS'!F392</f>
        <v>0</v>
      </c>
      <c r="K392" s="118" t="str">
        <f>'II-I-TBILLTDCS'!H392</f>
        <v>N / A</v>
      </c>
      <c r="L392" s="893">
        <f>F392+H392+J392</f>
        <v>0</v>
      </c>
    </row>
    <row r="393" spans="2:12" ht="15">
      <c r="B393" s="17">
        <f t="shared" si="15"/>
        <v>5</v>
      </c>
      <c r="C393" s="43"/>
      <c r="D393" s="43" t="s">
        <v>593</v>
      </c>
      <c r="E393" s="897"/>
      <c r="F393" s="118">
        <f>'II-I-DIST'!F393</f>
        <v>0</v>
      </c>
      <c r="G393" s="118" t="str">
        <f>'II-I-DIST'!H393</f>
        <v>N / A</v>
      </c>
      <c r="H393" s="118">
        <f>'II-I-MET'!F393</f>
        <v>0</v>
      </c>
      <c r="I393" s="118" t="str">
        <f>'II-I-MET'!H393</f>
        <v>N / A</v>
      </c>
      <c r="J393" s="118">
        <f>'II-I-TBILLTDCS'!F393</f>
        <v>0</v>
      </c>
      <c r="K393" s="118" t="str">
        <f>'II-I-TBILLTDCS'!H393</f>
        <v>N / A</v>
      </c>
      <c r="L393" s="893">
        <f>F393+H393+J393</f>
        <v>0</v>
      </c>
    </row>
    <row r="394" spans="2:12" ht="15.75" thickBot="1">
      <c r="B394" s="17">
        <f t="shared" si="15"/>
        <v>6</v>
      </c>
      <c r="C394" s="43"/>
      <c r="D394" s="43"/>
      <c r="E394" s="897"/>
      <c r="F394" s="27"/>
      <c r="G394" s="897"/>
      <c r="H394" s="27">
        <f>'II-I-MET'!F394</f>
        <v>0</v>
      </c>
      <c r="I394" s="897"/>
      <c r="J394" s="27">
        <f>'II-I-TBILLTDCS'!F394</f>
        <v>0</v>
      </c>
      <c r="K394" s="893"/>
      <c r="L394" s="893">
        <f>F394+H394+J394</f>
        <v>0</v>
      </c>
    </row>
    <row r="395" spans="2:12" ht="15.75" thickBot="1">
      <c r="B395" s="17">
        <f t="shared" si="15"/>
        <v>7</v>
      </c>
      <c r="C395" s="341" t="s">
        <v>594</v>
      </c>
      <c r="D395" s="336"/>
      <c r="E395" s="337" t="s">
        <v>523</v>
      </c>
      <c r="F395" s="342">
        <f>'II-I-DIST'!F395</f>
        <v>0</v>
      </c>
      <c r="G395" s="337"/>
      <c r="H395" s="342">
        <f>'II-I-MET'!F395</f>
        <v>0</v>
      </c>
      <c r="I395" s="337"/>
      <c r="J395" s="342">
        <f>'II-I-TBILLTDCS'!F395</f>
        <v>0</v>
      </c>
      <c r="K395" s="342"/>
      <c r="L395" s="461">
        <f>F395+H395+J395</f>
        <v>0</v>
      </c>
    </row>
    <row r="396" spans="2:12" ht="14.25">
      <c r="B396" s="17">
        <f t="shared" si="15"/>
        <v>8</v>
      </c>
      <c r="C396" s="43"/>
      <c r="D396" s="43"/>
      <c r="E396" s="263"/>
      <c r="F396" s="339"/>
      <c r="G396" s="263"/>
      <c r="H396" s="339"/>
      <c r="I396" s="263"/>
      <c r="J396" s="339"/>
      <c r="K396" s="702"/>
      <c r="L396" s="702"/>
    </row>
    <row r="397" spans="2:13" s="386" customFormat="1" ht="29.25">
      <c r="B397" s="17">
        <f t="shared" si="15"/>
        <v>9</v>
      </c>
      <c r="C397" s="36" t="s">
        <v>595</v>
      </c>
      <c r="D397" s="44"/>
      <c r="E397" s="897" t="s">
        <v>130</v>
      </c>
      <c r="F397" s="118">
        <f>'II-I-DIST'!F397</f>
        <v>-1132059195.6699996</v>
      </c>
      <c r="G397" s="118" t="str">
        <f>'II-I-DIST'!H397</f>
        <v>PLANT</v>
      </c>
      <c r="H397" s="118">
        <f>'II-I-MET'!F397</f>
        <v>-36656474.20000001</v>
      </c>
      <c r="I397" s="118" t="str">
        <f>'II-I-MET'!H397</f>
        <v>PLANT</v>
      </c>
      <c r="J397" s="118">
        <f>'II-I-TBILLTDCS'!F397</f>
        <v>-85810289.089999706</v>
      </c>
      <c r="K397" s="118" t="str">
        <f>'II-I-TBILLTDCS'!H397</f>
        <v>PLANT</v>
      </c>
      <c r="L397" s="895">
        <f>F397+H397+J397</f>
        <v>-1254525958.9599993</v>
      </c>
      <c r="M397" s="1033" t="s">
        <v>1063</v>
      </c>
    </row>
    <row r="398" spans="2:12" ht="15" thickBot="1">
      <c r="B398" s="17">
        <f t="shared" si="15"/>
        <v>10</v>
      </c>
      <c r="C398" s="43"/>
      <c r="D398" s="43"/>
      <c r="E398" s="263"/>
      <c r="F398" s="339"/>
      <c r="G398" s="263"/>
      <c r="H398" s="339"/>
      <c r="I398" s="263"/>
      <c r="J398" s="339"/>
      <c r="K398" s="702"/>
      <c r="L398" s="702"/>
    </row>
    <row r="399" spans="2:12" ht="15.75" thickBot="1">
      <c r="B399" s="17">
        <f t="shared" si="15"/>
        <v>11</v>
      </c>
      <c r="C399" s="341" t="s">
        <v>596</v>
      </c>
      <c r="D399" s="336"/>
      <c r="E399" s="337"/>
      <c r="F399" s="342">
        <f>'II-I-DIST'!F399</f>
        <v>-1132059195.6699996</v>
      </c>
      <c r="G399" s="337"/>
      <c r="H399" s="342">
        <f>'II-I-MET'!F399</f>
        <v>-36656474.20000001</v>
      </c>
      <c r="I399" s="337"/>
      <c r="J399" s="342">
        <f>'II-I-TBILLTDCS'!F399</f>
        <v>-85810289.089999706</v>
      </c>
      <c r="K399" s="342"/>
      <c r="L399" s="461">
        <f>F399+H399+J399</f>
        <v>-1254525958.9599993</v>
      </c>
    </row>
    <row r="400" spans="2:12" ht="14.25">
      <c r="B400" s="67"/>
      <c r="C400" s="67"/>
      <c r="D400" s="67"/>
      <c r="E400" s="67"/>
      <c r="F400" s="283"/>
      <c r="G400" s="67"/>
      <c r="H400" s="283"/>
      <c r="I400" s="67"/>
      <c r="J400" s="283"/>
      <c r="L400" s="729"/>
    </row>
    <row r="401" spans="2:12" ht="15">
      <c r="B401" s="874"/>
      <c r="C401" s="874"/>
      <c r="D401" s="874"/>
      <c r="E401" s="874"/>
      <c r="F401" s="283"/>
      <c r="G401" s="134"/>
      <c r="H401" s="283"/>
      <c r="I401" s="134"/>
      <c r="J401" s="283"/>
      <c r="K401" s="874"/>
      <c r="L401" s="874"/>
    </row>
    <row r="402" spans="2:12" ht="15.75" thickBot="1">
      <c r="B402" s="874"/>
      <c r="C402" s="874"/>
      <c r="D402" s="874"/>
      <c r="E402" s="874"/>
      <c r="F402" s="283"/>
      <c r="G402" s="67"/>
      <c r="H402" s="283"/>
      <c r="I402" s="67"/>
      <c r="J402" s="283"/>
      <c r="K402" s="874"/>
      <c r="L402" s="874"/>
    </row>
    <row r="403" spans="2:12" ht="15">
      <c r="B403" s="920" t="str">
        <f>$B$4</f>
        <v>2022 RATE CASE</v>
      </c>
      <c r="C403" s="926"/>
      <c r="D403" s="927"/>
      <c r="E403" s="874"/>
      <c r="F403" s="332"/>
      <c r="H403" s="332"/>
      <c r="J403" s="332"/>
      <c r="K403" s="874"/>
      <c r="L403" s="874"/>
    </row>
    <row r="404" spans="2:12" ht="15">
      <c r="B404" s="917" t="str">
        <f>$B$5</f>
        <v>ONCOR ELECTRIC DELIVERY COMPANY LLC</v>
      </c>
      <c r="C404" s="369"/>
      <c r="D404" s="928"/>
      <c r="E404" s="874"/>
      <c r="F404" s="332"/>
      <c r="H404" s="332"/>
      <c r="J404" s="332"/>
      <c r="K404" s="874"/>
      <c r="L404" s="874"/>
    </row>
    <row r="405" spans="2:12" ht="15">
      <c r="B405" s="406" t="str">
        <f>$B$6</f>
        <v>II-I-2.1f:  CONSOLIDATED FUNCTIONALIZED COST OF SERVICE</v>
      </c>
      <c r="C405" s="369"/>
      <c r="D405" s="928"/>
      <c r="E405" s="874"/>
      <c r="F405" s="332"/>
      <c r="H405" s="332"/>
      <c r="J405" s="332"/>
      <c r="K405" s="874"/>
      <c r="L405" s="874"/>
    </row>
    <row r="406" spans="2:12" ht="15">
      <c r="B406" s="406" t="str">
        <f>$B$7</f>
        <v>TEST YEAR ENDING 12/31/2021</v>
      </c>
      <c r="C406" s="369"/>
      <c r="D406" s="928"/>
      <c r="E406" s="369"/>
      <c r="F406" s="332"/>
      <c r="H406" s="332"/>
      <c r="J406" s="332"/>
      <c r="K406" s="369"/>
      <c r="L406" s="369"/>
    </row>
    <row r="407" spans="2:12" ht="15">
      <c r="B407" s="406" t="str">
        <f>$B$8</f>
        <v>SPONSOR:  MATTHEW A. TROXLE</v>
      </c>
      <c r="C407" s="369"/>
      <c r="D407" s="928"/>
      <c r="E407" s="369"/>
      <c r="F407" s="332"/>
      <c r="H407" s="332"/>
      <c r="J407" s="332"/>
      <c r="K407" s="369"/>
      <c r="L407" s="369"/>
    </row>
    <row r="408" spans="2:12" ht="15.75" thickBot="1">
      <c r="B408" s="410"/>
      <c r="C408" s="931"/>
      <c r="D408" s="932"/>
      <c r="E408" s="369"/>
      <c r="F408" s="332"/>
      <c r="H408" s="332"/>
      <c r="J408" s="332"/>
      <c r="K408" s="369"/>
      <c r="L408" s="369"/>
    </row>
    <row r="409" spans="2:13" ht="14.25">
      <c r="B409" s="13"/>
      <c r="C409" s="14"/>
      <c r="D409" s="238"/>
      <c r="E409" s="14"/>
      <c r="F409" s="13"/>
      <c r="G409" s="14"/>
      <c r="H409" s="13"/>
      <c r="I409" s="14"/>
      <c r="J409" s="13"/>
      <c r="K409" s="738"/>
      <c r="L409" s="952"/>
      <c r="M409" s="1036"/>
    </row>
    <row r="410" spans="2:13" ht="15">
      <c r="B410" s="15" t="s">
        <v>2</v>
      </c>
      <c r="C410" s="15" t="s">
        <v>370</v>
      </c>
      <c r="D410" s="241" t="s">
        <v>597</v>
      </c>
      <c r="E410" s="15" t="s">
        <v>371</v>
      </c>
      <c r="F410" s="287" t="str">
        <f>'II-I-DIST'!F410</f>
        <v>DIST</v>
      </c>
      <c r="G410" s="242" t="s">
        <v>376</v>
      </c>
      <c r="H410" s="287" t="str">
        <f>'II-I-MET'!F410</f>
        <v>MET</v>
      </c>
      <c r="I410" s="242" t="s">
        <v>376</v>
      </c>
      <c r="J410" s="287" t="str">
        <f>'II-I-TBILLTDCS'!F410</f>
        <v>TBILLTDCS</v>
      </c>
      <c r="K410" s="743" t="s">
        <v>376</v>
      </c>
      <c r="L410" s="743" t="s">
        <v>481</v>
      </c>
      <c r="M410" s="1030" t="s">
        <v>1046</v>
      </c>
    </row>
    <row r="411" spans="2:13" ht="14.25">
      <c r="B411" s="15"/>
      <c r="C411" s="15"/>
      <c r="D411" s="242"/>
      <c r="E411" s="15"/>
      <c r="F411" s="15"/>
      <c r="G411" s="242" t="s">
        <v>743</v>
      </c>
      <c r="H411" s="15"/>
      <c r="I411" s="242" t="s">
        <v>743</v>
      </c>
      <c r="J411" s="15"/>
      <c r="K411" s="743" t="s">
        <v>743</v>
      </c>
      <c r="L411" s="743" t="s">
        <v>33</v>
      </c>
      <c r="M411" s="1037"/>
    </row>
    <row r="412" spans="2:13" ht="15.75" thickBot="1">
      <c r="B412" s="243"/>
      <c r="C412" s="957"/>
      <c r="D412" s="245"/>
      <c r="E412" s="245"/>
      <c r="F412" s="747" t="s">
        <v>13</v>
      </c>
      <c r="G412" s="747" t="s">
        <v>14</v>
      </c>
      <c r="H412" s="747" t="s">
        <v>15</v>
      </c>
      <c r="I412" s="747" t="s">
        <v>16</v>
      </c>
      <c r="J412" s="747" t="s">
        <v>17</v>
      </c>
      <c r="K412" s="747" t="s">
        <v>18</v>
      </c>
      <c r="L412" s="747" t="s">
        <v>19</v>
      </c>
      <c r="M412" s="1032" t="s">
        <v>20</v>
      </c>
    </row>
    <row r="413" spans="2:12" ht="15">
      <c r="B413" s="67"/>
      <c r="C413" s="35"/>
      <c r="D413" s="43"/>
      <c r="E413" s="263"/>
      <c r="F413" s="346"/>
      <c r="G413" s="263"/>
      <c r="H413" s="346"/>
      <c r="I413" s="263"/>
      <c r="J413" s="346"/>
      <c r="K413" s="948"/>
      <c r="L413" s="691"/>
    </row>
    <row r="414" spans="2:12" ht="15">
      <c r="B414" s="17">
        <f t="shared" si="16" ref="B414:B421">B413+1</f>
        <v>1</v>
      </c>
      <c r="C414" s="334" t="s">
        <v>115</v>
      </c>
      <c r="D414" s="43"/>
      <c r="E414" s="263"/>
      <c r="F414" s="346"/>
      <c r="G414" s="263"/>
      <c r="H414" s="346"/>
      <c r="I414" s="263"/>
      <c r="J414" s="346"/>
      <c r="K414" s="948"/>
      <c r="L414" s="691"/>
    </row>
    <row r="415" spans="2:12" ht="15">
      <c r="B415" s="17">
        <f t="shared" si="16"/>
        <v>2</v>
      </c>
      <c r="C415" s="56" t="s">
        <v>598</v>
      </c>
      <c r="D415" s="44"/>
      <c r="E415" s="43"/>
      <c r="F415" s="43"/>
      <c r="G415" s="43"/>
      <c r="H415" s="43"/>
      <c r="I415" s="43"/>
      <c r="J415" s="43"/>
      <c r="K415" s="691"/>
      <c r="L415" s="691"/>
    </row>
    <row r="416" spans="2:12" ht="15">
      <c r="B416" s="17">
        <f t="shared" si="16"/>
        <v>3</v>
      </c>
      <c r="C416" s="43"/>
      <c r="D416" s="36" t="s">
        <v>597</v>
      </c>
      <c r="E416" s="897" t="s">
        <v>121</v>
      </c>
      <c r="F416" s="43"/>
      <c r="G416" s="897"/>
      <c r="H416" s="43"/>
      <c r="I416" s="897"/>
      <c r="J416" s="43"/>
      <c r="K416" s="691"/>
      <c r="L416" s="691"/>
    </row>
    <row r="417" spans="2:13" s="386" customFormat="1" ht="28.5">
      <c r="B417" s="17">
        <f t="shared" si="16"/>
        <v>4</v>
      </c>
      <c r="C417" s="43">
        <v>154</v>
      </c>
      <c r="D417" s="43" t="s">
        <v>599</v>
      </c>
      <c r="E417" s="43"/>
      <c r="F417" s="118">
        <f>'II-I-DIST'!F417</f>
        <v>64325002.539999999</v>
      </c>
      <c r="G417" s="118" t="str">
        <f>'II-I-DIST'!H417</f>
        <v>PLANT</v>
      </c>
      <c r="H417" s="118">
        <f>'II-I-MET'!F417</f>
        <v>91069.330000000002</v>
      </c>
      <c r="I417" s="118" t="str">
        <f>'II-I-MET'!H417</f>
        <v>PLANT</v>
      </c>
      <c r="J417" s="118">
        <f>'II-I-TBILLTDCS'!F417</f>
        <v>0</v>
      </c>
      <c r="K417" s="118" t="str">
        <f>'II-I-TBILLTDCS'!H417</f>
        <v>PLANT</v>
      </c>
      <c r="L417" s="893">
        <f>F417+H417+J417</f>
        <v>64416071.869999997</v>
      </c>
      <c r="M417" s="1033" t="s">
        <v>1063</v>
      </c>
    </row>
    <row r="418" spans="2:13" s="386" customFormat="1" ht="14.25">
      <c r="B418" s="17">
        <f t="shared" si="16"/>
        <v>5</v>
      </c>
      <c r="C418" s="43">
        <v>163</v>
      </c>
      <c r="D418" s="43" t="s">
        <v>600</v>
      </c>
      <c r="E418" s="263"/>
      <c r="F418" s="118">
        <f>'II-I-DIST'!F418</f>
        <v>10365401.869999999</v>
      </c>
      <c r="G418" s="118" t="str">
        <f>'II-I-DIST'!H418</f>
        <v>PLANT</v>
      </c>
      <c r="H418" s="118">
        <f>'II-I-MET'!F418</f>
        <v>14714</v>
      </c>
      <c r="I418" s="118" t="str">
        <f>'II-I-MET'!H418</f>
        <v>PLANT</v>
      </c>
      <c r="J418" s="118">
        <f>'II-I-TBILLTDCS'!F418</f>
        <v>0</v>
      </c>
      <c r="K418" s="118" t="str">
        <f>'II-I-TBILLTDCS'!H418</f>
        <v>PLANT</v>
      </c>
      <c r="L418" s="893">
        <f>F418+H418+J418</f>
        <v>10380115.869999999</v>
      </c>
      <c r="M418" s="1033" t="s">
        <v>1060</v>
      </c>
    </row>
    <row r="419" spans="2:12" ht="15">
      <c r="B419" s="17">
        <f t="shared" si="16"/>
        <v>6</v>
      </c>
      <c r="C419" s="36"/>
      <c r="D419" s="44" t="s">
        <v>491</v>
      </c>
      <c r="E419" s="898"/>
      <c r="F419" s="898">
        <f>'II-I-DIST'!F419</f>
        <v>74690404.409999996</v>
      </c>
      <c r="G419" s="898"/>
      <c r="H419" s="898">
        <f>'II-I-MET'!F419</f>
        <v>105783.33</v>
      </c>
      <c r="I419" s="898"/>
      <c r="J419" s="898">
        <f>'II-I-TBILLTDCS'!F419</f>
        <v>0</v>
      </c>
      <c r="K419" s="898"/>
      <c r="L419" s="898">
        <f>F419+H419+J419</f>
        <v>74796187.739999995</v>
      </c>
    </row>
    <row r="420" spans="2:12" ht="15" thickBot="1">
      <c r="B420" s="17">
        <f t="shared" si="16"/>
        <v>7</v>
      </c>
      <c r="C420" s="43"/>
      <c r="D420" s="340"/>
      <c r="E420" s="263"/>
      <c r="F420" s="263"/>
      <c r="G420" s="263"/>
      <c r="H420" s="263"/>
      <c r="I420" s="263"/>
      <c r="J420" s="263"/>
      <c r="K420" s="691"/>
      <c r="L420" s="691"/>
    </row>
    <row r="421" spans="2:12" ht="15.75" thickBot="1">
      <c r="B421" s="17">
        <f t="shared" si="16"/>
        <v>8</v>
      </c>
      <c r="C421" s="335" t="s">
        <v>601</v>
      </c>
      <c r="D421" s="336"/>
      <c r="E421" s="337" t="s">
        <v>121</v>
      </c>
      <c r="F421" s="905">
        <f>'II-I-DIST'!F421</f>
        <v>74690404.409999996</v>
      </c>
      <c r="G421" s="337"/>
      <c r="H421" s="905">
        <f>'II-I-MET'!F421</f>
        <v>105783.33</v>
      </c>
      <c r="I421" s="337"/>
      <c r="J421" s="905">
        <f>'II-I-TBILLTDCS'!F421</f>
        <v>0</v>
      </c>
      <c r="K421" s="905"/>
      <c r="L421" s="279">
        <f>F421+H421+J421</f>
        <v>74796187.739999995</v>
      </c>
    </row>
    <row r="422" spans="2:10" ht="14.25">
      <c r="B422" s="67"/>
      <c r="C422" s="67"/>
      <c r="D422" s="67"/>
      <c r="E422" s="67"/>
      <c r="F422" s="67"/>
      <c r="G422" s="67"/>
      <c r="H422" s="67"/>
      <c r="I422" s="67"/>
      <c r="J422" s="67"/>
    </row>
    <row r="423" spans="2:12" ht="15">
      <c r="B423" s="874"/>
      <c r="C423" s="874"/>
      <c r="D423" s="874"/>
      <c r="E423" s="874"/>
      <c r="F423" s="67"/>
      <c r="G423" s="134"/>
      <c r="H423" s="67"/>
      <c r="I423" s="134"/>
      <c r="J423" s="67"/>
      <c r="K423" s="874"/>
      <c r="L423" s="874"/>
    </row>
    <row r="424" spans="2:12" ht="15.75" thickBot="1">
      <c r="B424" s="874"/>
      <c r="C424" s="874"/>
      <c r="D424" s="874"/>
      <c r="E424" s="874"/>
      <c r="F424" s="67"/>
      <c r="G424" s="67"/>
      <c r="H424" s="67"/>
      <c r="I424" s="67"/>
      <c r="J424" s="67"/>
      <c r="K424" s="874"/>
      <c r="L424" s="874"/>
    </row>
    <row r="425" spans="2:12" ht="15">
      <c r="B425" s="920" t="str">
        <f>$B$4</f>
        <v>2022 RATE CASE</v>
      </c>
      <c r="C425" s="926"/>
      <c r="D425" s="927"/>
      <c r="E425" s="874"/>
      <c r="F425" s="332"/>
      <c r="H425" s="332"/>
      <c r="J425" s="332"/>
      <c r="K425" s="874"/>
      <c r="L425" s="874"/>
    </row>
    <row r="426" spans="2:12" ht="15">
      <c r="B426" s="917" t="str">
        <f>$B$5</f>
        <v>ONCOR ELECTRIC DELIVERY COMPANY LLC</v>
      </c>
      <c r="C426" s="369"/>
      <c r="D426" s="928"/>
      <c r="E426" s="874"/>
      <c r="F426" s="332"/>
      <c r="H426" s="332"/>
      <c r="J426" s="332"/>
      <c r="K426" s="874"/>
      <c r="L426" s="874"/>
    </row>
    <row r="427" spans="2:12" ht="15">
      <c r="B427" s="406" t="str">
        <f>$B$6</f>
        <v>II-I-2.1f:  CONSOLIDATED FUNCTIONALIZED COST OF SERVICE</v>
      </c>
      <c r="C427" s="369"/>
      <c r="D427" s="928"/>
      <c r="E427" s="874"/>
      <c r="F427" s="332"/>
      <c r="H427" s="332"/>
      <c r="J427" s="332"/>
      <c r="K427" s="874"/>
      <c r="L427" s="874"/>
    </row>
    <row r="428" spans="2:12" ht="15">
      <c r="B428" s="406" t="str">
        <f>$B$7</f>
        <v>TEST YEAR ENDING 12/31/2021</v>
      </c>
      <c r="C428" s="369"/>
      <c r="D428" s="928"/>
      <c r="E428" s="369"/>
      <c r="F428" s="332"/>
      <c r="H428" s="332"/>
      <c r="J428" s="332"/>
      <c r="K428" s="369"/>
      <c r="L428" s="369"/>
    </row>
    <row r="429" spans="2:12" ht="15">
      <c r="B429" s="406" t="str">
        <f>$B$8</f>
        <v>SPONSOR:  MATTHEW A. TROXLE</v>
      </c>
      <c r="C429" s="369"/>
      <c r="D429" s="928"/>
      <c r="E429" s="369"/>
      <c r="F429" s="332"/>
      <c r="H429" s="332"/>
      <c r="J429" s="332"/>
      <c r="K429" s="369"/>
      <c r="L429" s="369"/>
    </row>
    <row r="430" spans="2:12" ht="15.75" thickBot="1">
      <c r="B430" s="410"/>
      <c r="C430" s="931"/>
      <c r="D430" s="932"/>
      <c r="E430" s="369"/>
      <c r="F430" s="332"/>
      <c r="H430" s="332"/>
      <c r="J430" s="332"/>
      <c r="K430" s="369"/>
      <c r="L430" s="369"/>
    </row>
    <row r="431" spans="2:13" ht="14.25">
      <c r="B431" s="13"/>
      <c r="C431" s="14"/>
      <c r="D431" s="14"/>
      <c r="E431" s="14"/>
      <c r="F431" s="13"/>
      <c r="G431" s="14"/>
      <c r="H431" s="13"/>
      <c r="I431" s="14"/>
      <c r="J431" s="13"/>
      <c r="K431" s="738"/>
      <c r="L431" s="952"/>
      <c r="M431" s="1036"/>
    </row>
    <row r="432" spans="2:13" ht="15">
      <c r="B432" s="15" t="s">
        <v>2</v>
      </c>
      <c r="C432" s="15" t="s">
        <v>370</v>
      </c>
      <c r="D432" s="287" t="s">
        <v>123</v>
      </c>
      <c r="E432" s="15" t="s">
        <v>371</v>
      </c>
      <c r="F432" s="287" t="str">
        <f>'II-I-DIST'!F432</f>
        <v>DIST</v>
      </c>
      <c r="G432" s="242" t="s">
        <v>376</v>
      </c>
      <c r="H432" s="287" t="str">
        <f>'II-I-MET'!F432</f>
        <v>MET</v>
      </c>
      <c r="I432" s="242" t="s">
        <v>376</v>
      </c>
      <c r="J432" s="287" t="str">
        <f>'II-I-TBILLTDCS'!F432</f>
        <v>TBILLTDCS</v>
      </c>
      <c r="K432" s="743" t="s">
        <v>376</v>
      </c>
      <c r="L432" s="743" t="s">
        <v>481</v>
      </c>
      <c r="M432" s="1030" t="s">
        <v>1046</v>
      </c>
    </row>
    <row r="433" spans="2:13" ht="14.25">
      <c r="B433" s="15"/>
      <c r="C433" s="15"/>
      <c r="D433" s="15"/>
      <c r="E433" s="15"/>
      <c r="F433" s="15"/>
      <c r="G433" s="242" t="s">
        <v>743</v>
      </c>
      <c r="H433" s="15"/>
      <c r="I433" s="242" t="s">
        <v>743</v>
      </c>
      <c r="J433" s="15"/>
      <c r="K433" s="743" t="s">
        <v>743</v>
      </c>
      <c r="L433" s="743" t="s">
        <v>33</v>
      </c>
      <c r="M433" s="1037"/>
    </row>
    <row r="434" spans="2:13" ht="15.75" thickBot="1">
      <c r="B434" s="243"/>
      <c r="C434" s="244"/>
      <c r="D434" s="245"/>
      <c r="E434" s="245"/>
      <c r="F434" s="747" t="s">
        <v>13</v>
      </c>
      <c r="G434" s="747" t="s">
        <v>14</v>
      </c>
      <c r="H434" s="747" t="s">
        <v>15</v>
      </c>
      <c r="I434" s="747" t="s">
        <v>16</v>
      </c>
      <c r="J434" s="747" t="s">
        <v>17</v>
      </c>
      <c r="K434" s="747" t="s">
        <v>18</v>
      </c>
      <c r="L434" s="747" t="s">
        <v>19</v>
      </c>
      <c r="M434" s="1032" t="s">
        <v>20</v>
      </c>
    </row>
    <row r="435" spans="2:12" ht="14.25">
      <c r="B435" s="67"/>
      <c r="C435" s="333"/>
      <c r="D435" s="333"/>
      <c r="E435" s="333"/>
      <c r="F435" s="333"/>
      <c r="G435" s="333"/>
      <c r="H435" s="333"/>
      <c r="I435" s="333"/>
      <c r="J435" s="333"/>
      <c r="K435" s="691"/>
      <c r="L435" s="691"/>
    </row>
    <row r="436" spans="2:12" ht="15">
      <c r="B436" s="17">
        <f t="shared" si="17" ref="B436:B441">B435+1</f>
        <v>1</v>
      </c>
      <c r="C436" s="334" t="s">
        <v>115</v>
      </c>
      <c r="D436" s="43"/>
      <c r="E436" s="43"/>
      <c r="F436" s="43"/>
      <c r="G436" s="43"/>
      <c r="H436" s="43"/>
      <c r="I436" s="43"/>
      <c r="J436" s="43"/>
      <c r="K436" s="691"/>
      <c r="L436" s="691"/>
    </row>
    <row r="437" spans="2:12" ht="15">
      <c r="B437" s="17">
        <f t="shared" si="17"/>
        <v>2</v>
      </c>
      <c r="C437" s="348" t="s">
        <v>598</v>
      </c>
      <c r="D437" s="36"/>
      <c r="E437" s="897" t="s">
        <v>124</v>
      </c>
      <c r="F437" s="349"/>
      <c r="G437" s="897"/>
      <c r="H437" s="349"/>
      <c r="I437" s="897"/>
      <c r="J437" s="349"/>
      <c r="K437" s="911"/>
      <c r="L437" s="911"/>
    </row>
    <row r="438" spans="2:13" s="386" customFormat="1" ht="28.5">
      <c r="B438" s="17">
        <f t="shared" si="17"/>
        <v>3</v>
      </c>
      <c r="C438" s="43"/>
      <c r="D438" s="43" t="s">
        <v>123</v>
      </c>
      <c r="E438" s="43"/>
      <c r="F438" s="118">
        <f>'II-I-DIST'!F438</f>
        <v>-16695371.95999999</v>
      </c>
      <c r="G438" s="118" t="str">
        <f>'II-I-DIST'!H438</f>
        <v>O&amp;M</v>
      </c>
      <c r="H438" s="118">
        <f>'II-I-MET'!F438</f>
        <v>273938.61000000028</v>
      </c>
      <c r="I438" s="118" t="str">
        <f>'II-I-MET'!H438</f>
        <v>O&amp;M</v>
      </c>
      <c r="J438" s="118">
        <f>'II-I-TBILLTDCS'!F438</f>
        <v>141339.77999998356</v>
      </c>
      <c r="K438" s="118" t="str">
        <f>'II-I-TBILLTDCS'!H438</f>
        <v>O&amp;M</v>
      </c>
      <c r="L438" s="893">
        <f>F438+H438+J438</f>
        <v>-16280093.570000006</v>
      </c>
      <c r="M438" s="1033" t="s">
        <v>1064</v>
      </c>
    </row>
    <row r="439" spans="2:12" ht="15">
      <c r="B439" s="17">
        <f t="shared" si="17"/>
        <v>4</v>
      </c>
      <c r="C439" s="36"/>
      <c r="D439" s="44" t="s">
        <v>491</v>
      </c>
      <c r="E439" s="898"/>
      <c r="F439" s="898">
        <f>'II-I-DIST'!F439</f>
        <v>-16695371.95999999</v>
      </c>
      <c r="G439" s="898"/>
      <c r="H439" s="898">
        <f>'II-I-MET'!F439</f>
        <v>273938.61000000028</v>
      </c>
      <c r="I439" s="898"/>
      <c r="J439" s="898">
        <f>'II-I-TBILLTDCS'!F439</f>
        <v>141339.77999998356</v>
      </c>
      <c r="K439" s="898"/>
      <c r="L439" s="898">
        <f>F439+H439+J439</f>
        <v>-16280093.570000006</v>
      </c>
    </row>
    <row r="440" spans="2:12" ht="15" thickBot="1">
      <c r="B440" s="17">
        <f t="shared" si="17"/>
        <v>5</v>
      </c>
      <c r="C440" s="43"/>
      <c r="D440" s="340"/>
      <c r="E440" s="263"/>
      <c r="F440" s="263"/>
      <c r="G440" s="263"/>
      <c r="H440" s="263"/>
      <c r="I440" s="263"/>
      <c r="J440" s="263"/>
      <c r="K440" s="691"/>
      <c r="L440" s="691"/>
    </row>
    <row r="441" spans="2:12" ht="15.75" thickBot="1">
      <c r="B441" s="17">
        <f t="shared" si="17"/>
        <v>6</v>
      </c>
      <c r="C441" s="335" t="s">
        <v>602</v>
      </c>
      <c r="D441" s="336"/>
      <c r="E441" s="337" t="s">
        <v>124</v>
      </c>
      <c r="F441" s="905">
        <f>'II-I-DIST'!F441</f>
        <v>-16695371.95999999</v>
      </c>
      <c r="G441" s="337"/>
      <c r="H441" s="905">
        <f>'II-I-MET'!F441</f>
        <v>273938.61000000028</v>
      </c>
      <c r="I441" s="337"/>
      <c r="J441" s="905">
        <f>'II-I-TBILLTDCS'!F441</f>
        <v>141339.77999998356</v>
      </c>
      <c r="K441" s="905"/>
      <c r="L441" s="279">
        <f>F441+H441+J441</f>
        <v>-16280093.570000006</v>
      </c>
    </row>
    <row r="442" spans="2:10" ht="14.25">
      <c r="B442" s="67"/>
      <c r="C442" s="67"/>
      <c r="D442" s="67"/>
      <c r="E442" s="67"/>
      <c r="F442" s="67"/>
      <c r="G442" s="67"/>
      <c r="H442" s="67"/>
      <c r="I442" s="67"/>
      <c r="J442" s="67"/>
    </row>
    <row r="443" spans="2:12" ht="15">
      <c r="B443" s="874"/>
      <c r="C443" s="874"/>
      <c r="D443" s="874"/>
      <c r="E443" s="874"/>
      <c r="F443" s="67"/>
      <c r="G443" s="134"/>
      <c r="H443" s="67"/>
      <c r="I443" s="134"/>
      <c r="J443" s="67"/>
      <c r="K443" s="874"/>
      <c r="L443" s="874"/>
    </row>
    <row r="444" spans="2:12" ht="15.75" thickBot="1">
      <c r="B444" s="874"/>
      <c r="C444" s="874"/>
      <c r="D444" s="874"/>
      <c r="E444" s="874"/>
      <c r="F444" s="67"/>
      <c r="G444" s="67"/>
      <c r="H444" s="67"/>
      <c r="I444" s="67"/>
      <c r="J444" s="67"/>
      <c r="K444" s="874"/>
      <c r="L444" s="874"/>
    </row>
    <row r="445" spans="2:12" ht="15">
      <c r="B445" s="920" t="str">
        <f>$B$4</f>
        <v>2022 RATE CASE</v>
      </c>
      <c r="C445" s="926"/>
      <c r="D445" s="927"/>
      <c r="E445" s="874"/>
      <c r="F445" s="332"/>
      <c r="H445" s="332"/>
      <c r="J445" s="332"/>
      <c r="K445" s="874"/>
      <c r="L445" s="874"/>
    </row>
    <row r="446" spans="2:12" ht="15">
      <c r="B446" s="917" t="str">
        <f>$B$5</f>
        <v>ONCOR ELECTRIC DELIVERY COMPANY LLC</v>
      </c>
      <c r="C446" s="369"/>
      <c r="D446" s="928"/>
      <c r="E446" s="874"/>
      <c r="F446" s="332"/>
      <c r="H446" s="332"/>
      <c r="J446" s="332"/>
      <c r="K446" s="874"/>
      <c r="L446" s="874"/>
    </row>
    <row r="447" spans="2:12" ht="15">
      <c r="B447" s="406" t="str">
        <f>$B$6</f>
        <v>II-I-2.1f:  CONSOLIDATED FUNCTIONALIZED COST OF SERVICE</v>
      </c>
      <c r="C447" s="369"/>
      <c r="D447" s="928"/>
      <c r="E447" s="874"/>
      <c r="F447" s="332"/>
      <c r="H447" s="332"/>
      <c r="J447" s="332"/>
      <c r="K447" s="874"/>
      <c r="L447" s="874"/>
    </row>
    <row r="448" spans="2:12" ht="15">
      <c r="B448" s="406" t="str">
        <f>$B$7</f>
        <v>TEST YEAR ENDING 12/31/2021</v>
      </c>
      <c r="C448" s="369"/>
      <c r="D448" s="928"/>
      <c r="E448" s="369"/>
      <c r="F448" s="332"/>
      <c r="H448" s="332"/>
      <c r="J448" s="332"/>
      <c r="K448" s="369"/>
      <c r="L448" s="369"/>
    </row>
    <row r="449" spans="2:12" ht="15">
      <c r="B449" s="406" t="str">
        <f>$B$8</f>
        <v>SPONSOR:  MATTHEW A. TROXLE</v>
      </c>
      <c r="C449" s="369"/>
      <c r="D449" s="928"/>
      <c r="E449" s="369"/>
      <c r="F449" s="332"/>
      <c r="H449" s="332"/>
      <c r="J449" s="332"/>
      <c r="K449" s="369"/>
      <c r="L449" s="369"/>
    </row>
    <row r="450" spans="2:12" ht="15.75" thickBot="1">
      <c r="B450" s="410"/>
      <c r="C450" s="931"/>
      <c r="D450" s="932"/>
      <c r="E450" s="369"/>
      <c r="F450" s="332"/>
      <c r="H450" s="332"/>
      <c r="J450" s="332"/>
      <c r="K450" s="369"/>
      <c r="L450" s="369"/>
    </row>
    <row r="451" spans="2:13" ht="14.25">
      <c r="B451" s="13"/>
      <c r="C451" s="14"/>
      <c r="D451" s="238"/>
      <c r="E451" s="14"/>
      <c r="F451" s="13"/>
      <c r="G451" s="14"/>
      <c r="H451" s="13"/>
      <c r="I451" s="14"/>
      <c r="J451" s="13"/>
      <c r="K451" s="738"/>
      <c r="L451" s="952"/>
      <c r="M451" s="1036"/>
    </row>
    <row r="452" spans="2:13" ht="15">
      <c r="B452" s="15" t="s">
        <v>2</v>
      </c>
      <c r="C452" s="15" t="s">
        <v>370</v>
      </c>
      <c r="D452" s="241" t="s">
        <v>125</v>
      </c>
      <c r="E452" s="15" t="s">
        <v>371</v>
      </c>
      <c r="F452" s="287" t="str">
        <f>'II-I-DIST'!F452</f>
        <v>DIST</v>
      </c>
      <c r="G452" s="242" t="s">
        <v>376</v>
      </c>
      <c r="H452" s="287" t="str">
        <f>'II-I-MET'!F452</f>
        <v>MET</v>
      </c>
      <c r="I452" s="242" t="s">
        <v>376</v>
      </c>
      <c r="J452" s="287" t="str">
        <f>'II-I-TBILLTDCS'!F452</f>
        <v>TBILLTDCS</v>
      </c>
      <c r="K452" s="743" t="s">
        <v>376</v>
      </c>
      <c r="L452" s="743" t="s">
        <v>481</v>
      </c>
      <c r="M452" s="1030" t="s">
        <v>1046</v>
      </c>
    </row>
    <row r="453" spans="2:13" ht="14.25">
      <c r="B453" s="15"/>
      <c r="C453" s="15"/>
      <c r="D453" s="242"/>
      <c r="E453" s="15"/>
      <c r="F453" s="15"/>
      <c r="G453" s="242" t="s">
        <v>743</v>
      </c>
      <c r="H453" s="15"/>
      <c r="I453" s="242" t="s">
        <v>743</v>
      </c>
      <c r="J453" s="15"/>
      <c r="K453" s="743" t="s">
        <v>743</v>
      </c>
      <c r="L453" s="743" t="s">
        <v>33</v>
      </c>
      <c r="M453" s="1037"/>
    </row>
    <row r="454" spans="2:13" ht="15.75" thickBot="1">
      <c r="B454" s="243"/>
      <c r="C454" s="957"/>
      <c r="D454" s="245"/>
      <c r="E454" s="245"/>
      <c r="F454" s="747" t="s">
        <v>13</v>
      </c>
      <c r="G454" s="747" t="s">
        <v>14</v>
      </c>
      <c r="H454" s="747" t="s">
        <v>15</v>
      </c>
      <c r="I454" s="747" t="s">
        <v>16</v>
      </c>
      <c r="J454" s="747" t="s">
        <v>17</v>
      </c>
      <c r="K454" s="747" t="s">
        <v>18</v>
      </c>
      <c r="L454" s="747" t="s">
        <v>19</v>
      </c>
      <c r="M454" s="1032" t="s">
        <v>20</v>
      </c>
    </row>
    <row r="455" spans="2:12" ht="14.25">
      <c r="B455" s="67"/>
      <c r="C455" s="333"/>
      <c r="D455" s="333"/>
      <c r="E455" s="333"/>
      <c r="F455" s="333"/>
      <c r="G455" s="333"/>
      <c r="H455" s="333"/>
      <c r="I455" s="333"/>
      <c r="J455" s="333"/>
      <c r="K455" s="691"/>
      <c r="L455" s="691"/>
    </row>
    <row r="456" spans="2:12" ht="15">
      <c r="B456" s="17">
        <f t="shared" si="18" ref="B456:B464">B455+1</f>
        <v>1</v>
      </c>
      <c r="C456" s="334" t="s">
        <v>115</v>
      </c>
      <c r="D456" s="36"/>
      <c r="E456" s="897"/>
      <c r="F456" s="898"/>
      <c r="G456" s="897"/>
      <c r="H456" s="898"/>
      <c r="I456" s="897"/>
      <c r="J456" s="898"/>
      <c r="K456" s="36"/>
      <c r="L456" s="36"/>
    </row>
    <row r="457" spans="2:12" ht="15">
      <c r="B457" s="17">
        <f t="shared" si="18"/>
        <v>2</v>
      </c>
      <c r="C457" s="348" t="s">
        <v>598</v>
      </c>
      <c r="D457" s="44"/>
      <c r="E457" s="263"/>
      <c r="F457" s="263"/>
      <c r="G457" s="263"/>
      <c r="H457" s="263"/>
      <c r="I457" s="263"/>
      <c r="J457" s="263"/>
      <c r="K457" s="691"/>
      <c r="L457" s="691"/>
    </row>
    <row r="458" spans="2:12" ht="15">
      <c r="B458" s="17">
        <f t="shared" si="18"/>
        <v>3</v>
      </c>
      <c r="C458" s="36">
        <v>165</v>
      </c>
      <c r="D458" s="348" t="s">
        <v>125</v>
      </c>
      <c r="E458" s="897" t="s">
        <v>126</v>
      </c>
      <c r="F458" s="898"/>
      <c r="G458" s="897"/>
      <c r="H458" s="898"/>
      <c r="I458" s="897"/>
      <c r="J458" s="898"/>
      <c r="K458" s="36"/>
      <c r="L458" s="36"/>
    </row>
    <row r="459" spans="2:13" s="386" customFormat="1" ht="28.5">
      <c r="B459" s="17">
        <f t="shared" si="18"/>
        <v>4</v>
      </c>
      <c r="C459" s="43"/>
      <c r="D459" s="43" t="s">
        <v>125</v>
      </c>
      <c r="E459" s="912"/>
      <c r="F459" s="118">
        <f>'II-I-DIST'!F459</f>
        <v>100121671.99538463</v>
      </c>
      <c r="G459" s="118" t="str">
        <f>'II-I-DIST'!H459</f>
        <v>ENERGY ICL</v>
      </c>
      <c r="H459" s="118">
        <f>'II-I-MET'!F459</f>
        <v>3524809.17076923</v>
      </c>
      <c r="I459" s="118" t="str">
        <f>'II-I-MET'!H459</f>
        <v>ENERGY ICL</v>
      </c>
      <c r="J459" s="118">
        <f>'II-I-TBILLTDCS'!F459</f>
        <v>930191.56999999855</v>
      </c>
      <c r="K459" s="118" t="str">
        <f>'II-I-TBILLTDCS'!H459</f>
        <v>ENERGY ICL</v>
      </c>
      <c r="L459" s="893">
        <f>F459+H459+J459</f>
        <v>104576672.73615386</v>
      </c>
      <c r="M459" s="1055" t="s">
        <v>1200</v>
      </c>
    </row>
    <row r="460" spans="2:12" ht="15">
      <c r="B460" s="17">
        <f t="shared" si="18"/>
        <v>5</v>
      </c>
      <c r="C460" s="36"/>
      <c r="D460" s="44" t="s">
        <v>491</v>
      </c>
      <c r="E460" s="913"/>
      <c r="F460" s="898">
        <f>'II-I-DIST'!F460</f>
        <v>100121671.99538463</v>
      </c>
      <c r="G460" s="913"/>
      <c r="H460" s="898">
        <f>'II-I-MET'!F460</f>
        <v>3524809.17076923</v>
      </c>
      <c r="I460" s="913"/>
      <c r="J460" s="898">
        <f>'II-I-TBILLTDCS'!F460</f>
        <v>930191.56999999855</v>
      </c>
      <c r="K460" s="898"/>
      <c r="L460" s="898">
        <f>F460+H460+J460</f>
        <v>104576672.73615386</v>
      </c>
    </row>
    <row r="461" spans="2:12" ht="15.75" thickBot="1">
      <c r="B461" s="17">
        <f t="shared" si="18"/>
        <v>6</v>
      </c>
      <c r="C461" s="36"/>
      <c r="D461" s="44"/>
      <c r="E461" s="913"/>
      <c r="F461" s="353">
        <f>'II-I-DIST'!F461</f>
        <v>0</v>
      </c>
      <c r="G461" s="913"/>
      <c r="H461" s="353"/>
      <c r="I461" s="913"/>
      <c r="J461" s="353"/>
      <c r="K461" s="354"/>
      <c r="L461" s="354"/>
    </row>
    <row r="462" spans="2:12" ht="15.75" thickBot="1">
      <c r="B462" s="17">
        <f t="shared" si="18"/>
        <v>7</v>
      </c>
      <c r="C462" s="341" t="s">
        <v>603</v>
      </c>
      <c r="D462" s="336"/>
      <c r="E462" s="337" t="s">
        <v>126</v>
      </c>
      <c r="F462" s="905">
        <f>'II-I-DIST'!F462</f>
        <v>100121671.99538463</v>
      </c>
      <c r="G462" s="337"/>
      <c r="H462" s="905">
        <f>'II-I-MET'!F462</f>
        <v>3524809.17076923</v>
      </c>
      <c r="I462" s="337"/>
      <c r="J462" s="905">
        <f>'II-I-TBILLTDCS'!F462</f>
        <v>930191.56999999855</v>
      </c>
      <c r="K462" s="905"/>
      <c r="L462" s="279">
        <f>F462+H462+J462</f>
        <v>104576672.73615386</v>
      </c>
    </row>
    <row r="463" spans="2:12" ht="15" thickBot="1">
      <c r="B463" s="17">
        <f t="shared" si="18"/>
        <v>8</v>
      </c>
      <c r="C463" s="43"/>
      <c r="D463" s="340"/>
      <c r="E463" s="912"/>
      <c r="F463" s="263"/>
      <c r="G463" s="912"/>
      <c r="H463" s="263"/>
      <c r="I463" s="912"/>
      <c r="J463" s="263"/>
      <c r="K463" s="904"/>
      <c r="L463" s="904"/>
    </row>
    <row r="464" spans="2:12" ht="15.75" thickBot="1">
      <c r="B464" s="17">
        <f t="shared" si="18"/>
        <v>9</v>
      </c>
      <c r="C464" s="341" t="s">
        <v>604</v>
      </c>
      <c r="D464" s="336"/>
      <c r="E464" s="337" t="s">
        <v>605</v>
      </c>
      <c r="F464" s="905">
        <f>'II-I-DIST'!F464</f>
        <v>158116704.44538462</v>
      </c>
      <c r="G464" s="337"/>
      <c r="H464" s="905">
        <f>'II-I-MET'!F464</f>
        <v>3904531.1107692304</v>
      </c>
      <c r="I464" s="337"/>
      <c r="J464" s="905">
        <f>'II-I-TBILLTDCS'!F464</f>
        <v>1071531.3499999822</v>
      </c>
      <c r="K464" s="905"/>
      <c r="L464" s="279">
        <f>F464+H464+J464</f>
        <v>163092766.90615386</v>
      </c>
    </row>
    <row r="465" spans="2:10" ht="14.25">
      <c r="B465" s="67"/>
      <c r="C465" s="67"/>
      <c r="D465" s="67"/>
      <c r="E465" s="67"/>
      <c r="F465" s="67"/>
      <c r="G465" s="67"/>
      <c r="H465" s="67"/>
      <c r="I465" s="67"/>
      <c r="J465" s="67"/>
    </row>
    <row r="466" spans="2:12" ht="15">
      <c r="B466" s="874"/>
      <c r="C466" s="874"/>
      <c r="D466" s="874"/>
      <c r="E466" s="874"/>
      <c r="F466" s="67"/>
      <c r="G466" s="134"/>
      <c r="H466" s="67"/>
      <c r="I466" s="134"/>
      <c r="J466" s="67"/>
      <c r="K466" s="874"/>
      <c r="L466" s="874"/>
    </row>
    <row r="467" spans="2:12" ht="15.75" thickBot="1">
      <c r="B467" s="874"/>
      <c r="C467" s="874"/>
      <c r="D467" s="874"/>
      <c r="E467" s="874"/>
      <c r="F467" s="67"/>
      <c r="G467" s="67"/>
      <c r="H467" s="67"/>
      <c r="I467" s="67"/>
      <c r="J467" s="67"/>
      <c r="K467" s="874"/>
      <c r="L467" s="874"/>
    </row>
    <row r="468" spans="2:12" ht="15">
      <c r="B468" s="920" t="str">
        <f>$B$4</f>
        <v>2022 RATE CASE</v>
      </c>
      <c r="C468" s="926"/>
      <c r="D468" s="927"/>
      <c r="E468" s="874"/>
      <c r="F468" s="332"/>
      <c r="H468" s="332"/>
      <c r="J468" s="332"/>
      <c r="K468" s="874"/>
      <c r="L468" s="874"/>
    </row>
    <row r="469" spans="2:12" ht="15">
      <c r="B469" s="917" t="str">
        <f>$B$5</f>
        <v>ONCOR ELECTRIC DELIVERY COMPANY LLC</v>
      </c>
      <c r="C469" s="369"/>
      <c r="D469" s="928"/>
      <c r="E469" s="874"/>
      <c r="F469" s="332"/>
      <c r="H469" s="332"/>
      <c r="J469" s="332"/>
      <c r="K469" s="874"/>
      <c r="L469" s="874"/>
    </row>
    <row r="470" spans="2:12" ht="15">
      <c r="B470" s="406" t="str">
        <f>$B$6</f>
        <v>II-I-2.1f:  CONSOLIDATED FUNCTIONALIZED COST OF SERVICE</v>
      </c>
      <c r="C470" s="369"/>
      <c r="D470" s="928"/>
      <c r="E470" s="874"/>
      <c r="F470" s="332"/>
      <c r="H470" s="332"/>
      <c r="J470" s="332"/>
      <c r="K470" s="874"/>
      <c r="L470" s="874"/>
    </row>
    <row r="471" spans="2:12" ht="15">
      <c r="B471" s="406" t="str">
        <f>$B$7</f>
        <v>TEST YEAR ENDING 12/31/2021</v>
      </c>
      <c r="C471" s="369"/>
      <c r="D471" s="928"/>
      <c r="E471" s="369"/>
      <c r="F471" s="332"/>
      <c r="H471" s="332"/>
      <c r="J471" s="332"/>
      <c r="K471" s="369"/>
      <c r="L471" s="369"/>
    </row>
    <row r="472" spans="2:12" ht="15">
      <c r="B472" s="406" t="str">
        <f>$B$8</f>
        <v>SPONSOR:  MATTHEW A. TROXLE</v>
      </c>
      <c r="C472" s="369"/>
      <c r="D472" s="928"/>
      <c r="E472" s="369"/>
      <c r="F472" s="332"/>
      <c r="H472" s="332"/>
      <c r="J472" s="332"/>
      <c r="K472" s="369"/>
      <c r="L472" s="369"/>
    </row>
    <row r="473" spans="2:12" ht="15.75" thickBot="1">
      <c r="B473" s="410"/>
      <c r="C473" s="931"/>
      <c r="D473" s="932"/>
      <c r="E473" s="369"/>
      <c r="F473" s="332"/>
      <c r="H473" s="332"/>
      <c r="J473" s="332"/>
      <c r="K473" s="369"/>
      <c r="L473" s="369"/>
    </row>
    <row r="474" spans="2:13" ht="14.25">
      <c r="B474" s="13"/>
      <c r="C474" s="14"/>
      <c r="D474" s="238"/>
      <c r="E474" s="14"/>
      <c r="F474" s="13"/>
      <c r="G474" s="14"/>
      <c r="H474" s="13"/>
      <c r="I474" s="14"/>
      <c r="J474" s="13"/>
      <c r="K474" s="738"/>
      <c r="L474" s="952"/>
      <c r="M474" s="1036"/>
    </row>
    <row r="475" spans="2:13" ht="15">
      <c r="B475" s="15" t="s">
        <v>2</v>
      </c>
      <c r="C475" s="15" t="s">
        <v>370</v>
      </c>
      <c r="D475" s="241" t="s">
        <v>127</v>
      </c>
      <c r="E475" s="15" t="s">
        <v>371</v>
      </c>
      <c r="F475" s="287" t="str">
        <f>'II-I-DIST'!F475</f>
        <v>DIST</v>
      </c>
      <c r="G475" s="242" t="s">
        <v>376</v>
      </c>
      <c r="H475" s="287" t="str">
        <f>'II-I-MET'!F475</f>
        <v>MET</v>
      </c>
      <c r="I475" s="242" t="s">
        <v>376</v>
      </c>
      <c r="J475" s="287" t="str">
        <f>'II-I-TBILLTDCS'!F475</f>
        <v>TBILLTDCS</v>
      </c>
      <c r="K475" s="743" t="s">
        <v>376</v>
      </c>
      <c r="L475" s="743" t="s">
        <v>481</v>
      </c>
      <c r="M475" s="1030" t="s">
        <v>1046</v>
      </c>
    </row>
    <row r="476" spans="2:13" ht="14.25">
      <c r="B476" s="15"/>
      <c r="C476" s="15"/>
      <c r="D476" s="242"/>
      <c r="E476" s="15"/>
      <c r="F476" s="15"/>
      <c r="G476" s="242" t="s">
        <v>743</v>
      </c>
      <c r="H476" s="15"/>
      <c r="I476" s="242" t="s">
        <v>743</v>
      </c>
      <c r="J476" s="15"/>
      <c r="K476" s="743" t="s">
        <v>743</v>
      </c>
      <c r="L476" s="743" t="s">
        <v>33</v>
      </c>
      <c r="M476" s="1037"/>
    </row>
    <row r="477" spans="2:13" ht="15.75" thickBot="1">
      <c r="B477" s="243"/>
      <c r="C477" s="957"/>
      <c r="D477" s="245"/>
      <c r="E477" s="245"/>
      <c r="F477" s="747" t="s">
        <v>13</v>
      </c>
      <c r="G477" s="747" t="s">
        <v>14</v>
      </c>
      <c r="H477" s="747" t="s">
        <v>15</v>
      </c>
      <c r="I477" s="747" t="s">
        <v>16</v>
      </c>
      <c r="J477" s="747" t="s">
        <v>17</v>
      </c>
      <c r="K477" s="747" t="s">
        <v>18</v>
      </c>
      <c r="L477" s="747" t="s">
        <v>19</v>
      </c>
      <c r="M477" s="1032" t="s">
        <v>20</v>
      </c>
    </row>
    <row r="478" spans="2:12" ht="14.25">
      <c r="B478" s="67"/>
      <c r="C478" s="333"/>
      <c r="D478" s="333"/>
      <c r="E478" s="333"/>
      <c r="F478" s="333"/>
      <c r="G478" s="333"/>
      <c r="H478" s="333"/>
      <c r="I478" s="333"/>
      <c r="J478" s="333"/>
      <c r="K478" s="691"/>
      <c r="L478" s="691"/>
    </row>
    <row r="479" spans="2:12" ht="15">
      <c r="B479" s="17">
        <f t="shared" si="19" ref="B479:B485">B478+1</f>
        <v>1</v>
      </c>
      <c r="C479" s="334" t="s">
        <v>606</v>
      </c>
      <c r="D479" s="36"/>
      <c r="E479" s="897" t="s">
        <v>128</v>
      </c>
      <c r="F479" s="898"/>
      <c r="G479" s="897"/>
      <c r="H479" s="898"/>
      <c r="I479" s="897"/>
      <c r="J479" s="898"/>
      <c r="K479" s="36"/>
      <c r="L479" s="36"/>
    </row>
    <row r="480" spans="2:13" s="386" customFormat="1" ht="15">
      <c r="B480" s="17">
        <f t="shared" si="19"/>
        <v>2</v>
      </c>
      <c r="C480" s="334"/>
      <c r="D480" s="691" t="s">
        <v>1194</v>
      </c>
      <c r="E480" s="263"/>
      <c r="F480" s="118">
        <f>'II-I-DIST'!F480</f>
        <v>-2266260.54</v>
      </c>
      <c r="G480" s="118" t="str">
        <f>'II-I-DIST'!H480</f>
        <v>NCP ALL</v>
      </c>
      <c r="H480" s="118">
        <f>'II-I-MET'!F480</f>
        <v>0</v>
      </c>
      <c r="I480" s="118" t="str">
        <f>'II-I-MET'!H480</f>
        <v>NCP ALL</v>
      </c>
      <c r="J480" s="121">
        <f>'II-I-TBILLTDCS'!F480</f>
        <v>0</v>
      </c>
      <c r="K480" s="121" t="str">
        <f>'II-I-TBILLTDCS'!H480</f>
        <v>NCP ALL</v>
      </c>
      <c r="L480" s="904">
        <f t="shared" si="20" ref="L480:L485">F480+H480+J480</f>
        <v>-2266260.54</v>
      </c>
      <c r="M480" s="1033"/>
    </row>
    <row r="481" spans="2:13" s="386" customFormat="1" ht="15">
      <c r="B481" s="17">
        <f t="shared" si="19"/>
        <v>3</v>
      </c>
      <c r="C481" s="43"/>
      <c r="D481" s="43" t="s">
        <v>607</v>
      </c>
      <c r="E481" s="897"/>
      <c r="F481" s="118">
        <f>'II-I-DIST'!F481</f>
        <v>-162100</v>
      </c>
      <c r="G481" s="118" t="str">
        <f>'II-I-DIST'!H481</f>
        <v>NCP ALL</v>
      </c>
      <c r="H481" s="118">
        <f>'II-I-MET'!F481</f>
        <v>0</v>
      </c>
      <c r="I481" s="118" t="str">
        <f>'II-I-MET'!H481</f>
        <v>NCP ALL</v>
      </c>
      <c r="J481" s="121">
        <f>'II-I-TBILLTDCS'!F481</f>
        <v>0</v>
      </c>
      <c r="K481" s="121" t="str">
        <f>'II-I-TBILLTDCS'!H481</f>
        <v>NCP ALL</v>
      </c>
      <c r="L481" s="893">
        <f t="shared" si="20"/>
        <v>-162100</v>
      </c>
      <c r="M481" s="1033" t="s">
        <v>1065</v>
      </c>
    </row>
    <row r="482" spans="2:15" s="386" customFormat="1" ht="15">
      <c r="B482" s="17">
        <v>4</v>
      </c>
      <c r="C482" s="43"/>
      <c r="D482" s="691" t="s">
        <v>1257</v>
      </c>
      <c r="E482" s="897"/>
      <c r="F482" s="118">
        <f>'II-I-DIST'!F482</f>
        <v>0</v>
      </c>
      <c r="G482" s="118" t="str">
        <f>'II-I-DIST'!H482</f>
        <v>NCP ALL</v>
      </c>
      <c r="H482" s="118">
        <f>'II-I-MET'!F482</f>
        <v>-668323.90000000002</v>
      </c>
      <c r="I482" s="118" t="str">
        <f>'II-I-MET'!H482</f>
        <v>NCP ALL</v>
      </c>
      <c r="J482" s="121">
        <f>'II-I-TBILLTDCS'!F482</f>
        <v>0</v>
      </c>
      <c r="K482" s="121" t="str">
        <f>'II-I-TBILLTDCS'!H482</f>
        <v>NCP ALL</v>
      </c>
      <c r="L482" s="893">
        <f t="shared" si="20"/>
        <v>-668323.90000000002</v>
      </c>
      <c r="M482" s="1033"/>
      <c r="N482" s="691" t="s">
        <v>1042</v>
      </c>
      <c r="O482" s="386" t="s">
        <v>815</v>
      </c>
    </row>
    <row r="483" spans="2:12" ht="15">
      <c r="B483" s="17">
        <v>5</v>
      </c>
      <c r="C483" s="36"/>
      <c r="D483" s="44" t="s">
        <v>491</v>
      </c>
      <c r="E483" s="913"/>
      <c r="F483" s="898">
        <f>'II-I-DIST'!F483</f>
        <v>-2428360.54</v>
      </c>
      <c r="G483" s="913"/>
      <c r="H483" s="898">
        <f>'II-I-MET'!F483</f>
        <v>-668323.90000000002</v>
      </c>
      <c r="I483" s="913"/>
      <c r="J483" s="898">
        <f>'II-I-TBILLTDCS'!F483</f>
        <v>0</v>
      </c>
      <c r="K483" s="898"/>
      <c r="L483" s="898">
        <f t="shared" si="20"/>
        <v>-3096684.4399999999</v>
      </c>
    </row>
    <row r="484" spans="2:12" ht="15.75" thickBot="1">
      <c r="B484" s="17">
        <v>6</v>
      </c>
      <c r="C484" s="36"/>
      <c r="D484" s="44"/>
      <c r="E484" s="897"/>
      <c r="F484" s="898">
        <f>'II-I-DIST'!F484</f>
        <v>0</v>
      </c>
      <c r="G484" s="897"/>
      <c r="H484" s="898">
        <f>'II-I-MET'!F484</f>
        <v>0</v>
      </c>
      <c r="I484" s="897"/>
      <c r="J484" s="898">
        <f>'II-I-TBILLTDCS'!F484</f>
        <v>0</v>
      </c>
      <c r="K484" s="898"/>
      <c r="L484" s="898">
        <f t="shared" si="20"/>
        <v>0</v>
      </c>
    </row>
    <row r="485" spans="2:12" ht="15.75" thickBot="1">
      <c r="B485" s="17">
        <f t="shared" si="19"/>
        <v>7</v>
      </c>
      <c r="C485" s="341" t="s">
        <v>608</v>
      </c>
      <c r="D485" s="336"/>
      <c r="E485" s="337"/>
      <c r="F485" s="905">
        <f>'II-I-DIST'!F485</f>
        <v>-899934468.01461494</v>
      </c>
      <c r="G485" s="337"/>
      <c r="H485" s="905">
        <f>'II-I-MET'!F485</f>
        <v>-33314483.65923078</v>
      </c>
      <c r="I485" s="337"/>
      <c r="J485" s="905">
        <f>'II-I-TBILLTDCS'!F485</f>
        <v>-84738757.739999726</v>
      </c>
      <c r="K485" s="905"/>
      <c r="L485" s="279">
        <f t="shared" si="20"/>
        <v>-1017987709.4138455</v>
      </c>
    </row>
    <row r="486" spans="2:10" ht="14.25">
      <c r="B486" s="67"/>
      <c r="C486" s="67"/>
      <c r="D486" s="67"/>
      <c r="E486" s="67"/>
      <c r="F486" s="67"/>
      <c r="G486" s="67"/>
      <c r="H486" s="67"/>
      <c r="I486" s="67"/>
      <c r="J486" s="67"/>
    </row>
    <row r="487" spans="2:12" ht="15">
      <c r="B487" s="874"/>
      <c r="C487" s="874"/>
      <c r="D487" s="874"/>
      <c r="E487" s="874"/>
      <c r="F487" s="67"/>
      <c r="G487" s="134"/>
      <c r="H487" s="67"/>
      <c r="I487" s="134"/>
      <c r="J487" s="67"/>
      <c r="K487" s="874"/>
      <c r="L487" s="874"/>
    </row>
    <row r="488" spans="2:12" ht="15.75" thickBot="1">
      <c r="B488" s="874"/>
      <c r="C488" s="874"/>
      <c r="D488" s="874"/>
      <c r="E488" s="874"/>
      <c r="F488" s="67"/>
      <c r="G488" s="67"/>
      <c r="H488" s="67"/>
      <c r="I488" s="67"/>
      <c r="J488" s="67"/>
      <c r="K488" s="874"/>
      <c r="L488" s="874"/>
    </row>
    <row r="489" spans="2:12" ht="15">
      <c r="B489" s="920" t="str">
        <f>$B$4</f>
        <v>2022 RATE CASE</v>
      </c>
      <c r="C489" s="926"/>
      <c r="D489" s="927"/>
      <c r="E489" s="874"/>
      <c r="F489" s="332"/>
      <c r="H489" s="332"/>
      <c r="J489" s="332"/>
      <c r="K489" s="874"/>
      <c r="L489" s="874"/>
    </row>
    <row r="490" spans="2:12" ht="15">
      <c r="B490" s="917" t="str">
        <f>$B$5</f>
        <v>ONCOR ELECTRIC DELIVERY COMPANY LLC</v>
      </c>
      <c r="C490" s="369"/>
      <c r="D490" s="928"/>
      <c r="E490" s="874"/>
      <c r="F490" s="332"/>
      <c r="H490" s="332"/>
      <c r="J490" s="332"/>
      <c r="K490" s="874"/>
      <c r="L490" s="874"/>
    </row>
    <row r="491" spans="2:12" ht="15">
      <c r="B491" s="406" t="str">
        <f>$B$6</f>
        <v>II-I-2.1f:  CONSOLIDATED FUNCTIONALIZED COST OF SERVICE</v>
      </c>
      <c r="C491" s="369"/>
      <c r="D491" s="928"/>
      <c r="E491" s="874"/>
      <c r="F491" s="332"/>
      <c r="H491" s="332"/>
      <c r="J491" s="332"/>
      <c r="K491" s="874"/>
      <c r="L491" s="874"/>
    </row>
    <row r="492" spans="2:12" ht="15">
      <c r="B492" s="406" t="str">
        <f>$B$7</f>
        <v>TEST YEAR ENDING 12/31/2021</v>
      </c>
      <c r="C492" s="369"/>
      <c r="D492" s="928"/>
      <c r="E492" s="369"/>
      <c r="F492" s="332"/>
      <c r="H492" s="332"/>
      <c r="J492" s="332"/>
      <c r="K492" s="369"/>
      <c r="L492" s="369"/>
    </row>
    <row r="493" spans="2:12" ht="15">
      <c r="B493" s="406" t="str">
        <f>$B$8</f>
        <v>SPONSOR:  MATTHEW A. TROXLE</v>
      </c>
      <c r="C493" s="369"/>
      <c r="D493" s="928"/>
      <c r="E493" s="369"/>
      <c r="F493" s="332"/>
      <c r="H493" s="332"/>
      <c r="J493" s="332"/>
      <c r="K493" s="369"/>
      <c r="L493" s="369"/>
    </row>
    <row r="494" spans="2:12" ht="15.75" thickBot="1">
      <c r="B494" s="410"/>
      <c r="C494" s="931"/>
      <c r="D494" s="932"/>
      <c r="E494" s="369"/>
      <c r="F494" s="332"/>
      <c r="H494" s="332"/>
      <c r="J494" s="332"/>
      <c r="K494" s="369"/>
      <c r="L494" s="369"/>
    </row>
    <row r="495" spans="2:13" ht="14.25">
      <c r="B495" s="13"/>
      <c r="C495" s="14"/>
      <c r="D495" s="238"/>
      <c r="E495" s="14"/>
      <c r="F495" s="13"/>
      <c r="G495" s="14"/>
      <c r="H495" s="13"/>
      <c r="I495" s="14"/>
      <c r="J495" s="13"/>
      <c r="K495" s="738"/>
      <c r="L495" s="952"/>
      <c r="M495" s="1036"/>
    </row>
    <row r="496" spans="2:13" ht="15">
      <c r="B496" s="15" t="s">
        <v>2</v>
      </c>
      <c r="C496" s="15" t="s">
        <v>370</v>
      </c>
      <c r="D496" s="241" t="s">
        <v>609</v>
      </c>
      <c r="E496" s="15" t="s">
        <v>371</v>
      </c>
      <c r="F496" s="287" t="str">
        <f>'II-I-DIST'!F496</f>
        <v>DIST</v>
      </c>
      <c r="G496" s="242" t="s">
        <v>376</v>
      </c>
      <c r="H496" s="287" t="str">
        <f>'II-I-MET'!F496</f>
        <v>MET</v>
      </c>
      <c r="I496" s="242" t="s">
        <v>376</v>
      </c>
      <c r="J496" s="287" t="str">
        <f>'II-I-TBILLTDCS'!F496</f>
        <v>TBILLTDCS</v>
      </c>
      <c r="K496" s="743" t="s">
        <v>376</v>
      </c>
      <c r="L496" s="743" t="s">
        <v>481</v>
      </c>
      <c r="M496" s="1030" t="s">
        <v>1046</v>
      </c>
    </row>
    <row r="497" spans="2:13" ht="14.25">
      <c r="B497" s="15"/>
      <c r="C497" s="15"/>
      <c r="D497" s="242"/>
      <c r="E497" s="15"/>
      <c r="F497" s="15"/>
      <c r="G497" s="242" t="s">
        <v>743</v>
      </c>
      <c r="H497" s="15"/>
      <c r="I497" s="242" t="s">
        <v>743</v>
      </c>
      <c r="J497" s="15"/>
      <c r="K497" s="743" t="s">
        <v>743</v>
      </c>
      <c r="L497" s="743" t="s">
        <v>33</v>
      </c>
      <c r="M497" s="1037"/>
    </row>
    <row r="498" spans="2:13" ht="15.75" thickBot="1">
      <c r="B498" s="243"/>
      <c r="C498" s="957"/>
      <c r="D498" s="245"/>
      <c r="E498" s="245"/>
      <c r="F498" s="747" t="s">
        <v>13</v>
      </c>
      <c r="G498" s="747" t="s">
        <v>14</v>
      </c>
      <c r="H498" s="747" t="s">
        <v>15</v>
      </c>
      <c r="I498" s="747" t="s">
        <v>16</v>
      </c>
      <c r="J498" s="747" t="s">
        <v>17</v>
      </c>
      <c r="K498" s="747" t="s">
        <v>18</v>
      </c>
      <c r="L498" s="747" t="s">
        <v>19</v>
      </c>
      <c r="M498" s="1032" t="s">
        <v>20</v>
      </c>
    </row>
    <row r="499" spans="2:13" s="386" customFormat="1" ht="14.25">
      <c r="B499" s="47"/>
      <c r="C499" s="333"/>
      <c r="D499" s="333"/>
      <c r="E499" s="333"/>
      <c r="F499" s="333"/>
      <c r="G499" s="333"/>
      <c r="H499" s="333"/>
      <c r="I499" s="333"/>
      <c r="J499" s="333"/>
      <c r="K499" s="691"/>
      <c r="L499" s="691"/>
      <c r="M499" s="1040"/>
    </row>
    <row r="500" spans="2:12" ht="15">
      <c r="B500" s="17">
        <f t="shared" si="21" ref="B500:B550">B499+1</f>
        <v>1</v>
      </c>
      <c r="C500" s="334" t="s">
        <v>115</v>
      </c>
      <c r="D500" s="43"/>
      <c r="E500" s="43"/>
      <c r="F500" s="43"/>
      <c r="G500" s="43"/>
      <c r="H500" s="43"/>
      <c r="I500" s="43"/>
      <c r="J500" s="43"/>
      <c r="K500" s="691"/>
      <c r="L500" s="691"/>
    </row>
    <row r="501" spans="2:12" ht="15">
      <c r="B501" s="17">
        <f t="shared" si="21"/>
        <v>2</v>
      </c>
      <c r="C501" s="36" t="s">
        <v>610</v>
      </c>
      <c r="D501" s="44"/>
      <c r="E501" s="897" t="s">
        <v>132</v>
      </c>
      <c r="F501" s="914"/>
      <c r="G501" s="897"/>
      <c r="H501" s="914"/>
      <c r="I501" s="897"/>
      <c r="J501" s="914"/>
      <c r="K501" s="898"/>
      <c r="L501" s="36"/>
    </row>
    <row r="502" spans="2:33" ht="15">
      <c r="B502" s="17">
        <f t="shared" si="21"/>
        <v>3</v>
      </c>
      <c r="C502" s="36" t="s">
        <v>611</v>
      </c>
      <c r="D502" s="44"/>
      <c r="E502" s="897"/>
      <c r="F502" s="914"/>
      <c r="G502" s="897"/>
      <c r="H502" s="914"/>
      <c r="I502" s="897"/>
      <c r="J502" s="914"/>
      <c r="K502" s="898"/>
      <c r="L502" s="36"/>
      <c r="N502" s="839">
        <f>'WP II-I-1.1'!$J$118-' WP II-I-1.4'!L481-' WP II-I-1.4'!F481</f>
        <v>0</v>
      </c>
      <c r="O502" s="703" t="s">
        <v>1261</v>
      </c>
      <c r="P502" s="386"/>
      <c r="Q502" s="386"/>
      <c r="R502" s="386"/>
      <c r="S502" s="386"/>
      <c r="T502" s="386"/>
      <c r="U502" s="386"/>
      <c r="V502" s="386"/>
      <c r="W502" s="386"/>
      <c r="X502" s="386"/>
      <c r="Y502" s="386"/>
      <c r="Z502" s="386"/>
      <c r="AA502" s="386"/>
      <c r="AB502" s="386"/>
      <c r="AC502" s="386"/>
      <c r="AD502" s="386"/>
      <c r="AE502" s="386"/>
      <c r="AF502" s="386"/>
      <c r="AG502" s="386"/>
    </row>
    <row r="503" spans="2:14" s="386" customFormat="1" ht="12.75" customHeight="1">
      <c r="B503" s="17">
        <f t="shared" si="21"/>
        <v>4</v>
      </c>
      <c r="C503" s="386">
        <v>189</v>
      </c>
      <c r="D503" s="386" t="s">
        <v>1210</v>
      </c>
      <c r="E503" s="263"/>
      <c r="F503" s="118">
        <f>'II-I-DIST'!F503</f>
        <v>0</v>
      </c>
      <c r="G503" s="466" t="str">
        <f>'II-I-DIST'!$H$503</f>
        <v>PLANT</v>
      </c>
      <c r="H503" s="118">
        <f>'II-I-MET'!F503</f>
        <v>0</v>
      </c>
      <c r="I503" s="466" t="str">
        <f>'II-I-MET'!$H$503</f>
        <v>PLANT</v>
      </c>
      <c r="J503" s="118">
        <f>'II-I-TBILLTDCS'!F503</f>
        <v>0</v>
      </c>
      <c r="K503" s="466" t="str">
        <f>'II-I-TBILLTDCS'!$H503</f>
        <v>PLANT</v>
      </c>
      <c r="L503" s="893">
        <f t="shared" si="22" ref="L503:L534">F503+H503+J503</f>
        <v>0</v>
      </c>
      <c r="M503" s="1033"/>
      <c r="N503" s="839">
        <f>'WP II-I-1.1'!$J$119-' WP II-I-1.4'!L482-' WP II-I-1.4'!F482</f>
        <v>0</v>
      </c>
    </row>
    <row r="504" spans="2:33" s="386" customFormat="1" ht="15">
      <c r="B504" s="17">
        <f t="shared" si="21"/>
        <v>5</v>
      </c>
      <c r="C504">
        <v>182</v>
      </c>
      <c r="D504" t="s">
        <v>1211</v>
      </c>
      <c r="E504" s="897"/>
      <c r="F504" s="118">
        <f>'II-I-DIST'!F504</f>
        <v>0</v>
      </c>
      <c r="G504" s="118" t="str">
        <f>'II-I-DIST'!H504</f>
        <v>PLANT</v>
      </c>
      <c r="H504" s="118">
        <f>'II-I-MET'!F504</f>
        <v>0</v>
      </c>
      <c r="I504" s="466" t="str">
        <f>'II-I-MET'!$H504</f>
        <v>PLANT</v>
      </c>
      <c r="J504" s="118">
        <f>'II-I-TBILLTDCS'!F504</f>
        <v>0</v>
      </c>
      <c r="K504" s="466" t="str">
        <f>'II-I-TBILLTDCS'!$H504</f>
        <v>PLANT</v>
      </c>
      <c r="L504" s="893">
        <f t="shared" si="22"/>
        <v>0</v>
      </c>
      <c r="M504" s="1033"/>
      <c r="N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 spans="2:33" s="386" customFormat="1" ht="15">
      <c r="B505" s="17">
        <f t="shared" si="21"/>
        <v>6</v>
      </c>
      <c r="C505">
        <v>182</v>
      </c>
      <c r="D505" t="s">
        <v>1359</v>
      </c>
      <c r="E505" s="897"/>
      <c r="F505" s="118">
        <f>'II-I-DIST'!F505</f>
        <v>26088</v>
      </c>
      <c r="G505" s="118" t="str">
        <f>'II-I-DIST'!H505</f>
        <v>PLANT_xWHL</v>
      </c>
      <c r="H505" s="118">
        <f>'II-I-MET'!F505</f>
        <v>0</v>
      </c>
      <c r="I505" s="466" t="str">
        <f>'II-I-MET'!$H505</f>
        <v>PLANT_xWHL</v>
      </c>
      <c r="J505" s="118">
        <f>'II-I-TBILLTDCS'!F505</f>
        <v>0</v>
      </c>
      <c r="K505" s="466" t="str">
        <f>'II-I-TBILLTDCS'!$H505</f>
        <v>PLANT_xWHL</v>
      </c>
      <c r="L505" s="893">
        <f t="shared" si="22"/>
        <v>26088</v>
      </c>
      <c r="M505" s="1033"/>
      <c r="N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 spans="2:33" s="386" customFormat="1" ht="15">
      <c r="B506" s="17">
        <f t="shared" si="21"/>
        <v>7</v>
      </c>
      <c r="C506">
        <v>182</v>
      </c>
      <c r="D506" t="s">
        <v>1213</v>
      </c>
      <c r="E506" s="897"/>
      <c r="F506" s="118">
        <f>'II-I-DIST'!F506</f>
        <v>28752061.66</v>
      </c>
      <c r="G506" s="118" t="str">
        <f>'II-I-DIST'!H506</f>
        <v>PLANT_xWHL</v>
      </c>
      <c r="H506" s="118">
        <f>'II-I-MET'!F506</f>
        <v>1579203.8999999999</v>
      </c>
      <c r="I506" s="466" t="str">
        <f>'II-I-MET'!$H506</f>
        <v>PLANT_xWHL</v>
      </c>
      <c r="J506" s="118">
        <f>'II-I-TBILLTDCS'!F506</f>
        <v>1280747.8899999992</v>
      </c>
      <c r="K506" s="466" t="str">
        <f>'II-I-TBILLTDCS'!$H506</f>
        <v>PLANT_xWHL</v>
      </c>
      <c r="L506" s="893">
        <f t="shared" si="22"/>
        <v>31612013.449999999</v>
      </c>
      <c r="N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 spans="2:33" s="386" customFormat="1" ht="15">
      <c r="B507" s="17">
        <f t="shared" si="21"/>
        <v>8</v>
      </c>
      <c r="C507">
        <v>182</v>
      </c>
      <c r="D507" t="s">
        <v>135</v>
      </c>
      <c r="E507" s="897"/>
      <c r="F507" s="118">
        <f>'II-I-DIST'!F507</f>
        <v>105257009.84</v>
      </c>
      <c r="G507" s="118" t="str">
        <f>'II-I-DIST'!H507</f>
        <v>PAYROLL</v>
      </c>
      <c r="H507" s="118">
        <f>'II-I-MET'!F507</f>
        <v>25202869.899999999</v>
      </c>
      <c r="I507" s="466" t="str">
        <f>'II-I-MET'!$H507</f>
        <v>PAYROLL</v>
      </c>
      <c r="J507" s="118">
        <f>'II-I-TBILLTDCS'!F507</f>
        <v>6400179.7299999967</v>
      </c>
      <c r="K507" s="466" t="str">
        <f>'II-I-TBILLTDCS'!$H507</f>
        <v>PAYROLL</v>
      </c>
      <c r="L507" s="893">
        <f t="shared" si="22"/>
        <v>136860059.47</v>
      </c>
      <c r="M507" s="1033" t="s">
        <v>1066</v>
      </c>
      <c r="N507" s="1" t="e">
        <f>'II-I-DIST'!$C$507=#REF!</f>
        <v>#REF!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 spans="2:33" s="386" customFormat="1" ht="15">
      <c r="B508" s="17">
        <f t="shared" si="21"/>
        <v>9</v>
      </c>
      <c r="C508">
        <v>182</v>
      </c>
      <c r="D508" t="s">
        <v>136</v>
      </c>
      <c r="E508" s="897"/>
      <c r="F508" s="118">
        <f>'II-I-DIST'!F508</f>
        <v>-10594886.380000001</v>
      </c>
      <c r="G508" s="118" t="str">
        <f>'II-I-DIST'!H508</f>
        <v>PAYROLL</v>
      </c>
      <c r="H508" s="118">
        <f>'II-I-MET'!F508</f>
        <v>-2888676.04</v>
      </c>
      <c r="I508" s="466" t="str">
        <f>'II-I-MET'!$H508</f>
        <v>PAYROLL</v>
      </c>
      <c r="J508" s="118">
        <f>'II-I-TBILLTDCS'!F508</f>
        <v>-116244.11999999825</v>
      </c>
      <c r="K508" s="466" t="str">
        <f>'II-I-TBILLTDCS'!$H508</f>
        <v>PAYROLL</v>
      </c>
      <c r="L508" s="893">
        <f t="shared" si="22"/>
        <v>-13599806.539999999</v>
      </c>
      <c r="M508" s="1033" t="s">
        <v>1066</v>
      </c>
      <c r="N508" s="1" t="e">
        <f>'II-I-DIST'!$D$508=#REF!</f>
        <v>#REF!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 spans="2:33" s="386" customFormat="1" ht="15">
      <c r="B509" s="17">
        <f t="shared" si="21"/>
        <v>10</v>
      </c>
      <c r="C509">
        <v>182</v>
      </c>
      <c r="D509" t="s">
        <v>137</v>
      </c>
      <c r="E509" s="897"/>
      <c r="F509" s="118">
        <f>'II-I-DIST'!F509</f>
        <v>11449481.08</v>
      </c>
      <c r="G509" s="118" t="str">
        <f>'II-I-DIST'!H509</f>
        <v>OPEB TOTAL</v>
      </c>
      <c r="H509" s="118">
        <f>'II-I-MET'!F509</f>
        <v>2741478.0499999998</v>
      </c>
      <c r="I509" s="466" t="str">
        <f>'II-I-MET'!$H509</f>
        <v>OPEB TOTAL</v>
      </c>
      <c r="J509" s="118">
        <f>'II-I-TBILLTDCS'!F509</f>
        <v>696188.65999999922</v>
      </c>
      <c r="K509" s="466" t="str">
        <f>'II-I-TBILLTDCS'!$H509</f>
        <v>OPEB TOTAL</v>
      </c>
      <c r="L509" s="893">
        <f t="shared" si="22"/>
        <v>14887147.789999999</v>
      </c>
      <c r="M509" s="1033" t="s">
        <v>1067</v>
      </c>
      <c r="N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 spans="2:33" s="386" customFormat="1" ht="14.25">
      <c r="B510" s="17">
        <f t="shared" si="21"/>
        <v>11</v>
      </c>
      <c r="C510">
        <v>182</v>
      </c>
      <c r="D510" t="s">
        <v>1360</v>
      </c>
      <c r="E510" s="263"/>
      <c r="F510" s="118">
        <f>'II-I-DIST'!F510</f>
        <v>0</v>
      </c>
      <c r="G510" s="118" t="str">
        <f>'II-I-DIST'!H510</f>
        <v>OPEB TOTAL</v>
      </c>
      <c r="H510" s="118">
        <f>'II-I-MET'!F510</f>
        <v>0</v>
      </c>
      <c r="I510" s="466" t="str">
        <f>'II-I-MET'!$H510</f>
        <v>OPEB TOTAL</v>
      </c>
      <c r="J510" s="118">
        <f>'II-I-TBILLTDCS'!F510</f>
        <v>0</v>
      </c>
      <c r="K510" s="466" t="str">
        <f>'II-I-TBILLTDCS'!$H510</f>
        <v>OPEB TOTAL</v>
      </c>
      <c r="L510" s="893">
        <f t="shared" si="22"/>
        <v>0</v>
      </c>
      <c r="M510" s="1033" t="s">
        <v>1067</v>
      </c>
      <c r="N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 spans="2:33" s="386" customFormat="1" ht="15">
      <c r="B511" s="17">
        <f t="shared" si="21"/>
        <v>12</v>
      </c>
      <c r="C511">
        <v>182</v>
      </c>
      <c r="D511" t="s">
        <v>1361</v>
      </c>
      <c r="E511" s="897"/>
      <c r="F511" s="118">
        <f>'II-I-DIST'!F511</f>
        <v>0</v>
      </c>
      <c r="G511" s="118" t="str">
        <f>'II-I-DIST'!H511</f>
        <v>PLANT</v>
      </c>
      <c r="H511" s="118">
        <f>'II-I-MET'!F511</f>
        <v>0</v>
      </c>
      <c r="I511" s="466" t="str">
        <f>'II-I-MET'!$H511</f>
        <v>PLANT</v>
      </c>
      <c r="J511" s="118">
        <f>'II-I-TBILLTDCS'!F511</f>
        <v>0</v>
      </c>
      <c r="K511" s="466" t="str">
        <f>'II-I-TBILLTDCS'!$H511</f>
        <v>PLANT</v>
      </c>
      <c r="L511" s="893">
        <f t="shared" si="22"/>
        <v>0</v>
      </c>
      <c r="M511" s="1033"/>
      <c r="N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 spans="2:33" s="386" customFormat="1" ht="15">
      <c r="B512" s="17">
        <f t="shared" si="21"/>
        <v>13</v>
      </c>
      <c r="C512">
        <v>182</v>
      </c>
      <c r="D512" t="s">
        <v>1362</v>
      </c>
      <c r="E512" s="897"/>
      <c r="F512" s="118">
        <f>'II-I-DIST'!F512</f>
        <v>0</v>
      </c>
      <c r="G512" s="118" t="str">
        <f>'II-I-DIST'!H512</f>
        <v>OPEB TOTAL</v>
      </c>
      <c r="H512" s="118">
        <f>'II-I-MET'!F512</f>
        <v>0</v>
      </c>
      <c r="I512" s="466" t="str">
        <f>'II-I-MET'!$H512</f>
        <v>OPEB TOTAL</v>
      </c>
      <c r="J512" s="118">
        <f>'II-I-TBILLTDCS'!F512</f>
        <v>0</v>
      </c>
      <c r="K512" s="466" t="str">
        <f>'II-I-TBILLTDCS'!$H512</f>
        <v>OPEB TOTAL</v>
      </c>
      <c r="L512" s="893">
        <f t="shared" si="22"/>
        <v>0</v>
      </c>
      <c r="M512" s="1033"/>
      <c r="N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 spans="2:33" s="386" customFormat="1" ht="15">
      <c r="B513" s="17">
        <f t="shared" si="21"/>
        <v>14</v>
      </c>
      <c r="C513">
        <v>186</v>
      </c>
      <c r="D513" t="s">
        <v>1335</v>
      </c>
      <c r="E513" s="897"/>
      <c r="F513" s="118">
        <f>'II-I-DIST'!F513</f>
        <v>0</v>
      </c>
      <c r="G513" s="118" t="str">
        <f>'II-I-DIST'!H513</f>
        <v>PLT 370</v>
      </c>
      <c r="H513" s="118">
        <f>'II-I-MET'!F513</f>
        <v>80079.689999999973</v>
      </c>
      <c r="I513" s="466" t="str">
        <f>'II-I-MET'!$H513</f>
        <v>PLT 370</v>
      </c>
      <c r="J513" s="118">
        <f>'II-I-TBILLTDCS'!F513</f>
        <v>0</v>
      </c>
      <c r="K513" s="466" t="str">
        <f>'II-I-TBILLTDCS'!$H513</f>
        <v>PLT 370</v>
      </c>
      <c r="L513" s="893">
        <f t="shared" si="22"/>
        <v>80079.689999999973</v>
      </c>
      <c r="N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 spans="2:33" s="386" customFormat="1" ht="15">
      <c r="B514" s="17">
        <f t="shared" si="21"/>
        <v>15</v>
      </c>
      <c r="C514">
        <v>186</v>
      </c>
      <c r="D514" t="s">
        <v>1216</v>
      </c>
      <c r="E514" s="897"/>
      <c r="F514" s="118">
        <f>'II-I-DIST'!F514</f>
        <v>0</v>
      </c>
      <c r="G514" s="118" t="str">
        <f>'II-I-DIST'!H514</f>
        <v>PLT 370</v>
      </c>
      <c r="H514" s="118">
        <f>'II-I-MET'!F514</f>
        <v>0</v>
      </c>
      <c r="I514" s="466" t="str">
        <f>'II-I-MET'!$H514</f>
        <v>PLT 370</v>
      </c>
      <c r="J514" s="118">
        <f>'II-I-TBILLTDCS'!F514</f>
        <v>0</v>
      </c>
      <c r="K514" s="466" t="str">
        <f>'II-I-TBILLTDCS'!$H514</f>
        <v>PLT 370</v>
      </c>
      <c r="L514" s="893">
        <f t="shared" si="22"/>
        <v>0</v>
      </c>
      <c r="N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 spans="2:33" s="386" customFormat="1" ht="15">
      <c r="B515" s="17">
        <f t="shared" si="21"/>
        <v>16</v>
      </c>
      <c r="C515">
        <v>186</v>
      </c>
      <c r="D515" t="s">
        <v>1217</v>
      </c>
      <c r="E515" s="897"/>
      <c r="F515" s="118">
        <f>'II-I-DIST'!F515</f>
        <v>178482.85000000001</v>
      </c>
      <c r="G515" s="118" t="str">
        <f>'II-I-DIST'!H515</f>
        <v>PLANT</v>
      </c>
      <c r="H515" s="118">
        <f>'II-I-MET'!F515</f>
        <v>0</v>
      </c>
      <c r="I515" s="466" t="str">
        <f>'II-I-MET'!$H515</f>
        <v>PLT 370</v>
      </c>
      <c r="J515" s="118">
        <f>'II-I-TBILLTDCS'!F515</f>
        <v>0</v>
      </c>
      <c r="K515" s="466" t="str">
        <f>'II-I-TBILLTDCS'!$H515</f>
        <v>PLANT</v>
      </c>
      <c r="L515" s="893">
        <f t="shared" si="22"/>
        <v>178482.85000000001</v>
      </c>
      <c r="M515" s="1033"/>
      <c r="N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 spans="2:33" s="386" customFormat="1" ht="15">
      <c r="B516" s="17">
        <f t="shared" si="21"/>
        <v>17</v>
      </c>
      <c r="C516">
        <v>186</v>
      </c>
      <c r="D516" t="s">
        <v>1218</v>
      </c>
      <c r="E516" s="897"/>
      <c r="F516" s="118">
        <f>'II-I-DIST'!F516</f>
        <v>304615.98999999999</v>
      </c>
      <c r="G516" s="118" t="str">
        <f>'II-I-DIST'!H516</f>
        <v>PLANT</v>
      </c>
      <c r="H516" s="118">
        <f>'II-I-MET'!F516</f>
        <v>0</v>
      </c>
      <c r="I516" s="466" t="str">
        <f>'II-I-MET'!$H516</f>
        <v>PLT 370</v>
      </c>
      <c r="J516" s="118">
        <f>'II-I-TBILLTDCS'!F516</f>
        <v>0</v>
      </c>
      <c r="K516" s="466" t="str">
        <f>'II-I-TBILLTDCS'!$H516</f>
        <v>PLANT</v>
      </c>
      <c r="L516" s="893">
        <f t="shared" si="22"/>
        <v>304615.98999999999</v>
      </c>
      <c r="M516" s="1033"/>
      <c r="N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 spans="2:33" s="386" customFormat="1" ht="15">
      <c r="B517" s="17">
        <f t="shared" si="21"/>
        <v>18</v>
      </c>
      <c r="C517">
        <v>186</v>
      </c>
      <c r="D517" t="s">
        <v>1219</v>
      </c>
      <c r="E517" s="897"/>
      <c r="F517" s="118">
        <f>'II-I-DIST'!F517</f>
        <v>167728.14000000001</v>
      </c>
      <c r="G517" s="118" t="str">
        <f>'II-I-DIST'!H517</f>
        <v>PLANT</v>
      </c>
      <c r="H517" s="118">
        <f>'II-I-MET'!F517</f>
        <v>0</v>
      </c>
      <c r="I517" s="466" t="str">
        <f>'II-I-MET'!$H517</f>
        <v>PLANT</v>
      </c>
      <c r="J517" s="118">
        <f>'II-I-TBILLTDCS'!F517</f>
        <v>0</v>
      </c>
      <c r="K517" s="466" t="str">
        <f>'II-I-TBILLTDCS'!$H517</f>
        <v>PLANT</v>
      </c>
      <c r="L517" s="893">
        <f t="shared" si="22"/>
        <v>167728.14000000001</v>
      </c>
      <c r="M517" s="1033"/>
      <c r="N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 spans="2:33" s="386" customFormat="1" ht="14.25">
      <c r="B518" s="17">
        <f t="shared" si="21"/>
        <v>19</v>
      </c>
      <c r="C518">
        <v>186</v>
      </c>
      <c r="D518" t="s">
        <v>1363</v>
      </c>
      <c r="E518" s="263"/>
      <c r="F518" s="118">
        <f>'II-I-DIST'!F518</f>
        <v>215521.45999999999</v>
      </c>
      <c r="G518" s="118" t="str">
        <f>'II-I-DIST'!H518</f>
        <v>PLANT</v>
      </c>
      <c r="H518" s="118">
        <f>'II-I-MET'!F518</f>
        <v>0</v>
      </c>
      <c r="I518" s="466" t="str">
        <f>'II-I-MET'!$H518</f>
        <v>PLANT</v>
      </c>
      <c r="J518" s="118">
        <f>'II-I-TBILLTDCS'!F518</f>
        <v>0</v>
      </c>
      <c r="K518" s="466" t="str">
        <f>'II-I-TBILLTDCS'!$H518</f>
        <v>PLANT</v>
      </c>
      <c r="L518" s="893">
        <f t="shared" si="22"/>
        <v>215521.45999999999</v>
      </c>
      <c r="N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 spans="2:33" s="386" customFormat="1" ht="14.25">
      <c r="B519" s="17">
        <f t="shared" si="21"/>
        <v>20</v>
      </c>
      <c r="C519">
        <v>186</v>
      </c>
      <c r="D519" t="s">
        <v>1364</v>
      </c>
      <c r="E519" s="263"/>
      <c r="F519" s="118">
        <f>'II-I-DIST'!F519</f>
        <v>586172.70000000007</v>
      </c>
      <c r="G519" s="118" t="str">
        <f>'II-I-DIST'!H519</f>
        <v>PLANT</v>
      </c>
      <c r="H519" s="118">
        <f>'II-I-MET'!F519</f>
        <v>0</v>
      </c>
      <c r="I519" s="466" t="str">
        <f>'II-I-MET'!$H519</f>
        <v>PLANT</v>
      </c>
      <c r="J519" s="118">
        <f>'II-I-TBILLTDCS'!F519</f>
        <v>0</v>
      </c>
      <c r="K519" s="466" t="str">
        <f>'II-I-TBILLTDCS'!$H519</f>
        <v>PLANT</v>
      </c>
      <c r="L519" s="893">
        <f t="shared" si="22"/>
        <v>586172.70000000007</v>
      </c>
      <c r="N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 spans="2:33" s="386" customFormat="1" ht="15">
      <c r="B520" s="17">
        <f t="shared" si="21"/>
        <v>21</v>
      </c>
      <c r="C520">
        <v>186</v>
      </c>
      <c r="D520" t="s">
        <v>1221</v>
      </c>
      <c r="E520" s="897"/>
      <c r="F520" s="118">
        <f>'II-I-DIST'!F520</f>
        <v>334785.03000000003</v>
      </c>
      <c r="G520" s="118" t="str">
        <f>'II-I-DIST'!H520</f>
        <v>PLANT</v>
      </c>
      <c r="H520" s="118">
        <f>'II-I-MET'!F520</f>
        <v>0</v>
      </c>
      <c r="I520" s="466" t="str">
        <f>'II-I-MET'!$H520</f>
        <v>PLANT</v>
      </c>
      <c r="J520" s="118">
        <f>'II-I-TBILLTDCS'!F520</f>
        <v>0</v>
      </c>
      <c r="K520" s="466" t="str">
        <f>'II-I-TBILLTDCS'!$H520</f>
        <v>PLANT</v>
      </c>
      <c r="L520" s="893">
        <f t="shared" si="22"/>
        <v>334785.03000000003</v>
      </c>
      <c r="M520" s="1033"/>
      <c r="N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 spans="2:33" s="386" customFormat="1" ht="15">
      <c r="B521" s="17">
        <f t="shared" si="21"/>
        <v>22</v>
      </c>
      <c r="C521">
        <v>186</v>
      </c>
      <c r="D521" t="s">
        <v>1222</v>
      </c>
      <c r="E521" s="897"/>
      <c r="F521" s="118">
        <f>'II-I-DIST'!F521</f>
        <v>6700000</v>
      </c>
      <c r="G521" s="118" t="str">
        <f>'II-I-DIST'!H521</f>
        <v>PLANT</v>
      </c>
      <c r="H521" s="118">
        <f>'II-I-MET'!F521</f>
        <v>0</v>
      </c>
      <c r="I521" s="466" t="str">
        <f>'II-I-MET'!$H521</f>
        <v>PLANT</v>
      </c>
      <c r="J521" s="118">
        <f>'II-I-TBILLTDCS'!F521</f>
        <v>0</v>
      </c>
      <c r="K521" s="466" t="str">
        <f>'II-I-TBILLTDCS'!$H521</f>
        <v>PLANT</v>
      </c>
      <c r="L521" s="893">
        <f t="shared" si="22"/>
        <v>6700000</v>
      </c>
      <c r="M521" s="1033"/>
      <c r="N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 spans="2:33" s="386" customFormat="1" ht="15">
      <c r="B522" s="17">
        <f t="shared" si="21"/>
        <v>23</v>
      </c>
      <c r="C522">
        <v>182</v>
      </c>
      <c r="D522" t="s">
        <v>1223</v>
      </c>
      <c r="E522" s="897"/>
      <c r="F522" s="118">
        <f>'II-I-DIST'!F522</f>
        <v>75267069.370000005</v>
      </c>
      <c r="G522" s="118" t="str">
        <f>'II-I-DIST'!H522</f>
        <v>PLANT</v>
      </c>
      <c r="H522" s="118">
        <f>'II-I-MET'!F522</f>
        <v>0</v>
      </c>
      <c r="I522" s="466" t="str">
        <f>'II-I-MET'!$H522</f>
        <v>PLANT</v>
      </c>
      <c r="J522" s="118">
        <f>'II-I-TBILLTDCS'!F522</f>
        <v>0</v>
      </c>
      <c r="K522" s="466" t="str">
        <f>'II-I-TBILLTDCS'!$H522</f>
        <v>PLANT</v>
      </c>
      <c r="L522" s="893">
        <f t="shared" si="22"/>
        <v>75267069.370000005</v>
      </c>
      <c r="M522" s="1033"/>
      <c r="N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 spans="2:33" s="386" customFormat="1" ht="15.75" customHeight="1">
      <c r="B523" s="17">
        <f t="shared" si="21"/>
        <v>24</v>
      </c>
      <c r="C523">
        <v>182</v>
      </c>
      <c r="D523" t="s">
        <v>1224</v>
      </c>
      <c r="E523" s="897"/>
      <c r="F523" s="118">
        <f>'II-I-DIST'!F523</f>
        <v>627362.98999999999</v>
      </c>
      <c r="G523" s="118" t="str">
        <f>'II-I-DIST'!H523</f>
        <v>PLANT</v>
      </c>
      <c r="H523" s="118">
        <f>'II-I-MET'!F523</f>
        <v>0</v>
      </c>
      <c r="I523" s="466" t="str">
        <f>'II-I-MET'!$H523</f>
        <v>PLANT</v>
      </c>
      <c r="J523" s="118">
        <f>'II-I-TBILLTDCS'!F523</f>
        <v>0</v>
      </c>
      <c r="K523" s="466" t="str">
        <f>'II-I-TBILLTDCS'!$H523</f>
        <v>PLANT</v>
      </c>
      <c r="L523" s="893">
        <f t="shared" si="22"/>
        <v>627362.98999999999</v>
      </c>
      <c r="M523" s="1033" t="s">
        <v>1063</v>
      </c>
      <c r="N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 spans="2:33" s="386" customFormat="1" ht="15">
      <c r="B524" s="17">
        <f t="shared" si="21"/>
        <v>25</v>
      </c>
      <c r="C524">
        <v>182</v>
      </c>
      <c r="D524" t="s">
        <v>1225</v>
      </c>
      <c r="E524" s="897"/>
      <c r="F524" s="118">
        <f>'II-I-DIST'!F524</f>
        <v>0</v>
      </c>
      <c r="G524" s="118" t="str">
        <f>'II-I-DIST'!H524</f>
        <v>PLANT</v>
      </c>
      <c r="H524" s="118">
        <f>'II-I-MET'!F524</f>
        <v>0</v>
      </c>
      <c r="I524" s="466" t="str">
        <f>'II-I-MET'!$H524</f>
        <v>PLANT</v>
      </c>
      <c r="J524" s="118">
        <f>'II-I-TBILLTDCS'!F524</f>
        <v>0</v>
      </c>
      <c r="K524" s="466" t="str">
        <f>'II-I-TBILLTDCS'!$H524</f>
        <v>PLANT</v>
      </c>
      <c r="L524" s="893">
        <f t="shared" si="22"/>
        <v>0</v>
      </c>
      <c r="M524" s="1033"/>
      <c r="N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 spans="2:33" s="386" customFormat="1" ht="15">
      <c r="B525" s="17">
        <f t="shared" si="21"/>
        <v>26</v>
      </c>
      <c r="C525">
        <v>182</v>
      </c>
      <c r="D525" t="s">
        <v>1226</v>
      </c>
      <c r="E525" s="897"/>
      <c r="F525" s="118">
        <f>'II-I-DIST'!F525</f>
        <v>613207.77999999933</v>
      </c>
      <c r="G525" s="118" t="str">
        <f>'II-I-DIST'!H525</f>
        <v>PLANT</v>
      </c>
      <c r="H525" s="118">
        <f>'II-I-MET'!F525</f>
        <v>0</v>
      </c>
      <c r="I525" s="466" t="str">
        <f>'II-I-MET'!$H525</f>
        <v>PLANT</v>
      </c>
      <c r="J525" s="118">
        <f>'II-I-TBILLTDCS'!F525</f>
        <v>0</v>
      </c>
      <c r="K525" s="466" t="str">
        <f>'II-I-TBILLTDCS'!$H525</f>
        <v>PLANT</v>
      </c>
      <c r="L525" s="893">
        <f t="shared" si="22"/>
        <v>613207.77999999933</v>
      </c>
      <c r="M525" s="1033"/>
      <c r="N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 spans="2:33" s="386" customFormat="1" ht="15">
      <c r="B526" s="17">
        <f t="shared" si="21"/>
        <v>27</v>
      </c>
      <c r="C526">
        <v>182</v>
      </c>
      <c r="D526" t="s">
        <v>992</v>
      </c>
      <c r="E526" s="897"/>
      <c r="F526" s="118">
        <f>'II-I-DIST'!F526</f>
        <v>0</v>
      </c>
      <c r="G526" s="118" t="str">
        <f>'II-I-DIST'!H526</f>
        <v>PLT 370</v>
      </c>
      <c r="H526" s="118">
        <f>'II-I-MET'!F526</f>
        <v>0</v>
      </c>
      <c r="I526" s="466" t="str">
        <f>'II-I-MET'!$H526</f>
        <v>PLANT</v>
      </c>
      <c r="J526" s="118">
        <f>'II-I-TBILLTDCS'!F526</f>
        <v>8358753.9900000002</v>
      </c>
      <c r="K526" s="466" t="str">
        <f>'II-I-TBILLTDCS'!$H526</f>
        <v>PLANT</v>
      </c>
      <c r="L526" s="893">
        <f t="shared" si="22"/>
        <v>8358753.9900000002</v>
      </c>
      <c r="M526" s="1033"/>
      <c r="N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 spans="2:33" s="386" customFormat="1" ht="15">
      <c r="B527" s="17">
        <f t="shared" si="21"/>
        <v>28</v>
      </c>
      <c r="C527">
        <v>182</v>
      </c>
      <c r="D527" t="s">
        <v>993</v>
      </c>
      <c r="E527" s="897"/>
      <c r="F527" s="118">
        <f>'II-I-DIST'!F527</f>
        <v>0</v>
      </c>
      <c r="G527" s="118" t="str">
        <f>'II-I-DIST'!H527</f>
        <v>PLT 370</v>
      </c>
      <c r="H527" s="118">
        <f>'II-I-MET'!F527</f>
        <v>59200.770000000004</v>
      </c>
      <c r="I527" s="466" t="str">
        <f>'II-I-MET'!$H527</f>
        <v>PLT 370</v>
      </c>
      <c r="J527" s="118">
        <f>'II-I-TBILLTDCS'!F527</f>
        <v>0</v>
      </c>
      <c r="K527" s="466" t="str">
        <f>'II-I-TBILLTDCS'!$H527</f>
        <v>PLT 370</v>
      </c>
      <c r="L527" s="893">
        <f t="shared" si="22"/>
        <v>59200.770000000004</v>
      </c>
      <c r="M527" s="1033"/>
      <c r="N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 spans="2:33" s="386" customFormat="1" ht="15">
      <c r="B528" s="17">
        <f t="shared" si="21"/>
        <v>29</v>
      </c>
      <c r="C528">
        <v>182</v>
      </c>
      <c r="D528" t="s">
        <v>140</v>
      </c>
      <c r="E528" s="897"/>
      <c r="F528" s="118">
        <f>'II-I-DIST'!F528</f>
        <v>0</v>
      </c>
      <c r="G528" s="118" t="str">
        <f>'II-I-DIST'!H528</f>
        <v>PLT 370</v>
      </c>
      <c r="H528" s="118">
        <f>'II-I-MET'!F528</f>
        <v>524869.04000000004</v>
      </c>
      <c r="I528" s="466" t="str">
        <f>'II-I-MET'!$H528</f>
        <v>PLT 370</v>
      </c>
      <c r="J528" s="118">
        <f>'II-I-TBILLTDCS'!F528</f>
        <v>0</v>
      </c>
      <c r="K528" s="466" t="str">
        <f>'II-I-TBILLTDCS'!$H528</f>
        <v>PLT 370</v>
      </c>
      <c r="L528" s="893">
        <f t="shared" si="22"/>
        <v>524869.04000000004</v>
      </c>
      <c r="M528" s="1033"/>
      <c r="N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 spans="2:33" s="386" customFormat="1" ht="15">
      <c r="B529" s="17">
        <f t="shared" si="21"/>
        <v>30</v>
      </c>
      <c r="C529">
        <v>182</v>
      </c>
      <c r="D529" t="s">
        <v>994</v>
      </c>
      <c r="E529" s="897"/>
      <c r="F529" s="118">
        <f>'II-I-DIST'!F529</f>
        <v>0</v>
      </c>
      <c r="G529" s="118" t="str">
        <f>'II-I-DIST'!H529</f>
        <v>PLT 370</v>
      </c>
      <c r="H529" s="118">
        <f>'II-I-MET'!F529</f>
        <v>127299791.38</v>
      </c>
      <c r="I529" s="466" t="str">
        <f>'II-I-MET'!$H529</f>
        <v>PLT 370</v>
      </c>
      <c r="J529" s="118">
        <f>'II-I-TBILLTDCS'!F529</f>
        <v>0</v>
      </c>
      <c r="K529" s="466" t="str">
        <f>'II-I-TBILLTDCS'!$H529</f>
        <v>PLT 370</v>
      </c>
      <c r="L529" s="893">
        <f t="shared" si="22"/>
        <v>127299791.38</v>
      </c>
      <c r="M529" s="1033"/>
      <c r="N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 spans="2:33" s="386" customFormat="1" ht="16.5" customHeight="1">
      <c r="B530" s="17">
        <f t="shared" si="21"/>
        <v>31</v>
      </c>
      <c r="C530">
        <v>182</v>
      </c>
      <c r="D530" t="s">
        <v>139</v>
      </c>
      <c r="E530" s="897"/>
      <c r="F530" s="118">
        <f>'II-I-DIST'!F530</f>
        <v>0</v>
      </c>
      <c r="G530" s="118" t="str">
        <f>'II-I-DIST'!H530</f>
        <v>PLANT_xWHL</v>
      </c>
      <c r="H530" s="118">
        <f>'II-I-MET'!F530</f>
        <v>0</v>
      </c>
      <c r="I530" s="466" t="str">
        <f>'II-I-MET'!$H530</f>
        <v>PLANT_xWHL</v>
      </c>
      <c r="J530" s="118">
        <f>'II-I-TBILLTDCS'!F530</f>
        <v>0</v>
      </c>
      <c r="K530" s="466" t="str">
        <f>'II-I-TBILLTDCS'!$H530</f>
        <v>PLANT_xWHL</v>
      </c>
      <c r="L530" s="893">
        <f t="shared" si="22"/>
        <v>0</v>
      </c>
      <c r="M530" s="1033"/>
      <c r="N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 spans="2:33" s="386" customFormat="1" ht="21" customHeight="1">
      <c r="B531" s="17">
        <f t="shared" si="21"/>
        <v>32</v>
      </c>
      <c r="C531">
        <v>182</v>
      </c>
      <c r="D531" t="s">
        <v>1227</v>
      </c>
      <c r="E531" s="897"/>
      <c r="F531" s="118">
        <f>'II-I-DIST'!F531</f>
        <v>0</v>
      </c>
      <c r="G531" s="118" t="str">
        <f>'II-I-DIST'!H531</f>
        <v>PLANT</v>
      </c>
      <c r="H531" s="118">
        <f>'II-I-MET'!F531</f>
        <v>0</v>
      </c>
      <c r="I531" s="466" t="str">
        <f>'II-I-MET'!$H531</f>
        <v>PLANT</v>
      </c>
      <c r="J531" s="118">
        <f>'II-I-TBILLTDCS'!F531</f>
        <v>0</v>
      </c>
      <c r="K531" s="466" t="str">
        <f>'II-I-TBILLTDCS'!$H531</f>
        <v>PLANT</v>
      </c>
      <c r="L531" s="893">
        <f t="shared" si="22"/>
        <v>0</v>
      </c>
      <c r="M531" s="1033"/>
      <c r="N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 spans="2:33" s="386" customFormat="1" ht="29.25" customHeight="1">
      <c r="B532" s="17">
        <f t="shared" si="21"/>
        <v>33</v>
      </c>
      <c r="C532">
        <v>186</v>
      </c>
      <c r="D532" t="s">
        <v>1228</v>
      </c>
      <c r="E532" s="897"/>
      <c r="F532" s="118">
        <f>'II-I-DIST'!F532</f>
        <v>0</v>
      </c>
      <c r="G532" s="118" t="str">
        <f>'II-I-DIST'!H532</f>
        <v>PAYROLL</v>
      </c>
      <c r="H532" s="118">
        <f>'II-I-MET'!F532</f>
        <v>0</v>
      </c>
      <c r="I532" s="466" t="str">
        <f>'II-I-MET'!$H532</f>
        <v>PAYROLL</v>
      </c>
      <c r="J532" s="118">
        <f>'II-I-TBILLTDCS'!F532</f>
        <v>0</v>
      </c>
      <c r="K532" s="466" t="str">
        <f>'II-I-TBILLTDCS'!$H532</f>
        <v>PAYROLL</v>
      </c>
      <c r="L532" s="893">
        <f t="shared" si="22"/>
        <v>0</v>
      </c>
      <c r="M532" s="1033" t="s">
        <v>1063</v>
      </c>
      <c r="N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 spans="2:33" ht="19.5" customHeight="1">
      <c r="B533" s="17">
        <f t="shared" si="21"/>
        <v>34</v>
      </c>
      <c r="C533" s="691">
        <v>186</v>
      </c>
      <c r="D533" s="691" t="s">
        <v>995</v>
      </c>
      <c r="E533" s="897"/>
      <c r="F533" s="118">
        <f>'II-I-DIST'!F533</f>
        <v>221954256.47</v>
      </c>
      <c r="G533" s="118" t="str">
        <f>'II-I-DIST'!H533</f>
        <v>PLANT</v>
      </c>
      <c r="H533" s="118">
        <f>'II-I-MET'!F533</f>
        <v>0</v>
      </c>
      <c r="I533" s="466" t="str">
        <f>'II-I-MET'!$H533</f>
        <v>PLANT</v>
      </c>
      <c r="J533" s="118">
        <f>'II-I-TBILLTDCS'!F533</f>
        <v>0</v>
      </c>
      <c r="K533" s="466" t="str">
        <f>'II-I-TBILLTDCS'!$H533</f>
        <v>PLANT</v>
      </c>
      <c r="L533" s="893">
        <f t="shared" si="22"/>
        <v>221954256.47</v>
      </c>
      <c r="N533" s="839">
        <f>'WP II-I-1.1'!$J$123-' WP II-I-1.4'!L503-' WP II-I-1.4'!F503</f>
        <v>0</v>
      </c>
      <c r="R533" s="703"/>
      <c r="S533" s="703"/>
      <c r="T533" s="386"/>
      <c r="U533" s="386"/>
      <c r="V533" s="386"/>
      <c r="W533" s="386"/>
      <c r="X533" s="386"/>
      <c r="Y533" s="386"/>
      <c r="Z533" s="386"/>
      <c r="AA533" s="386"/>
      <c r="AB533" s="386"/>
      <c r="AC533" s="386"/>
      <c r="AD533" s="386"/>
      <c r="AE533" s="386"/>
      <c r="AF533" s="386"/>
      <c r="AG533" s="386"/>
    </row>
    <row r="534" spans="2:33" ht="15">
      <c r="B534" s="17">
        <f t="shared" si="21"/>
        <v>35</v>
      </c>
      <c r="C534" s="691">
        <v>186</v>
      </c>
      <c r="D534" s="691" t="s">
        <v>996</v>
      </c>
      <c r="E534" s="897"/>
      <c r="F534" s="201">
        <f>'II-I-DIST'!F534</f>
        <v>340803895.18000001</v>
      </c>
      <c r="G534" s="118" t="str">
        <f>'II-I-DIST'!H534</f>
        <v>PLANT</v>
      </c>
      <c r="H534" s="201">
        <f>'II-I-MET'!F534</f>
        <v>0</v>
      </c>
      <c r="I534" s="466" t="str">
        <f>'II-I-MET'!$H534</f>
        <v>PLANT</v>
      </c>
      <c r="J534" s="201">
        <f>'II-I-TBILLTDCS'!F534</f>
        <v>0</v>
      </c>
      <c r="K534" s="466" t="str">
        <f>'II-I-TBILLTDCS'!$H534</f>
        <v>PLANT</v>
      </c>
      <c r="L534" s="893">
        <f t="shared" si="22"/>
        <v>340803895.18000001</v>
      </c>
      <c r="N534" s="839">
        <f>'WP II-I-1.1'!$J$124-' WP II-I-1.4'!L504-' WP II-I-1.4'!F504</f>
        <v>0</v>
      </c>
      <c r="R534" s="703"/>
      <c r="S534" s="703"/>
      <c r="T534" s="386"/>
      <c r="U534" s="386"/>
      <c r="V534" s="386"/>
      <c r="W534" s="386"/>
      <c r="X534" s="386"/>
      <c r="Y534" s="386"/>
      <c r="Z534" s="386"/>
      <c r="AA534" s="386"/>
      <c r="AB534" s="386"/>
      <c r="AC534" s="386"/>
      <c r="AD534" s="386"/>
      <c r="AE534" s="386"/>
      <c r="AF534" s="386"/>
      <c r="AG534" s="386"/>
    </row>
    <row r="535" spans="2:33" ht="15">
      <c r="B535" s="17">
        <f t="shared" si="21"/>
        <v>36</v>
      </c>
      <c r="C535" s="43"/>
      <c r="D535" s="1139" t="s">
        <v>1262</v>
      </c>
      <c r="E535" s="897"/>
      <c r="F535" s="898">
        <f>SUM(F503:F534)</f>
        <v>782642852.16000009</v>
      </c>
      <c r="G535" s="118">
        <f>'II-I-DIST'!H535</f>
        <v>0</v>
      </c>
      <c r="H535" s="898">
        <f>SUM(H503:H534)</f>
        <v>154598816.69</v>
      </c>
      <c r="I535" s="466"/>
      <c r="J535" s="898">
        <f>SUM(J503:J534)</f>
        <v>16619626.149999997</v>
      </c>
      <c r="K535" s="898"/>
      <c r="L535" s="898">
        <f>SUM(L503:L534)</f>
        <v>953861295</v>
      </c>
      <c r="N535" s="839"/>
      <c r="O535" s="691"/>
      <c r="P535" s="691"/>
      <c r="R535" s="703"/>
      <c r="S535" s="703"/>
      <c r="T535" s="386"/>
      <c r="U535" s="386"/>
      <c r="V535" s="386"/>
      <c r="W535" s="386"/>
      <c r="X535" s="386"/>
      <c r="Y535" s="386"/>
      <c r="Z535" s="386"/>
      <c r="AA535" s="386"/>
      <c r="AB535" s="386"/>
      <c r="AC535" s="386"/>
      <c r="AD535" s="386"/>
      <c r="AE535" s="386"/>
      <c r="AF535" s="386"/>
      <c r="AG535" s="386"/>
    </row>
    <row r="536" spans="2:33" ht="15">
      <c r="B536" s="17">
        <f t="shared" si="21"/>
        <v>37</v>
      </c>
      <c r="C536" s="43"/>
      <c r="D536" s="1136"/>
      <c r="E536" s="897"/>
      <c r="F536" s="263"/>
      <c r="G536" s="118">
        <f>'II-I-DIST'!H536</f>
        <v>0</v>
      </c>
      <c r="H536" s="263"/>
      <c r="I536" s="466"/>
      <c r="J536" s="263"/>
      <c r="K536" s="904"/>
      <c r="L536" s="904"/>
      <c r="N536" s="839"/>
      <c r="O536" s="691"/>
      <c r="P536" s="691"/>
      <c r="R536" s="703"/>
      <c r="S536" s="703"/>
      <c r="T536" s="386"/>
      <c r="U536" s="386"/>
      <c r="V536" s="386"/>
      <c r="W536" s="386"/>
      <c r="X536" s="386"/>
      <c r="Y536" s="386"/>
      <c r="Z536" s="386"/>
      <c r="AA536" s="386"/>
      <c r="AB536" s="386"/>
      <c r="AC536" s="386"/>
      <c r="AD536" s="386"/>
      <c r="AE536" s="386"/>
      <c r="AF536" s="386"/>
      <c r="AG536" s="386"/>
    </row>
    <row r="537" spans="2:33" ht="15">
      <c r="B537" s="17">
        <f t="shared" si="21"/>
        <v>38</v>
      </c>
      <c r="C537" s="36" t="s">
        <v>141</v>
      </c>
      <c r="D537" s="43"/>
      <c r="E537" s="897"/>
      <c r="F537" s="18"/>
      <c r="G537" s="897"/>
      <c r="H537" s="18"/>
      <c r="I537" s="897"/>
      <c r="J537" s="18"/>
      <c r="K537" s="893"/>
      <c r="L537" s="893"/>
      <c r="N537" s="839">
        <f>'WP II-I-1.1'!$J$125-' WP II-I-1.4'!L505-' WP II-I-1.4'!F505</f>
        <v>0</v>
      </c>
      <c r="O537" s="702"/>
      <c r="P537" s="691"/>
      <c r="R537" s="703"/>
      <c r="S537" s="703"/>
      <c r="T537" s="386"/>
      <c r="U537" s="386"/>
      <c r="V537" s="386"/>
      <c r="W537" s="386"/>
      <c r="X537" s="386"/>
      <c r="Y537" s="386"/>
      <c r="Z537" s="386"/>
      <c r="AA537" s="386"/>
      <c r="AB537" s="386"/>
      <c r="AC537" s="386"/>
      <c r="AD537" s="386"/>
      <c r="AE537" s="386"/>
      <c r="AF537" s="386"/>
      <c r="AG537" s="386"/>
    </row>
    <row r="538" spans="2:19" s="386" customFormat="1" ht="15">
      <c r="B538" s="1132">
        <f t="shared" si="21"/>
        <v>39</v>
      </c>
      <c r="C538" s="43">
        <v>254</v>
      </c>
      <c r="D538" s="43" t="s">
        <v>1367</v>
      </c>
      <c r="E538" s="897"/>
      <c r="F538" s="118">
        <f>'II-I-DIST'!$F$538</f>
        <v>0</v>
      </c>
      <c r="G538" s="118" t="str">
        <f>'II-I-DIST'!H538</f>
        <v>PLANT</v>
      </c>
      <c r="H538" s="118">
        <f>'II-I-MET'!F538</f>
        <v>0</v>
      </c>
      <c r="I538" s="466" t="str">
        <f>'II-I-MET'!$H538</f>
        <v>PLANT</v>
      </c>
      <c r="J538" s="118">
        <f>'II-I-TBILLTDCS'!F538</f>
        <v>0</v>
      </c>
      <c r="K538" s="466" t="str">
        <f>'II-I-TBILLTDCS'!$H538</f>
        <v>PLANT</v>
      </c>
      <c r="L538" s="893">
        <f t="shared" si="23" ref="L538:L597">F538+H538+J538</f>
        <v>0</v>
      </c>
      <c r="M538" s="1033"/>
      <c r="N538" s="839">
        <f>'WP II-I-1.1'!$J$126-' WP II-I-1.4'!L506-' WP II-I-1.4'!F506</f>
        <v>0</v>
      </c>
      <c r="O538" s="691"/>
      <c r="P538" s="691"/>
      <c r="Q538"/>
      <c r="R538" s="703"/>
      <c r="S538" s="703"/>
    </row>
    <row r="539" spans="2:19" s="386" customFormat="1" ht="14.25">
      <c r="B539" s="17">
        <f t="shared" si="21"/>
        <v>40</v>
      </c>
      <c r="C539" s="43" t="s">
        <v>1229</v>
      </c>
      <c r="D539" s="43" t="s">
        <v>997</v>
      </c>
      <c r="E539" s="263"/>
      <c r="F539" s="118">
        <f>'II-I-DIST'!F539</f>
        <v>0</v>
      </c>
      <c r="G539" s="118" t="str">
        <f>'II-I-DIST'!H539</f>
        <v>PLANT_xWHL</v>
      </c>
      <c r="H539" s="118">
        <f>'II-I-MET'!F539</f>
        <v>0</v>
      </c>
      <c r="I539" s="466" t="str">
        <f>'II-I-MET'!$H539</f>
        <v>PLANT_xWHL</v>
      </c>
      <c r="J539" s="118">
        <f>'II-I-TBILLTDCS'!F539</f>
        <v>0</v>
      </c>
      <c r="K539" s="466" t="str">
        <f>'II-I-TBILLTDCS'!$H539</f>
        <v>PLANT_xWHL</v>
      </c>
      <c r="L539" s="893">
        <f t="shared" si="23"/>
        <v>0</v>
      </c>
      <c r="M539" s="1033"/>
      <c r="N539" s="839">
        <f>'WP II-I-1.1'!$J$127-' WP II-I-1.4'!L507-' WP II-I-1.4'!F507</f>
        <v>0</v>
      </c>
      <c r="O539" s="691"/>
      <c r="P539" s="691"/>
      <c r="Q539"/>
      <c r="R539" s="703"/>
      <c r="S539" s="703"/>
    </row>
    <row r="540" spans="2:19" s="386" customFormat="1" ht="15">
      <c r="B540" s="17">
        <f t="shared" si="21"/>
        <v>41</v>
      </c>
      <c r="C540" s="43">
        <v>254</v>
      </c>
      <c r="D540" s="43" t="s">
        <v>1368</v>
      </c>
      <c r="E540" s="897"/>
      <c r="F540" s="118">
        <f>'II-I-DIST'!F540</f>
        <v>-13373824.789999999</v>
      </c>
      <c r="G540" s="118" t="str">
        <f>'II-I-DIST'!H540</f>
        <v>PLANT</v>
      </c>
      <c r="H540" s="118">
        <f>'II-I-MET'!F540</f>
        <v>0</v>
      </c>
      <c r="I540" s="466" t="str">
        <f>'II-I-MET'!$H540</f>
        <v>PLANT</v>
      </c>
      <c r="J540" s="118">
        <f>'II-I-TBILLTDCS'!F540</f>
        <v>0</v>
      </c>
      <c r="K540" s="466" t="str">
        <f>'II-I-TBILLTDCS'!$H540</f>
        <v>PLANT</v>
      </c>
      <c r="L540" s="893">
        <f t="shared" si="23"/>
        <v>-13373824.789999999</v>
      </c>
      <c r="M540" s="1033"/>
      <c r="N540" s="839">
        <f>'WP II-I-1.1'!$J$128-' WP II-I-1.4'!L508-' WP II-I-1.4'!F508</f>
        <v>0</v>
      </c>
      <c r="O540" s="691"/>
      <c r="P540" s="691"/>
      <c r="Q540"/>
      <c r="R540" s="703"/>
      <c r="S540" s="703"/>
    </row>
    <row r="541" spans="2:19" s="386" customFormat="1" ht="15">
      <c r="B541" s="17">
        <f t="shared" si="21"/>
        <v>42</v>
      </c>
      <c r="C541" s="43">
        <v>254</v>
      </c>
      <c r="D541" s="43" t="s">
        <v>1230</v>
      </c>
      <c r="E541" s="897"/>
      <c r="F541" s="118">
        <f>'II-I-DIST'!F541</f>
        <v>0</v>
      </c>
      <c r="G541" s="118" t="str">
        <f>'II-I-DIST'!H541</f>
        <v>PLT 370</v>
      </c>
      <c r="H541" s="118">
        <f>'II-I-MET'!F541</f>
        <v>0</v>
      </c>
      <c r="I541" s="466" t="str">
        <f>'II-I-MET'!$H541</f>
        <v>PLT 370</v>
      </c>
      <c r="J541" s="118">
        <f>'II-I-TBILLTDCS'!F541</f>
        <v>0</v>
      </c>
      <c r="K541" s="466" t="str">
        <f>'II-I-TBILLTDCS'!$H541</f>
        <v>PLT 370</v>
      </c>
      <c r="L541" s="893">
        <f t="shared" si="23"/>
        <v>0</v>
      </c>
      <c r="M541" s="1033"/>
      <c r="N541" s="839">
        <f>'WP II-I-1.1'!$J$129-' WP II-I-1.4'!L509-' WP II-I-1.4'!F509</f>
        <v>0</v>
      </c>
      <c r="O541" s="691"/>
      <c r="P541" s="691"/>
      <c r="Q541"/>
      <c r="R541" s="703"/>
      <c r="S541" s="703"/>
    </row>
    <row r="542" spans="2:19" s="386" customFormat="1" ht="15">
      <c r="B542" s="17">
        <f t="shared" si="21"/>
        <v>43</v>
      </c>
      <c r="C542" s="43">
        <v>254</v>
      </c>
      <c r="D542" s="43" t="s">
        <v>1231</v>
      </c>
      <c r="E542" s="897"/>
      <c r="F542" s="118">
        <f>'II-I-DIST'!F542</f>
        <v>0</v>
      </c>
      <c r="G542" s="118" t="str">
        <f>'II-I-DIST'!H542</f>
        <v>PLANT</v>
      </c>
      <c r="H542" s="118">
        <f>'II-I-MET'!F542</f>
        <v>0</v>
      </c>
      <c r="I542" s="466" t="str">
        <f>'II-I-MET'!$H542</f>
        <v>PLANT</v>
      </c>
      <c r="J542" s="118">
        <f>'II-I-TBILLTDCS'!F542</f>
        <v>0</v>
      </c>
      <c r="K542" s="466" t="str">
        <f>'II-I-TBILLTDCS'!$H542</f>
        <v>PLANT</v>
      </c>
      <c r="L542" s="893">
        <f t="shared" si="23"/>
        <v>0</v>
      </c>
      <c r="M542" s="1033"/>
      <c r="N542" s="839">
        <f>'WP II-I-1.1'!$J$130-' WP II-I-1.4'!L510-' WP II-I-1.4'!F510</f>
        <v>0</v>
      </c>
      <c r="O542" s="691"/>
      <c r="P542" s="691"/>
      <c r="Q542"/>
      <c r="R542" s="703"/>
      <c r="S542" s="703"/>
    </row>
    <row r="543" spans="2:19" s="386" customFormat="1" ht="15">
      <c r="B543" s="17">
        <f t="shared" si="21"/>
        <v>44</v>
      </c>
      <c r="C543" s="43">
        <v>254</v>
      </c>
      <c r="D543" s="43" t="s">
        <v>1232</v>
      </c>
      <c r="E543" s="897"/>
      <c r="F543" s="118">
        <f>'II-I-DIST'!F543</f>
        <v>81644.489999999743</v>
      </c>
      <c r="G543" s="118" t="str">
        <f>'II-I-DIST'!H543</f>
        <v>PLANT</v>
      </c>
      <c r="H543" s="118">
        <f>'II-I-MET'!F543</f>
        <v>0</v>
      </c>
      <c r="I543" s="466" t="str">
        <f>'II-I-MET'!$H543</f>
        <v>PLANT</v>
      </c>
      <c r="J543" s="118">
        <f>'II-I-TBILLTDCS'!F543</f>
        <v>0</v>
      </c>
      <c r="K543" s="466" t="str">
        <f>'II-I-TBILLTDCS'!$H543</f>
        <v>PLANT</v>
      </c>
      <c r="L543" s="893">
        <f t="shared" si="23"/>
        <v>81644.489999999743</v>
      </c>
      <c r="M543" s="1033"/>
      <c r="N543" s="839">
        <f>'WP II-I-1.1'!$J$131-' WP II-I-1.4'!L511-' WP II-I-1.4'!F511</f>
        <v>0</v>
      </c>
      <c r="O543" s="691"/>
      <c r="P543" s="691"/>
      <c r="Q543"/>
      <c r="R543" s="703"/>
      <c r="S543" s="703"/>
    </row>
    <row r="544" spans="2:19" s="386" customFormat="1" ht="15">
      <c r="B544" s="17">
        <f t="shared" si="21"/>
        <v>45</v>
      </c>
      <c r="C544" s="43">
        <v>254</v>
      </c>
      <c r="D544" s="43" t="s">
        <v>1233</v>
      </c>
      <c r="E544" s="897"/>
      <c r="F544" s="118">
        <f>'II-I-DIST'!F544</f>
        <v>2368303.2899999991</v>
      </c>
      <c r="G544" s="118" t="str">
        <f>'II-I-DIST'!H544</f>
        <v>PLANT</v>
      </c>
      <c r="H544" s="118">
        <f>'II-I-MET'!F544</f>
        <v>0</v>
      </c>
      <c r="I544" s="466" t="str">
        <f>'II-I-MET'!$H544</f>
        <v>PLANT</v>
      </c>
      <c r="J544" s="118">
        <f>'II-I-TBILLTDCS'!F544</f>
        <v>0</v>
      </c>
      <c r="K544" s="466" t="str">
        <f>'II-I-TBILLTDCS'!$H544</f>
        <v>PLANT</v>
      </c>
      <c r="L544" s="893">
        <f t="shared" si="23"/>
        <v>2368303.2899999991</v>
      </c>
      <c r="M544" s="1033"/>
      <c r="N544" s="839"/>
      <c r="O544" s="691"/>
      <c r="P544" s="691"/>
      <c r="Q544"/>
      <c r="R544" s="703"/>
      <c r="S544" s="703"/>
    </row>
    <row r="545" spans="2:19" s="386" customFormat="1" ht="15">
      <c r="B545" s="17">
        <f t="shared" si="21"/>
        <v>46</v>
      </c>
      <c r="C545" s="43">
        <v>254</v>
      </c>
      <c r="D545" s="43" t="s">
        <v>1234</v>
      </c>
      <c r="E545" s="897"/>
      <c r="F545" s="118">
        <f>'II-I-DIST'!F545</f>
        <v>0</v>
      </c>
      <c r="G545" s="118" t="str">
        <f>'II-I-DIST'!H545</f>
        <v>PLANT</v>
      </c>
      <c r="H545" s="118">
        <f>'II-I-MET'!F545</f>
        <v>0</v>
      </c>
      <c r="I545" s="466" t="str">
        <f>'II-I-MET'!$H545</f>
        <v>PLANT</v>
      </c>
      <c r="J545" s="118">
        <f>'II-I-TBILLTDCS'!F545</f>
        <v>0</v>
      </c>
      <c r="K545" s="466" t="str">
        <f>'II-I-TBILLTDCS'!$H545</f>
        <v>PLANT</v>
      </c>
      <c r="L545" s="893">
        <f t="shared" si="23"/>
        <v>0</v>
      </c>
      <c r="M545" s="1033"/>
      <c r="N545" s="839"/>
      <c r="O545" s="691"/>
      <c r="P545" s="691"/>
      <c r="Q545"/>
      <c r="R545" s="703"/>
      <c r="S545" s="703"/>
    </row>
    <row r="546" spans="2:19" s="386" customFormat="1" ht="15">
      <c r="B546" s="17">
        <f t="shared" si="21"/>
        <v>47</v>
      </c>
      <c r="C546" s="43">
        <v>254</v>
      </c>
      <c r="D546" s="43" t="s">
        <v>1235</v>
      </c>
      <c r="E546" s="897"/>
      <c r="F546" s="118">
        <f>'II-I-DIST'!F546</f>
        <v>-254178.24000000002</v>
      </c>
      <c r="G546" s="118" t="str">
        <f>'II-I-DIST'!H546</f>
        <v>PLANT</v>
      </c>
      <c r="H546" s="118">
        <f>'II-I-MET'!F546</f>
        <v>0</v>
      </c>
      <c r="I546" s="466" t="str">
        <f>'II-I-MET'!$H546</f>
        <v>PLANT</v>
      </c>
      <c r="J546" s="118">
        <f>'II-I-TBILLTDCS'!F546</f>
        <v>0</v>
      </c>
      <c r="K546" s="466" t="str">
        <f>'II-I-TBILLTDCS'!$H546</f>
        <v>PLANT</v>
      </c>
      <c r="L546" s="893">
        <f t="shared" si="23"/>
        <v>-254178.24000000002</v>
      </c>
      <c r="M546" s="1033"/>
      <c r="N546" s="839"/>
      <c r="O546" s="691"/>
      <c r="P546" s="691"/>
      <c r="Q546"/>
      <c r="R546" s="703"/>
      <c r="S546" s="703"/>
    </row>
    <row r="547" spans="2:19" s="386" customFormat="1" ht="15">
      <c r="B547" s="17">
        <f t="shared" si="21"/>
        <v>48</v>
      </c>
      <c r="C547" s="43">
        <v>254</v>
      </c>
      <c r="D547" s="43" t="s">
        <v>1372</v>
      </c>
      <c r="E547" s="897"/>
      <c r="F547" s="118">
        <f>'II-I-DIST'!F547</f>
        <v>-23868135.579999998</v>
      </c>
      <c r="G547" s="118" t="str">
        <f>'II-I-DIST'!H547</f>
        <v>PLANT</v>
      </c>
      <c r="H547" s="118">
        <f>'II-I-MET'!F547</f>
        <v>-6507602.71</v>
      </c>
      <c r="I547" s="466" t="str">
        <f>'II-I-MET'!$H547</f>
        <v>PLANT</v>
      </c>
      <c r="J547" s="118">
        <f>'II-I-TBILLTDCS'!F547</f>
        <v>-261874.48999999999</v>
      </c>
      <c r="K547" s="466" t="str">
        <f>'II-I-TBILLTDCS'!$H547</f>
        <v>PLANT</v>
      </c>
      <c r="L547" s="893">
        <f t="shared" si="23"/>
        <v>-30637612.779999997</v>
      </c>
      <c r="M547" s="1033"/>
      <c r="N547" s="839"/>
      <c r="O547" s="691"/>
      <c r="P547" s="691"/>
      <c r="Q547"/>
      <c r="R547" s="703"/>
      <c r="S547" s="703"/>
    </row>
    <row r="548" spans="2:19" s="386" customFormat="1" ht="15">
      <c r="B548" s="17">
        <f t="shared" si="21"/>
        <v>49</v>
      </c>
      <c r="C548" s="691">
        <v>257</v>
      </c>
      <c r="D548" s="1385" t="s">
        <v>1236</v>
      </c>
      <c r="E548" s="897"/>
      <c r="F548" s="118">
        <f>'II-I-DIST'!F548</f>
        <v>0</v>
      </c>
      <c r="G548" s="118" t="str">
        <f>'II-I-DIST'!H548</f>
        <v>PLANT</v>
      </c>
      <c r="H548" s="118">
        <f>'II-I-MET'!F548</f>
        <v>0</v>
      </c>
      <c r="I548" s="466" t="str">
        <f>'II-I-MET'!$H548</f>
        <v>PLANT</v>
      </c>
      <c r="J548" s="118">
        <f>'II-I-TBILLTDCS'!F548</f>
        <v>0</v>
      </c>
      <c r="K548" s="466" t="str">
        <f>'II-I-TBILLTDCS'!$H548</f>
        <v>PLANT</v>
      </c>
      <c r="L548" s="893">
        <f t="shared" si="24" ref="L548">F548+H548+J548</f>
        <v>0</v>
      </c>
      <c r="M548" s="1033"/>
      <c r="N548" s="839">
        <f>'WP II-I-1.1'!$J$132-' WP II-I-1.4'!L512-' WP II-I-1.4'!F512</f>
        <v>0</v>
      </c>
      <c r="O548" s="691"/>
      <c r="P548" s="691"/>
      <c r="Q548"/>
      <c r="R548" s="703"/>
      <c r="S548" s="703"/>
    </row>
    <row r="549" spans="2:33" ht="15.75" thickBot="1">
      <c r="B549" s="17">
        <f t="shared" si="21"/>
        <v>50</v>
      </c>
      <c r="C549" s="43"/>
      <c r="D549" s="44" t="s">
        <v>1407</v>
      </c>
      <c r="E549" s="897"/>
      <c r="F549" s="118">
        <f>'II-I-DIST'!F550</f>
        <v>-35046190.829999998</v>
      </c>
      <c r="G549" s="47"/>
      <c r="H549" s="118">
        <f>'II-I-MET'!F550</f>
        <v>-6507602.71</v>
      </c>
      <c r="I549" s="47"/>
      <c r="J549" s="118">
        <f>'II-I-TBILLTDCS'!F550</f>
        <v>-261874.48999999999</v>
      </c>
      <c r="K549" s="466"/>
      <c r="L549" s="893">
        <f t="shared" si="25" ref="L549">F549+H549+J549</f>
        <v>-41815668.030000001</v>
      </c>
      <c r="N549" s="839">
        <f>'WP II-I-1.1'!$J$133-' WP II-I-1.4'!L513-' WP II-I-1.4'!F513</f>
        <v>0</v>
      </c>
      <c r="O549" s="691"/>
      <c r="P549" s="691"/>
      <c r="R549" s="703"/>
      <c r="S549" s="703"/>
      <c r="T549" s="386"/>
      <c r="U549" s="386"/>
      <c r="V549" s="386"/>
      <c r="W549" s="386"/>
      <c r="X549" s="386"/>
      <c r="Y549" s="386"/>
      <c r="Z549" s="386"/>
      <c r="AA549" s="386"/>
      <c r="AB549" s="386"/>
      <c r="AC549" s="386"/>
      <c r="AD549" s="386"/>
      <c r="AE549" s="386"/>
      <c r="AF549" s="386"/>
      <c r="AG549" s="386"/>
    </row>
    <row r="550" spans="2:33" ht="15.75" thickBot="1">
      <c r="B550" s="17">
        <f t="shared" si="21"/>
        <v>51</v>
      </c>
      <c r="C550" s="356" t="s">
        <v>614</v>
      </c>
      <c r="D550" s="905"/>
      <c r="E550" s="337" t="s">
        <v>132</v>
      </c>
      <c r="F550" s="905">
        <f>'II-I-DIST'!F552</f>
        <v>747596661.33000004</v>
      </c>
      <c r="G550" s="337"/>
      <c r="H550" s="905">
        <f>'II-I-MET'!F552</f>
        <v>148091213.97999999</v>
      </c>
      <c r="I550" s="337"/>
      <c r="J550" s="905">
        <f>'II-I-TBILLTDCS'!F552</f>
        <v>16357751.659999996</v>
      </c>
      <c r="K550" s="905"/>
      <c r="L550" s="279">
        <f t="shared" si="23"/>
        <v>912045626.97000003</v>
      </c>
      <c r="N550" s="839">
        <f>'WP II-I-1.1'!$J$134-' WP II-I-1.4'!L514-' WP II-I-1.4'!F514</f>
        <v>0</v>
      </c>
      <c r="O550" s="691"/>
      <c r="P550" s="691"/>
      <c r="R550" s="703"/>
      <c r="S550" s="703"/>
      <c r="T550" s="386"/>
      <c r="U550" s="386"/>
      <c r="V550" s="386"/>
      <c r="W550" s="386"/>
      <c r="X550" s="386"/>
      <c r="Y550" s="386"/>
      <c r="Z550" s="386"/>
      <c r="AA550" s="386"/>
      <c r="AB550" s="386"/>
      <c r="AC550" s="386"/>
      <c r="AD550" s="386"/>
      <c r="AE550" s="386"/>
      <c r="AF550" s="386"/>
      <c r="AG550" s="386"/>
    </row>
    <row r="551" spans="2:33" ht="15">
      <c r="B551" s="17"/>
      <c r="C551" s="43"/>
      <c r="D551" s="44"/>
      <c r="E551" s="897"/>
      <c r="F551" s="263"/>
      <c r="G551" s="897"/>
      <c r="H551" s="263"/>
      <c r="I551" s="897"/>
      <c r="J551" s="263"/>
      <c r="K551" s="904"/>
      <c r="L551" s="904"/>
      <c r="N551" s="839">
        <f>'WP II-I-1.1'!$J$135-' WP II-I-1.4'!L515-' WP II-I-1.4'!F515</f>
        <v>0</v>
      </c>
      <c r="O551" s="702"/>
      <c r="P551" s="691"/>
      <c r="R551" s="703"/>
      <c r="S551" s="703"/>
      <c r="T551" s="386"/>
      <c r="U551" s="386"/>
      <c r="V551" s="386"/>
      <c r="W551" s="386"/>
      <c r="X551" s="386"/>
      <c r="Y551" s="386"/>
      <c r="Z551" s="386"/>
      <c r="AA551" s="386"/>
      <c r="AB551" s="386"/>
      <c r="AC551" s="386"/>
      <c r="AD551" s="386"/>
      <c r="AE551" s="386"/>
      <c r="AF551" s="386"/>
      <c r="AG551" s="386"/>
    </row>
    <row r="552" spans="2:33" ht="15">
      <c r="B552" s="874"/>
      <c r="C552" s="874"/>
      <c r="D552" s="874"/>
      <c r="E552" s="874"/>
      <c r="F552" s="263"/>
      <c r="G552" s="134"/>
      <c r="H552" s="263"/>
      <c r="I552" s="134"/>
      <c r="J552" s="263"/>
      <c r="K552" s="874"/>
      <c r="L552" s="874"/>
      <c r="N552" s="839">
        <f>'WP II-I-1.1'!$J$136-' WP II-I-1.4'!L516-' WP II-I-1.4'!F516</f>
        <v>0</v>
      </c>
      <c r="O552" s="702"/>
      <c r="P552" s="691"/>
      <c r="R552" s="703"/>
      <c r="S552" s="703"/>
      <c r="T552" s="386"/>
      <c r="U552" s="386"/>
      <c r="V552" s="386"/>
      <c r="W552" s="386"/>
      <c r="X552" s="386"/>
      <c r="Y552" s="386"/>
      <c r="Z552" s="386"/>
      <c r="AA552" s="386"/>
      <c r="AB552" s="386"/>
      <c r="AC552" s="386"/>
      <c r="AD552" s="386"/>
      <c r="AE552" s="386"/>
      <c r="AF552" s="386"/>
      <c r="AG552" s="386"/>
    </row>
    <row r="553" spans="2:33" ht="15.75" thickBot="1">
      <c r="B553" s="874"/>
      <c r="C553" s="874"/>
      <c r="D553" s="874"/>
      <c r="E553" s="874"/>
      <c r="F553" s="263"/>
      <c r="G553" s="897"/>
      <c r="H553" s="263"/>
      <c r="I553" s="897"/>
      <c r="J553" s="263"/>
      <c r="K553" s="874"/>
      <c r="L553" s="874"/>
      <c r="N553" s="839">
        <f>'WP II-I-1.1'!$J$137-' WP II-I-1.4'!L517-' WP II-I-1.4'!F517</f>
        <v>0</v>
      </c>
      <c r="O553" s="702"/>
      <c r="P553" s="691"/>
      <c r="R553" s="703"/>
      <c r="S553" s="703"/>
      <c r="T553" s="386"/>
      <c r="U553" s="386"/>
      <c r="V553" s="386"/>
      <c r="W553" s="386"/>
      <c r="X553" s="386"/>
      <c r="Y553" s="386"/>
      <c r="Z553" s="386"/>
      <c r="AA553" s="386"/>
      <c r="AB553" s="386"/>
      <c r="AC553" s="386"/>
      <c r="AD553" s="386"/>
      <c r="AE553" s="386"/>
      <c r="AF553" s="386"/>
      <c r="AG553" s="386"/>
    </row>
    <row r="554" spans="2:33" ht="15">
      <c r="B554" s="920" t="str">
        <f>$B$4</f>
        <v>2022 RATE CASE</v>
      </c>
      <c r="C554" s="926"/>
      <c r="D554" s="927"/>
      <c r="E554" s="874"/>
      <c r="F554" s="332"/>
      <c r="H554" s="332"/>
      <c r="J554" s="332"/>
      <c r="K554" s="874"/>
      <c r="L554" s="874"/>
      <c r="N554" s="839">
        <f>'WP II-I-1.1'!$J$138-' WP II-I-1.4'!L518-' WP II-I-1.4'!F518</f>
        <v>0</v>
      </c>
      <c r="O554" s="691"/>
      <c r="P554" s="691"/>
      <c r="R554" s="703"/>
      <c r="S554" s="703"/>
      <c r="T554" s="386"/>
      <c r="U554" s="386"/>
      <c r="V554" s="386"/>
      <c r="W554" s="386"/>
      <c r="X554" s="386"/>
      <c r="Y554" s="386"/>
      <c r="Z554" s="386"/>
      <c r="AA554" s="386"/>
      <c r="AB554" s="386"/>
      <c r="AC554" s="386"/>
      <c r="AD554" s="386"/>
      <c r="AE554" s="386"/>
      <c r="AF554" s="386"/>
      <c r="AG554" s="386"/>
    </row>
    <row r="555" spans="2:33" ht="15">
      <c r="B555" s="917" t="str">
        <f>$B$5</f>
        <v>ONCOR ELECTRIC DELIVERY COMPANY LLC</v>
      </c>
      <c r="C555" s="369"/>
      <c r="D555" s="928"/>
      <c r="E555" s="874"/>
      <c r="F555" s="332"/>
      <c r="H555" s="332"/>
      <c r="J555" s="332"/>
      <c r="K555" s="874"/>
      <c r="L555" s="874"/>
      <c r="N555" s="839">
        <f>'WP II-I-1.1'!$J$139-' WP II-I-1.4'!L519-' WP II-I-1.4'!F519</f>
        <v>0</v>
      </c>
      <c r="O555" s="702"/>
      <c r="P555" s="691"/>
      <c r="R555" s="703"/>
      <c r="S555" s="703"/>
      <c r="T555" s="386"/>
      <c r="U555" s="386"/>
      <c r="V555" s="386"/>
      <c r="W555" s="386"/>
      <c r="X555" s="386"/>
      <c r="Y555" s="386"/>
      <c r="Z555" s="386"/>
      <c r="AA555" s="386"/>
      <c r="AB555" s="386"/>
      <c r="AC555" s="386"/>
      <c r="AD555" s="386"/>
      <c r="AE555" s="386"/>
      <c r="AF555" s="386"/>
      <c r="AG555" s="386"/>
    </row>
    <row r="556" spans="2:33" ht="15">
      <c r="B556" s="406" t="str">
        <f>$B$6</f>
        <v>II-I-2.1f:  CONSOLIDATED FUNCTIONALIZED COST OF SERVICE</v>
      </c>
      <c r="C556" s="369"/>
      <c r="D556" s="928"/>
      <c r="E556" s="874"/>
      <c r="F556" s="332"/>
      <c r="H556" s="332"/>
      <c r="J556" s="332"/>
      <c r="K556" s="874"/>
      <c r="L556" s="874"/>
      <c r="N556" s="839">
        <f>'WP II-I-1.1'!$J$140-' WP II-I-1.4'!L520-' WP II-I-1.4'!F520</f>
        <v>0</v>
      </c>
      <c r="O556" s="691"/>
      <c r="P556" s="691"/>
      <c r="R556" s="703"/>
      <c r="S556" s="703"/>
      <c r="T556" s="386"/>
      <c r="U556" s="386"/>
      <c r="V556" s="386"/>
      <c r="W556" s="386"/>
      <c r="X556" s="386"/>
      <c r="Y556" s="386"/>
      <c r="Z556" s="386"/>
      <c r="AA556" s="386"/>
      <c r="AB556" s="386"/>
      <c r="AC556" s="386"/>
      <c r="AD556" s="386"/>
      <c r="AE556" s="386"/>
      <c r="AF556" s="386"/>
      <c r="AG556" s="386"/>
    </row>
    <row r="557" spans="2:33" ht="15">
      <c r="B557" s="406" t="str">
        <f>$B$7</f>
        <v>TEST YEAR ENDING 12/31/2021</v>
      </c>
      <c r="C557" s="369"/>
      <c r="D557" s="928"/>
      <c r="E557" s="369"/>
      <c r="F557" s="332"/>
      <c r="H557" s="332"/>
      <c r="J557" s="332"/>
      <c r="K557" s="369"/>
      <c r="L557" s="369"/>
      <c r="N557" s="839">
        <f>'WP II-I-1.1'!$J141-' WP II-I-1.4'!L521-' WP II-I-1.4'!F521</f>
        <v>0</v>
      </c>
      <c r="O557" s="691"/>
      <c r="P557" s="691"/>
      <c r="R557" s="703"/>
      <c r="S557" s="703"/>
      <c r="T557" s="386"/>
      <c r="U557" s="386"/>
      <c r="V557" s="386"/>
      <c r="W557" s="386"/>
      <c r="X557" s="386"/>
      <c r="Y557" s="386"/>
      <c r="Z557" s="386"/>
      <c r="AA557" s="386"/>
      <c r="AB557" s="386"/>
      <c r="AC557" s="386"/>
      <c r="AD557" s="386"/>
      <c r="AE557" s="386"/>
      <c r="AF557" s="386"/>
      <c r="AG557" s="386"/>
    </row>
    <row r="558" spans="2:33" ht="15">
      <c r="B558" s="406" t="str">
        <f>$B$8</f>
        <v>SPONSOR:  MATTHEW A. TROXLE</v>
      </c>
      <c r="C558" s="369"/>
      <c r="D558" s="928"/>
      <c r="E558" s="369"/>
      <c r="F558" s="332"/>
      <c r="H558" s="332"/>
      <c r="J558" s="332"/>
      <c r="K558" s="369"/>
      <c r="L558" s="369"/>
      <c r="N558" s="839">
        <f>'WP II-I-1.1'!$J142-' WP II-I-1.4'!L522-' WP II-I-1.4'!F522</f>
        <v>0</v>
      </c>
      <c r="O558" s="691"/>
      <c r="P558" s="691"/>
      <c r="R558" s="703"/>
      <c r="S558" s="703"/>
      <c r="T558" s="386"/>
      <c r="U558" s="386"/>
      <c r="V558" s="386"/>
      <c r="W558" s="386"/>
      <c r="X558" s="386"/>
      <c r="Y558" s="386"/>
      <c r="Z558" s="386"/>
      <c r="AA558" s="386"/>
      <c r="AB558" s="386"/>
      <c r="AC558" s="386"/>
      <c r="AD558" s="386"/>
      <c r="AE558" s="386"/>
      <c r="AF558" s="386"/>
      <c r="AG558" s="386"/>
    </row>
    <row r="559" spans="2:33" ht="15.75" thickBot="1">
      <c r="B559" s="410"/>
      <c r="C559" s="931"/>
      <c r="D559" s="932"/>
      <c r="E559" s="369"/>
      <c r="F559" s="332"/>
      <c r="H559" s="332"/>
      <c r="J559" s="332"/>
      <c r="K559" s="369"/>
      <c r="L559" s="369"/>
      <c r="N559" s="839">
        <f>'WP II-I-1.1'!$J143-' WP II-I-1.4'!L523-' WP II-I-1.4'!F523</f>
        <v>0</v>
      </c>
      <c r="O559" s="691"/>
      <c r="P559" s="691"/>
      <c r="R559" s="703"/>
      <c r="S559" s="703"/>
      <c r="T559" s="386"/>
      <c r="U559" s="386"/>
      <c r="V559" s="386"/>
      <c r="W559" s="386"/>
      <c r="X559" s="386"/>
      <c r="Y559" s="386"/>
      <c r="Z559" s="386"/>
      <c r="AA559" s="386"/>
      <c r="AB559" s="386"/>
      <c r="AC559" s="386"/>
      <c r="AD559" s="386"/>
      <c r="AE559" s="386"/>
      <c r="AF559" s="386"/>
      <c r="AG559" s="386"/>
    </row>
    <row r="560" spans="2:33" ht="14.25">
      <c r="B560" s="13"/>
      <c r="C560" s="14"/>
      <c r="D560" s="238"/>
      <c r="E560" s="238"/>
      <c r="F560" s="13"/>
      <c r="G560" s="14"/>
      <c r="H560" s="13"/>
      <c r="I560" s="14"/>
      <c r="J560" s="13"/>
      <c r="K560" s="738"/>
      <c r="L560" s="952"/>
      <c r="M560" s="1036"/>
      <c r="N560" s="839">
        <f>'WP II-I-1.1'!$J144-' WP II-I-1.4'!L524-' WP II-I-1.4'!F524</f>
        <v>0</v>
      </c>
      <c r="O560" s="1133"/>
      <c r="P560" s="1133"/>
      <c r="Q560" s="386"/>
      <c r="R560" s="386"/>
      <c r="S560" s="386"/>
      <c r="T560" s="386"/>
      <c r="U560" s="386"/>
      <c r="V560" s="386"/>
      <c r="W560" s="386"/>
      <c r="X560" s="386"/>
      <c r="Y560" s="386"/>
      <c r="Z560" s="386"/>
      <c r="AA560" s="386"/>
      <c r="AB560" s="386"/>
      <c r="AC560" s="386"/>
      <c r="AD560" s="386"/>
      <c r="AE560" s="386"/>
      <c r="AF560" s="386"/>
      <c r="AG560" s="386"/>
    </row>
    <row r="561" spans="2:33" ht="15">
      <c r="B561" s="15" t="s">
        <v>2</v>
      </c>
      <c r="C561" s="15" t="s">
        <v>370</v>
      </c>
      <c r="D561" s="241" t="s">
        <v>615</v>
      </c>
      <c r="E561" s="242" t="s">
        <v>371</v>
      </c>
      <c r="F561" s="287" t="str">
        <f>'II-I-DIST'!F563</f>
        <v>DIST</v>
      </c>
      <c r="G561" s="242" t="s">
        <v>376</v>
      </c>
      <c r="H561" s="287" t="str">
        <f>'II-I-MET'!F563</f>
        <v>MET</v>
      </c>
      <c r="I561" s="242" t="s">
        <v>376</v>
      </c>
      <c r="J561" s="287" t="str">
        <f>'II-I-TBILLTDCS'!F563</f>
        <v>TBILLTDCS</v>
      </c>
      <c r="K561" s="743" t="s">
        <v>376</v>
      </c>
      <c r="L561" s="743" t="s">
        <v>481</v>
      </c>
      <c r="M561" s="1030" t="s">
        <v>1046</v>
      </c>
      <c r="N561" s="839">
        <f>'WP II-I-1.1'!$J145-' WP II-I-1.4'!L525-' WP II-I-1.4'!F525</f>
        <v>0</v>
      </c>
      <c r="O561" s="1133"/>
      <c r="P561" s="1133"/>
      <c r="Q561" s="386"/>
      <c r="R561" s="386"/>
      <c r="S561" s="386"/>
      <c r="T561" s="386"/>
      <c r="U561" s="386"/>
      <c r="V561" s="386"/>
      <c r="W561" s="386"/>
      <c r="X561" s="386"/>
      <c r="Y561" s="386"/>
      <c r="Z561" s="386"/>
      <c r="AA561" s="386"/>
      <c r="AB561" s="386"/>
      <c r="AC561" s="386"/>
      <c r="AD561" s="386"/>
      <c r="AE561" s="386"/>
      <c r="AF561" s="386"/>
      <c r="AG561" s="386"/>
    </row>
    <row r="562" spans="2:33" ht="14.25">
      <c r="B562" s="15"/>
      <c r="C562" s="15"/>
      <c r="D562" s="242"/>
      <c r="E562" s="242"/>
      <c r="F562" s="15"/>
      <c r="G562" s="242" t="s">
        <v>743</v>
      </c>
      <c r="H562" s="15"/>
      <c r="I562" s="242" t="s">
        <v>743</v>
      </c>
      <c r="J562" s="15"/>
      <c r="K562" s="743" t="s">
        <v>743</v>
      </c>
      <c r="L562" s="743" t="s">
        <v>33</v>
      </c>
      <c r="M562" s="1037"/>
      <c r="N562" s="839">
        <f>'WP II-I-1.1'!$J146-' WP II-I-1.4'!L526-' WP II-I-1.4'!F526</f>
        <v>0</v>
      </c>
      <c r="O562" s="1126"/>
      <c r="P562" s="1126"/>
      <c r="Q562" s="386"/>
      <c r="R562" s="386"/>
      <c r="S562" s="386"/>
      <c r="T562" s="386"/>
      <c r="U562" s="386"/>
      <c r="V562" s="386"/>
      <c r="W562" s="386"/>
      <c r="X562" s="386"/>
      <c r="Y562" s="386"/>
      <c r="Z562" s="386"/>
      <c r="AA562" s="386"/>
      <c r="AB562" s="386"/>
      <c r="AC562" s="386"/>
      <c r="AD562" s="386"/>
      <c r="AE562" s="386"/>
      <c r="AF562" s="386"/>
      <c r="AG562" s="386"/>
    </row>
    <row r="563" spans="2:33" ht="15.75" thickBot="1">
      <c r="B563" s="243"/>
      <c r="C563" s="957"/>
      <c r="D563" s="245"/>
      <c r="E563" s="245"/>
      <c r="F563" s="747" t="s">
        <v>13</v>
      </c>
      <c r="G563" s="747" t="s">
        <v>14</v>
      </c>
      <c r="H563" s="747" t="s">
        <v>15</v>
      </c>
      <c r="I563" s="747" t="s">
        <v>16</v>
      </c>
      <c r="J563" s="747" t="s">
        <v>17</v>
      </c>
      <c r="K563" s="747" t="s">
        <v>18</v>
      </c>
      <c r="L563" s="747" t="s">
        <v>19</v>
      </c>
      <c r="M563" s="1032" t="s">
        <v>20</v>
      </c>
      <c r="N563" s="839">
        <f>'WP II-I-1.1'!$J147-' WP II-I-1.4'!L527-' WP II-I-1.4'!F527</f>
        <v>0</v>
      </c>
      <c r="O563" s="1126"/>
      <c r="P563" s="1126"/>
      <c r="Q563" s="386"/>
      <c r="R563" s="386"/>
      <c r="S563" s="386"/>
      <c r="T563" s="386"/>
      <c r="U563" s="386"/>
      <c r="V563" s="386"/>
      <c r="W563" s="386"/>
      <c r="X563" s="386"/>
      <c r="Y563" s="386"/>
      <c r="Z563" s="386"/>
      <c r="AA563" s="386"/>
      <c r="AB563" s="386"/>
      <c r="AC563" s="386"/>
      <c r="AD563" s="386"/>
      <c r="AE563" s="386"/>
      <c r="AF563" s="386"/>
      <c r="AG563" s="386"/>
    </row>
    <row r="564" spans="2:33" ht="14.25">
      <c r="B564" s="67"/>
      <c r="C564" s="43"/>
      <c r="D564" s="43"/>
      <c r="E564" s="333"/>
      <c r="F564" s="333"/>
      <c r="G564" s="333"/>
      <c r="H564" s="333"/>
      <c r="I564" s="333"/>
      <c r="J564" s="333"/>
      <c r="K564" s="691"/>
      <c r="L564" s="691"/>
      <c r="N564" s="839">
        <f>'WP II-I-1.1'!$J148-' WP II-I-1.4'!L528-' WP II-I-1.4'!F528</f>
        <v>0</v>
      </c>
      <c r="O564" s="1126"/>
      <c r="P564" s="1126"/>
      <c r="Q564" s="386"/>
      <c r="R564" s="386"/>
      <c r="S564" s="386"/>
      <c r="T564" s="386"/>
      <c r="U564" s="386"/>
      <c r="V564" s="386"/>
      <c r="W564" s="386"/>
      <c r="X564" s="386"/>
      <c r="Y564" s="386"/>
      <c r="Z564" s="386"/>
      <c r="AA564" s="386"/>
      <c r="AB564" s="386"/>
      <c r="AC564" s="386"/>
      <c r="AD564" s="386"/>
      <c r="AE564" s="386"/>
      <c r="AF564" s="386"/>
      <c r="AG564" s="386"/>
    </row>
    <row r="565" spans="2:33" ht="15">
      <c r="B565" s="17">
        <f>B551+1</f>
        <v>1</v>
      </c>
      <c r="C565" s="36" t="s">
        <v>146</v>
      </c>
      <c r="D565" s="43"/>
      <c r="E565" s="358"/>
      <c r="F565" s="346">
        <f>'II-I-DIST'!F567</f>
        <v>0</v>
      </c>
      <c r="G565" s="358"/>
      <c r="H565" s="346">
        <f>'II-I-MET'!F567</f>
        <v>0</v>
      </c>
      <c r="I565" s="358"/>
      <c r="J565" s="346">
        <f>'II-I-TBILLTDCS'!F567</f>
        <v>0</v>
      </c>
      <c r="K565" s="910"/>
      <c r="L565" s="910">
        <f t="shared" si="23"/>
        <v>0</v>
      </c>
      <c r="M565" s="1035"/>
      <c r="N565" s="839">
        <f>'WP II-I-1.1'!$J149-' WP II-I-1.4'!L529-' WP II-I-1.4'!F529</f>
        <v>0</v>
      </c>
      <c r="O565" s="1126"/>
      <c r="P565" s="1126"/>
      <c r="Q565" s="386"/>
      <c r="R565" s="386"/>
      <c r="S565" s="386"/>
      <c r="T565" s="386"/>
      <c r="U565" s="386"/>
      <c r="V565" s="386"/>
      <c r="W565" s="386"/>
      <c r="X565" s="386"/>
      <c r="Y565" s="386"/>
      <c r="Z565" s="386"/>
      <c r="AA565" s="386"/>
      <c r="AB565" s="386"/>
      <c r="AC565" s="386"/>
      <c r="AD565" s="386"/>
      <c r="AE565" s="386"/>
      <c r="AF565" s="386"/>
      <c r="AG565" s="386"/>
    </row>
    <row r="566" spans="2:13" s="386" customFormat="1" ht="14.25">
      <c r="B566" s="17">
        <f t="shared" si="26" ref="B566:B597">B565+1</f>
        <v>2</v>
      </c>
      <c r="C566" s="43">
        <v>182</v>
      </c>
      <c r="D566" s="43" t="s">
        <v>147</v>
      </c>
      <c r="E566" s="358"/>
      <c r="F566" s="118">
        <f>'II-I-DIST'!F568</f>
        <v>0</v>
      </c>
      <c r="G566" s="118" t="str">
        <f>'II-I-DIST'!H568</f>
        <v>PLANT</v>
      </c>
      <c r="H566" s="118">
        <f>'II-I-MET'!F568</f>
        <v>0</v>
      </c>
      <c r="I566" s="466" t="str">
        <f>'II-I-MET'!$H568</f>
        <v>PLANT</v>
      </c>
      <c r="J566" s="121">
        <f>'II-I-TBILLTDCS'!F568</f>
        <v>0</v>
      </c>
      <c r="K566" s="466" t="str">
        <f>'II-I-TBILLTDCS'!$H568</f>
        <v>PLANT</v>
      </c>
      <c r="L566" s="893">
        <f t="shared" si="23"/>
        <v>0</v>
      </c>
      <c r="M566" s="1035" t="s">
        <v>1067</v>
      </c>
    </row>
    <row r="567" spans="2:13" s="386" customFormat="1" ht="14.25">
      <c r="B567" s="17">
        <f t="shared" si="26"/>
        <v>3</v>
      </c>
      <c r="C567" s="43">
        <v>182</v>
      </c>
      <c r="D567" s="43" t="s">
        <v>148</v>
      </c>
      <c r="E567" s="358"/>
      <c r="F567" s="118">
        <f>'II-I-DIST'!F569</f>
        <v>0</v>
      </c>
      <c r="G567" s="118" t="str">
        <f>'II-I-DIST'!H569</f>
        <v>PLANT</v>
      </c>
      <c r="H567" s="118">
        <f>'II-I-MET'!F569</f>
        <v>0</v>
      </c>
      <c r="I567" s="466" t="str">
        <f>'II-I-MET'!$H569</f>
        <v>PLANT</v>
      </c>
      <c r="J567" s="121">
        <f>'II-I-TBILLTDCS'!F569</f>
        <v>0</v>
      </c>
      <c r="K567" s="466" t="str">
        <f>'II-I-TBILLTDCS'!$H569</f>
        <v>PLANT</v>
      </c>
      <c r="L567" s="893">
        <f t="shared" si="23"/>
        <v>0</v>
      </c>
      <c r="M567" s="1035"/>
    </row>
    <row r="568" spans="2:13" s="386" customFormat="1" ht="14.25">
      <c r="B568" s="17">
        <f t="shared" si="26"/>
        <v>4</v>
      </c>
      <c r="C568" s="43">
        <v>182</v>
      </c>
      <c r="D568" s="43" t="s">
        <v>149</v>
      </c>
      <c r="E568" s="358"/>
      <c r="F568" s="118">
        <f>'II-I-DIST'!F570</f>
        <v>0</v>
      </c>
      <c r="G568" s="118" t="str">
        <f>'II-I-DIST'!H570</f>
        <v>OPEB TOTAL</v>
      </c>
      <c r="H568" s="118">
        <f>'II-I-MET'!F570</f>
        <v>0</v>
      </c>
      <c r="I568" s="466" t="str">
        <f>'II-I-MET'!$H570</f>
        <v>OPEB TOTAL</v>
      </c>
      <c r="J568" s="121">
        <f>'II-I-TBILLTDCS'!F570</f>
        <v>0</v>
      </c>
      <c r="K568" s="466" t="str">
        <f>'II-I-TBILLTDCS'!$H570</f>
        <v>OPEB TOTAL</v>
      </c>
      <c r="L568" s="893">
        <f t="shared" si="23"/>
        <v>0</v>
      </c>
      <c r="M568" s="1035" t="s">
        <v>1068</v>
      </c>
    </row>
    <row r="569" spans="2:14" s="386" customFormat="1" ht="14.25">
      <c r="B569" s="17">
        <f t="shared" si="26"/>
        <v>5</v>
      </c>
      <c r="C569" s="43">
        <v>182</v>
      </c>
      <c r="D569" s="43" t="s">
        <v>150</v>
      </c>
      <c r="E569" s="358"/>
      <c r="F569" s="118">
        <f>'II-I-DIST'!F571</f>
        <v>0</v>
      </c>
      <c r="G569" s="118" t="str">
        <f>'II-I-DIST'!H571</f>
        <v>PLANT</v>
      </c>
      <c r="H569" s="118">
        <f>'II-I-MET'!F571</f>
        <v>0</v>
      </c>
      <c r="I569" s="466" t="str">
        <f>'II-I-MET'!$H571</f>
        <v>PLANT</v>
      </c>
      <c r="J569" s="121">
        <f>'II-I-TBILLTDCS'!F571</f>
        <v>0</v>
      </c>
      <c r="K569" s="466" t="str">
        <f>'II-I-TBILLTDCS'!$H571</f>
        <v>PLANT</v>
      </c>
      <c r="L569" s="893">
        <f t="shared" si="23"/>
        <v>0</v>
      </c>
      <c r="M569" s="1039"/>
      <c r="N569" s="1" t="b">
        <f>'II-I-DIST'!$C$571=C569</f>
        <v>1</v>
      </c>
    </row>
    <row r="570" spans="2:14" ht="14.25">
      <c r="B570" s="17">
        <f t="shared" si="26"/>
        <v>6</v>
      </c>
      <c r="C570" s="43">
        <v>182</v>
      </c>
      <c r="D570" s="43" t="s">
        <v>151</v>
      </c>
      <c r="E570" s="358"/>
      <c r="F570" s="118">
        <f>'II-I-DIST'!F572</f>
        <v>56462358.469999991</v>
      </c>
      <c r="G570" s="118" t="str">
        <f>'II-I-DIST'!H572</f>
        <v>PLANT</v>
      </c>
      <c r="H570" s="118">
        <f>'II-I-MET'!F572</f>
        <v>16213241.1</v>
      </c>
      <c r="I570" s="466" t="str">
        <f>'II-I-MET'!$H572</f>
        <v>PLANT</v>
      </c>
      <c r="J570" s="121">
        <f>'II-I-TBILLTDCS'!F572</f>
        <v>5700190.7600000147</v>
      </c>
      <c r="K570" s="466" t="str">
        <f>'II-I-TBILLTDCS'!$H572</f>
        <v>PLANT</v>
      </c>
      <c r="L570" s="893">
        <f t="shared" si="23"/>
        <v>78375790.330000013</v>
      </c>
      <c r="M570" s="1035"/>
      <c r="N570" s="1" t="b">
        <f>'II-I-DIST'!$D$572=D570</f>
        <v>0</v>
      </c>
    </row>
    <row r="571" spans="2:13" ht="14.25">
      <c r="B571" s="17">
        <f t="shared" si="26"/>
        <v>7</v>
      </c>
      <c r="C571" s="43">
        <v>182</v>
      </c>
      <c r="D571" s="43" t="s">
        <v>152</v>
      </c>
      <c r="E571" s="358"/>
      <c r="F571" s="118">
        <f>'II-I-DIST'!F573</f>
        <v>0</v>
      </c>
      <c r="G571" s="118" t="str">
        <f>'II-I-DIST'!H573</f>
        <v>PLANT</v>
      </c>
      <c r="H571" s="118">
        <f>'II-I-MET'!F573</f>
        <v>0</v>
      </c>
      <c r="I571" s="466" t="str">
        <f>'II-I-MET'!$H573</f>
        <v>PLANT</v>
      </c>
      <c r="J571" s="121">
        <f>'II-I-TBILLTDCS'!F573</f>
        <v>0</v>
      </c>
      <c r="K571" s="466" t="str">
        <f>'II-I-TBILLTDCS'!$H573</f>
        <v>PLANT</v>
      </c>
      <c r="L571" s="893">
        <f t="shared" si="23"/>
        <v>0</v>
      </c>
      <c r="M571" s="1035"/>
    </row>
    <row r="572" spans="2:13" ht="15">
      <c r="B572" s="17">
        <f t="shared" si="26"/>
        <v>8</v>
      </c>
      <c r="C572" s="35"/>
      <c r="D572" s="44" t="s">
        <v>616</v>
      </c>
      <c r="E572" s="897"/>
      <c r="F572" s="895"/>
      <c r="G572" s="897"/>
      <c r="H572" s="895"/>
      <c r="I572" s="897"/>
      <c r="J572" s="895"/>
      <c r="K572" s="895"/>
      <c r="L572" s="895"/>
      <c r="M572" s="1035"/>
    </row>
    <row r="573" spans="2:13" ht="15">
      <c r="B573" s="17">
        <f t="shared" si="26"/>
        <v>9</v>
      </c>
      <c r="C573" s="35"/>
      <c r="D573" s="44"/>
      <c r="E573" s="897"/>
      <c r="F573" s="895"/>
      <c r="G573" s="897"/>
      <c r="H573" s="895"/>
      <c r="I573" s="897"/>
      <c r="J573" s="895"/>
      <c r="K573" s="895"/>
      <c r="L573" s="895"/>
      <c r="M573" s="1035"/>
    </row>
    <row r="574" spans="2:13" ht="15">
      <c r="B574" s="17">
        <f t="shared" si="26"/>
        <v>10</v>
      </c>
      <c r="C574" s="36" t="s">
        <v>153</v>
      </c>
      <c r="D574" s="43"/>
      <c r="E574" s="358"/>
      <c r="F574" s="263"/>
      <c r="G574" s="358"/>
      <c r="H574" s="263"/>
      <c r="I574" s="358"/>
      <c r="J574" s="263"/>
      <c r="K574" s="904"/>
      <c r="L574" s="904"/>
      <c r="M574" s="1035"/>
    </row>
    <row r="575" spans="2:13" s="386" customFormat="1" ht="14.25">
      <c r="B575" s="17">
        <f t="shared" si="26"/>
        <v>11</v>
      </c>
      <c r="C575" s="43">
        <v>254</v>
      </c>
      <c r="D575" s="43" t="s">
        <v>154</v>
      </c>
      <c r="E575" s="358"/>
      <c r="F575" s="118">
        <f>'II-I-DIST'!F577</f>
        <v>0</v>
      </c>
      <c r="G575" s="118" t="str">
        <f>'II-I-DIST'!H577</f>
        <v>PLANT</v>
      </c>
      <c r="H575" s="118">
        <f>'II-I-MET'!F577</f>
        <v>0</v>
      </c>
      <c r="I575" s="466" t="str">
        <f>'II-I-MET'!$H577</f>
        <v>PLANT</v>
      </c>
      <c r="J575" s="121">
        <f>'II-I-TBILLTDCS'!F577</f>
        <v>0</v>
      </c>
      <c r="K575" s="466" t="str">
        <f>'II-I-TBILLTDCS'!$H577</f>
        <v>PLANT</v>
      </c>
      <c r="L575" s="893">
        <f t="shared" si="23"/>
        <v>0</v>
      </c>
      <c r="M575" s="1040"/>
    </row>
    <row r="576" spans="2:13" s="386" customFormat="1" ht="14.25">
      <c r="B576" s="17">
        <f t="shared" si="26"/>
        <v>12</v>
      </c>
      <c r="C576" s="43">
        <v>254</v>
      </c>
      <c r="D576" s="43" t="s">
        <v>1239</v>
      </c>
      <c r="E576" s="358"/>
      <c r="F576" s="118">
        <f>'II-I-DIST'!F578</f>
        <v>-67515629.090000004</v>
      </c>
      <c r="G576" s="118" t="str">
        <f>'II-I-DIST'!H578</f>
        <v>PLANT</v>
      </c>
      <c r="H576" s="118">
        <f>'II-I-MET'!F578</f>
        <v>-25833188.59</v>
      </c>
      <c r="I576" s="466" t="str">
        <f>'II-I-MET'!$H578</f>
        <v>PLANT</v>
      </c>
      <c r="J576" s="121">
        <f>'II-I-TBILLTDCS'!F578</f>
        <v>-1945062.2999999982</v>
      </c>
      <c r="K576" s="466" t="str">
        <f>'II-I-TBILLTDCS'!$H578</f>
        <v>PLANT</v>
      </c>
      <c r="L576" s="893">
        <f t="shared" si="23"/>
        <v>-95293879.980000004</v>
      </c>
      <c r="M576" s="1040"/>
    </row>
    <row r="577" spans="2:14" s="386" customFormat="1" ht="14.25">
      <c r="B577" s="17">
        <f t="shared" si="26"/>
        <v>13</v>
      </c>
      <c r="C577" s="43">
        <v>254</v>
      </c>
      <c r="D577" s="43" t="s">
        <v>1240</v>
      </c>
      <c r="E577" s="358"/>
      <c r="F577" s="118">
        <f>'II-I-DIST'!F579</f>
        <v>0</v>
      </c>
      <c r="G577" s="118" t="str">
        <f>'II-I-DIST'!H579</f>
        <v>PLANT</v>
      </c>
      <c r="H577" s="118">
        <f>'II-I-MET'!F579</f>
        <v>0</v>
      </c>
      <c r="I577" s="466" t="str">
        <f>'II-I-MET'!$H579</f>
        <v>PLANT</v>
      </c>
      <c r="J577" s="121">
        <f>'II-I-TBILLTDCS'!F579</f>
        <v>0</v>
      </c>
      <c r="K577" s="466" t="str">
        <f>'II-I-TBILLTDCS'!$H579</f>
        <v>PLANT</v>
      </c>
      <c r="L577" s="893">
        <f t="shared" si="23"/>
        <v>0</v>
      </c>
      <c r="M577" s="1040"/>
      <c r="N577" s="1" t="b">
        <f>'II-I-DIST'!$C$579=C577</f>
        <v>1</v>
      </c>
    </row>
    <row r="578" spans="2:14" s="386" customFormat="1" ht="14.25">
      <c r="B578" s="17">
        <f t="shared" si="26"/>
        <v>14</v>
      </c>
      <c r="C578" s="43">
        <v>254</v>
      </c>
      <c r="D578" s="43" t="s">
        <v>1241</v>
      </c>
      <c r="E578" s="358"/>
      <c r="F578" s="118">
        <f>'II-I-DIST'!F580</f>
        <v>-462439966.73000002</v>
      </c>
      <c r="G578" s="118" t="str">
        <f>'II-I-DIST'!H580</f>
        <v>PLANT</v>
      </c>
      <c r="H578" s="118">
        <f>'II-I-MET'!F580</f>
        <v>-15727006.609999999</v>
      </c>
      <c r="I578" s="466" t="str">
        <f>'II-I-MET'!$H580</f>
        <v>PLANT</v>
      </c>
      <c r="J578" s="121">
        <f>'II-I-TBILLTDCS'!F580</f>
        <v>-13411193.226812735</v>
      </c>
      <c r="K578" s="466" t="str">
        <f>'II-I-TBILLTDCS'!$H580</f>
        <v>PLANT</v>
      </c>
      <c r="L578" s="893">
        <f t="shared" si="23"/>
        <v>-491578166.56681275</v>
      </c>
      <c r="M578" s="1040"/>
      <c r="N578" s="1" t="b">
        <f>'II-I-DIST'!$D$580=D578</f>
        <v>1</v>
      </c>
    </row>
    <row r="579" spans="2:13" s="386" customFormat="1" ht="14.25">
      <c r="B579" s="17">
        <f t="shared" si="26"/>
        <v>15</v>
      </c>
      <c r="C579" s="43">
        <v>254</v>
      </c>
      <c r="D579" s="43" t="s">
        <v>1242</v>
      </c>
      <c r="E579" s="358"/>
      <c r="F579" s="118">
        <f>'II-I-DIST'!F581</f>
        <v>0</v>
      </c>
      <c r="G579" s="118" t="str">
        <f>'II-I-DIST'!H581</f>
        <v>PLANT</v>
      </c>
      <c r="H579" s="118">
        <f>'II-I-MET'!F581</f>
        <v>0</v>
      </c>
      <c r="I579" s="466" t="str">
        <f>'II-I-MET'!$H581</f>
        <v>PLANT</v>
      </c>
      <c r="J579" s="121">
        <f>'II-I-TBILLTDCS'!F581</f>
        <v>0</v>
      </c>
      <c r="K579" s="466" t="str">
        <f>'II-I-TBILLTDCS'!$H581</f>
        <v>PLANT</v>
      </c>
      <c r="L579" s="893">
        <f t="shared" si="23"/>
        <v>0</v>
      </c>
      <c r="M579" s="1040"/>
    </row>
    <row r="580" spans="2:13" s="386" customFormat="1" ht="14.25">
      <c r="B580" s="17">
        <f t="shared" si="26"/>
        <v>16</v>
      </c>
      <c r="C580" s="43">
        <v>254</v>
      </c>
      <c r="D580" s="43" t="s">
        <v>1244</v>
      </c>
      <c r="E580" s="358"/>
      <c r="F580" s="118">
        <f>'II-I-DIST'!F582</f>
        <v>-91968029.510000005</v>
      </c>
      <c r="G580" s="118" t="str">
        <f>'II-I-DIST'!H582</f>
        <v>PLANT</v>
      </c>
      <c r="H580" s="118">
        <f>'II-I-MET'!F582</f>
        <v>-3127718</v>
      </c>
      <c r="I580" s="466" t="str">
        <f>'II-I-MET'!$H582</f>
        <v>PLANT</v>
      </c>
      <c r="J580" s="121">
        <f>'II-I-TBILLTDCS'!F582</f>
        <v>-2667159.3099999968</v>
      </c>
      <c r="K580" s="466" t="str">
        <f>'II-I-TBILLTDCS'!$H582</f>
        <v>PLANT</v>
      </c>
      <c r="L580" s="893">
        <f t="shared" si="23"/>
        <v>-97762906.820000008</v>
      </c>
      <c r="M580" s="1040"/>
    </row>
    <row r="581" spans="2:13" s="386" customFormat="1" ht="14.25">
      <c r="B581" s="17">
        <f t="shared" si="26"/>
        <v>17</v>
      </c>
      <c r="C581" s="43">
        <v>254</v>
      </c>
      <c r="D581" s="43" t="s">
        <v>1245</v>
      </c>
      <c r="E581" s="358"/>
      <c r="F581" s="118">
        <f>'II-I-DIST'!F583</f>
        <v>8384714.2699999996</v>
      </c>
      <c r="G581" s="118" t="str">
        <f>'II-I-DIST'!H583</f>
        <v>PLANT</v>
      </c>
      <c r="H581" s="118">
        <f>'II-I-MET'!F583</f>
        <v>285153.67999999999</v>
      </c>
      <c r="I581" s="466" t="str">
        <f>'II-I-MET'!$H583</f>
        <v>PLANT</v>
      </c>
      <c r="J581" s="121">
        <f>'II-I-TBILLTDCS'!F583</f>
        <v>243164.58999999956</v>
      </c>
      <c r="K581" s="466" t="str">
        <f>'II-I-TBILLTDCS'!$H583</f>
        <v>PLANT</v>
      </c>
      <c r="L581" s="893">
        <f t="shared" si="23"/>
        <v>8913032.5399999991</v>
      </c>
      <c r="M581" s="1040"/>
    </row>
    <row r="582" spans="2:13" s="386" customFormat="1" ht="14.25">
      <c r="B582" s="17">
        <f t="shared" si="26"/>
        <v>18</v>
      </c>
      <c r="C582" s="43">
        <v>254</v>
      </c>
      <c r="D582" s="43" t="s">
        <v>1246</v>
      </c>
      <c r="E582" s="358"/>
      <c r="F582" s="118">
        <f>'II-I-DIST'!F584</f>
        <v>0</v>
      </c>
      <c r="G582" s="118" t="str">
        <f>'II-I-DIST'!H584</f>
        <v>PLANT</v>
      </c>
      <c r="H582" s="118">
        <f>'II-I-MET'!F584</f>
        <v>0</v>
      </c>
      <c r="I582" s="466" t="str">
        <f>'II-I-MET'!$H584</f>
        <v>PLANT</v>
      </c>
      <c r="J582" s="121">
        <f>'II-I-TBILLTDCS'!F584</f>
        <v>0</v>
      </c>
      <c r="K582" s="466" t="str">
        <f>'II-I-TBILLTDCS'!$H584</f>
        <v>PLANT</v>
      </c>
      <c r="L582" s="893">
        <f t="shared" si="23"/>
        <v>0</v>
      </c>
      <c r="M582" s="1040"/>
    </row>
    <row r="583" spans="2:13" s="386" customFormat="1" ht="14.25">
      <c r="B583" s="17">
        <f t="shared" si="26"/>
        <v>19</v>
      </c>
      <c r="C583" s="43">
        <v>254</v>
      </c>
      <c r="D583" s="43" t="s">
        <v>155</v>
      </c>
      <c r="E583" s="358"/>
      <c r="F583" s="118">
        <f>'II-I-DIST'!F585</f>
        <v>0</v>
      </c>
      <c r="G583" s="118" t="str">
        <f>'II-I-DIST'!H585</f>
        <v>OPEB TOTAL</v>
      </c>
      <c r="H583" s="118">
        <f>'II-I-MET'!F585</f>
        <v>0</v>
      </c>
      <c r="I583" s="466" t="str">
        <f>'II-I-MET'!$H585</f>
        <v>OPEB TOTAL</v>
      </c>
      <c r="J583" s="121">
        <f>'II-I-TBILLTDCS'!F585</f>
        <v>0</v>
      </c>
      <c r="K583" s="466" t="str">
        <f>'II-I-TBILLTDCS'!$H585</f>
        <v>OPEB TOTAL</v>
      </c>
      <c r="L583" s="893">
        <f t="shared" si="23"/>
        <v>0</v>
      </c>
      <c r="M583" s="1035" t="s">
        <v>1067</v>
      </c>
    </row>
    <row r="584" spans="2:13" s="386" customFormat="1" ht="14.25">
      <c r="B584" s="17">
        <f t="shared" si="26"/>
        <v>20</v>
      </c>
      <c r="C584" s="43">
        <v>254</v>
      </c>
      <c r="D584" s="43" t="s">
        <v>156</v>
      </c>
      <c r="E584" s="358"/>
      <c r="F584" s="118">
        <f>'II-I-DIST'!F586</f>
        <v>0</v>
      </c>
      <c r="G584" s="118" t="str">
        <f>'II-I-DIST'!H586</f>
        <v>OPEB TOTAL</v>
      </c>
      <c r="H584" s="118">
        <f>'II-I-MET'!F586</f>
        <v>0</v>
      </c>
      <c r="I584" s="466" t="str">
        <f>'II-I-MET'!$H586</f>
        <v>OPEB TOTAL</v>
      </c>
      <c r="J584" s="121">
        <f>'II-I-TBILLTDCS'!F586</f>
        <v>0</v>
      </c>
      <c r="K584" s="466" t="str">
        <f>'II-I-TBILLTDCS'!$H586</f>
        <v>OPEB TOTAL</v>
      </c>
      <c r="L584" s="893">
        <f t="shared" si="23"/>
        <v>0</v>
      </c>
      <c r="M584" s="1035"/>
    </row>
    <row r="585" spans="2:12" ht="15">
      <c r="B585" s="17">
        <f t="shared" si="26"/>
        <v>21</v>
      </c>
      <c r="C585" s="35"/>
      <c r="D585" s="44" t="s">
        <v>617</v>
      </c>
      <c r="E585" s="897"/>
      <c r="F585" s="895">
        <f>'II-I-DIST'!F587</f>
        <v>-613538911.06000006</v>
      </c>
      <c r="G585" s="897"/>
      <c r="H585" s="895">
        <f>'II-I-MET'!F587</f>
        <v>-44402759.520000003</v>
      </c>
      <c r="I585" s="897"/>
      <c r="J585" s="895">
        <f>'II-I-TBILLTDCS'!F587</f>
        <v>-17780250.246812731</v>
      </c>
      <c r="K585" s="895"/>
      <c r="L585" s="895">
        <f t="shared" si="23"/>
        <v>-675721920.82681274</v>
      </c>
    </row>
    <row r="586" spans="2:12" ht="15.75" thickBot="1">
      <c r="B586" s="17">
        <f t="shared" si="26"/>
        <v>22</v>
      </c>
      <c r="C586" s="35"/>
      <c r="D586" s="43"/>
      <c r="E586" s="358"/>
      <c r="F586" s="346"/>
      <c r="G586" s="358"/>
      <c r="H586" s="346"/>
      <c r="I586" s="358"/>
      <c r="J586" s="346"/>
      <c r="K586" s="910"/>
      <c r="L586" s="910"/>
    </row>
    <row r="587" spans="2:12" ht="15.75" thickBot="1">
      <c r="B587" s="17">
        <f t="shared" si="26"/>
        <v>23</v>
      </c>
      <c r="C587" s="356" t="s">
        <v>618</v>
      </c>
      <c r="D587" s="905"/>
      <c r="E587" s="337" t="s">
        <v>132</v>
      </c>
      <c r="F587" s="905">
        <f>'II-I-DIST'!F589</f>
        <v>-557076552.59000003</v>
      </c>
      <c r="G587" s="337"/>
      <c r="H587" s="905">
        <f>'II-I-MET'!F589</f>
        <v>-28189518.420000002</v>
      </c>
      <c r="I587" s="337"/>
      <c r="J587" s="905">
        <f>'II-I-TBILLTDCS'!F589</f>
        <v>-12080059.486812716</v>
      </c>
      <c r="K587" s="905"/>
      <c r="L587" s="279">
        <f t="shared" si="23"/>
        <v>-597346130.4968127</v>
      </c>
    </row>
    <row r="588" spans="2:12" ht="15.75" thickBot="1">
      <c r="B588" s="17">
        <f t="shared" si="26"/>
        <v>24</v>
      </c>
      <c r="C588" s="46"/>
      <c r="D588" s="36"/>
      <c r="E588" s="897"/>
      <c r="F588" s="898"/>
      <c r="G588" s="897"/>
      <c r="H588" s="898"/>
      <c r="I588" s="897"/>
      <c r="J588" s="898"/>
      <c r="K588" s="898"/>
      <c r="L588" s="898"/>
    </row>
    <row r="589" spans="2:12" ht="15.75" thickBot="1">
      <c r="B589" s="17">
        <f t="shared" si="26"/>
        <v>25</v>
      </c>
      <c r="C589" s="335" t="s">
        <v>619</v>
      </c>
      <c r="D589" s="336"/>
      <c r="E589" s="336"/>
      <c r="F589" s="360">
        <f>'II-I-DIST'!F591</f>
        <v>190520108.74000001</v>
      </c>
      <c r="G589" s="336"/>
      <c r="H589" s="360">
        <f>'II-I-MET'!F591</f>
        <v>119901695.55999999</v>
      </c>
      <c r="I589" s="336"/>
      <c r="J589" s="360">
        <f>'II-I-TBILLTDCS'!F591</f>
        <v>4277692.1731872801</v>
      </c>
      <c r="K589" s="360"/>
      <c r="L589" s="361">
        <f t="shared" si="23"/>
        <v>314699496.47318727</v>
      </c>
    </row>
    <row r="590" spans="2:12" ht="15.75" thickBot="1">
      <c r="B590" s="17">
        <f t="shared" si="26"/>
        <v>26</v>
      </c>
      <c r="C590" s="36"/>
      <c r="D590" s="36"/>
      <c r="E590" s="36"/>
      <c r="F590" s="36"/>
      <c r="G590" s="36"/>
      <c r="H590" s="36"/>
      <c r="I590" s="36"/>
      <c r="J590" s="36"/>
      <c r="K590" s="36"/>
      <c r="L590" s="36"/>
    </row>
    <row r="591" spans="2:12" ht="15.75" thickBot="1">
      <c r="B591" s="17">
        <f t="shared" si="26"/>
        <v>27</v>
      </c>
      <c r="C591" s="341" t="s">
        <v>620</v>
      </c>
      <c r="D591" s="336"/>
      <c r="E591" s="337" t="s">
        <v>621</v>
      </c>
      <c r="F591" s="905">
        <f>'II-I-DIST'!F593</f>
        <v>347954431.98538464</v>
      </c>
      <c r="G591" s="337"/>
      <c r="H591" s="905">
        <f>'II-I-MET'!F593</f>
        <v>123137902.77076921</v>
      </c>
      <c r="I591" s="337"/>
      <c r="J591" s="905">
        <f>'II-I-TBILLTDCS'!F593</f>
        <v>5349223.523187262</v>
      </c>
      <c r="K591" s="905"/>
      <c r="L591" s="279">
        <f t="shared" si="23"/>
        <v>476441558.2793411</v>
      </c>
    </row>
    <row r="592" spans="2:12" ht="15.75" thickBot="1">
      <c r="B592" s="17">
        <f t="shared" si="26"/>
        <v>28</v>
      </c>
      <c r="C592" s="36"/>
      <c r="D592" s="36"/>
      <c r="E592" s="915"/>
      <c r="F592" s="898"/>
      <c r="G592" s="915"/>
      <c r="H592" s="898"/>
      <c r="I592" s="915"/>
      <c r="J592" s="898"/>
      <c r="K592" s="898"/>
      <c r="L592" s="898"/>
    </row>
    <row r="593" spans="2:12" ht="15.75" thickBot="1">
      <c r="B593" s="17">
        <f t="shared" si="26"/>
        <v>29</v>
      </c>
      <c r="C593" s="341" t="s">
        <v>622</v>
      </c>
      <c r="D593" s="336"/>
      <c r="E593" s="337" t="s">
        <v>623</v>
      </c>
      <c r="F593" s="905">
        <f>'II-I-DIST'!F595</f>
        <v>9061557949.7653847</v>
      </c>
      <c r="G593" s="337"/>
      <c r="H593" s="905">
        <f>'II-I-MET'!F595</f>
        <v>421320140.15076929</v>
      </c>
      <c r="I593" s="337"/>
      <c r="J593" s="905">
        <f>'II-I-TBILLTDCS'!F595</f>
        <v>205072406.6531876</v>
      </c>
      <c r="K593" s="905"/>
      <c r="L593" s="279">
        <f t="shared" si="23"/>
        <v>9687950496.5693417</v>
      </c>
    </row>
    <row r="594" spans="2:12" ht="14.25">
      <c r="B594" s="17">
        <f t="shared" si="26"/>
        <v>30</v>
      </c>
      <c r="C594" s="43"/>
      <c r="D594" s="43"/>
      <c r="E594" s="263"/>
      <c r="F594" s="263"/>
      <c r="G594" s="263"/>
      <c r="H594" s="263"/>
      <c r="I594" s="263"/>
      <c r="J594" s="263"/>
      <c r="K594" s="691"/>
      <c r="L594" s="691"/>
    </row>
    <row r="595" spans="2:13" ht="15">
      <c r="B595" s="17">
        <f t="shared" si="26"/>
        <v>31</v>
      </c>
      <c r="C595" s="364" t="s">
        <v>157</v>
      </c>
      <c r="D595" s="365"/>
      <c r="E595" s="36"/>
      <c r="F595" s="202">
        <f>'II-I-DIST'!F597</f>
        <v>0.070499999999999993</v>
      </c>
      <c r="G595" s="47" t="s">
        <v>804</v>
      </c>
      <c r="H595" s="202">
        <f>'II-I-MET'!F597</f>
        <v>0.070499999999999993</v>
      </c>
      <c r="I595" s="47" t="s">
        <v>804</v>
      </c>
      <c r="J595" s="202">
        <f>'II-I-TBILLTDCS'!F597</f>
        <v>0.070499999999999993</v>
      </c>
      <c r="K595" s="906" t="s">
        <v>804</v>
      </c>
      <c r="L595" s="906">
        <v>0.077475000000000002</v>
      </c>
      <c r="M595" s="1034" t="s">
        <v>1049</v>
      </c>
    </row>
    <row r="596" spans="2:12" ht="15" thickBot="1">
      <c r="B596" s="17">
        <f t="shared" si="26"/>
        <v>32</v>
      </c>
      <c r="C596" s="1"/>
      <c r="D596" s="263"/>
      <c r="E596" s="263"/>
      <c r="F596" s="12"/>
      <c r="G596" s="263"/>
      <c r="H596" s="12"/>
      <c r="I596" s="263"/>
      <c r="J596" s="12"/>
      <c r="K596" s="646"/>
      <c r="L596" s="646"/>
    </row>
    <row r="597" spans="2:12" ht="15.75" thickBot="1">
      <c r="B597" s="17">
        <f t="shared" si="26"/>
        <v>33</v>
      </c>
      <c r="C597" s="341" t="s">
        <v>624</v>
      </c>
      <c r="D597" s="336"/>
      <c r="E597" s="337"/>
      <c r="F597" s="905">
        <f>'II-I-DIST'!F599</f>
        <v>638839835.45845962</v>
      </c>
      <c r="G597" s="337"/>
      <c r="H597" s="905">
        <f>'II-I-MET'!F599</f>
        <v>29703069.880629234</v>
      </c>
      <c r="I597" s="337"/>
      <c r="J597" s="905">
        <f>'II-I-TBILLTDCS'!F599</f>
        <v>14457604.669049725</v>
      </c>
      <c r="K597" s="905"/>
      <c r="L597" s="279">
        <f t="shared" si="23"/>
        <v>683000510.00813854</v>
      </c>
    </row>
    <row r="598" spans="2:10" ht="14.25">
      <c r="B598" s="67"/>
      <c r="C598" s="67"/>
      <c r="D598" s="67"/>
      <c r="E598" s="67"/>
      <c r="F598" s="67"/>
      <c r="G598" s="67"/>
      <c r="H598" s="67"/>
      <c r="I598" s="67"/>
      <c r="J598" s="67"/>
    </row>
    <row r="599" spans="2:12" ht="15">
      <c r="B599" s="874"/>
      <c r="C599" s="874"/>
      <c r="D599" s="874"/>
      <c r="E599" s="874"/>
      <c r="F599" s="67"/>
      <c r="G599" s="134"/>
      <c r="H599" s="67"/>
      <c r="I599" s="134"/>
      <c r="J599" s="67"/>
      <c r="K599" s="874" t="s">
        <v>0</v>
      </c>
      <c r="L599" s="874"/>
    </row>
    <row r="600" spans="2:12" ht="15.75" thickBot="1">
      <c r="B600" s="874"/>
      <c r="C600" s="874"/>
      <c r="D600" s="874"/>
      <c r="E600" s="874"/>
      <c r="F600" s="67"/>
      <c r="G600" s="67"/>
      <c r="H600" s="67"/>
      <c r="I600" s="67"/>
      <c r="J600" s="67"/>
      <c r="K600" s="874"/>
      <c r="L600" s="874"/>
    </row>
    <row r="601" spans="2:12" ht="15">
      <c r="B601" s="920" t="str">
        <f>$B$4</f>
        <v>2022 RATE CASE</v>
      </c>
      <c r="C601" s="926"/>
      <c r="D601" s="927"/>
      <c r="E601" s="874"/>
      <c r="F601" s="332"/>
      <c r="H601" s="332"/>
      <c r="J601" s="332"/>
      <c r="K601" s="874"/>
      <c r="L601" s="874"/>
    </row>
    <row r="602" spans="2:12" ht="15">
      <c r="B602" s="917" t="str">
        <f>$B$5</f>
        <v>ONCOR ELECTRIC DELIVERY COMPANY LLC</v>
      </c>
      <c r="C602" s="369"/>
      <c r="D602" s="928"/>
      <c r="E602" s="874"/>
      <c r="F602" s="332"/>
      <c r="H602" s="332"/>
      <c r="J602" s="332"/>
      <c r="K602" s="874"/>
      <c r="L602" s="874"/>
    </row>
    <row r="603" spans="2:12" ht="15">
      <c r="B603" s="406" t="str">
        <f>$B$6</f>
        <v>II-I-2.1f:  CONSOLIDATED FUNCTIONALIZED COST OF SERVICE</v>
      </c>
      <c r="C603" s="369"/>
      <c r="D603" s="928"/>
      <c r="E603" s="874"/>
      <c r="F603" s="332"/>
      <c r="H603" s="332"/>
      <c r="J603" s="332"/>
      <c r="K603" s="874"/>
      <c r="L603" s="874"/>
    </row>
    <row r="604" spans="2:12" ht="15">
      <c r="B604" s="406" t="str">
        <f>$B$7</f>
        <v>TEST YEAR ENDING 12/31/2021</v>
      </c>
      <c r="C604" s="369"/>
      <c r="D604" s="928"/>
      <c r="E604" s="369"/>
      <c r="F604" s="332"/>
      <c r="H604" s="332"/>
      <c r="J604" s="332"/>
      <c r="K604" s="369"/>
      <c r="L604" s="369"/>
    </row>
    <row r="605" spans="2:12" ht="15">
      <c r="B605" s="406" t="str">
        <f>$B$8</f>
        <v>SPONSOR:  MATTHEW A. TROXLE</v>
      </c>
      <c r="C605" s="369"/>
      <c r="D605" s="928"/>
      <c r="E605" s="369"/>
      <c r="F605" s="332"/>
      <c r="H605" s="332"/>
      <c r="J605" s="332"/>
      <c r="K605" s="369"/>
      <c r="L605" s="369"/>
    </row>
    <row r="606" spans="2:12" ht="15.75" thickBot="1">
      <c r="B606" s="410"/>
      <c r="C606" s="931"/>
      <c r="D606" s="932"/>
      <c r="E606" s="369"/>
      <c r="F606" s="332"/>
      <c r="H606" s="332"/>
      <c r="J606" s="332"/>
      <c r="K606" s="369"/>
      <c r="L606" s="369"/>
    </row>
    <row r="607" spans="2:13" ht="14.25">
      <c r="B607" s="13"/>
      <c r="C607" s="14"/>
      <c r="D607" s="238"/>
      <c r="E607" s="14"/>
      <c r="F607" s="13"/>
      <c r="G607" s="14"/>
      <c r="H607" s="13"/>
      <c r="I607" s="14"/>
      <c r="J607" s="13"/>
      <c r="K607" s="738"/>
      <c r="L607" s="952"/>
      <c r="M607" s="1036"/>
    </row>
    <row r="608" spans="2:13" ht="15">
      <c r="B608" s="15" t="s">
        <v>2</v>
      </c>
      <c r="C608" s="15" t="s">
        <v>370</v>
      </c>
      <c r="D608" s="241" t="s">
        <v>625</v>
      </c>
      <c r="E608" s="15" t="s">
        <v>371</v>
      </c>
      <c r="F608" s="287" t="str">
        <f>'II-I-DIST'!F610</f>
        <v>DIST</v>
      </c>
      <c r="G608" s="242" t="s">
        <v>376</v>
      </c>
      <c r="H608" s="287" t="str">
        <f>'II-I-MET'!F610</f>
        <v>MET</v>
      </c>
      <c r="I608" s="242" t="s">
        <v>376</v>
      </c>
      <c r="J608" s="287" t="str">
        <f>'II-I-TBILLTDCS'!F610</f>
        <v>TBILLTDCS</v>
      </c>
      <c r="K608" s="743" t="s">
        <v>376</v>
      </c>
      <c r="L608" s="743" t="s">
        <v>481</v>
      </c>
      <c r="M608" s="1030" t="s">
        <v>1046</v>
      </c>
    </row>
    <row r="609" spans="2:13" ht="14.25">
      <c r="B609" s="15"/>
      <c r="C609" s="15"/>
      <c r="D609" s="242"/>
      <c r="E609" s="15"/>
      <c r="F609" s="15"/>
      <c r="G609" s="242" t="s">
        <v>743</v>
      </c>
      <c r="H609" s="15"/>
      <c r="I609" s="242" t="s">
        <v>743</v>
      </c>
      <c r="J609" s="15"/>
      <c r="K609" s="743" t="s">
        <v>743</v>
      </c>
      <c r="L609" s="743" t="s">
        <v>33</v>
      </c>
      <c r="M609" s="1037"/>
    </row>
    <row r="610" spans="2:13" ht="15.75" thickBot="1">
      <c r="B610" s="243"/>
      <c r="C610" s="957"/>
      <c r="D610" s="245"/>
      <c r="E610" s="245"/>
      <c r="F610" s="747" t="s">
        <v>13</v>
      </c>
      <c r="G610" s="747" t="s">
        <v>14</v>
      </c>
      <c r="H610" s="747" t="s">
        <v>15</v>
      </c>
      <c r="I610" s="747" t="s">
        <v>16</v>
      </c>
      <c r="J610" s="747" t="s">
        <v>17</v>
      </c>
      <c r="K610" s="747" t="s">
        <v>18</v>
      </c>
      <c r="L610" s="747" t="s">
        <v>19</v>
      </c>
      <c r="M610" s="1032" t="s">
        <v>20</v>
      </c>
    </row>
    <row r="611" spans="2:12" ht="14.25">
      <c r="B611" s="47"/>
      <c r="C611" s="333"/>
      <c r="D611" s="333"/>
      <c r="E611" s="333"/>
      <c r="F611" s="333"/>
      <c r="G611" s="333"/>
      <c r="H611" s="333"/>
      <c r="I611" s="333"/>
      <c r="J611" s="333"/>
      <c r="K611" s="691"/>
      <c r="L611" s="691"/>
    </row>
    <row r="612" spans="2:12" ht="15">
      <c r="B612" s="17">
        <f t="shared" si="27" ref="B612:B638">B611+1</f>
        <v>1</v>
      </c>
      <c r="C612" s="8" t="s">
        <v>625</v>
      </c>
      <c r="D612" s="8"/>
      <c r="E612" s="922"/>
      <c r="F612" s="8"/>
      <c r="G612" s="922"/>
      <c r="H612" s="8"/>
      <c r="I612" s="922"/>
      <c r="J612" s="8"/>
      <c r="K612" s="8"/>
      <c r="L612" s="8"/>
    </row>
    <row r="613" spans="2:12" ht="15">
      <c r="B613" s="17">
        <f t="shared" si="27"/>
        <v>2</v>
      </c>
      <c r="C613" s="8"/>
      <c r="D613" s="8"/>
      <c r="E613" s="922"/>
      <c r="F613" s="8"/>
      <c r="G613" s="922"/>
      <c r="H613" s="8"/>
      <c r="I613" s="922"/>
      <c r="J613" s="8"/>
      <c r="K613" s="8"/>
      <c r="L613" s="8"/>
    </row>
    <row r="614" spans="2:13" ht="15">
      <c r="B614" s="17">
        <f t="shared" si="27"/>
        <v>3</v>
      </c>
      <c r="C614" s="8"/>
      <c r="D614" s="366" t="s">
        <v>626</v>
      </c>
      <c r="E614" s="922" t="s">
        <v>160</v>
      </c>
      <c r="F614" s="8"/>
      <c r="G614" s="922"/>
      <c r="H614" s="8"/>
      <c r="I614" s="922"/>
      <c r="J614" s="8"/>
      <c r="K614" s="8"/>
      <c r="L614" s="8"/>
      <c r="M614" s="1035"/>
    </row>
    <row r="615" spans="2:13" s="386" customFormat="1" ht="28.5">
      <c r="B615" s="17">
        <f t="shared" si="27"/>
        <v>4</v>
      </c>
      <c r="C615" s="28" t="s">
        <v>161</v>
      </c>
      <c r="D615" s="1" t="s">
        <v>162</v>
      </c>
      <c r="E615" s="17"/>
      <c r="F615" s="118">
        <f>'II-I-DIST'!F617</f>
        <v>46904.709999999999</v>
      </c>
      <c r="G615" s="118" t="str">
        <f>'II-I-DIST'!H617</f>
        <v>NCP XHV</v>
      </c>
      <c r="H615" s="118">
        <f>'II-I-MET'!F617</f>
        <v>1929.49</v>
      </c>
      <c r="I615" s="466" t="str">
        <f>'II-I-MET'!$H617</f>
        <v>NCP XHV</v>
      </c>
      <c r="J615" s="121">
        <f>'II-I-TBILLTDCS'!F617</f>
        <v>0</v>
      </c>
      <c r="K615" s="466" t="str">
        <f>'II-I-TBILLTDCS'!$H617</f>
        <v>NCP XHV</v>
      </c>
      <c r="L615" s="893">
        <f t="shared" si="28" ref="L615:L663">F615+H615+J615</f>
        <v>48834.199999999997</v>
      </c>
      <c r="M615" s="1033" t="s">
        <v>1069</v>
      </c>
    </row>
    <row r="616" spans="2:13" s="386" customFormat="1" ht="14.25">
      <c r="B616" s="17">
        <f t="shared" si="27"/>
        <v>5</v>
      </c>
      <c r="C616" s="1" t="s">
        <v>163</v>
      </c>
      <c r="D616" s="1" t="s">
        <v>164</v>
      </c>
      <c r="E616" s="17"/>
      <c r="F616" s="118">
        <f>'II-I-DIST'!F618</f>
        <v>0</v>
      </c>
      <c r="G616" s="118" t="str">
        <f>'II-I-DIST'!H618</f>
        <v>NCP XHV</v>
      </c>
      <c r="H616" s="118">
        <f>'II-I-MET'!F618</f>
        <v>0</v>
      </c>
      <c r="I616" s="466" t="str">
        <f>'II-I-MET'!$H618</f>
        <v>NCP XHV</v>
      </c>
      <c r="J616" s="121">
        <f>'II-I-TBILLTDCS'!F618</f>
        <v>0</v>
      </c>
      <c r="K616" s="466" t="str">
        <f>'II-I-TBILLTDCS'!$H618</f>
        <v>NCP XHV</v>
      </c>
      <c r="L616" s="893">
        <f t="shared" si="28"/>
        <v>0</v>
      </c>
      <c r="M616" s="1035" t="s">
        <v>1070</v>
      </c>
    </row>
    <row r="617" spans="2:13" s="386" customFormat="1" ht="14.25">
      <c r="B617" s="17">
        <f t="shared" si="27"/>
        <v>6</v>
      </c>
      <c r="C617" s="1" t="s">
        <v>165</v>
      </c>
      <c r="D617" s="1" t="s">
        <v>166</v>
      </c>
      <c r="E617" s="17"/>
      <c r="F617" s="118">
        <f>'II-I-DIST'!F619</f>
        <v>522283.20000000001</v>
      </c>
      <c r="G617" s="118" t="str">
        <f>'II-I-DIST'!H619</f>
        <v>NCP XHV</v>
      </c>
      <c r="H617" s="118">
        <f>'II-I-MET'!F619</f>
        <v>0</v>
      </c>
      <c r="I617" s="466" t="str">
        <f>'II-I-MET'!$H619</f>
        <v>NCP XHV</v>
      </c>
      <c r="J617" s="121">
        <f>'II-I-TBILLTDCS'!F619</f>
        <v>0</v>
      </c>
      <c r="K617" s="466" t="str">
        <f>'II-I-TBILLTDCS'!$H619</f>
        <v>NCP XHV</v>
      </c>
      <c r="L617" s="893">
        <f t="shared" si="28"/>
        <v>522283.20000000001</v>
      </c>
      <c r="M617" s="1040"/>
    </row>
    <row r="618" spans="2:13" s="386" customFormat="1" ht="14.25">
      <c r="B618" s="17">
        <f t="shared" si="27"/>
        <v>7</v>
      </c>
      <c r="C618" s="1" t="s">
        <v>167</v>
      </c>
      <c r="D618" s="1" t="s">
        <v>168</v>
      </c>
      <c r="E618" s="17"/>
      <c r="F618" s="118">
        <f>'II-I-DIST'!F620</f>
        <v>0</v>
      </c>
      <c r="G618" s="118" t="str">
        <f>'II-I-DIST'!H620</f>
        <v>NCP XHV</v>
      </c>
      <c r="H618" s="118">
        <f>'II-I-MET'!F620</f>
        <v>0</v>
      </c>
      <c r="I618" s="466" t="str">
        <f>'II-I-MET'!$H620</f>
        <v>NCP XHV</v>
      </c>
      <c r="J618" s="121">
        <f>'II-I-TBILLTDCS'!F620</f>
        <v>0</v>
      </c>
      <c r="K618" s="466" t="str">
        <f>'II-I-TBILLTDCS'!$H620</f>
        <v>NCP XHV</v>
      </c>
      <c r="L618" s="893">
        <f t="shared" si="28"/>
        <v>0</v>
      </c>
      <c r="M618" s="1040"/>
    </row>
    <row r="619" spans="2:13" s="386" customFormat="1" ht="14.25">
      <c r="B619" s="17">
        <f t="shared" si="27"/>
        <v>8</v>
      </c>
      <c r="C619" s="1" t="s">
        <v>169</v>
      </c>
      <c r="D619" s="1" t="s">
        <v>170</v>
      </c>
      <c r="E619" s="17"/>
      <c r="F619" s="118">
        <f>'II-I-DIST'!F621</f>
        <v>0</v>
      </c>
      <c r="G619" s="118" t="str">
        <f>'II-I-DIST'!H621</f>
        <v>NCP XHV</v>
      </c>
      <c r="H619" s="118">
        <f>'II-I-MET'!F621</f>
        <v>0</v>
      </c>
      <c r="I619" s="466" t="str">
        <f>'II-I-MET'!$H621</f>
        <v>NCP XHV</v>
      </c>
      <c r="J619" s="121">
        <f>'II-I-TBILLTDCS'!F621</f>
        <v>0</v>
      </c>
      <c r="K619" s="466" t="str">
        <f>'II-I-TBILLTDCS'!$H621</f>
        <v>NCP XHV</v>
      </c>
      <c r="L619" s="893">
        <f t="shared" si="28"/>
        <v>0</v>
      </c>
      <c r="M619" s="1035"/>
    </row>
    <row r="620" spans="2:13" s="386" customFormat="1" ht="28.5">
      <c r="B620" s="17">
        <f t="shared" si="27"/>
        <v>9</v>
      </c>
      <c r="C620" s="1" t="s">
        <v>171</v>
      </c>
      <c r="D620" s="1" t="s">
        <v>172</v>
      </c>
      <c r="E620" s="17"/>
      <c r="F620" s="118">
        <f>'II-I-DIST'!F622</f>
        <v>1652522021.4399998</v>
      </c>
      <c r="G620" s="118" t="str">
        <f>'II-I-DIST'!H622</f>
        <v>4CP RTL</v>
      </c>
      <c r="H620" s="118">
        <f>'II-I-MET'!F622</f>
        <v>0</v>
      </c>
      <c r="I620" s="466" t="str">
        <f>'II-I-MET'!$H622</f>
        <v>4CP RTL</v>
      </c>
      <c r="J620" s="121">
        <f>'II-I-TBILLTDCS'!F622</f>
        <v>0</v>
      </c>
      <c r="K620" s="466" t="str">
        <f>'II-I-TBILLTDCS'!$H622</f>
        <v>4CP RTL</v>
      </c>
      <c r="L620" s="893">
        <f t="shared" si="28"/>
        <v>1652522021.4399998</v>
      </c>
      <c r="M620" s="1035" t="s">
        <v>1071</v>
      </c>
    </row>
    <row r="621" spans="2:13" s="386" customFormat="1" ht="28.5">
      <c r="B621" s="17">
        <f t="shared" si="27"/>
        <v>10</v>
      </c>
      <c r="C621" s="1" t="s">
        <v>173</v>
      </c>
      <c r="D621" s="31" t="s">
        <v>174</v>
      </c>
      <c r="E621" s="17"/>
      <c r="F621" s="118">
        <f>'II-I-DIST'!F623</f>
        <v>271783.87</v>
      </c>
      <c r="G621" s="118" t="str">
        <f>'II-I-DIST'!H623</f>
        <v>NCP XHV</v>
      </c>
      <c r="H621" s="118">
        <f>'II-I-MET'!F623</f>
        <v>0</v>
      </c>
      <c r="I621" s="466" t="str">
        <f>'II-I-MET'!$H623</f>
        <v>NCP XHV</v>
      </c>
      <c r="J621" s="121">
        <f>'II-I-TBILLTDCS'!F623</f>
        <v>0</v>
      </c>
      <c r="K621" s="466" t="str">
        <f>'II-I-TBILLTDCS'!$H623</f>
        <v>NCP XHV</v>
      </c>
      <c r="L621" s="893">
        <f t="shared" si="28"/>
        <v>271783.87</v>
      </c>
      <c r="M621" s="1035" t="s">
        <v>1072</v>
      </c>
    </row>
    <row r="622" spans="2:13" s="386" customFormat="1" ht="14.25">
      <c r="B622" s="17">
        <f t="shared" si="27"/>
        <v>11</v>
      </c>
      <c r="C622" s="1" t="s">
        <v>175</v>
      </c>
      <c r="D622" s="1" t="s">
        <v>176</v>
      </c>
      <c r="E622" s="17"/>
      <c r="F622" s="118">
        <f>'II-I-DIST'!F624</f>
        <v>0</v>
      </c>
      <c r="G622" s="118" t="str">
        <f>'II-I-DIST'!H624</f>
        <v>NCP XHV</v>
      </c>
      <c r="H622" s="118">
        <f>'II-I-MET'!F624</f>
        <v>0</v>
      </c>
      <c r="I622" s="466" t="str">
        <f>'II-I-MET'!$H624</f>
        <v>NCP XHV</v>
      </c>
      <c r="J622" s="121">
        <f>'II-I-TBILLTDCS'!F624</f>
        <v>0</v>
      </c>
      <c r="K622" s="466" t="str">
        <f>'II-I-TBILLTDCS'!$H624</f>
        <v>NCP XHV</v>
      </c>
      <c r="L622" s="893">
        <f t="shared" si="28"/>
        <v>0</v>
      </c>
      <c r="M622" s="1035"/>
    </row>
    <row r="623" spans="2:13" ht="15">
      <c r="B623" s="17">
        <f t="shared" si="27"/>
        <v>12</v>
      </c>
      <c r="C623" s="8"/>
      <c r="D623" s="297" t="s">
        <v>491</v>
      </c>
      <c r="E623" s="922"/>
      <c r="F623" s="896">
        <f>'II-I-DIST'!F625</f>
        <v>1653362993.2199998</v>
      </c>
      <c r="G623" s="922"/>
      <c r="H623" s="896">
        <f>'II-I-MET'!F625</f>
        <v>1929.49</v>
      </c>
      <c r="I623" s="922"/>
      <c r="J623" s="896">
        <f>'II-I-TBILLTDCS'!F625</f>
        <v>0</v>
      </c>
      <c r="K623" s="896"/>
      <c r="L623" s="896">
        <f t="shared" si="28"/>
        <v>1653364922.7099998</v>
      </c>
      <c r="M623" s="1035"/>
    </row>
    <row r="624" spans="2:13" ht="15">
      <c r="B624" s="17">
        <f t="shared" si="27"/>
        <v>13</v>
      </c>
      <c r="C624" s="8"/>
      <c r="D624" s="922"/>
      <c r="E624" s="922"/>
      <c r="F624" s="896"/>
      <c r="G624" s="922"/>
      <c r="H624" s="896"/>
      <c r="I624" s="922"/>
      <c r="J624" s="896"/>
      <c r="K624" s="896"/>
      <c r="L624" s="896"/>
      <c r="M624" s="1035"/>
    </row>
    <row r="625" spans="2:12" ht="15">
      <c r="B625" s="17">
        <f t="shared" si="27"/>
        <v>14</v>
      </c>
      <c r="C625" s="8"/>
      <c r="D625" s="297" t="s">
        <v>627</v>
      </c>
      <c r="E625" s="922"/>
      <c r="F625" s="896">
        <f>'II-I-DIST'!F627</f>
        <v>840971.77999997139</v>
      </c>
      <c r="G625" s="922"/>
      <c r="H625" s="896">
        <f>'II-I-MET'!F627</f>
        <v>1929.49</v>
      </c>
      <c r="I625" s="922"/>
      <c r="J625" s="896">
        <f>'II-I-TBILLTDCS'!F627</f>
        <v>0</v>
      </c>
      <c r="K625" s="896"/>
      <c r="L625" s="896">
        <f t="shared" si="28"/>
        <v>842901.26999997138</v>
      </c>
    </row>
    <row r="626" spans="2:12" ht="15">
      <c r="B626" s="17">
        <f t="shared" si="27"/>
        <v>15</v>
      </c>
      <c r="C626" s="8"/>
      <c r="D626" s="922"/>
      <c r="E626" s="922"/>
      <c r="F626" s="896"/>
      <c r="G626" s="922"/>
      <c r="H626" s="896"/>
      <c r="I626" s="922"/>
      <c r="J626" s="896"/>
      <c r="K626" s="896"/>
      <c r="L626" s="896"/>
    </row>
    <row r="627" spans="2:12" ht="15">
      <c r="B627" s="17">
        <f t="shared" si="27"/>
        <v>16</v>
      </c>
      <c r="C627" s="8"/>
      <c r="D627" s="366" t="s">
        <v>628</v>
      </c>
      <c r="E627" s="922" t="s">
        <v>160</v>
      </c>
      <c r="F627" s="896"/>
      <c r="G627" s="922"/>
      <c r="H627" s="896"/>
      <c r="I627" s="922"/>
      <c r="J627" s="896"/>
      <c r="K627" s="896"/>
      <c r="L627" s="896"/>
    </row>
    <row r="628" spans="2:13" s="386" customFormat="1" ht="28.5">
      <c r="B628" s="17">
        <f t="shared" si="27"/>
        <v>17</v>
      </c>
      <c r="C628" s="1" t="s">
        <v>178</v>
      </c>
      <c r="D628" s="1" t="s">
        <v>179</v>
      </c>
      <c r="E628" s="17"/>
      <c r="F628" s="118">
        <f>'II-I-DIST'!F630</f>
        <v>85793.720000000001</v>
      </c>
      <c r="G628" s="118" t="str">
        <f>'II-I-DIST'!H630</f>
        <v>NCP XHV</v>
      </c>
      <c r="H628" s="118">
        <f>'II-I-MET'!F630</f>
        <v>291.72000000000003</v>
      </c>
      <c r="I628" s="466" t="str">
        <f>'II-I-MET'!$H630</f>
        <v>NCP XHV</v>
      </c>
      <c r="J628" s="121">
        <f>'II-I-TBILLTDCS'!F630</f>
        <v>0</v>
      </c>
      <c r="K628" s="466" t="str">
        <f>'II-I-TBILLTDCS'!$H630</f>
        <v>NCP XHV</v>
      </c>
      <c r="L628" s="893">
        <f t="shared" si="28"/>
        <v>86085.440000000002</v>
      </c>
      <c r="M628" s="1035" t="s">
        <v>1069</v>
      </c>
    </row>
    <row r="629" spans="2:13" s="386" customFormat="1" ht="14.25">
      <c r="B629" s="17">
        <f t="shared" si="27"/>
        <v>18</v>
      </c>
      <c r="C629" s="1" t="s">
        <v>180</v>
      </c>
      <c r="D629" s="31" t="s">
        <v>181</v>
      </c>
      <c r="E629" s="17"/>
      <c r="F629" s="118">
        <f>'II-I-DIST'!F631</f>
        <v>24.050000000000001</v>
      </c>
      <c r="G629" s="118" t="str">
        <f>'II-I-DIST'!H631</f>
        <v>NCP XHV</v>
      </c>
      <c r="H629" s="118">
        <f>'II-I-MET'!F631</f>
        <v>0</v>
      </c>
      <c r="I629" s="466" t="str">
        <f>'II-I-MET'!$H631</f>
        <v>NCP XHV</v>
      </c>
      <c r="J629" s="121">
        <f>'II-I-TBILLTDCS'!F631</f>
        <v>0</v>
      </c>
      <c r="K629" s="466" t="str">
        <f>'II-I-TBILLTDCS'!$H631</f>
        <v>NCP XHV</v>
      </c>
      <c r="L629" s="893">
        <f t="shared" si="28"/>
        <v>24.050000000000001</v>
      </c>
      <c r="M629" s="1035" t="s">
        <v>1070</v>
      </c>
    </row>
    <row r="630" spans="2:13" s="386" customFormat="1" ht="14.25">
      <c r="B630" s="17">
        <f t="shared" si="27"/>
        <v>19</v>
      </c>
      <c r="C630" s="1" t="s">
        <v>182</v>
      </c>
      <c r="D630" s="1" t="s">
        <v>183</v>
      </c>
      <c r="E630" s="17"/>
      <c r="F630" s="118">
        <f>'II-I-DIST'!F632</f>
        <v>179023.23999999999</v>
      </c>
      <c r="G630" s="118" t="str">
        <f>'II-I-DIST'!H632</f>
        <v>NCP XHV</v>
      </c>
      <c r="H630" s="118">
        <f>'II-I-MET'!F632</f>
        <v>0</v>
      </c>
      <c r="I630" s="466" t="str">
        <f>'II-I-MET'!$H632</f>
        <v>NCP XHV</v>
      </c>
      <c r="J630" s="121">
        <f>'II-I-TBILLTDCS'!F632</f>
        <v>0</v>
      </c>
      <c r="K630" s="466" t="str">
        <f>'II-I-TBILLTDCS'!$H632</f>
        <v>NCP XHV</v>
      </c>
      <c r="L630" s="893">
        <f t="shared" si="28"/>
        <v>179023.23999999999</v>
      </c>
      <c r="M630" s="1035" t="s">
        <v>1060</v>
      </c>
    </row>
    <row r="631" spans="2:13" s="386" customFormat="1" ht="14.25">
      <c r="B631" s="17">
        <f t="shared" si="27"/>
        <v>20</v>
      </c>
      <c r="C631" s="1" t="s">
        <v>184</v>
      </c>
      <c r="D631" s="1" t="s">
        <v>185</v>
      </c>
      <c r="E631" s="17"/>
      <c r="F631" s="118">
        <f>'II-I-DIST'!F633</f>
        <v>4628.7399999999998</v>
      </c>
      <c r="G631" s="118" t="str">
        <f>'II-I-DIST'!H633</f>
        <v>NCP XHV</v>
      </c>
      <c r="H631" s="118">
        <f>'II-I-MET'!F633</f>
        <v>0</v>
      </c>
      <c r="I631" s="466" t="str">
        <f>'II-I-MET'!$H633</f>
        <v>NCP XHV</v>
      </c>
      <c r="J631" s="121">
        <f>'II-I-TBILLTDCS'!F633</f>
        <v>0</v>
      </c>
      <c r="K631" s="466" t="str">
        <f>'II-I-TBILLTDCS'!$H633</f>
        <v>NCP XHV</v>
      </c>
      <c r="L631" s="893">
        <f t="shared" si="28"/>
        <v>4628.7399999999998</v>
      </c>
      <c r="M631" s="1035" t="s">
        <v>1060</v>
      </c>
    </row>
    <row r="632" spans="2:13" s="386" customFormat="1" ht="14.25">
      <c r="B632" s="17">
        <f t="shared" si="27"/>
        <v>21</v>
      </c>
      <c r="C632" s="1" t="s">
        <v>186</v>
      </c>
      <c r="D632" s="31" t="s">
        <v>187</v>
      </c>
      <c r="E632" s="17"/>
      <c r="F632" s="118">
        <f>'II-I-DIST'!F634</f>
        <v>79.019999999999996</v>
      </c>
      <c r="G632" s="118" t="str">
        <f>'II-I-DIST'!H634</f>
        <v>NCP XHV</v>
      </c>
      <c r="H632" s="118">
        <f>'II-I-MET'!F634</f>
        <v>0</v>
      </c>
      <c r="I632" s="466" t="str">
        <f>'II-I-MET'!$H634</f>
        <v>NCP XHV</v>
      </c>
      <c r="J632" s="121">
        <f>'II-I-TBILLTDCS'!F634</f>
        <v>0</v>
      </c>
      <c r="K632" s="466" t="str">
        <f>'II-I-TBILLTDCS'!$H634</f>
        <v>NCP XHV</v>
      </c>
      <c r="L632" s="893">
        <f t="shared" si="28"/>
        <v>79.019999999999996</v>
      </c>
      <c r="M632" s="1035" t="s">
        <v>1060</v>
      </c>
    </row>
    <row r="633" spans="2:13" s="386" customFormat="1" ht="14.25">
      <c r="B633" s="17">
        <f t="shared" si="27"/>
        <v>22</v>
      </c>
      <c r="C633" s="1" t="s">
        <v>188</v>
      </c>
      <c r="D633" s="31" t="s">
        <v>189</v>
      </c>
      <c r="E633" s="17"/>
      <c r="F633" s="118">
        <f>'II-I-DIST'!F635</f>
        <v>35239.690000000002</v>
      </c>
      <c r="G633" s="118" t="str">
        <f>'II-I-DIST'!H635</f>
        <v>NCP XHV</v>
      </c>
      <c r="H633" s="118">
        <f>'II-I-MET'!F635</f>
        <v>0</v>
      </c>
      <c r="I633" s="466" t="str">
        <f>'II-I-MET'!$H635</f>
        <v>NCP XHV</v>
      </c>
      <c r="J633" s="121">
        <f>'II-I-TBILLTDCS'!F635</f>
        <v>0</v>
      </c>
      <c r="K633" s="466" t="str">
        <f>'II-I-TBILLTDCS'!$H635</f>
        <v>NCP XHV</v>
      </c>
      <c r="L633" s="893">
        <f t="shared" si="28"/>
        <v>35239.690000000002</v>
      </c>
      <c r="M633" s="1035" t="s">
        <v>1060</v>
      </c>
    </row>
    <row r="634" spans="2:13" s="386" customFormat="1" ht="15">
      <c r="B634" s="17">
        <f t="shared" si="27"/>
        <v>23</v>
      </c>
      <c r="C634" s="8"/>
      <c r="D634" s="297" t="s">
        <v>491</v>
      </c>
      <c r="E634" s="922"/>
      <c r="F634" s="896">
        <f>'II-I-DIST'!F636</f>
        <v>304788.46000000002</v>
      </c>
      <c r="G634" s="922"/>
      <c r="H634" s="896">
        <f>'II-I-MET'!F636</f>
        <v>291.72000000000003</v>
      </c>
      <c r="I634" s="922"/>
      <c r="J634" s="896">
        <f>'II-I-TBILLTDCS'!F636</f>
        <v>0</v>
      </c>
      <c r="K634" s="896"/>
      <c r="L634" s="896">
        <f t="shared" si="28"/>
        <v>305080.17999999999</v>
      </c>
      <c r="M634" s="1035"/>
    </row>
    <row r="635" spans="2:13" ht="15.75" thickBot="1">
      <c r="B635" s="17">
        <f t="shared" si="27"/>
        <v>24</v>
      </c>
      <c r="C635" s="8"/>
      <c r="D635" s="297"/>
      <c r="E635" s="922"/>
      <c r="F635" s="896"/>
      <c r="G635" s="922"/>
      <c r="H635" s="896"/>
      <c r="I635" s="922"/>
      <c r="J635" s="896"/>
      <c r="K635" s="896"/>
      <c r="L635" s="896"/>
      <c r="M635" s="1035"/>
    </row>
    <row r="636" spans="2:13" ht="15.75" thickBot="1">
      <c r="B636" s="17">
        <f t="shared" si="27"/>
        <v>25</v>
      </c>
      <c r="C636" s="870" t="s">
        <v>629</v>
      </c>
      <c r="D636" s="1017"/>
      <c r="E636" s="1013"/>
      <c r="F636" s="1014">
        <f>+F634+F623</f>
        <v>1653667781.6799998</v>
      </c>
      <c r="G636" s="1013"/>
      <c r="H636" s="1014">
        <f>+H634+H623</f>
        <v>2221.21</v>
      </c>
      <c r="I636" s="1013"/>
      <c r="J636" s="1014">
        <f>'II-I-TBILLTDCS'!F638</f>
        <v>0</v>
      </c>
      <c r="K636" s="1014"/>
      <c r="L636" s="1053">
        <f>+L634+L623</f>
        <v>1653670002.8899999</v>
      </c>
      <c r="M636" s="1035"/>
    </row>
    <row r="637" spans="2:12" ht="15.75" thickBot="1">
      <c r="B637" s="17">
        <f t="shared" si="27"/>
        <v>26</v>
      </c>
      <c r="C637" s="8"/>
      <c r="D637" s="8"/>
      <c r="E637" s="922"/>
      <c r="F637" s="896"/>
      <c r="G637" s="922"/>
      <c r="H637" s="896"/>
      <c r="I637" s="922"/>
      <c r="J637" s="896"/>
      <c r="K637" s="896"/>
      <c r="L637" s="8"/>
    </row>
    <row r="638" spans="2:12" ht="15.75" thickBot="1">
      <c r="B638" s="17">
        <f t="shared" si="27"/>
        <v>27</v>
      </c>
      <c r="C638" s="870" t="s">
        <v>630</v>
      </c>
      <c r="D638" s="1017"/>
      <c r="E638" s="1013"/>
      <c r="F638" s="1014">
        <f>F636-F620</f>
        <v>1145760.2400000095</v>
      </c>
      <c r="G638" s="1013"/>
      <c r="H638" s="1014">
        <f>H636-H620</f>
        <v>2221.21</v>
      </c>
      <c r="I638" s="1013"/>
      <c r="J638" s="1014">
        <f>'II-I-TBILLTDCS'!F640</f>
        <v>0</v>
      </c>
      <c r="K638" s="1014"/>
      <c r="L638" s="1053">
        <f>L636-L620</f>
        <v>1147981.4500000477</v>
      </c>
    </row>
    <row r="639" spans="2:12" ht="15">
      <c r="B639" s="17"/>
      <c r="C639" s="8"/>
      <c r="D639" s="8"/>
      <c r="E639" s="922"/>
      <c r="F639" s="896"/>
      <c r="G639" s="922"/>
      <c r="H639" s="896"/>
      <c r="I639" s="922"/>
      <c r="J639" s="896"/>
      <c r="K639" s="896"/>
      <c r="L639" s="8"/>
    </row>
    <row r="640" spans="2:12" ht="15">
      <c r="B640" s="874"/>
      <c r="C640" s="874"/>
      <c r="D640" s="874"/>
      <c r="E640" s="874"/>
      <c r="F640" s="896"/>
      <c r="G640" s="134"/>
      <c r="H640" s="896"/>
      <c r="I640" s="134"/>
      <c r="J640" s="896"/>
      <c r="K640" s="874"/>
      <c r="L640" s="874"/>
    </row>
    <row r="641" spans="2:12" ht="15.75" thickBot="1">
      <c r="B641" s="874"/>
      <c r="C641" s="874"/>
      <c r="D641" s="874"/>
      <c r="E641" s="874"/>
      <c r="F641" s="896"/>
      <c r="G641" s="922"/>
      <c r="H641" s="896"/>
      <c r="I641" s="922"/>
      <c r="J641" s="896"/>
      <c r="K641" s="874"/>
      <c r="L641" s="874"/>
    </row>
    <row r="642" spans="2:12" ht="15">
      <c r="B642" s="920" t="str">
        <f>$B$4</f>
        <v>2022 RATE CASE</v>
      </c>
      <c r="C642" s="926"/>
      <c r="D642" s="927"/>
      <c r="E642" s="874"/>
      <c r="F642" s="332"/>
      <c r="H642" s="332"/>
      <c r="J642" s="332"/>
      <c r="K642" s="874"/>
      <c r="L642" s="874"/>
    </row>
    <row r="643" spans="2:12" ht="15">
      <c r="B643" s="917" t="str">
        <f>$B$5</f>
        <v>ONCOR ELECTRIC DELIVERY COMPANY LLC</v>
      </c>
      <c r="C643" s="369"/>
      <c r="D643" s="928"/>
      <c r="E643" s="874"/>
      <c r="F643" s="332"/>
      <c r="H643" s="332"/>
      <c r="J643" s="332"/>
      <c r="K643" s="874"/>
      <c r="L643" s="874"/>
    </row>
    <row r="644" spans="2:12" ht="15">
      <c r="B644" s="406" t="str">
        <f>$B$6</f>
        <v>II-I-2.1f:  CONSOLIDATED FUNCTIONALIZED COST OF SERVICE</v>
      </c>
      <c r="C644" s="369"/>
      <c r="D644" s="928"/>
      <c r="E644" s="874"/>
      <c r="F644" s="332"/>
      <c r="H644" s="332"/>
      <c r="J644" s="332"/>
      <c r="K644" s="874"/>
      <c r="L644" s="874"/>
    </row>
    <row r="645" spans="2:12" ht="15">
      <c r="B645" s="406" t="str">
        <f>$B$7</f>
        <v>TEST YEAR ENDING 12/31/2021</v>
      </c>
      <c r="C645" s="369"/>
      <c r="D645" s="928"/>
      <c r="E645" s="369"/>
      <c r="F645" s="332"/>
      <c r="H645" s="332"/>
      <c r="J645" s="332"/>
      <c r="K645" s="369"/>
      <c r="L645" s="369"/>
    </row>
    <row r="646" spans="2:12" ht="15">
      <c r="B646" s="406" t="str">
        <f>$B$8</f>
        <v>SPONSOR:  MATTHEW A. TROXLE</v>
      </c>
      <c r="C646" s="369"/>
      <c r="D646" s="928"/>
      <c r="E646" s="369"/>
      <c r="F646" s="332"/>
      <c r="H646" s="332"/>
      <c r="J646" s="332"/>
      <c r="K646" s="369"/>
      <c r="L646" s="369"/>
    </row>
    <row r="647" spans="2:12" ht="15.75" thickBot="1">
      <c r="B647" s="410"/>
      <c r="C647" s="931"/>
      <c r="D647" s="932"/>
      <c r="E647" s="369"/>
      <c r="F647" s="332"/>
      <c r="H647" s="332"/>
      <c r="J647" s="332"/>
      <c r="K647" s="369"/>
      <c r="L647" s="369"/>
    </row>
    <row r="648" spans="2:13" ht="14.25">
      <c r="B648" s="13"/>
      <c r="C648" s="14"/>
      <c r="D648" s="238"/>
      <c r="E648" s="14"/>
      <c r="F648" s="13"/>
      <c r="G648" s="14"/>
      <c r="H648" s="13"/>
      <c r="I648" s="14"/>
      <c r="J648" s="13"/>
      <c r="K648" s="738"/>
      <c r="L648" s="952"/>
      <c r="M648" s="1036"/>
    </row>
    <row r="649" spans="2:13" ht="15">
      <c r="B649" s="15" t="s">
        <v>2</v>
      </c>
      <c r="C649" s="15" t="s">
        <v>370</v>
      </c>
      <c r="D649" s="241" t="s">
        <v>631</v>
      </c>
      <c r="E649" s="15" t="s">
        <v>371</v>
      </c>
      <c r="F649" s="287" t="str">
        <f>'II-I-DIST'!F651</f>
        <v>DIST</v>
      </c>
      <c r="G649" s="242" t="s">
        <v>376</v>
      </c>
      <c r="H649" s="287" t="str">
        <f>'II-I-MET'!F651</f>
        <v>MET</v>
      </c>
      <c r="I649" s="242" t="s">
        <v>376</v>
      </c>
      <c r="J649" s="287" t="str">
        <f>'II-I-TBILLTDCS'!F651</f>
        <v>TBILLTDCS</v>
      </c>
      <c r="K649" s="743" t="s">
        <v>376</v>
      </c>
      <c r="L649" s="743" t="s">
        <v>481</v>
      </c>
      <c r="M649" s="1030" t="s">
        <v>1046</v>
      </c>
    </row>
    <row r="650" spans="2:13" ht="14.25">
      <c r="B650" s="15"/>
      <c r="C650" s="15"/>
      <c r="D650" s="242"/>
      <c r="E650" s="15"/>
      <c r="F650" s="15"/>
      <c r="G650" s="242" t="s">
        <v>743</v>
      </c>
      <c r="H650" s="15"/>
      <c r="I650" s="242" t="s">
        <v>743</v>
      </c>
      <c r="J650" s="15"/>
      <c r="K650" s="743" t="s">
        <v>743</v>
      </c>
      <c r="L650" s="743" t="s">
        <v>33</v>
      </c>
      <c r="M650" s="1037"/>
    </row>
    <row r="651" spans="2:13" ht="15.75" thickBot="1">
      <c r="B651" s="243"/>
      <c r="C651" s="957"/>
      <c r="D651" s="245"/>
      <c r="E651" s="245"/>
      <c r="F651" s="747" t="s">
        <v>13</v>
      </c>
      <c r="G651" s="747" t="s">
        <v>14</v>
      </c>
      <c r="H651" s="747" t="s">
        <v>15</v>
      </c>
      <c r="I651" s="747" t="s">
        <v>16</v>
      </c>
      <c r="J651" s="747" t="s">
        <v>17</v>
      </c>
      <c r="K651" s="747" t="s">
        <v>18</v>
      </c>
      <c r="L651" s="747" t="s">
        <v>19</v>
      </c>
      <c r="M651" s="1032" t="s">
        <v>20</v>
      </c>
    </row>
    <row r="652" spans="2:12" ht="14.25">
      <c r="B652" s="47"/>
      <c r="C652" s="333"/>
      <c r="D652" s="333"/>
      <c r="E652" s="333"/>
      <c r="F652" s="333"/>
      <c r="G652" s="333"/>
      <c r="H652" s="333"/>
      <c r="I652" s="333"/>
      <c r="J652" s="333"/>
      <c r="K652" s="691"/>
      <c r="L652" s="691"/>
    </row>
    <row r="653" spans="2:12" ht="15">
      <c r="B653" s="17">
        <f t="shared" si="29" ref="B653:B680">B652+1</f>
        <v>1</v>
      </c>
      <c r="C653" s="8" t="s">
        <v>631</v>
      </c>
      <c r="D653" s="8"/>
      <c r="E653" s="922"/>
      <c r="F653" s="8"/>
      <c r="G653" s="922"/>
      <c r="H653" s="8"/>
      <c r="I653" s="922"/>
      <c r="J653" s="8"/>
      <c r="K653" s="8"/>
      <c r="L653" s="8"/>
    </row>
    <row r="654" spans="2:12" ht="15">
      <c r="B654" s="17">
        <f t="shared" si="29"/>
        <v>2</v>
      </c>
      <c r="C654" s="8"/>
      <c r="D654" s="366" t="s">
        <v>626</v>
      </c>
      <c r="E654" s="922" t="s">
        <v>160</v>
      </c>
      <c r="F654" s="8"/>
      <c r="G654" s="922"/>
      <c r="H654" s="8"/>
      <c r="I654" s="922"/>
      <c r="J654" s="8"/>
      <c r="K654" s="8"/>
      <c r="L654" s="8"/>
    </row>
    <row r="655" spans="2:13" s="386" customFormat="1" ht="28.5">
      <c r="B655" s="17">
        <f t="shared" si="29"/>
        <v>3</v>
      </c>
      <c r="C655" s="1" t="s">
        <v>191</v>
      </c>
      <c r="D655" s="28" t="s">
        <v>162</v>
      </c>
      <c r="E655" s="47"/>
      <c r="F655" s="118">
        <f>'II-I-DIST'!F657</f>
        <v>7329102.46</v>
      </c>
      <c r="G655" s="118" t="str">
        <f>'II-I-DIST'!H657</f>
        <v>DIST OPS</v>
      </c>
      <c r="H655" s="118">
        <f>'II-I-MET'!F657</f>
        <v>580269.81000000006</v>
      </c>
      <c r="I655" s="466" t="str">
        <f>'II-I-MET'!$H657</f>
        <v>DIST OPS</v>
      </c>
      <c r="J655" s="121">
        <f>'II-I-TBILLTDCS'!F657</f>
        <v>18446.310000000001</v>
      </c>
      <c r="K655" s="466" t="str">
        <f>'II-I-TBILLTDCS'!$H657</f>
        <v>DIST OPS</v>
      </c>
      <c r="L655" s="893">
        <f t="shared" si="28"/>
        <v>7927818.5799999991</v>
      </c>
      <c r="M655" s="1033" t="s">
        <v>1073</v>
      </c>
    </row>
    <row r="656" spans="2:13" s="386" customFormat="1" ht="28.5">
      <c r="B656" s="17">
        <f t="shared" si="29"/>
        <v>4</v>
      </c>
      <c r="C656" s="1" t="s">
        <v>192</v>
      </c>
      <c r="D656" s="1" t="s">
        <v>193</v>
      </c>
      <c r="E656" s="19"/>
      <c r="F656" s="290">
        <f>'II-I-DIST'!F658</f>
        <v>9635578.4299999997</v>
      </c>
      <c r="G656" s="118" t="str">
        <f>'II-I-DIST'!H658</f>
        <v>NCP XHV</v>
      </c>
      <c r="H656" s="290">
        <f>'II-I-MET'!F658</f>
        <v>0</v>
      </c>
      <c r="I656" s="466" t="str">
        <f>'II-I-MET'!$H658</f>
        <v>NCP XHV</v>
      </c>
      <c r="J656" s="24">
        <f>'II-I-TBILLTDCS'!F658</f>
        <v>0</v>
      </c>
      <c r="K656" s="466" t="str">
        <f>'II-I-TBILLTDCS'!$H658</f>
        <v>NCP XHV</v>
      </c>
      <c r="L656" s="893">
        <f t="shared" si="28"/>
        <v>9635578.4299999997</v>
      </c>
      <c r="M656" s="1033" t="s">
        <v>1074</v>
      </c>
    </row>
    <row r="657" spans="2:14" s="386" customFormat="1" ht="28.5">
      <c r="B657" s="17">
        <f t="shared" si="29"/>
        <v>5</v>
      </c>
      <c r="C657" s="1" t="s">
        <v>194</v>
      </c>
      <c r="D657" s="1" t="s">
        <v>166</v>
      </c>
      <c r="E657" s="19"/>
      <c r="F657" s="290">
        <f>'II-I-DIST'!F659</f>
        <v>3847591.3799999999</v>
      </c>
      <c r="G657" s="118" t="str">
        <f>'II-I-DIST'!H659</f>
        <v>PLT 362</v>
      </c>
      <c r="H657" s="290">
        <f>'II-I-MET'!F659</f>
        <v>0</v>
      </c>
      <c r="I657" s="466" t="str">
        <f>'II-I-MET'!$H659</f>
        <v>PLT 362</v>
      </c>
      <c r="J657" s="24">
        <f>'II-I-TBILLTDCS'!F659</f>
        <v>0</v>
      </c>
      <c r="K657" s="466" t="str">
        <f>'II-I-TBILLTDCS'!$H659</f>
        <v>PLT 362</v>
      </c>
      <c r="L657" s="893">
        <f t="shared" si="28"/>
        <v>3847591.3799999999</v>
      </c>
      <c r="M657" s="1033" t="s">
        <v>1075</v>
      </c>
      <c r="N657" s="1" t="b">
        <f>'II-I-DIST'!$C$659=C657</f>
        <v>1</v>
      </c>
    </row>
    <row r="658" spans="2:14" s="386" customFormat="1" ht="28.5">
      <c r="B658" s="17">
        <f t="shared" si="29"/>
        <v>6</v>
      </c>
      <c r="C658" s="1" t="s">
        <v>195</v>
      </c>
      <c r="D658" s="1" t="s">
        <v>168</v>
      </c>
      <c r="E658" s="19"/>
      <c r="F658" s="290">
        <f>'II-I-DIST'!F660</f>
        <v>13740291.68</v>
      </c>
      <c r="G658" s="118" t="str">
        <f>'II-I-DIST'!H660</f>
        <v>PLT 365</v>
      </c>
      <c r="H658" s="290">
        <f>'II-I-MET'!F660</f>
        <v>92030.289999999994</v>
      </c>
      <c r="I658" s="466" t="str">
        <f>'II-I-MET'!$H660</f>
        <v>PLT 370</v>
      </c>
      <c r="J658" s="24">
        <f>'II-I-TBILLTDCS'!F660</f>
        <v>0</v>
      </c>
      <c r="K658" s="466" t="str">
        <f>'II-I-TBILLTDCS'!$H660</f>
        <v>PLT 365</v>
      </c>
      <c r="L658" s="893">
        <f t="shared" si="28"/>
        <v>13832321.969999999</v>
      </c>
      <c r="M658" s="1033" t="s">
        <v>1076</v>
      </c>
      <c r="N658" s="1" t="b">
        <f>'II-I-DIST'!$D$660=D658</f>
        <v>1</v>
      </c>
    </row>
    <row r="659" spans="2:13" s="386" customFormat="1" ht="28.5">
      <c r="B659" s="17">
        <f t="shared" si="29"/>
        <v>7</v>
      </c>
      <c r="C659" s="1" t="s">
        <v>196</v>
      </c>
      <c r="D659" s="1" t="s">
        <v>170</v>
      </c>
      <c r="E659" s="19"/>
      <c r="F659" s="290">
        <f>'II-I-DIST'!F661</f>
        <v>10071135.370000001</v>
      </c>
      <c r="G659" s="118" t="str">
        <f>'II-I-DIST'!H661</f>
        <v>PLT 367</v>
      </c>
      <c r="H659" s="290">
        <f>'II-I-MET'!F661</f>
        <v>7711.7299999999996</v>
      </c>
      <c r="I659" s="466" t="str">
        <f>'II-I-MET'!$H661</f>
        <v>PLT 370</v>
      </c>
      <c r="J659" s="24">
        <f>'II-I-TBILLTDCS'!F661</f>
        <v>0</v>
      </c>
      <c r="K659" s="466" t="str">
        <f>'II-I-TBILLTDCS'!$H661</f>
        <v>NCP XHV</v>
      </c>
      <c r="L659" s="893">
        <f t="shared" si="28"/>
        <v>10078847.100000002</v>
      </c>
      <c r="M659" s="1033" t="s">
        <v>1077</v>
      </c>
    </row>
    <row r="660" spans="2:13" s="386" customFormat="1" ht="14.25">
      <c r="B660" s="17">
        <f t="shared" si="29"/>
        <v>8</v>
      </c>
      <c r="C660" s="1" t="s">
        <v>197</v>
      </c>
      <c r="D660" s="1" t="s">
        <v>198</v>
      </c>
      <c r="E660" s="19"/>
      <c r="F660" s="290">
        <f>'II-I-DIST'!F662</f>
        <v>826.62</v>
      </c>
      <c r="G660" s="118" t="str">
        <f>'II-I-DIST'!H662</f>
        <v>NCP LGT</v>
      </c>
      <c r="H660" s="290">
        <f>'II-I-MET'!F662</f>
        <v>0</v>
      </c>
      <c r="I660" s="466" t="str">
        <f>'II-I-MET'!$H662</f>
        <v>NCP LGT</v>
      </c>
      <c r="J660" s="24">
        <f>'II-I-TBILLTDCS'!F662</f>
        <v>0</v>
      </c>
      <c r="K660" s="466" t="str">
        <f>'II-I-TBILLTDCS'!$H662</f>
        <v>NCP LGT</v>
      </c>
      <c r="L660" s="893">
        <f t="shared" si="28"/>
        <v>826.62</v>
      </c>
      <c r="M660" s="1033" t="s">
        <v>1078</v>
      </c>
    </row>
    <row r="661" spans="2:13" s="386" customFormat="1" ht="28.5">
      <c r="B661" s="17">
        <f t="shared" si="29"/>
        <v>9</v>
      </c>
      <c r="C661" s="1" t="s">
        <v>199</v>
      </c>
      <c r="D661" s="1" t="s">
        <v>200</v>
      </c>
      <c r="E661" s="19"/>
      <c r="F661" s="290">
        <f>'II-I-DIST'!F663</f>
        <v>0</v>
      </c>
      <c r="G661" s="118" t="str">
        <f>'II-I-DIST'!H663</f>
        <v>CUS W ALL</v>
      </c>
      <c r="H661" s="290">
        <f>'II-I-MET'!F663</f>
        <v>28413340.77</v>
      </c>
      <c r="I661" s="466" t="str">
        <f>'II-I-MET'!$H663</f>
        <v>CUS W ALL</v>
      </c>
      <c r="J661" s="24">
        <f>'II-I-TBILLTDCS'!F663</f>
        <v>0</v>
      </c>
      <c r="K661" s="466" t="str">
        <f>'II-I-TBILLTDCS'!$H663</f>
        <v>CUS W ALL</v>
      </c>
      <c r="L661" s="893">
        <f t="shared" si="28"/>
        <v>28413340.77</v>
      </c>
      <c r="M661" s="1033" t="s">
        <v>1079</v>
      </c>
    </row>
    <row r="662" spans="2:13" s="386" customFormat="1" ht="28.5">
      <c r="B662" s="17">
        <f t="shared" si="29"/>
        <v>10</v>
      </c>
      <c r="C662" s="1" t="s">
        <v>201</v>
      </c>
      <c r="D662" s="1" t="s">
        <v>202</v>
      </c>
      <c r="E662" s="19"/>
      <c r="F662" s="290">
        <f>'II-I-DIST'!F664</f>
        <v>1638488.73</v>
      </c>
      <c r="G662" s="118" t="str">
        <f>'II-I-DIST'!H664</f>
        <v>CUS W RTL</v>
      </c>
      <c r="H662" s="290">
        <f>'II-I-MET'!F664</f>
        <v>1344.8599999999999</v>
      </c>
      <c r="I662" s="466" t="str">
        <f>'II-I-MET'!$H664</f>
        <v>CUS W RTL</v>
      </c>
      <c r="J662" s="24">
        <f>'II-I-TBILLTDCS'!F664</f>
        <v>0</v>
      </c>
      <c r="K662" s="466" t="str">
        <f>'II-I-TBILLTDCS'!$H664</f>
        <v>CUS W RTL</v>
      </c>
      <c r="L662" s="893">
        <f t="shared" si="28"/>
        <v>1639833.5900000001</v>
      </c>
      <c r="M662" s="1033" t="s">
        <v>1080</v>
      </c>
    </row>
    <row r="663" spans="2:13" s="386" customFormat="1" ht="28.5">
      <c r="B663" s="17">
        <f t="shared" si="29"/>
        <v>11</v>
      </c>
      <c r="C663" s="1" t="s">
        <v>203</v>
      </c>
      <c r="D663" s="1" t="s">
        <v>204</v>
      </c>
      <c r="E663" s="19"/>
      <c r="F663" s="290">
        <f>'II-I-DIST'!F665</f>
        <v>100499344.2</v>
      </c>
      <c r="G663" s="118" t="str">
        <f>'II-I-DIST'!H665</f>
        <v>DIST OPS</v>
      </c>
      <c r="H663" s="290">
        <f>'II-I-MET'!F665</f>
        <v>3498684.9199999999</v>
      </c>
      <c r="I663" s="466" t="str">
        <f>'II-I-MET'!$H665</f>
        <v>DIST OPS</v>
      </c>
      <c r="J663" s="24">
        <f>'II-I-TBILLTDCS'!F665</f>
        <v>324704.41999999998</v>
      </c>
      <c r="K663" s="466" t="str">
        <f>'II-I-TBILLTDCS'!$H665</f>
        <v>DIST OPS</v>
      </c>
      <c r="L663" s="893">
        <f t="shared" si="28"/>
        <v>104322733.54000001</v>
      </c>
      <c r="M663" s="1033" t="str">
        <f>M655</f>
        <v xml:space="preserve"> Related to all other distribution operation expense accounts; classified on a composite basis.</v>
      </c>
    </row>
    <row r="664" spans="2:13" s="386" customFormat="1" ht="14.25">
      <c r="B664" s="17">
        <f t="shared" si="29"/>
        <v>12</v>
      </c>
      <c r="C664" s="1" t="s">
        <v>205</v>
      </c>
      <c r="D664" s="1" t="s">
        <v>206</v>
      </c>
      <c r="E664" s="19"/>
      <c r="F664" s="290">
        <f>'II-I-DIST'!F666</f>
        <v>731384.02000000002</v>
      </c>
      <c r="G664" s="118" t="str">
        <f>'II-I-DIST'!H666</f>
        <v>NCP XSS</v>
      </c>
      <c r="H664" s="290">
        <f>'II-I-MET'!F666</f>
        <v>0</v>
      </c>
      <c r="I664" s="466" t="str">
        <f>'II-I-MET'!$H666</f>
        <v>NCP XSS</v>
      </c>
      <c r="J664" s="24">
        <f>'II-I-TBILLTDCS'!F666</f>
        <v>0</v>
      </c>
      <c r="K664" s="466" t="str">
        <f>'II-I-TBILLTDCS'!$H666</f>
        <v>NCP XSS</v>
      </c>
      <c r="L664" s="893">
        <f t="shared" si="30" ref="L664:L724">F664+H664+J664</f>
        <v>731384.02000000002</v>
      </c>
      <c r="M664" s="1033" t="s">
        <v>1081</v>
      </c>
    </row>
    <row r="665" spans="2:12" ht="15">
      <c r="B665" s="17">
        <f t="shared" si="29"/>
        <v>13</v>
      </c>
      <c r="C665" s="8"/>
      <c r="D665" s="297" t="s">
        <v>632</v>
      </c>
      <c r="E665" s="922"/>
      <c r="F665" s="896">
        <f>'II-I-DIST'!F667</f>
        <v>147493742.89000002</v>
      </c>
      <c r="G665" s="922"/>
      <c r="H665" s="896">
        <f>'II-I-MET'!F667</f>
        <v>32593382.380000003</v>
      </c>
      <c r="I665" s="922"/>
      <c r="J665" s="896">
        <f>'II-I-TBILLTDCS'!F667</f>
        <v>343150.72999999998</v>
      </c>
      <c r="K665" s="896"/>
      <c r="L665" s="896">
        <f t="shared" si="30"/>
        <v>180430276</v>
      </c>
    </row>
    <row r="666" spans="2:12" ht="15">
      <c r="B666" s="17">
        <f t="shared" si="29"/>
        <v>14</v>
      </c>
      <c r="C666" s="8"/>
      <c r="D666" s="297"/>
      <c r="E666" s="922"/>
      <c r="F666" s="896"/>
      <c r="G666" s="922"/>
      <c r="H666" s="896"/>
      <c r="I666" s="922"/>
      <c r="J666" s="896"/>
      <c r="K666" s="896"/>
      <c r="L666" s="896"/>
    </row>
    <row r="667" spans="2:12" ht="15">
      <c r="B667" s="17">
        <f t="shared" si="29"/>
        <v>15</v>
      </c>
      <c r="C667" s="8"/>
      <c r="D667" s="297"/>
      <c r="E667" s="922"/>
      <c r="F667" s="896"/>
      <c r="G667" s="922"/>
      <c r="H667" s="896"/>
      <c r="I667" s="922"/>
      <c r="J667" s="896"/>
      <c r="K667" s="896"/>
      <c r="L667" s="896"/>
    </row>
    <row r="668" spans="2:12" ht="14.25">
      <c r="B668" s="17">
        <f t="shared" si="29"/>
        <v>16</v>
      </c>
      <c r="C668" s="1"/>
      <c r="D668" s="30"/>
      <c r="E668" s="17"/>
      <c r="F668" s="19"/>
      <c r="G668" s="17"/>
      <c r="H668" s="19"/>
      <c r="I668" s="17"/>
      <c r="J668" s="19"/>
      <c r="K668" s="894"/>
      <c r="L668" s="894"/>
    </row>
    <row r="669" spans="2:12" ht="15">
      <c r="B669" s="17">
        <f t="shared" si="29"/>
        <v>17</v>
      </c>
      <c r="C669" s="366"/>
      <c r="D669" s="8"/>
      <c r="E669" s="922"/>
      <c r="F669" s="896"/>
      <c r="G669" s="922"/>
      <c r="H669" s="896"/>
      <c r="I669" s="922"/>
      <c r="J669" s="896"/>
      <c r="K669" s="896"/>
      <c r="L669" s="896"/>
    </row>
    <row r="670" spans="2:12" ht="15">
      <c r="B670" s="17">
        <f t="shared" si="29"/>
        <v>18</v>
      </c>
      <c r="C670" s="8"/>
      <c r="D670" s="366" t="s">
        <v>628</v>
      </c>
      <c r="E670" s="922" t="s">
        <v>160</v>
      </c>
      <c r="F670" s="896"/>
      <c r="G670" s="922"/>
      <c r="H670" s="896"/>
      <c r="I670" s="922"/>
      <c r="J670" s="896"/>
      <c r="K670" s="896"/>
      <c r="L670" s="896"/>
    </row>
    <row r="671" spans="2:13" s="386" customFormat="1" ht="28.5">
      <c r="B671" s="17">
        <f t="shared" si="29"/>
        <v>19</v>
      </c>
      <c r="C671" s="1" t="s">
        <v>208</v>
      </c>
      <c r="D671" s="1" t="s">
        <v>179</v>
      </c>
      <c r="E671" s="17"/>
      <c r="F671" s="118">
        <f>'II-I-DIST'!F673</f>
        <v>2100731.52</v>
      </c>
      <c r="G671" s="118" t="str">
        <f>'II-I-DIST'!H673</f>
        <v>DIST MAINT</v>
      </c>
      <c r="H671" s="118">
        <f>'II-I-MET'!F673</f>
        <v>732702.13</v>
      </c>
      <c r="I671" s="466" t="str">
        <f>'II-I-MET'!$H673</f>
        <v>DIST MAINT</v>
      </c>
      <c r="J671" s="121">
        <f>'II-I-TBILLTDCS'!F673</f>
        <v>0</v>
      </c>
      <c r="K671" s="466" t="str">
        <f>'II-I-TBILLTDCS'!$H673</f>
        <v>NCP XHV</v>
      </c>
      <c r="L671" s="893">
        <f t="shared" si="30"/>
        <v>2833433.6499999999</v>
      </c>
      <c r="M671" s="1033" t="s">
        <v>1082</v>
      </c>
    </row>
    <row r="672" spans="2:13" s="386" customFormat="1" ht="28.5">
      <c r="B672" s="17">
        <f t="shared" si="29"/>
        <v>20</v>
      </c>
      <c r="C672" s="1" t="s">
        <v>209</v>
      </c>
      <c r="D672" s="31" t="s">
        <v>181</v>
      </c>
      <c r="E672" s="17"/>
      <c r="F672" s="118">
        <f>'II-I-DIST'!F674</f>
        <v>5772.4399999999996</v>
      </c>
      <c r="G672" s="118" t="str">
        <f>'II-I-DIST'!H674</f>
        <v>PLT 361</v>
      </c>
      <c r="H672" s="118">
        <f>'II-I-MET'!F674</f>
        <v>0</v>
      </c>
      <c r="I672" s="466" t="str">
        <f>'II-I-MET'!$H674</f>
        <v>PLT 361</v>
      </c>
      <c r="J672" s="121">
        <f>'II-I-TBILLTDCS'!F674</f>
        <v>0</v>
      </c>
      <c r="K672" s="466" t="str">
        <f>'II-I-TBILLTDCS'!$H674</f>
        <v>PLT 361</v>
      </c>
      <c r="L672" s="893">
        <f t="shared" si="30"/>
        <v>5772.4399999999996</v>
      </c>
      <c r="M672" s="1033" t="s">
        <v>1083</v>
      </c>
    </row>
    <row r="673" spans="2:13" s="386" customFormat="1" ht="28.5">
      <c r="B673" s="17">
        <f t="shared" si="29"/>
        <v>21</v>
      </c>
      <c r="C673" s="1" t="s">
        <v>210</v>
      </c>
      <c r="D673" s="1" t="s">
        <v>183</v>
      </c>
      <c r="E673" s="17"/>
      <c r="F673" s="118">
        <f>'II-I-DIST'!F675</f>
        <v>9278485.1099999994</v>
      </c>
      <c r="G673" s="118" t="str">
        <f>'II-I-DIST'!H675</f>
        <v>PLT 362</v>
      </c>
      <c r="H673" s="118">
        <f>'II-I-MET'!F675</f>
        <v>0</v>
      </c>
      <c r="I673" s="466" t="str">
        <f>'II-I-MET'!$H675</f>
        <v>PLT 362</v>
      </c>
      <c r="J673" s="121">
        <f>'II-I-TBILLTDCS'!F675</f>
        <v>0</v>
      </c>
      <c r="K673" s="466" t="str">
        <f>'II-I-TBILLTDCS'!$H675</f>
        <v>PLT 362</v>
      </c>
      <c r="L673" s="893">
        <f t="shared" si="30"/>
        <v>9278485.1099999994</v>
      </c>
      <c r="M673" s="1033" t="s">
        <v>1084</v>
      </c>
    </row>
    <row r="674" spans="2:13" s="386" customFormat="1" ht="28.5">
      <c r="B674" s="17">
        <f t="shared" si="29"/>
        <v>22</v>
      </c>
      <c r="C674" s="1" t="s">
        <v>211</v>
      </c>
      <c r="D674" s="31" t="s">
        <v>185</v>
      </c>
      <c r="E674" s="17"/>
      <c r="F674" s="118">
        <f>'II-I-DIST'!F676</f>
        <v>111767839.16000001</v>
      </c>
      <c r="G674" s="118" t="str">
        <f>'II-I-DIST'!H676</f>
        <v>PLT OH</v>
      </c>
      <c r="H674" s="118">
        <f>'II-I-MET'!F676</f>
        <v>174493.46000000002</v>
      </c>
      <c r="I674" s="466" t="str">
        <f>'II-I-MET'!$H676</f>
        <v>PLT 370</v>
      </c>
      <c r="J674" s="121">
        <f>'II-I-TBILLTDCS'!F676</f>
        <v>0</v>
      </c>
      <c r="K674" s="466" t="str">
        <f>'II-I-TBILLTDCS'!$H676</f>
        <v>PLT OH</v>
      </c>
      <c r="L674" s="893">
        <f t="shared" si="30"/>
        <v>111942332.62000001</v>
      </c>
      <c r="M674" s="1033" t="s">
        <v>1085</v>
      </c>
    </row>
    <row r="675" spans="2:13" s="386" customFormat="1" ht="28.5">
      <c r="B675" s="17">
        <f t="shared" si="29"/>
        <v>23</v>
      </c>
      <c r="C675" s="1" t="s">
        <v>212</v>
      </c>
      <c r="D675" s="1" t="s">
        <v>187</v>
      </c>
      <c r="E675" s="17"/>
      <c r="F675" s="118">
        <f>'II-I-DIST'!F677</f>
        <v>26516321.099999998</v>
      </c>
      <c r="G675" s="118" t="str">
        <f>'II-I-DIST'!H677</f>
        <v>PLT UG</v>
      </c>
      <c r="H675" s="118">
        <f>'II-I-MET'!F677</f>
        <v>38016.459999999999</v>
      </c>
      <c r="I675" s="466" t="str">
        <f>'II-I-MET'!$H677</f>
        <v>PLT 370</v>
      </c>
      <c r="J675" s="121">
        <f>'II-I-TBILLTDCS'!F677</f>
        <v>0</v>
      </c>
      <c r="K675" s="466" t="str">
        <f>'II-I-TBILLTDCS'!$H677</f>
        <v>PLT UG</v>
      </c>
      <c r="L675" s="893">
        <f t="shared" si="30"/>
        <v>26554337.559999999</v>
      </c>
      <c r="M675" s="1033" t="s">
        <v>1086</v>
      </c>
    </row>
    <row r="676" spans="2:14" s="386" customFormat="1" ht="28.5">
      <c r="B676" s="17">
        <f t="shared" si="29"/>
        <v>24</v>
      </c>
      <c r="C676" s="1" t="s">
        <v>213</v>
      </c>
      <c r="D676" s="1" t="s">
        <v>214</v>
      </c>
      <c r="E676" s="17"/>
      <c r="F676" s="118">
        <f>'II-I-DIST'!F678</f>
        <v>5010366.2699999996</v>
      </c>
      <c r="G676" s="118" t="str">
        <f>'II-I-DIST'!H678</f>
        <v>PLT 368</v>
      </c>
      <c r="H676" s="118">
        <f>'II-I-MET'!F678</f>
        <v>229.10999999999999</v>
      </c>
      <c r="I676" s="466" t="str">
        <f>'II-I-MET'!$H678</f>
        <v>PLT 370</v>
      </c>
      <c r="J676" s="121">
        <f>'II-I-TBILLTDCS'!F678</f>
        <v>0</v>
      </c>
      <c r="K676" s="466" t="str">
        <f>'II-I-TBILLTDCS'!$H678</f>
        <v>PLT 368</v>
      </c>
      <c r="L676" s="893">
        <f t="shared" si="30"/>
        <v>5010595.3799999999</v>
      </c>
      <c r="M676" s="1033" t="s">
        <v>1087</v>
      </c>
      <c r="N676" s="1" t="b">
        <f>'II-I-DIST'!$C$678=C676</f>
        <v>1</v>
      </c>
    </row>
    <row r="677" spans="2:14" s="386" customFormat="1" ht="14.25">
      <c r="B677" s="17">
        <f t="shared" si="29"/>
        <v>25</v>
      </c>
      <c r="C677" s="1" t="s">
        <v>215</v>
      </c>
      <c r="D677" s="1" t="s">
        <v>216</v>
      </c>
      <c r="E677" s="17"/>
      <c r="F677" s="118">
        <f>'II-I-DIST'!F679</f>
        <v>9632071.0899999999</v>
      </c>
      <c r="G677" s="118" t="str">
        <f>'II-I-DIST'!H679</f>
        <v>NCP LGT</v>
      </c>
      <c r="H677" s="118">
        <f>'II-I-MET'!F679</f>
        <v>16033.25</v>
      </c>
      <c r="I677" s="466" t="str">
        <f>'II-I-MET'!$H679</f>
        <v>NCP LGT</v>
      </c>
      <c r="J677" s="121">
        <f>'II-I-TBILLTDCS'!F679</f>
        <v>0</v>
      </c>
      <c r="K677" s="466" t="str">
        <f>'II-I-TBILLTDCS'!$H679</f>
        <v>NCP LGT</v>
      </c>
      <c r="L677" s="893">
        <f t="shared" si="30"/>
        <v>9648104.3399999999</v>
      </c>
      <c r="M677" s="1033" t="s">
        <v>1078</v>
      </c>
      <c r="N677" s="1" t="b">
        <f>'II-I-DIST'!$D$679=D677</f>
        <v>1</v>
      </c>
    </row>
    <row r="678" spans="2:13" s="386" customFormat="1" ht="28.5">
      <c r="B678" s="17">
        <f t="shared" si="29"/>
        <v>26</v>
      </c>
      <c r="C678" s="1" t="s">
        <v>217</v>
      </c>
      <c r="D678" s="1" t="s">
        <v>218</v>
      </c>
      <c r="E678" s="17"/>
      <c r="F678" s="118">
        <f>'II-I-DIST'!F680</f>
        <v>-13076.33</v>
      </c>
      <c r="G678" s="118" t="str">
        <f>'II-I-DIST'!H680</f>
        <v>CUS W ALL</v>
      </c>
      <c r="H678" s="118">
        <f>'II-I-MET'!F680</f>
        <v>16640054.180000002</v>
      </c>
      <c r="I678" s="466" t="str">
        <f>'II-I-MET'!$H680</f>
        <v>CUS W ALL</v>
      </c>
      <c r="J678" s="121">
        <f>'II-I-TBILLTDCS'!F680</f>
        <v>0</v>
      </c>
      <c r="K678" s="466" t="str">
        <f>'II-I-TBILLTDCS'!$H680</f>
        <v>CUS W ALL</v>
      </c>
      <c r="L678" s="893">
        <f t="shared" si="30"/>
        <v>16626977.850000002</v>
      </c>
      <c r="M678" s="1033" t="s">
        <v>1057</v>
      </c>
    </row>
    <row r="679" spans="2:13" s="386" customFormat="1" ht="28.5">
      <c r="B679" s="17">
        <f t="shared" si="29"/>
        <v>27</v>
      </c>
      <c r="C679" s="1" t="s">
        <v>219</v>
      </c>
      <c r="D679" s="1" t="s">
        <v>220</v>
      </c>
      <c r="E679" s="17"/>
      <c r="F679" s="118">
        <f>'II-I-DIST'!F681</f>
        <v>2165091.9399999999</v>
      </c>
      <c r="G679" s="118" t="str">
        <f>'II-I-DIST'!H681</f>
        <v>DIST MAINT</v>
      </c>
      <c r="H679" s="118">
        <f>'II-I-MET'!F681</f>
        <v>38103.449999999997</v>
      </c>
      <c r="I679" s="466" t="str">
        <f>'II-I-MET'!$H681</f>
        <v>DIST MAINT</v>
      </c>
      <c r="J679" s="121">
        <f>'II-I-TBILLTDCS'!F681</f>
        <v>0</v>
      </c>
      <c r="K679" s="466" t="str">
        <f>'II-I-TBILLTDCS'!$H681</f>
        <v>DIST MAINT</v>
      </c>
      <c r="L679" s="893">
        <f t="shared" si="30"/>
        <v>2203195.3900000001</v>
      </c>
      <c r="M679" s="1033" t="str">
        <f>M671</f>
        <v xml:space="preserve"> Related to all other distribution maintenance expense accounts; classified on a composite basis.</v>
      </c>
    </row>
    <row r="680" spans="2:12" ht="15">
      <c r="B680" s="17">
        <f t="shared" si="29"/>
        <v>28</v>
      </c>
      <c r="C680" s="8"/>
      <c r="D680" s="297" t="s">
        <v>634</v>
      </c>
      <c r="E680" s="922"/>
      <c r="F680" s="896">
        <f>'II-I-DIST'!F682</f>
        <v>166463602.30000001</v>
      </c>
      <c r="G680" s="922"/>
      <c r="H680" s="896">
        <f>'II-I-MET'!F682</f>
        <v>17639632.039999999</v>
      </c>
      <c r="I680" s="922"/>
      <c r="J680" s="896">
        <f>'II-I-TBILLTDCS'!F682</f>
        <v>0</v>
      </c>
      <c r="K680" s="896"/>
      <c r="L680" s="896">
        <f t="shared" si="30"/>
        <v>184103234.34</v>
      </c>
    </row>
    <row r="681" spans="2:12" ht="14.25">
      <c r="B681" s="17"/>
      <c r="C681" s="1"/>
      <c r="D681" s="1"/>
      <c r="E681" s="17"/>
      <c r="F681" s="19"/>
      <c r="G681" s="17"/>
      <c r="H681" s="19"/>
      <c r="I681" s="17"/>
      <c r="J681" s="19"/>
      <c r="K681" s="894"/>
      <c r="L681" s="894"/>
    </row>
    <row r="682" spans="2:12" ht="15">
      <c r="B682" s="17"/>
      <c r="C682" s="8"/>
      <c r="D682" s="297"/>
      <c r="E682" s="922"/>
      <c r="F682" s="896"/>
      <c r="G682" s="922"/>
      <c r="H682" s="896"/>
      <c r="I682" s="922"/>
      <c r="J682" s="896"/>
      <c r="K682" s="896"/>
      <c r="L682" s="896"/>
    </row>
    <row r="683" spans="2:12" ht="14.25">
      <c r="B683" s="17"/>
      <c r="C683" s="1"/>
      <c r="D683" s="1"/>
      <c r="E683" s="17"/>
      <c r="F683" s="19"/>
      <c r="G683" s="17"/>
      <c r="H683" s="19"/>
      <c r="I683" s="17"/>
      <c r="J683" s="19"/>
      <c r="K683" s="894"/>
      <c r="L683" s="894"/>
    </row>
    <row r="684" spans="2:12" ht="15">
      <c r="B684" s="17"/>
      <c r="C684" s="8"/>
      <c r="D684" s="8"/>
      <c r="E684" s="922"/>
      <c r="F684" s="896"/>
      <c r="G684" s="922"/>
      <c r="H684" s="896"/>
      <c r="I684" s="922"/>
      <c r="J684" s="896"/>
      <c r="K684" s="896"/>
      <c r="L684" s="896"/>
    </row>
    <row r="685" spans="2:12" ht="15">
      <c r="B685" s="17"/>
      <c r="C685" s="1"/>
      <c r="D685" s="8"/>
      <c r="E685" s="922"/>
      <c r="F685" s="896"/>
      <c r="G685" s="922"/>
      <c r="H685" s="896"/>
      <c r="I685" s="922"/>
      <c r="J685" s="896"/>
      <c r="K685" s="896"/>
      <c r="L685" s="730"/>
    </row>
    <row r="686" spans="2:12" ht="15.75" thickBot="1">
      <c r="B686" s="874"/>
      <c r="C686" s="874"/>
      <c r="D686" s="874"/>
      <c r="E686" s="874"/>
      <c r="F686" s="896"/>
      <c r="G686" s="134"/>
      <c r="H686" s="896"/>
      <c r="I686" s="134"/>
      <c r="J686" s="896"/>
      <c r="K686" s="874"/>
      <c r="L686" s="874"/>
    </row>
    <row r="687" spans="2:12" ht="15">
      <c r="B687" s="920" t="str">
        <f>$B$4</f>
        <v>2022 RATE CASE</v>
      </c>
      <c r="C687" s="926"/>
      <c r="D687" s="927"/>
      <c r="E687" s="874"/>
      <c r="F687" s="332"/>
      <c r="H687" s="332"/>
      <c r="J687" s="332"/>
      <c r="K687" s="874"/>
      <c r="L687" s="874"/>
    </row>
    <row r="688" spans="2:12" ht="15">
      <c r="B688" s="917" t="str">
        <f>$B$5</f>
        <v>ONCOR ELECTRIC DELIVERY COMPANY LLC</v>
      </c>
      <c r="C688" s="369"/>
      <c r="D688" s="928"/>
      <c r="E688" s="874"/>
      <c r="F688" s="332"/>
      <c r="H688" s="332"/>
      <c r="J688" s="332"/>
      <c r="K688" s="874"/>
      <c r="L688" s="874"/>
    </row>
    <row r="689" spans="2:12" ht="15">
      <c r="B689" s="406" t="str">
        <f>$B$6</f>
        <v>II-I-2.1f:  CONSOLIDATED FUNCTIONALIZED COST OF SERVICE</v>
      </c>
      <c r="C689" s="369"/>
      <c r="D689" s="928"/>
      <c r="E689" s="874"/>
      <c r="F689" s="332"/>
      <c r="H689" s="332"/>
      <c r="J689" s="332"/>
      <c r="K689" s="874"/>
      <c r="L689" s="874"/>
    </row>
    <row r="690" spans="2:12" ht="15">
      <c r="B690" s="406" t="str">
        <f>$B$7</f>
        <v>TEST YEAR ENDING 12/31/2021</v>
      </c>
      <c r="C690" s="369"/>
      <c r="D690" s="928"/>
      <c r="E690" s="874"/>
      <c r="F690" s="332"/>
      <c r="H690" s="332"/>
      <c r="J690" s="332"/>
      <c r="K690" s="874"/>
      <c r="L690" s="874"/>
    </row>
    <row r="691" spans="2:10" ht="15.75">
      <c r="B691" s="406" t="str">
        <f>$B$8</f>
        <v>SPONSOR:  MATTHEW A. TROXLE</v>
      </c>
      <c r="C691" s="840"/>
      <c r="D691" s="921"/>
      <c r="E691" s="67"/>
      <c r="F691" s="332"/>
      <c r="H691" s="332"/>
      <c r="J691" s="332"/>
    </row>
    <row r="692" spans="2:12" ht="15.75" thickBot="1">
      <c r="B692" s="410"/>
      <c r="C692" s="931"/>
      <c r="D692" s="932"/>
      <c r="E692" s="369"/>
      <c r="F692" s="332"/>
      <c r="H692" s="332"/>
      <c r="J692" s="332"/>
      <c r="K692" s="369"/>
      <c r="L692" s="369"/>
    </row>
    <row r="693" spans="2:13" ht="14.25">
      <c r="B693" s="13"/>
      <c r="C693" s="14"/>
      <c r="D693" s="238"/>
      <c r="E693" s="14"/>
      <c r="F693" s="13"/>
      <c r="G693" s="14"/>
      <c r="H693" s="13"/>
      <c r="I693" s="14"/>
      <c r="J693" s="13"/>
      <c r="K693" s="738"/>
      <c r="L693" s="952"/>
      <c r="M693" s="1036"/>
    </row>
    <row r="694" spans="2:13" ht="15">
      <c r="B694" s="15" t="s">
        <v>2</v>
      </c>
      <c r="C694" s="15" t="s">
        <v>370</v>
      </c>
      <c r="D694" s="241" t="s">
        <v>637</v>
      </c>
      <c r="E694" s="15" t="s">
        <v>371</v>
      </c>
      <c r="F694" s="287" t="str">
        <f>'II-I-DIST'!F696</f>
        <v>DIST</v>
      </c>
      <c r="G694" s="242" t="s">
        <v>376</v>
      </c>
      <c r="H694" s="287" t="str">
        <f>'II-I-MET'!F696</f>
        <v>MET</v>
      </c>
      <c r="I694" s="242" t="s">
        <v>376</v>
      </c>
      <c r="J694" s="287" t="str">
        <f>'II-I-TBILLTDCS'!F696</f>
        <v>TBILLTDCS</v>
      </c>
      <c r="K694" s="743" t="s">
        <v>376</v>
      </c>
      <c r="L694" s="743" t="s">
        <v>481</v>
      </c>
      <c r="M694" s="1030" t="s">
        <v>1046</v>
      </c>
    </row>
    <row r="695" spans="2:13" ht="14.25">
      <c r="B695" s="15"/>
      <c r="C695" s="15"/>
      <c r="D695" s="242"/>
      <c r="E695" s="15"/>
      <c r="F695" s="15"/>
      <c r="G695" s="242" t="s">
        <v>743</v>
      </c>
      <c r="H695" s="15"/>
      <c r="I695" s="242" t="s">
        <v>743</v>
      </c>
      <c r="J695" s="15"/>
      <c r="K695" s="743" t="s">
        <v>743</v>
      </c>
      <c r="L695" s="743" t="s">
        <v>33</v>
      </c>
      <c r="M695" s="1037"/>
    </row>
    <row r="696" spans="2:13" ht="15.75" thickBot="1">
      <c r="B696" s="243"/>
      <c r="C696" s="957"/>
      <c r="D696" s="245"/>
      <c r="E696" s="245"/>
      <c r="F696" s="747" t="s">
        <v>13</v>
      </c>
      <c r="G696" s="747" t="s">
        <v>14</v>
      </c>
      <c r="H696" s="747" t="s">
        <v>15</v>
      </c>
      <c r="I696" s="747" t="s">
        <v>16</v>
      </c>
      <c r="J696" s="747" t="s">
        <v>17</v>
      </c>
      <c r="K696" s="747" t="s">
        <v>18</v>
      </c>
      <c r="L696" s="747" t="s">
        <v>19</v>
      </c>
      <c r="M696" s="1032" t="s">
        <v>20</v>
      </c>
    </row>
    <row r="697" spans="2:12" ht="14.25">
      <c r="B697" s="47"/>
      <c r="C697" s="333"/>
      <c r="D697" s="333"/>
      <c r="E697" s="333"/>
      <c r="F697" s="333"/>
      <c r="G697" s="333"/>
      <c r="H697" s="333"/>
      <c r="I697" s="333"/>
      <c r="J697" s="333"/>
      <c r="K697" s="691"/>
      <c r="L697" s="691"/>
    </row>
    <row r="698" spans="2:12" ht="15">
      <c r="B698" s="17">
        <f>B685+1</f>
        <v>1</v>
      </c>
      <c r="C698" s="8"/>
      <c r="D698" s="366" t="s">
        <v>638</v>
      </c>
      <c r="E698" s="922" t="s">
        <v>160</v>
      </c>
      <c r="F698" s="8"/>
      <c r="G698" s="922"/>
      <c r="H698" s="8"/>
      <c r="I698" s="922"/>
      <c r="J698" s="8"/>
      <c r="K698" s="8"/>
      <c r="L698" s="8"/>
    </row>
    <row r="699" spans="2:13" s="386" customFormat="1" ht="28.5">
      <c r="B699" s="17">
        <f t="shared" si="31" ref="B699:B729">B698+1</f>
        <v>2</v>
      </c>
      <c r="C699" s="1" t="s">
        <v>222</v>
      </c>
      <c r="D699" s="1" t="s">
        <v>223</v>
      </c>
      <c r="E699" s="17"/>
      <c r="F699" s="118">
        <f>'II-I-DIST'!F701</f>
        <v>114.29000000000001</v>
      </c>
      <c r="G699" s="118" t="str">
        <f>'II-I-DIST'!H701</f>
        <v>CUS ACCT</v>
      </c>
      <c r="H699" s="118">
        <f>'II-I-MET'!F701</f>
        <v>13613.24</v>
      </c>
      <c r="I699" s="466" t="str">
        <f>'II-I-MET'!$H701</f>
        <v>CUS ACCT</v>
      </c>
      <c r="J699" s="118">
        <f>'II-I-TBILLTDCS'!F701</f>
        <v>2051.2399999999998</v>
      </c>
      <c r="K699" s="466" t="str">
        <f>'II-I-TBILLTDCS'!$H701</f>
        <v>CUS ACCT</v>
      </c>
      <c r="L699" s="893">
        <f t="shared" si="30"/>
        <v>15778.77</v>
      </c>
      <c r="M699" s="1035" t="s">
        <v>1088</v>
      </c>
    </row>
    <row r="700" spans="2:13" s="386" customFormat="1" ht="28.5">
      <c r="B700" s="17">
        <f t="shared" si="31"/>
        <v>3</v>
      </c>
      <c r="C700" s="1" t="s">
        <v>224</v>
      </c>
      <c r="D700" s="1" t="s">
        <v>225</v>
      </c>
      <c r="E700" s="17"/>
      <c r="F700" s="118">
        <f>'II-I-DIST'!F702</f>
        <v>0</v>
      </c>
      <c r="G700" s="118" t="str">
        <f>'II-I-DIST'!H702</f>
        <v>CUS W ALL</v>
      </c>
      <c r="H700" s="118">
        <f>'II-I-MET'!F702</f>
        <v>71275.660000000003</v>
      </c>
      <c r="I700" s="466" t="str">
        <f>'II-I-MET'!$H702</f>
        <v>CUS W ALL</v>
      </c>
      <c r="J700" s="118">
        <f>'II-I-TBILLTDCS'!F702</f>
        <v>0</v>
      </c>
      <c r="K700" s="466" t="str">
        <f>'II-I-TBILLTDCS'!$H702</f>
        <v>CUS W ALL</v>
      </c>
      <c r="L700" s="893">
        <f t="shared" si="30"/>
        <v>71275.660000000003</v>
      </c>
      <c r="M700" s="1035" t="s">
        <v>1089</v>
      </c>
    </row>
    <row r="701" spans="2:13" s="386" customFormat="1" ht="28.5">
      <c r="B701" s="17">
        <f t="shared" si="31"/>
        <v>4</v>
      </c>
      <c r="C701" s="1" t="s">
        <v>226</v>
      </c>
      <c r="D701" s="1" t="s">
        <v>227</v>
      </c>
      <c r="E701" s="17"/>
      <c r="F701" s="118">
        <f>'II-I-DIST'!F703</f>
        <v>10743.190000000001</v>
      </c>
      <c r="G701" s="118" t="str">
        <f>'II-I-DIST'!H703</f>
        <v>CUS W ALL</v>
      </c>
      <c r="H701" s="118">
        <f>'II-I-MET'!F703</f>
        <v>8608120.5200000014</v>
      </c>
      <c r="I701" s="466" t="str">
        <f>'II-I-MET'!$H703</f>
        <v>CUS W ALL</v>
      </c>
      <c r="J701" s="118">
        <f>'II-I-TBILLTDCS'!F703</f>
        <v>11172066.84</v>
      </c>
      <c r="K701" s="466" t="str">
        <f>'II-I-TBILLTDCS'!$H703</f>
        <v>CUS W ALL</v>
      </c>
      <c r="L701" s="893">
        <f t="shared" si="30"/>
        <v>19790930.550000001</v>
      </c>
      <c r="M701" s="1035" t="s">
        <v>1090</v>
      </c>
    </row>
    <row r="702" spans="2:13" s="386" customFormat="1" ht="14.25">
      <c r="B702" s="17">
        <f t="shared" si="31"/>
        <v>5</v>
      </c>
      <c r="C702" s="1" t="s">
        <v>228</v>
      </c>
      <c r="D702" s="1" t="s">
        <v>229</v>
      </c>
      <c r="E702" s="17"/>
      <c r="F702" s="118">
        <f>'II-I-DIST'!F704</f>
        <v>-16239.889999999999</v>
      </c>
      <c r="G702" s="118" t="str">
        <f>'II-I-DIST'!H704</f>
        <v>REVENUE RTL</v>
      </c>
      <c r="H702" s="118">
        <f>'II-I-MET'!F704</f>
        <v>0</v>
      </c>
      <c r="I702" s="466" t="str">
        <f>'II-I-MET'!$H704</f>
        <v>REVENUE RTL</v>
      </c>
      <c r="J702" s="118">
        <f>'II-I-TBILLTDCS'!F704</f>
        <v>1699838.3599999999</v>
      </c>
      <c r="K702" s="466" t="str">
        <f>'II-I-TBILLTDCS'!$H704</f>
        <v>REVENUE RTL</v>
      </c>
      <c r="L702" s="893">
        <f t="shared" si="30"/>
        <v>1683598.47</v>
      </c>
      <c r="M702" s="1035"/>
    </row>
    <row r="703" spans="2:13" s="386" customFormat="1" ht="14.25">
      <c r="B703" s="17">
        <f t="shared" si="31"/>
        <v>6</v>
      </c>
      <c r="C703" s="1" t="s">
        <v>230</v>
      </c>
      <c r="D703" s="31" t="s">
        <v>231</v>
      </c>
      <c r="E703" s="17"/>
      <c r="F703" s="118">
        <f>'II-I-DIST'!F705</f>
        <v>0</v>
      </c>
      <c r="G703" s="118" t="str">
        <f>'II-I-DIST'!H705</f>
        <v>CUS ACCT</v>
      </c>
      <c r="H703" s="118">
        <f>'II-I-MET'!F705</f>
        <v>0</v>
      </c>
      <c r="I703" s="466" t="str">
        <f>'II-I-MET'!$H705</f>
        <v>CUS ACCT</v>
      </c>
      <c r="J703" s="118">
        <f>'II-I-TBILLTDCS'!F705</f>
        <v>0</v>
      </c>
      <c r="K703" s="466" t="str">
        <f>'II-I-TBILLTDCS'!$H705</f>
        <v>CUS ACCT</v>
      </c>
      <c r="L703" s="893">
        <f t="shared" si="30"/>
        <v>0</v>
      </c>
      <c r="M703" s="1035"/>
    </row>
    <row r="704" spans="2:13" ht="15">
      <c r="B704" s="17">
        <f t="shared" si="31"/>
        <v>7</v>
      </c>
      <c r="C704" s="8"/>
      <c r="D704" s="297" t="s">
        <v>639</v>
      </c>
      <c r="E704" s="922"/>
      <c r="F704" s="896">
        <f>'II-I-DIST'!F706</f>
        <v>-5382.409999999998</v>
      </c>
      <c r="G704" s="118">
        <f>'II-I-DIST'!H706</f>
        <v>0</v>
      </c>
      <c r="H704" s="896">
        <f>'II-I-MET'!F706</f>
        <v>8693009.4200000018</v>
      </c>
      <c r="I704" s="466">
        <f>'II-I-MET'!$H706</f>
        <v>0</v>
      </c>
      <c r="J704" s="896">
        <f>'II-I-TBILLTDCS'!F706</f>
        <v>12873956.44</v>
      </c>
      <c r="K704" s="466">
        <f>'II-I-TBILLTDCS'!$H706</f>
        <v>0</v>
      </c>
      <c r="L704" s="896">
        <f t="shared" si="30"/>
        <v>21561583.450000003</v>
      </c>
      <c r="M704" s="1035"/>
    </row>
    <row r="705" spans="2:13" ht="14.25">
      <c r="B705" s="17">
        <f t="shared" si="31"/>
        <v>8</v>
      </c>
      <c r="C705" s="1"/>
      <c r="D705" s="1"/>
      <c r="E705" s="17"/>
      <c r="F705" s="19"/>
      <c r="G705" s="118">
        <f>'II-I-DIST'!H707</f>
        <v>0</v>
      </c>
      <c r="H705" s="19"/>
      <c r="I705" s="466">
        <f>'II-I-MET'!$H707</f>
        <v>0</v>
      </c>
      <c r="J705" s="19"/>
      <c r="K705" s="466">
        <f>'II-I-TBILLTDCS'!$H707</f>
        <v>0</v>
      </c>
      <c r="L705" s="894"/>
      <c r="M705" s="1035"/>
    </row>
    <row r="706" spans="2:13" ht="15">
      <c r="B706" s="17">
        <f t="shared" si="31"/>
        <v>9</v>
      </c>
      <c r="C706" s="8"/>
      <c r="D706" s="297"/>
      <c r="E706" s="922"/>
      <c r="F706" s="896"/>
      <c r="G706" s="118">
        <f>'II-I-DIST'!H708</f>
        <v>0</v>
      </c>
      <c r="H706" s="896"/>
      <c r="I706" s="466">
        <f>'II-I-MET'!$H708</f>
        <v>0</v>
      </c>
      <c r="J706" s="896"/>
      <c r="K706" s="466">
        <f>'II-I-TBILLTDCS'!$H708</f>
        <v>0</v>
      </c>
      <c r="L706" s="896"/>
      <c r="M706" s="1035"/>
    </row>
    <row r="707" spans="2:13" ht="14.25">
      <c r="B707" s="17">
        <f t="shared" si="31"/>
        <v>10</v>
      </c>
      <c r="C707" s="1"/>
      <c r="D707" s="1"/>
      <c r="E707" s="17"/>
      <c r="F707" s="19"/>
      <c r="G707" s="118">
        <f>'II-I-DIST'!H709</f>
        <v>0</v>
      </c>
      <c r="H707" s="19"/>
      <c r="I707" s="466">
        <f>'II-I-MET'!$H709</f>
        <v>0</v>
      </c>
      <c r="J707" s="19"/>
      <c r="K707" s="466">
        <f>'II-I-TBILLTDCS'!$H709</f>
        <v>0</v>
      </c>
      <c r="L707" s="894"/>
      <c r="M707" s="1035"/>
    </row>
    <row r="708" spans="2:12" ht="15">
      <c r="B708" s="17">
        <f t="shared" si="31"/>
        <v>11</v>
      </c>
      <c r="C708" s="8"/>
      <c r="D708" s="366" t="s">
        <v>650</v>
      </c>
      <c r="E708" s="922" t="s">
        <v>160</v>
      </c>
      <c r="F708" s="896"/>
      <c r="G708" s="118">
        <f>'II-I-DIST'!H710</f>
        <v>0</v>
      </c>
      <c r="H708" s="896"/>
      <c r="I708" s="466">
        <f>'II-I-MET'!$H710</f>
        <v>0</v>
      </c>
      <c r="J708" s="896"/>
      <c r="K708" s="466">
        <f>'II-I-TBILLTDCS'!$H710</f>
        <v>0</v>
      </c>
      <c r="L708" s="896"/>
    </row>
    <row r="709" spans="2:13" s="386" customFormat="1" ht="14.25">
      <c r="B709" s="17">
        <f t="shared" si="31"/>
        <v>12</v>
      </c>
      <c r="C709" s="1" t="s">
        <v>233</v>
      </c>
      <c r="D709" s="1" t="s">
        <v>234</v>
      </c>
      <c r="E709" s="17"/>
      <c r="F709" s="118">
        <f>'II-I-DIST'!F711</f>
        <v>0</v>
      </c>
      <c r="G709" s="118" t="str">
        <f>'II-I-DIST'!H711</f>
        <v>CUS U ALL</v>
      </c>
      <c r="H709" s="118">
        <f>'II-I-MET'!F711</f>
        <v>0</v>
      </c>
      <c r="I709" s="466" t="str">
        <f>'II-I-MET'!$H711</f>
        <v>CUS U ALL</v>
      </c>
      <c r="J709" s="118">
        <f>'II-I-TBILLTDCS'!F711</f>
        <v>0</v>
      </c>
      <c r="K709" s="466" t="str">
        <f>'II-I-TBILLTDCS'!$H711</f>
        <v>CUS U ALL</v>
      </c>
      <c r="L709" s="893">
        <f t="shared" si="30"/>
        <v>0</v>
      </c>
      <c r="M709" s="1040"/>
    </row>
    <row r="710" spans="2:13" s="386" customFormat="1" ht="14.25">
      <c r="B710" s="17">
        <f t="shared" si="31"/>
        <v>13</v>
      </c>
      <c r="C710" s="1" t="s">
        <v>235</v>
      </c>
      <c r="D710" s="1" t="s">
        <v>223</v>
      </c>
      <c r="E710" s="17"/>
      <c r="F710" s="118">
        <f>'II-I-DIST'!F712</f>
        <v>0</v>
      </c>
      <c r="G710" s="118" t="str">
        <f>'II-I-DIST'!H712</f>
        <v>CUS SVC INFO</v>
      </c>
      <c r="H710" s="118">
        <f>'II-I-MET'!F712</f>
        <v>0</v>
      </c>
      <c r="I710" s="466" t="str">
        <f>'II-I-MET'!$H712</f>
        <v>CUS SVC INFO</v>
      </c>
      <c r="J710" s="118">
        <f>'II-I-TBILLTDCS'!F712</f>
        <v>0</v>
      </c>
      <c r="K710" s="466" t="str">
        <f>'II-I-TBILLTDCS'!$H712</f>
        <v>CUS SVC INFO</v>
      </c>
      <c r="L710" s="893">
        <f t="shared" si="30"/>
        <v>0</v>
      </c>
      <c r="M710" s="1040"/>
    </row>
    <row r="711" spans="2:13" s="386" customFormat="1" ht="15">
      <c r="B711" s="17">
        <f t="shared" si="31"/>
        <v>14</v>
      </c>
      <c r="C711" s="1" t="s">
        <v>236</v>
      </c>
      <c r="D711" s="1" t="s">
        <v>237</v>
      </c>
      <c r="E711" s="922"/>
      <c r="F711" s="118">
        <f>'II-I-DIST'!F713</f>
        <v>250687.94</v>
      </c>
      <c r="G711" s="118" t="str">
        <f>'II-I-DIST'!H713</f>
        <v>CUS U ALL</v>
      </c>
      <c r="H711" s="118">
        <f>'II-I-MET'!F713</f>
        <v>106713.10999999999</v>
      </c>
      <c r="I711" s="466" t="str">
        <f>'II-I-MET'!$H713</f>
        <v>CUS U ALL</v>
      </c>
      <c r="J711" s="118">
        <f>'II-I-TBILLTDCS'!F713</f>
        <v>235372.03999999911</v>
      </c>
      <c r="K711" s="466" t="str">
        <f>'II-I-TBILLTDCS'!$H713</f>
        <v>CUS U ALL</v>
      </c>
      <c r="L711" s="893">
        <f t="shared" si="30"/>
        <v>592773.08999999915</v>
      </c>
      <c r="M711" s="1035" t="s">
        <v>1091</v>
      </c>
    </row>
    <row r="712" spans="2:13" s="386" customFormat="1" ht="14.25">
      <c r="B712" s="17">
        <f t="shared" si="31"/>
        <v>15</v>
      </c>
      <c r="C712" s="1" t="s">
        <v>238</v>
      </c>
      <c r="D712" s="1" t="s">
        <v>239</v>
      </c>
      <c r="E712" s="17"/>
      <c r="F712" s="118">
        <f>'II-I-DIST'!F714</f>
        <v>0</v>
      </c>
      <c r="G712" s="118" t="str">
        <f>'II-I-DIST'!H714</f>
        <v>CUS U RTL</v>
      </c>
      <c r="H712" s="118">
        <f>'II-I-MET'!F714</f>
        <v>0</v>
      </c>
      <c r="I712" s="466" t="str">
        <f>'II-I-MET'!$H714</f>
        <v>CUS U RTL</v>
      </c>
      <c r="J712" s="118">
        <f>'II-I-TBILLTDCS'!F714</f>
        <v>0</v>
      </c>
      <c r="K712" s="466" t="str">
        <f>'II-I-TBILLTDCS'!$H714</f>
        <v>CUS U RTL</v>
      </c>
      <c r="L712" s="893">
        <f t="shared" si="30"/>
        <v>0</v>
      </c>
      <c r="M712" s="1035"/>
    </row>
    <row r="713" spans="2:13" s="386" customFormat="1" ht="28.5">
      <c r="B713" s="17">
        <f t="shared" si="31"/>
        <v>16</v>
      </c>
      <c r="C713" s="1" t="s">
        <v>240</v>
      </c>
      <c r="D713" s="1" t="s">
        <v>241</v>
      </c>
      <c r="E713" s="17"/>
      <c r="F713" s="118">
        <f>'II-I-DIST'!F715</f>
        <v>0</v>
      </c>
      <c r="G713" s="118" t="str">
        <f>'II-I-DIST'!H715</f>
        <v>CUS SVC INFO</v>
      </c>
      <c r="H713" s="118">
        <f>'II-I-MET'!F715</f>
        <v>0</v>
      </c>
      <c r="I713" s="466" t="str">
        <f>'II-I-MET'!$H715</f>
        <v>CUS SVC INFO</v>
      </c>
      <c r="J713" s="118">
        <f>'II-I-TBILLTDCS'!F715</f>
        <v>0</v>
      </c>
      <c r="K713" s="466" t="str">
        <f>'II-I-TBILLTDCS'!$H715</f>
        <v>CUS SVC INFO</v>
      </c>
      <c r="L713" s="893">
        <f t="shared" si="30"/>
        <v>0</v>
      </c>
      <c r="M713" s="1035" t="s">
        <v>1092</v>
      </c>
    </row>
    <row r="714" spans="2:13" ht="15">
      <c r="B714" s="17">
        <f t="shared" si="31"/>
        <v>17</v>
      </c>
      <c r="C714" s="8"/>
      <c r="D714" s="297" t="s">
        <v>651</v>
      </c>
      <c r="E714" s="922"/>
      <c r="F714" s="896">
        <f>'II-I-DIST'!F716</f>
        <v>250687.94</v>
      </c>
      <c r="G714" s="922"/>
      <c r="H714" s="896">
        <f>'II-I-MET'!F716</f>
        <v>106713.10999999999</v>
      </c>
      <c r="I714" s="922"/>
      <c r="J714" s="896">
        <f>'II-I-TBILLTDCS'!F716</f>
        <v>235372.03999999911</v>
      </c>
      <c r="K714" s="896"/>
      <c r="L714" s="896">
        <f t="shared" si="30"/>
        <v>592773.08999999915</v>
      </c>
      <c r="M714" s="1035"/>
    </row>
    <row r="715" spans="2:13" ht="15">
      <c r="B715" s="17">
        <f t="shared" si="31"/>
        <v>18</v>
      </c>
      <c r="C715" s="8"/>
      <c r="D715" s="297"/>
      <c r="E715" s="922"/>
      <c r="F715" s="896"/>
      <c r="G715" s="922"/>
      <c r="H715" s="896"/>
      <c r="I715" s="922"/>
      <c r="J715" s="896"/>
      <c r="K715" s="896"/>
      <c r="L715" s="896"/>
      <c r="M715" s="1035"/>
    </row>
    <row r="716" spans="2:13" ht="15">
      <c r="B716" s="17">
        <f t="shared" si="31"/>
        <v>19</v>
      </c>
      <c r="C716" s="8"/>
      <c r="D716" s="297"/>
      <c r="E716" s="922"/>
      <c r="F716" s="896"/>
      <c r="G716" s="922"/>
      <c r="H716" s="896"/>
      <c r="I716" s="922"/>
      <c r="J716" s="896"/>
      <c r="K716" s="896"/>
      <c r="L716" s="896"/>
      <c r="M716" s="1035"/>
    </row>
    <row r="717" spans="2:12" ht="14.25">
      <c r="B717" s="17">
        <f t="shared" si="31"/>
        <v>20</v>
      </c>
      <c r="C717" s="1"/>
      <c r="D717" s="1"/>
      <c r="E717" s="17"/>
      <c r="F717" s="19"/>
      <c r="G717" s="17"/>
      <c r="H717" s="19"/>
      <c r="I717" s="17"/>
      <c r="J717" s="19"/>
      <c r="K717" s="894"/>
      <c r="L717" s="894"/>
    </row>
    <row r="718" spans="2:12" ht="15">
      <c r="B718" s="17">
        <f t="shared" si="31"/>
        <v>21</v>
      </c>
      <c r="C718" s="8"/>
      <c r="D718" s="368" t="s">
        <v>242</v>
      </c>
      <c r="E718" s="922" t="s">
        <v>160</v>
      </c>
      <c r="F718" s="896"/>
      <c r="G718" s="922"/>
      <c r="H718" s="896"/>
      <c r="I718" s="922"/>
      <c r="J718" s="896"/>
      <c r="K718" s="896"/>
      <c r="L718" s="896"/>
    </row>
    <row r="719" spans="2:13" s="386" customFormat="1" ht="14.25">
      <c r="B719" s="17">
        <f t="shared" si="31"/>
        <v>22</v>
      </c>
      <c r="C719" s="1" t="s">
        <v>243</v>
      </c>
      <c r="D719" s="51" t="s">
        <v>223</v>
      </c>
      <c r="E719" s="17"/>
      <c r="F719" s="118">
        <f>'II-I-DIST'!F721</f>
        <v>0</v>
      </c>
      <c r="G719" s="118" t="str">
        <f>'II-I-DIST'!H721</f>
        <v>CUS U RTL</v>
      </c>
      <c r="H719" s="118">
        <f>'II-I-MET'!F721</f>
        <v>0</v>
      </c>
      <c r="I719" s="466" t="str">
        <f>'II-I-MET'!$H721</f>
        <v>CUS U RTL</v>
      </c>
      <c r="J719" s="118">
        <f>'II-I-TBILLTDCS'!F721</f>
        <v>0</v>
      </c>
      <c r="K719" s="466" t="str">
        <f>'II-I-TBILLTDCS'!$H721</f>
        <v>CUS U RTL</v>
      </c>
      <c r="L719" s="893">
        <f t="shared" si="30"/>
        <v>0</v>
      </c>
      <c r="M719" s="1035"/>
    </row>
    <row r="720" spans="2:13" s="386" customFormat="1" ht="28.5">
      <c r="B720" s="17">
        <f t="shared" si="31"/>
        <v>23</v>
      </c>
      <c r="C720" s="1" t="s">
        <v>244</v>
      </c>
      <c r="D720" s="51" t="s">
        <v>245</v>
      </c>
      <c r="E720" s="17"/>
      <c r="F720" s="118">
        <f>'II-I-DIST'!F722</f>
        <v>0</v>
      </c>
      <c r="G720" s="118" t="str">
        <f>'II-I-DIST'!H722</f>
        <v>CUS U RTL</v>
      </c>
      <c r="H720" s="118">
        <f>'II-I-MET'!F722</f>
        <v>0</v>
      </c>
      <c r="I720" s="466" t="str">
        <f>'II-I-MET'!$H722</f>
        <v>CUS U RTL</v>
      </c>
      <c r="J720" s="118">
        <f>'II-I-TBILLTDCS'!F722</f>
        <v>0</v>
      </c>
      <c r="K720" s="466" t="str">
        <f>'II-I-TBILLTDCS'!$H722</f>
        <v>CUS U RTL</v>
      </c>
      <c r="L720" s="893">
        <f t="shared" si="30"/>
        <v>0</v>
      </c>
      <c r="M720" s="1035" t="s">
        <v>1093</v>
      </c>
    </row>
    <row r="721" spans="2:13" s="386" customFormat="1" ht="14.25">
      <c r="B721" s="17">
        <f t="shared" si="31"/>
        <v>24</v>
      </c>
      <c r="C721" s="1" t="s">
        <v>246</v>
      </c>
      <c r="D721" s="51" t="s">
        <v>247</v>
      </c>
      <c r="E721" s="17"/>
      <c r="F721" s="118">
        <f>'II-I-DIST'!F723</f>
        <v>0</v>
      </c>
      <c r="G721" s="118" t="str">
        <f>'II-I-DIST'!H723</f>
        <v>CUS U RTL</v>
      </c>
      <c r="H721" s="118">
        <f>'II-I-MET'!F723</f>
        <v>0</v>
      </c>
      <c r="I721" s="466" t="str">
        <f>'II-I-MET'!$H723</f>
        <v>CUS U RTL</v>
      </c>
      <c r="J721" s="118">
        <f>'II-I-TBILLTDCS'!F723</f>
        <v>0</v>
      </c>
      <c r="K721" s="466" t="str">
        <f>'II-I-TBILLTDCS'!$H723</f>
        <v>CUS U RTL</v>
      </c>
      <c r="L721" s="893">
        <f t="shared" si="30"/>
        <v>0</v>
      </c>
      <c r="M721" s="1035" t="s">
        <v>1094</v>
      </c>
    </row>
    <row r="722" spans="2:13" s="386" customFormat="1" ht="14.25">
      <c r="B722" s="17">
        <f t="shared" si="31"/>
        <v>25</v>
      </c>
      <c r="C722" s="1" t="s">
        <v>248</v>
      </c>
      <c r="D722" s="51" t="s">
        <v>249</v>
      </c>
      <c r="E722" s="17"/>
      <c r="F722" s="118">
        <f>'II-I-DIST'!F724</f>
        <v>0</v>
      </c>
      <c r="G722" s="118" t="str">
        <f>'II-I-DIST'!H724</f>
        <v>CUS U RTL</v>
      </c>
      <c r="H722" s="118">
        <f>'II-I-MET'!F724</f>
        <v>0</v>
      </c>
      <c r="I722" s="466" t="str">
        <f>'II-I-MET'!$H724</f>
        <v>CUS U RTL</v>
      </c>
      <c r="J722" s="118">
        <f>'II-I-TBILLTDCS'!F724</f>
        <v>0</v>
      </c>
      <c r="K722" s="466" t="str">
        <f>'II-I-TBILLTDCS'!$H724</f>
        <v>CUS U RTL</v>
      </c>
      <c r="L722" s="893">
        <f t="shared" si="30"/>
        <v>0</v>
      </c>
      <c r="M722" s="1035"/>
    </row>
    <row r="723" spans="2:13" s="386" customFormat="1" ht="14.25">
      <c r="B723" s="17">
        <f t="shared" si="31"/>
        <v>26</v>
      </c>
      <c r="C723" s="1" t="s">
        <v>250</v>
      </c>
      <c r="D723" s="51" t="s">
        <v>251</v>
      </c>
      <c r="E723" s="17"/>
      <c r="F723" s="118">
        <f>'II-I-DIST'!F725</f>
        <v>0</v>
      </c>
      <c r="G723" s="118" t="str">
        <f>'II-I-DIST'!H725</f>
        <v>CUS U RTL</v>
      </c>
      <c r="H723" s="118">
        <f>'II-I-MET'!F725</f>
        <v>0</v>
      </c>
      <c r="I723" s="466" t="str">
        <f>'II-I-MET'!$H725</f>
        <v>CUS U RTL</v>
      </c>
      <c r="J723" s="118">
        <f>'II-I-TBILLTDCS'!F725</f>
        <v>0</v>
      </c>
      <c r="K723" s="466" t="str">
        <f>'II-I-TBILLTDCS'!$H725</f>
        <v>CUS U RTL</v>
      </c>
      <c r="L723" s="893">
        <f t="shared" si="30"/>
        <v>0</v>
      </c>
      <c r="M723" s="1035"/>
    </row>
    <row r="724" spans="2:12" ht="15">
      <c r="B724" s="17">
        <f t="shared" si="31"/>
        <v>27</v>
      </c>
      <c r="C724" s="8"/>
      <c r="D724" s="297" t="s">
        <v>653</v>
      </c>
      <c r="E724" s="922"/>
      <c r="F724" s="896">
        <f>'II-I-DIST'!F726</f>
        <v>0</v>
      </c>
      <c r="G724" s="922"/>
      <c r="H724" s="896">
        <f>'II-I-MET'!F726</f>
        <v>0</v>
      </c>
      <c r="I724" s="922"/>
      <c r="J724" s="896">
        <f>'II-I-TBILLTDCS'!F726</f>
        <v>0</v>
      </c>
      <c r="K724" s="896"/>
      <c r="L724" s="896">
        <f t="shared" si="30"/>
        <v>0</v>
      </c>
    </row>
    <row r="725" spans="2:12" ht="15">
      <c r="B725" s="17">
        <f t="shared" si="31"/>
        <v>28</v>
      </c>
      <c r="C725" s="8"/>
      <c r="D725" s="369"/>
      <c r="E725" s="922"/>
      <c r="F725" s="896"/>
      <c r="G725" s="922"/>
      <c r="H725" s="896"/>
      <c r="I725" s="922"/>
      <c r="J725" s="896"/>
      <c r="K725" s="896"/>
      <c r="L725" s="8"/>
    </row>
    <row r="726" spans="2:12" ht="15">
      <c r="B726" s="17">
        <f t="shared" si="31"/>
        <v>29</v>
      </c>
      <c r="C726" s="8"/>
      <c r="D726" s="297"/>
      <c r="E726" s="922"/>
      <c r="F726" s="896"/>
      <c r="G726" s="922"/>
      <c r="H726" s="896"/>
      <c r="I726" s="922"/>
      <c r="J726" s="896"/>
      <c r="K726" s="896"/>
      <c r="L726" s="896"/>
    </row>
    <row r="727" spans="2:12" ht="15.75" thickBot="1">
      <c r="B727" s="17">
        <f t="shared" si="31"/>
        <v>30</v>
      </c>
      <c r="C727" s="8"/>
      <c r="D727" s="369"/>
      <c r="E727" s="922"/>
      <c r="F727" s="896"/>
      <c r="G727" s="922"/>
      <c r="H727" s="896"/>
      <c r="I727" s="922"/>
      <c r="J727" s="896"/>
      <c r="K727" s="896"/>
      <c r="L727" s="8"/>
    </row>
    <row r="728" spans="2:12" ht="15">
      <c r="B728" s="17">
        <f t="shared" si="31"/>
        <v>31</v>
      </c>
      <c r="C728" s="319" t="s">
        <v>655</v>
      </c>
      <c r="D728" s="304"/>
      <c r="E728" s="305" t="s">
        <v>160</v>
      </c>
      <c r="F728" s="908">
        <f>'II-I-DIST'!F730</f>
        <v>1967870432.3999999</v>
      </c>
      <c r="G728" s="305"/>
      <c r="H728" s="908">
        <f>'II-I-MET'!F730</f>
        <v>59034958.160000004</v>
      </c>
      <c r="I728" s="305"/>
      <c r="J728" s="908">
        <f>'II-I-TBILLTDCS'!F730</f>
        <v>13452479.209999999</v>
      </c>
      <c r="K728" s="908"/>
      <c r="L728" s="641">
        <f>F728+H728+J728</f>
        <v>2040357869.77</v>
      </c>
    </row>
    <row r="729" spans="2:12" ht="15.75" thickBot="1">
      <c r="B729" s="17">
        <f t="shared" si="31"/>
        <v>32</v>
      </c>
      <c r="C729" s="326" t="s">
        <v>656</v>
      </c>
      <c r="D729" s="310"/>
      <c r="E729" s="311" t="s">
        <v>160</v>
      </c>
      <c r="F729" s="312">
        <f>'II-I-DIST'!F731</f>
        <v>315348410.96000004</v>
      </c>
      <c r="G729" s="311"/>
      <c r="H729" s="312">
        <f>'II-I-MET'!F731</f>
        <v>59034958.160000004</v>
      </c>
      <c r="I729" s="311"/>
      <c r="J729" s="312">
        <f>'II-I-TBILLTDCS'!F731</f>
        <v>13452479.209999999</v>
      </c>
      <c r="K729" s="312"/>
      <c r="L729" s="443">
        <f>F729+H729+J729</f>
        <v>387835848.33000004</v>
      </c>
    </row>
    <row r="730" spans="2:12" ht="15">
      <c r="B730" s="874"/>
      <c r="C730" s="874"/>
      <c r="D730" s="874"/>
      <c r="E730" s="874"/>
      <c r="F730" s="896"/>
      <c r="G730" s="134"/>
      <c r="H730" s="896"/>
      <c r="I730" s="134"/>
      <c r="J730" s="896"/>
      <c r="K730" s="874"/>
      <c r="L730" s="874"/>
    </row>
    <row r="731" spans="2:12" ht="15.75" thickBot="1">
      <c r="B731" s="874"/>
      <c r="C731" s="874"/>
      <c r="D731" s="874"/>
      <c r="E731" s="874"/>
      <c r="F731" s="896"/>
      <c r="G731" s="922"/>
      <c r="H731" s="896"/>
      <c r="I731" s="922"/>
      <c r="J731" s="896"/>
      <c r="K731" s="874"/>
      <c r="L731" s="874"/>
    </row>
    <row r="732" spans="2:12" ht="15">
      <c r="B732" s="920" t="str">
        <f>$B$4</f>
        <v>2022 RATE CASE</v>
      </c>
      <c r="C732" s="926"/>
      <c r="D732" s="927"/>
      <c r="E732" s="874"/>
      <c r="F732" s="332"/>
      <c r="H732" s="332"/>
      <c r="J732" s="332"/>
      <c r="K732" s="874"/>
      <c r="L732" s="874"/>
    </row>
    <row r="733" spans="2:12" ht="15">
      <c r="B733" s="917" t="str">
        <f>$B$5</f>
        <v>ONCOR ELECTRIC DELIVERY COMPANY LLC</v>
      </c>
      <c r="C733" s="369"/>
      <c r="D733" s="928"/>
      <c r="E733" s="874"/>
      <c r="F733" s="371"/>
      <c r="H733" s="371"/>
      <c r="J733" s="371"/>
      <c r="K733" s="874"/>
      <c r="L733" s="874"/>
    </row>
    <row r="734" spans="2:12" ht="15">
      <c r="B734" s="406" t="str">
        <f>$B$6</f>
        <v>II-I-2.1f:  CONSOLIDATED FUNCTIONALIZED COST OF SERVICE</v>
      </c>
      <c r="C734" s="369"/>
      <c r="D734" s="928"/>
      <c r="E734" s="874"/>
      <c r="F734" s="371"/>
      <c r="H734" s="371"/>
      <c r="J734" s="371"/>
      <c r="K734" s="874"/>
      <c r="L734" s="874"/>
    </row>
    <row r="735" spans="2:12" ht="15">
      <c r="B735" s="406" t="str">
        <f>$B$7</f>
        <v>TEST YEAR ENDING 12/31/2021</v>
      </c>
      <c r="C735" s="369"/>
      <c r="D735" s="928"/>
      <c r="E735" s="369"/>
      <c r="F735" s="371"/>
      <c r="H735" s="371"/>
      <c r="J735" s="371"/>
      <c r="K735" s="369"/>
      <c r="L735" s="369"/>
    </row>
    <row r="736" spans="2:12" ht="15">
      <c r="B736" s="406" t="str">
        <f>$B$8</f>
        <v>SPONSOR:  MATTHEW A. TROXLE</v>
      </c>
      <c r="C736" s="369"/>
      <c r="D736" s="928"/>
      <c r="E736" s="369"/>
      <c r="F736" s="371"/>
      <c r="H736" s="371"/>
      <c r="J736" s="371"/>
      <c r="K736" s="369"/>
      <c r="L736" s="369"/>
    </row>
    <row r="737" spans="2:12" ht="15.75" thickBot="1">
      <c r="B737" s="410"/>
      <c r="C737" s="931"/>
      <c r="D737" s="932"/>
      <c r="E737" s="369"/>
      <c r="F737" s="371"/>
      <c r="H737" s="371"/>
      <c r="J737" s="371"/>
      <c r="K737" s="369"/>
      <c r="L737" s="369"/>
    </row>
    <row r="738" spans="2:13" ht="14.25">
      <c r="B738" s="13"/>
      <c r="C738" s="14"/>
      <c r="D738" s="238"/>
      <c r="E738" s="238"/>
      <c r="F738" s="13"/>
      <c r="G738" s="14"/>
      <c r="H738" s="13"/>
      <c r="I738" s="14"/>
      <c r="J738" s="13"/>
      <c r="K738" s="738"/>
      <c r="L738" s="952"/>
      <c r="M738" s="1036"/>
    </row>
    <row r="739" spans="2:13" ht="15">
      <c r="B739" s="15" t="s">
        <v>2</v>
      </c>
      <c r="C739" s="15" t="s">
        <v>370</v>
      </c>
      <c r="D739" s="241" t="s">
        <v>1195</v>
      </c>
      <c r="E739" s="242" t="s">
        <v>371</v>
      </c>
      <c r="F739" s="287" t="str">
        <f>'II-I-DIST'!F741</f>
        <v>DIST</v>
      </c>
      <c r="G739" s="242" t="s">
        <v>376</v>
      </c>
      <c r="H739" s="287" t="str">
        <f>'II-I-MET'!F741</f>
        <v>MET</v>
      </c>
      <c r="I739" s="15" t="s">
        <v>376</v>
      </c>
      <c r="J739" s="287" t="str">
        <f>'II-I-TBILLTDCS'!F741</f>
        <v>TBILLTDCS</v>
      </c>
      <c r="K739" s="743" t="s">
        <v>376</v>
      </c>
      <c r="L739" s="743" t="s">
        <v>481</v>
      </c>
      <c r="M739" s="1030" t="s">
        <v>1046</v>
      </c>
    </row>
    <row r="740" spans="2:13" ht="14.25">
      <c r="B740" s="15"/>
      <c r="C740" s="15"/>
      <c r="D740" s="242"/>
      <c r="E740" s="242"/>
      <c r="F740" s="15"/>
      <c r="G740" s="242" t="s">
        <v>743</v>
      </c>
      <c r="H740" s="15"/>
      <c r="I740" s="15" t="s">
        <v>743</v>
      </c>
      <c r="J740" s="15"/>
      <c r="K740" s="743" t="s">
        <v>743</v>
      </c>
      <c r="L740" s="743" t="s">
        <v>33</v>
      </c>
      <c r="M740" s="1037"/>
    </row>
    <row r="741" spans="2:13" ht="15.75" thickBot="1">
      <c r="B741" s="243"/>
      <c r="C741" s="957"/>
      <c r="D741" s="245"/>
      <c r="E741" s="245"/>
      <c r="F741" s="747" t="s">
        <v>13</v>
      </c>
      <c r="G741" s="747" t="s">
        <v>14</v>
      </c>
      <c r="H741" s="747" t="s">
        <v>15</v>
      </c>
      <c r="I741" s="747" t="s">
        <v>16</v>
      </c>
      <c r="J741" s="747" t="s">
        <v>17</v>
      </c>
      <c r="K741" s="747" t="s">
        <v>18</v>
      </c>
      <c r="L741" s="747" t="s">
        <v>19</v>
      </c>
      <c r="M741" s="1032" t="s">
        <v>1137</v>
      </c>
    </row>
    <row r="742" spans="2:12" ht="14.25">
      <c r="B742" s="67"/>
      <c r="C742" s="43"/>
      <c r="D742" s="43"/>
      <c r="E742" s="333"/>
      <c r="F742" s="333"/>
      <c r="G742" s="333"/>
      <c r="H742" s="333"/>
      <c r="I742" s="43"/>
      <c r="J742" s="43"/>
      <c r="K742" s="691"/>
      <c r="L742" s="691"/>
    </row>
    <row r="743" spans="2:12" ht="15">
      <c r="B743" s="17">
        <f t="shared" si="32" ref="B743:B762">B742+1</f>
        <v>1</v>
      </c>
      <c r="C743" s="8" t="s">
        <v>1195</v>
      </c>
      <c r="D743" s="8"/>
      <c r="E743" s="922" t="s">
        <v>253</v>
      </c>
      <c r="F743" s="8"/>
      <c r="G743" s="922"/>
      <c r="H743" s="8"/>
      <c r="I743" s="922"/>
      <c r="J743" s="8"/>
      <c r="K743" s="8"/>
      <c r="L743" s="8"/>
    </row>
    <row r="744" spans="2:13" s="386" customFormat="1" ht="14.25">
      <c r="B744" s="17">
        <f t="shared" si="32"/>
        <v>2</v>
      </c>
      <c r="C744" s="1" t="s">
        <v>254</v>
      </c>
      <c r="D744" s="1" t="s">
        <v>255</v>
      </c>
      <c r="E744" s="17"/>
      <c r="F744" s="118">
        <f>'II-I-DIST'!F746</f>
        <v>48296108.630000003</v>
      </c>
      <c r="G744" s="118" t="str">
        <f>'II-I-DIST'!H746</f>
        <v>O&amp;M x565</v>
      </c>
      <c r="H744" s="118">
        <f>'II-I-MET'!F746</f>
        <v>13067186.82</v>
      </c>
      <c r="I744" s="466" t="str">
        <f>'II-I-MET'!$H746</f>
        <v>O&amp;M x565</v>
      </c>
      <c r="J744" s="121">
        <f>'II-I-TBILLTDCS'!F746</f>
        <v>17818910.440000001</v>
      </c>
      <c r="K744" s="466" t="str">
        <f>'II-I-TBILLTDCS'!$H746</f>
        <v>O&amp;M x565</v>
      </c>
      <c r="L744" s="893">
        <f t="shared" si="33" ref="L744:L756">F744+H744+J744</f>
        <v>79182205.890000001</v>
      </c>
      <c r="M744" s="1033" t="s">
        <v>1138</v>
      </c>
    </row>
    <row r="745" spans="2:13" s="386" customFormat="1" ht="14.25">
      <c r="B745" s="17">
        <f t="shared" si="32"/>
        <v>3</v>
      </c>
      <c r="C745" s="1" t="s">
        <v>256</v>
      </c>
      <c r="D745" s="1" t="s">
        <v>257</v>
      </c>
      <c r="E745" s="17"/>
      <c r="F745" s="118">
        <f>'II-I-DIST'!F747</f>
        <v>4839529.96</v>
      </c>
      <c r="G745" s="118" t="str">
        <f>'II-I-DIST'!H747</f>
        <v>O&amp;M x565</v>
      </c>
      <c r="H745" s="118">
        <f>'II-I-MET'!F747</f>
        <v>1153337.02</v>
      </c>
      <c r="I745" s="466" t="str">
        <f>'II-I-MET'!$H747</f>
        <v>O&amp;M x565</v>
      </c>
      <c r="J745" s="121">
        <f>'II-I-TBILLTDCS'!F747</f>
        <v>1777495.3899999999</v>
      </c>
      <c r="K745" s="466" t="str">
        <f>'II-I-TBILLTDCS'!$H747</f>
        <v>O&amp;M x565</v>
      </c>
      <c r="L745" s="893">
        <f t="shared" si="33"/>
        <v>7770362.3700000001</v>
      </c>
      <c r="M745" s="1033" t="s">
        <v>1138</v>
      </c>
    </row>
    <row r="746" spans="2:13" s="386" customFormat="1" ht="14.25">
      <c r="B746" s="17">
        <f t="shared" si="32"/>
        <v>4</v>
      </c>
      <c r="C746" s="1" t="s">
        <v>258</v>
      </c>
      <c r="D746" s="1" t="s">
        <v>259</v>
      </c>
      <c r="E746" s="17"/>
      <c r="F746" s="118">
        <f>'II-I-DIST'!F748</f>
        <v>0</v>
      </c>
      <c r="G746" s="118" t="str">
        <f>'II-I-DIST'!H748</f>
        <v>O&amp;M x565</v>
      </c>
      <c r="H746" s="118">
        <f>'II-I-MET'!F748</f>
        <v>0</v>
      </c>
      <c r="I746" s="466" t="str">
        <f>'II-I-MET'!$H748</f>
        <v>O&amp;M x565</v>
      </c>
      <c r="J746" s="121">
        <f>'II-I-TBILLTDCS'!F748</f>
        <v>0</v>
      </c>
      <c r="K746" s="466" t="str">
        <f>'II-I-TBILLTDCS'!$H748</f>
        <v>O&amp;M x565</v>
      </c>
      <c r="L746" s="893">
        <f t="shared" si="33"/>
        <v>0</v>
      </c>
      <c r="M746" s="1033"/>
    </row>
    <row r="747" spans="2:13" s="386" customFormat="1" ht="14.25">
      <c r="B747" s="17">
        <f t="shared" si="32"/>
        <v>5</v>
      </c>
      <c r="C747" s="1" t="s">
        <v>260</v>
      </c>
      <c r="D747" s="31" t="s">
        <v>261</v>
      </c>
      <c r="E747" s="17"/>
      <c r="F747" s="118">
        <f>'II-I-DIST'!F749</f>
        <v>67560500.079999998</v>
      </c>
      <c r="G747" s="118" t="str">
        <f>'II-I-DIST'!H749</f>
        <v>O&amp;M x565</v>
      </c>
      <c r="H747" s="118">
        <f>'II-I-MET'!F749</f>
        <v>16915520.880000003</v>
      </c>
      <c r="I747" s="466" t="str">
        <f>'II-I-MET'!$H749</f>
        <v>O&amp;M x565</v>
      </c>
      <c r="J747" s="121">
        <f>'II-I-TBILLTDCS'!F749</f>
        <v>3961483.9900000002</v>
      </c>
      <c r="K747" s="466" t="str">
        <f>'II-I-TBILLTDCS'!$H749</f>
        <v>O&amp;M x565</v>
      </c>
      <c r="L747" s="893">
        <f t="shared" si="33"/>
        <v>88437504.950000003</v>
      </c>
      <c r="M747" s="1033" t="s">
        <v>1138</v>
      </c>
    </row>
    <row r="748" spans="2:13" s="386" customFormat="1" ht="28.5">
      <c r="B748" s="17">
        <f t="shared" si="32"/>
        <v>6</v>
      </c>
      <c r="C748" s="1" t="s">
        <v>262</v>
      </c>
      <c r="D748" s="1" t="s">
        <v>263</v>
      </c>
      <c r="E748" s="17"/>
      <c r="F748" s="118">
        <f>'II-I-DIST'!F750</f>
        <v>226756416.41</v>
      </c>
      <c r="G748" s="118" t="str">
        <f>'II-I-DIST'!H750</f>
        <v>PLANT</v>
      </c>
      <c r="H748" s="118">
        <f>'II-I-MET'!F750</f>
        <v>0</v>
      </c>
      <c r="I748" s="466" t="str">
        <f>'II-I-MET'!$H750</f>
        <v>PLANT</v>
      </c>
      <c r="J748" s="121">
        <f>'II-I-TBILLTDCS'!F750</f>
        <v>0</v>
      </c>
      <c r="K748" s="466" t="str">
        <f>'II-I-TBILLTDCS'!$H750</f>
        <v>PLANT</v>
      </c>
      <c r="L748" s="814">
        <f t="shared" si="33"/>
        <v>226756416.41</v>
      </c>
      <c r="M748" s="1033" t="s">
        <v>1095</v>
      </c>
    </row>
    <row r="749" spans="2:13" s="386" customFormat="1" ht="14.25">
      <c r="B749" s="17">
        <f t="shared" si="32"/>
        <v>7</v>
      </c>
      <c r="C749" s="1" t="s">
        <v>264</v>
      </c>
      <c r="D749" s="1" t="s">
        <v>265</v>
      </c>
      <c r="E749" s="17"/>
      <c r="F749" s="118">
        <f>'II-I-DIST'!F751</f>
        <v>16115667.280000001</v>
      </c>
      <c r="G749" s="118" t="str">
        <f>'II-I-DIST'!H751</f>
        <v>O&amp;M x565</v>
      </c>
      <c r="H749" s="118">
        <f>'II-I-MET'!F751</f>
        <v>0</v>
      </c>
      <c r="I749" s="466" t="str">
        <f>'II-I-MET'!$H751</f>
        <v>O&amp;M x565</v>
      </c>
      <c r="J749" s="121">
        <f>'II-I-TBILLTDCS'!F751</f>
        <v>0</v>
      </c>
      <c r="K749" s="466" t="str">
        <f>'II-I-TBILLTDCS'!$H751</f>
        <v>O&amp;M x565</v>
      </c>
      <c r="L749" s="893">
        <f t="shared" si="33"/>
        <v>16115667.280000001</v>
      </c>
      <c r="M749" s="1033" t="s">
        <v>1138</v>
      </c>
    </row>
    <row r="750" spans="2:13" s="386" customFormat="1" ht="14.25">
      <c r="B750" s="17">
        <f t="shared" si="32"/>
        <v>8</v>
      </c>
      <c r="C750" s="1" t="s">
        <v>266</v>
      </c>
      <c r="D750" s="1" t="s">
        <v>267</v>
      </c>
      <c r="E750" s="17"/>
      <c r="F750" s="118">
        <f>'II-I-DIST'!F752</f>
        <v>45802180.63000001</v>
      </c>
      <c r="G750" s="118" t="str">
        <f>'II-I-DIST'!H752</f>
        <v>PAYROLL</v>
      </c>
      <c r="H750" s="118">
        <f>'II-I-MET'!F752</f>
        <v>16815082.920000002</v>
      </c>
      <c r="I750" s="466" t="str">
        <f>'II-I-MET'!$H752</f>
        <v>PAYROLL</v>
      </c>
      <c r="J750" s="121">
        <f>'II-I-TBILLTDCS'!F752</f>
        <v>7945424.7299999995</v>
      </c>
      <c r="K750" s="466" t="str">
        <f>'II-I-TBILLTDCS'!$H752</f>
        <v>PAYROLL</v>
      </c>
      <c r="L750" s="893">
        <f t="shared" si="33"/>
        <v>70562688.280000016</v>
      </c>
      <c r="M750" s="1033" t="s">
        <v>1096</v>
      </c>
    </row>
    <row r="751" spans="2:13" s="386" customFormat="1" ht="28.5">
      <c r="B751" s="17">
        <f t="shared" si="32"/>
        <v>9</v>
      </c>
      <c r="C751" s="1" t="s">
        <v>268</v>
      </c>
      <c r="D751" s="1" t="s">
        <v>269</v>
      </c>
      <c r="E751" s="17"/>
      <c r="F751" s="118">
        <f>'II-I-DIST'!F753</f>
        <v>2262087.8500000001</v>
      </c>
      <c r="G751" s="118" t="str">
        <f>'II-I-DIST'!H753</f>
        <v>REV_RCE</v>
      </c>
      <c r="H751" s="118">
        <f>'II-I-MET'!F753</f>
        <v>16015.940000000002</v>
      </c>
      <c r="I751" s="466" t="str">
        <f>'II-I-MET'!$H753</f>
        <v>REVENUE</v>
      </c>
      <c r="J751" s="121">
        <f>'II-I-TBILLTDCS'!F753</f>
        <v>0</v>
      </c>
      <c r="K751" s="466" t="str">
        <f>'II-I-TBILLTDCS'!$H753</f>
        <v>REVENUE</v>
      </c>
      <c r="L751" s="893">
        <f t="shared" si="33"/>
        <v>2278103.79</v>
      </c>
      <c r="M751" s="1033" t="s">
        <v>1097</v>
      </c>
    </row>
    <row r="752" spans="2:13" s="386" customFormat="1" ht="14.25">
      <c r="B752" s="17">
        <f t="shared" si="32"/>
        <v>10</v>
      </c>
      <c r="C752" s="28" t="s">
        <v>270</v>
      </c>
      <c r="D752" s="1" t="s">
        <v>271</v>
      </c>
      <c r="E752" s="17"/>
      <c r="F752" s="118">
        <f>'II-I-DIST'!F754</f>
        <v>0</v>
      </c>
      <c r="G752" s="118" t="str">
        <f>'II-I-DIST'!H754</f>
        <v>CUS U RTL</v>
      </c>
      <c r="H752" s="118">
        <f>'II-I-MET'!F754</f>
        <v>0</v>
      </c>
      <c r="I752" s="466" t="str">
        <f>'II-I-MET'!$H754</f>
        <v>CUS U RTL</v>
      </c>
      <c r="J752" s="121">
        <f>'II-I-TBILLTDCS'!F754</f>
        <v>151079.01000000001</v>
      </c>
      <c r="K752" s="466" t="str">
        <f>'II-I-TBILLTDCS'!$H754</f>
        <v>CUS U RTL</v>
      </c>
      <c r="L752" s="893">
        <f t="shared" si="33"/>
        <v>151079.01000000001</v>
      </c>
      <c r="M752" s="1033" t="s">
        <v>1098</v>
      </c>
    </row>
    <row r="753" spans="2:13" s="386" customFormat="1" ht="14.25">
      <c r="B753" s="17">
        <f t="shared" si="32"/>
        <v>11</v>
      </c>
      <c r="C753" s="1" t="s">
        <v>272</v>
      </c>
      <c r="D753" s="1" t="s">
        <v>273</v>
      </c>
      <c r="E753" s="17"/>
      <c r="F753" s="118">
        <f>'II-I-DIST'!F755</f>
        <v>8232754.9400000004</v>
      </c>
      <c r="G753" s="118" t="str">
        <f>'II-I-DIST'!H755</f>
        <v>O&amp;M x565</v>
      </c>
      <c r="H753" s="118">
        <f>'II-I-MET'!F755</f>
        <v>1946608.24</v>
      </c>
      <c r="I753" s="466" t="str">
        <f>'II-I-MET'!$H755</f>
        <v>O&amp;M x565</v>
      </c>
      <c r="J753" s="121">
        <f>'II-I-TBILLTDCS'!F755</f>
        <v>4918017.4900000002</v>
      </c>
      <c r="K753" s="466" t="str">
        <f>'II-I-TBILLTDCS'!$H755</f>
        <v>O&amp;M x565</v>
      </c>
      <c r="L753" s="893">
        <f t="shared" si="33"/>
        <v>15097380.67</v>
      </c>
      <c r="M753" s="1033" t="s">
        <v>1138</v>
      </c>
    </row>
    <row r="754" spans="2:13" s="386" customFormat="1" ht="14.25">
      <c r="B754" s="17">
        <f t="shared" si="32"/>
        <v>12</v>
      </c>
      <c r="C754" s="1" t="s">
        <v>274</v>
      </c>
      <c r="D754" s="1" t="s">
        <v>206</v>
      </c>
      <c r="E754" s="17"/>
      <c r="F754" s="118">
        <f>'II-I-DIST'!F756</f>
        <v>1026551.72</v>
      </c>
      <c r="G754" s="118" t="str">
        <f>'II-I-DIST'!H756</f>
        <v>O&amp;M x565</v>
      </c>
      <c r="H754" s="118">
        <f>'II-I-MET'!F756</f>
        <v>211823.87</v>
      </c>
      <c r="I754" s="466" t="str">
        <f>'II-I-MET'!$H756</f>
        <v>O&amp;M x565</v>
      </c>
      <c r="J754" s="121">
        <f>'II-I-TBILLTDCS'!F756</f>
        <v>128898.60000000001</v>
      </c>
      <c r="K754" s="466" t="str">
        <f>'II-I-TBILLTDCS'!$H756</f>
        <v>O&amp;M x565</v>
      </c>
      <c r="L754" s="893">
        <f t="shared" si="33"/>
        <v>1367274.1899999999</v>
      </c>
      <c r="M754" s="1033" t="s">
        <v>1138</v>
      </c>
    </row>
    <row r="755" spans="2:13" s="386" customFormat="1" ht="14.25">
      <c r="B755" s="17">
        <f t="shared" si="32"/>
        <v>13</v>
      </c>
      <c r="C755" s="1" t="s">
        <v>275</v>
      </c>
      <c r="D755" s="1" t="s">
        <v>276</v>
      </c>
      <c r="E755" s="17"/>
      <c r="F755" s="118">
        <f>'II-I-DIST'!F757</f>
        <v>2244966.6100000003</v>
      </c>
      <c r="G755" s="118" t="str">
        <f>'II-I-DIST'!H757</f>
        <v>PLTGEN</v>
      </c>
      <c r="H755" s="118">
        <f>'II-I-MET'!F757</f>
        <v>9773.869999999999</v>
      </c>
      <c r="I755" s="466" t="str">
        <f>'II-I-MET'!$H757</f>
        <v>PLTGEN</v>
      </c>
      <c r="J755" s="121">
        <f>'II-I-TBILLTDCS'!F757</f>
        <v>4.3799999999999999</v>
      </c>
      <c r="K755" s="466" t="str">
        <f>'II-I-TBILLTDCS'!$H757</f>
        <v>PLTGEN</v>
      </c>
      <c r="L755" s="893">
        <f t="shared" si="33"/>
        <v>2254744.8600000003</v>
      </c>
      <c r="M755" s="1033" t="s">
        <v>1099</v>
      </c>
    </row>
    <row r="756" spans="2:13" s="386" customFormat="1" ht="14.25">
      <c r="B756" s="17">
        <f t="shared" si="32"/>
        <v>14</v>
      </c>
      <c r="C756" s="1" t="s">
        <v>277</v>
      </c>
      <c r="D756" s="1" t="s">
        <v>276</v>
      </c>
      <c r="E756" s="17"/>
      <c r="F756" s="118">
        <f>'II-I-DIST'!F758</f>
        <v>-10312.530000000001</v>
      </c>
      <c r="G756" s="118" t="str">
        <f>'II-I-DIST'!H758</f>
        <v>PLTGEN</v>
      </c>
      <c r="H756" s="121">
        <f>'II-I-MET'!F758</f>
        <v>409.06</v>
      </c>
      <c r="I756" s="466" t="str">
        <f>'II-I-MET'!$H758</f>
        <v>PLTGEN</v>
      </c>
      <c r="J756" s="121">
        <f>'II-I-TBILLTDCS'!F758</f>
        <v>14.720000000000001</v>
      </c>
      <c r="K756" s="466" t="str">
        <f>'II-I-TBILLTDCS'!$H758</f>
        <v>PLTGEN</v>
      </c>
      <c r="L756" s="893">
        <f t="shared" si="33"/>
        <v>-9888.7500000000018</v>
      </c>
      <c r="M756" s="1033" t="str">
        <f>M755</f>
        <v xml:space="preserve"> Related to General Plant</v>
      </c>
    </row>
    <row r="757" spans="2:13" s="386" customFormat="1" ht="15" thickBot="1">
      <c r="B757" s="17">
        <f t="shared" si="32"/>
        <v>15</v>
      </c>
      <c r="C757" s="1"/>
      <c r="D757" s="1"/>
      <c r="E757" s="17"/>
      <c r="F757" s="18"/>
      <c r="G757" s="17"/>
      <c r="H757" s="18"/>
      <c r="I757" s="17"/>
      <c r="J757" s="18"/>
      <c r="K757" s="893"/>
      <c r="L757" s="730"/>
      <c r="M757" s="1035"/>
    </row>
    <row r="758" spans="2:13" ht="15">
      <c r="B758" s="17">
        <f t="shared" si="32"/>
        <v>16</v>
      </c>
      <c r="C758" s="319" t="s">
        <v>657</v>
      </c>
      <c r="D758" s="861"/>
      <c r="E758" s="305"/>
      <c r="F758" s="908">
        <f>'II-I-DIST'!F760</f>
        <v>423126451.5800001</v>
      </c>
      <c r="G758" s="305"/>
      <c r="H758" s="908">
        <f>'II-I-MET'!F760</f>
        <v>50135758.619999997</v>
      </c>
      <c r="I758" s="305"/>
      <c r="J758" s="908">
        <f>'II-I-TBILLTDCS'!F760</f>
        <v>36701328.750000007</v>
      </c>
      <c r="K758" s="908"/>
      <c r="L758" s="641">
        <f>F758+H758+J758</f>
        <v>509963538.95000011</v>
      </c>
      <c r="M758" s="1035"/>
    </row>
    <row r="759" spans="2:13" ht="15">
      <c r="B759" s="17">
        <f t="shared" si="32"/>
        <v>17</v>
      </c>
      <c r="C759" s="1052" t="s">
        <v>1037</v>
      </c>
      <c r="D759" s="867"/>
      <c r="E759" s="868"/>
      <c r="F759" s="322">
        <f>'II-I-DIST'!F761</f>
        <v>421479825.80596453</v>
      </c>
      <c r="G759" s="868"/>
      <c r="H759" s="961">
        <f>'II-I-MET'!F761</f>
        <v>50135758.619999997</v>
      </c>
      <c r="I759" s="868"/>
      <c r="J759" s="322">
        <f>'II-I-TBILLTDCS'!F761</f>
        <v>36701328.750000007</v>
      </c>
      <c r="K759" s="961"/>
      <c r="L759" s="1051">
        <f>F759+H759+J759</f>
        <v>508316913.17596453</v>
      </c>
      <c r="M759" s="1035"/>
    </row>
    <row r="760" spans="2:13" ht="15.75" thickBot="1">
      <c r="B760" s="17">
        <f t="shared" si="32"/>
        <v>18</v>
      </c>
      <c r="C760" s="326" t="s">
        <v>658</v>
      </c>
      <c r="D760" s="862"/>
      <c r="E760" s="311"/>
      <c r="F760" s="312">
        <f>'II-I-DIST'!F762</f>
        <v>2390996883.98</v>
      </c>
      <c r="G760" s="311"/>
      <c r="H760" s="312">
        <f>'II-I-MET'!F762</f>
        <v>109170716.78</v>
      </c>
      <c r="I760" s="311"/>
      <c r="J760" s="312">
        <f>'II-I-TBILLTDCS'!F762</f>
        <v>50153807.960000008</v>
      </c>
      <c r="K760" s="312"/>
      <c r="L760" s="443">
        <f>F760+H760+J760</f>
        <v>2550321408.7200003</v>
      </c>
      <c r="M760" s="1035"/>
    </row>
    <row r="761" spans="2:13" ht="15.75" thickBot="1">
      <c r="B761" s="17">
        <f t="shared" si="32"/>
        <v>19</v>
      </c>
      <c r="C761" s="8"/>
      <c r="D761" s="8"/>
      <c r="E761" s="958"/>
      <c r="F761" s="896"/>
      <c r="G761" s="958"/>
      <c r="H761" s="896"/>
      <c r="I761" s="958"/>
      <c r="J761" s="896"/>
      <c r="K761" s="896"/>
      <c r="L761" s="896"/>
      <c r="M761" s="1035"/>
    </row>
    <row r="762" spans="2:13" ht="15.75" thickBot="1">
      <c r="B762" s="17">
        <f t="shared" si="32"/>
        <v>20</v>
      </c>
      <c r="C762" s="284" t="s">
        <v>1040</v>
      </c>
      <c r="D762" s="372"/>
      <c r="E762" s="316"/>
      <c r="F762" s="903">
        <f>'II-I-DIST'!F764</f>
        <v>736828236.76596463</v>
      </c>
      <c r="G762" s="316"/>
      <c r="H762" s="903">
        <f>'II-I-MET'!F764</f>
        <v>109170716.78</v>
      </c>
      <c r="I762" s="316"/>
      <c r="J762" s="903">
        <f>'II-I-TBILLTDCS'!F764</f>
        <v>50153807.960000008</v>
      </c>
      <c r="K762" s="903"/>
      <c r="L762" s="380">
        <f>F762+H762+J762</f>
        <v>896152761.50596464</v>
      </c>
      <c r="M762" s="1035"/>
    </row>
    <row r="763" spans="2:11" ht="14.25">
      <c r="B763" s="67"/>
      <c r="C763" s="67"/>
      <c r="D763" s="67"/>
      <c r="E763" s="67"/>
      <c r="F763" s="67"/>
      <c r="G763" s="12"/>
      <c r="H763" s="12"/>
      <c r="I763" s="12"/>
      <c r="J763" s="12"/>
      <c r="K763" s="646"/>
    </row>
    <row r="764" spans="2:12" ht="15">
      <c r="B764" s="874"/>
      <c r="C764" s="874"/>
      <c r="D764" s="874"/>
      <c r="E764" s="874"/>
      <c r="F764" s="67"/>
      <c r="G764" s="134"/>
      <c r="H764" s="67"/>
      <c r="I764" s="134"/>
      <c r="J764" s="67"/>
      <c r="K764" s="874"/>
      <c r="L764" s="874"/>
    </row>
    <row r="765" spans="2:12" ht="15.75" thickBot="1">
      <c r="B765" s="874"/>
      <c r="C765" s="874"/>
      <c r="D765" s="874"/>
      <c r="E765" s="874"/>
      <c r="F765" s="118"/>
      <c r="G765" s="118"/>
      <c r="H765" s="67"/>
      <c r="I765" s="67"/>
      <c r="J765" s="67"/>
      <c r="K765" s="874"/>
      <c r="L765" s="874"/>
    </row>
    <row r="766" spans="2:12" ht="15">
      <c r="B766" s="920" t="str">
        <f>$B$4</f>
        <v>2022 RATE CASE</v>
      </c>
      <c r="C766" s="926"/>
      <c r="D766" s="927"/>
      <c r="E766" s="874"/>
      <c r="F766" s="121"/>
      <c r="H766" s="12"/>
      <c r="J766" s="12"/>
      <c r="K766" s="874"/>
      <c r="L766" s="874"/>
    </row>
    <row r="767" spans="2:12" ht="15">
      <c r="B767" s="917" t="str">
        <f>$B$5</f>
        <v>ONCOR ELECTRIC DELIVERY COMPANY LLC</v>
      </c>
      <c r="C767" s="369"/>
      <c r="D767" s="928"/>
      <c r="E767" s="874"/>
      <c r="F767" s="121"/>
      <c r="H767" s="12"/>
      <c r="J767" s="12"/>
      <c r="K767" s="874"/>
      <c r="L767" s="874"/>
    </row>
    <row r="768" spans="2:12" ht="15">
      <c r="B768" s="406" t="str">
        <f>$B$6</f>
        <v>II-I-2.1f:  CONSOLIDATED FUNCTIONALIZED COST OF SERVICE</v>
      </c>
      <c r="C768" s="369"/>
      <c r="D768" s="928"/>
      <c r="E768" s="874"/>
      <c r="F768" s="12"/>
      <c r="H768" s="12"/>
      <c r="J768" s="12"/>
      <c r="K768" s="874"/>
      <c r="L768" s="874"/>
    </row>
    <row r="769" spans="2:12" ht="15">
      <c r="B769" s="406" t="str">
        <f>$B$7</f>
        <v>TEST YEAR ENDING 12/31/2021</v>
      </c>
      <c r="C769" s="369"/>
      <c r="D769" s="928"/>
      <c r="E769" s="369"/>
      <c r="F769" s="12"/>
      <c r="H769" s="12"/>
      <c r="J769" s="12"/>
      <c r="K769" s="369"/>
      <c r="L769" s="369"/>
    </row>
    <row r="770" spans="2:12" ht="15">
      <c r="B770" s="406" t="str">
        <f>$B$8</f>
        <v>SPONSOR:  MATTHEW A. TROXLE</v>
      </c>
      <c r="C770" s="369"/>
      <c r="D770" s="928"/>
      <c r="E770" s="369"/>
      <c r="F770" s="12"/>
      <c r="H770" s="12"/>
      <c r="J770" s="12"/>
      <c r="K770" s="369"/>
      <c r="L770" s="369"/>
    </row>
    <row r="771" spans="2:12" ht="15.75" thickBot="1">
      <c r="B771" s="410"/>
      <c r="C771" s="931"/>
      <c r="D771" s="932"/>
      <c r="E771" s="369"/>
      <c r="F771" s="12"/>
      <c r="H771" s="12"/>
      <c r="J771" s="12"/>
      <c r="K771" s="369"/>
      <c r="L771" s="369"/>
    </row>
    <row r="772" spans="2:13" ht="14.25">
      <c r="B772" s="13"/>
      <c r="C772" s="14"/>
      <c r="D772" s="238"/>
      <c r="E772" s="14"/>
      <c r="F772" s="13"/>
      <c r="G772" s="14"/>
      <c r="H772" s="13"/>
      <c r="I772" s="14"/>
      <c r="J772" s="13"/>
      <c r="K772" s="738"/>
      <c r="L772" s="952"/>
      <c r="M772" s="1036"/>
    </row>
    <row r="773" spans="2:13" ht="15">
      <c r="B773" s="15" t="s">
        <v>2</v>
      </c>
      <c r="C773" s="15" t="s">
        <v>370</v>
      </c>
      <c r="D773" s="241" t="s">
        <v>659</v>
      </c>
      <c r="E773" s="15" t="s">
        <v>371</v>
      </c>
      <c r="F773" s="287" t="str">
        <f>'II-I-DIST'!F775</f>
        <v>DIST</v>
      </c>
      <c r="G773" s="242" t="s">
        <v>376</v>
      </c>
      <c r="H773" s="287" t="str">
        <f>'II-I-MET'!F775</f>
        <v>MET</v>
      </c>
      <c r="I773" s="242" t="s">
        <v>376</v>
      </c>
      <c r="J773" s="287" t="str">
        <f>'II-I-TBILLTDCS'!F775</f>
        <v>TBILLTDCS</v>
      </c>
      <c r="K773" s="743" t="s">
        <v>376</v>
      </c>
      <c r="L773" s="743" t="s">
        <v>481</v>
      </c>
      <c r="M773" s="1030" t="s">
        <v>1046</v>
      </c>
    </row>
    <row r="774" spans="2:13" ht="14.25">
      <c r="B774" s="15"/>
      <c r="C774" s="15"/>
      <c r="D774" s="242"/>
      <c r="E774" s="15"/>
      <c r="F774" s="15"/>
      <c r="G774" s="242" t="s">
        <v>743</v>
      </c>
      <c r="H774" s="15"/>
      <c r="I774" s="242" t="s">
        <v>743</v>
      </c>
      <c r="J774" s="15"/>
      <c r="K774" s="743" t="s">
        <v>743</v>
      </c>
      <c r="L774" s="743" t="s">
        <v>33</v>
      </c>
      <c r="M774" s="1037"/>
    </row>
    <row r="775" spans="2:13" ht="15.75" thickBot="1">
      <c r="B775" s="243"/>
      <c r="C775" s="957"/>
      <c r="D775" s="245"/>
      <c r="E775" s="245"/>
      <c r="F775" s="747" t="s">
        <v>13</v>
      </c>
      <c r="G775" s="747" t="s">
        <v>14</v>
      </c>
      <c r="H775" s="747" t="s">
        <v>15</v>
      </c>
      <c r="I775" s="747" t="s">
        <v>16</v>
      </c>
      <c r="J775" s="747" t="s">
        <v>17</v>
      </c>
      <c r="K775" s="747" t="s">
        <v>18</v>
      </c>
      <c r="L775" s="747" t="s">
        <v>19</v>
      </c>
      <c r="M775" s="1032" t="s">
        <v>20</v>
      </c>
    </row>
    <row r="776" spans="2:12" ht="14.25">
      <c r="B776" s="67"/>
      <c r="C776" s="100"/>
      <c r="D776" s="100"/>
      <c r="E776" s="315"/>
      <c r="F776" s="373"/>
      <c r="G776" s="315"/>
      <c r="H776" s="373"/>
      <c r="I776" s="315"/>
      <c r="J776" s="373"/>
      <c r="K776" s="730"/>
      <c r="L776" s="730"/>
    </row>
    <row r="777" spans="2:13" ht="15">
      <c r="B777" s="17">
        <f t="shared" si="34" ref="B777:B798">B776+1</f>
        <v>1</v>
      </c>
      <c r="C777" s="8" t="s">
        <v>659</v>
      </c>
      <c r="D777" s="1"/>
      <c r="E777" s="922"/>
      <c r="F777" s="19"/>
      <c r="G777" s="922"/>
      <c r="H777" s="19"/>
      <c r="I777" s="922"/>
      <c r="J777" s="19"/>
      <c r="K777" s="730"/>
      <c r="L777" s="730"/>
      <c r="M777" s="1035"/>
    </row>
    <row r="778" spans="2:13" ht="15">
      <c r="B778" s="17">
        <f t="shared" si="34"/>
        <v>2</v>
      </c>
      <c r="C778" s="8"/>
      <c r="D778" s="366" t="s">
        <v>660</v>
      </c>
      <c r="E778" s="922" t="s">
        <v>279</v>
      </c>
      <c r="F778" s="896"/>
      <c r="G778" s="922"/>
      <c r="H778" s="896"/>
      <c r="I778" s="922"/>
      <c r="J778" s="896"/>
      <c r="K778" s="8"/>
      <c r="L778" s="8"/>
      <c r="M778" s="1035"/>
    </row>
    <row r="779" spans="2:13" s="386" customFormat="1" ht="14.25">
      <c r="B779" s="17">
        <f t="shared" si="34"/>
        <v>3</v>
      </c>
      <c r="C779" s="1" t="s">
        <v>161</v>
      </c>
      <c r="D779" s="1" t="s">
        <v>162</v>
      </c>
      <c r="E779" s="17"/>
      <c r="F779" s="118">
        <f>'II-I-DIST'!F781</f>
        <v>48772.730000000003</v>
      </c>
      <c r="G779" s="118" t="str">
        <f>'II-I-DIST'!H781</f>
        <v>PAY TR OPS</v>
      </c>
      <c r="H779" s="118">
        <f>'II-I-MET'!F781</f>
        <v>0</v>
      </c>
      <c r="I779" s="466" t="str">
        <f>'II-I-MET'!$H781</f>
        <v>NCP XHV</v>
      </c>
      <c r="J779" s="121">
        <f>'II-I-TBILLTDCS'!F781</f>
        <v>0</v>
      </c>
      <c r="K779" s="466" t="str">
        <f>'II-I-TBILLTDCS'!$H781</f>
        <v>PAY TR OPS</v>
      </c>
      <c r="L779" s="893">
        <f t="shared" si="35" ref="L779:L787">F779+H779+J779</f>
        <v>48772.730000000003</v>
      </c>
      <c r="M779" s="1035" t="s">
        <v>1100</v>
      </c>
    </row>
    <row r="780" spans="2:13" s="386" customFormat="1" ht="14.25">
      <c r="B780" s="17">
        <f t="shared" si="34"/>
        <v>4</v>
      </c>
      <c r="C780" s="1" t="s">
        <v>163</v>
      </c>
      <c r="D780" s="1" t="s">
        <v>164</v>
      </c>
      <c r="E780" s="17"/>
      <c r="F780" s="290">
        <f>'II-I-DIST'!F782</f>
        <v>0</v>
      </c>
      <c r="G780" s="118" t="str">
        <f>'II-I-DIST'!H782</f>
        <v>NCP XHV</v>
      </c>
      <c r="H780" s="290">
        <f>'II-I-MET'!F782</f>
        <v>0</v>
      </c>
      <c r="I780" s="466" t="str">
        <f>'II-I-MET'!$H782</f>
        <v>NCP XHV</v>
      </c>
      <c r="J780" s="24">
        <f>'II-I-TBILLTDCS'!F782</f>
        <v>0</v>
      </c>
      <c r="K780" s="466" t="str">
        <f>'II-I-TBILLTDCS'!$H782</f>
        <v>NCP XHV</v>
      </c>
      <c r="L780" s="893">
        <f t="shared" si="35"/>
        <v>0</v>
      </c>
      <c r="M780" s="1035"/>
    </row>
    <row r="781" spans="2:13" s="386" customFormat="1" ht="14.25">
      <c r="B781" s="17">
        <f t="shared" si="34"/>
        <v>5</v>
      </c>
      <c r="C781" s="1" t="s">
        <v>165</v>
      </c>
      <c r="D781" s="1" t="s">
        <v>166</v>
      </c>
      <c r="E781" s="17"/>
      <c r="F781" s="290">
        <f>'II-I-DIST'!F783</f>
        <v>428931.78000000003</v>
      </c>
      <c r="G781" s="118" t="str">
        <f>'II-I-DIST'!H783</f>
        <v>NCP XHV</v>
      </c>
      <c r="H781" s="290">
        <f>'II-I-MET'!F783</f>
        <v>0</v>
      </c>
      <c r="I781" s="466" t="str">
        <f>'II-I-MET'!$H783</f>
        <v>NCP XHV</v>
      </c>
      <c r="J781" s="24">
        <f>'II-I-TBILLTDCS'!F783</f>
        <v>0</v>
      </c>
      <c r="K781" s="466" t="str">
        <f>'II-I-TBILLTDCS'!$H783</f>
        <v>NCP XHV</v>
      </c>
      <c r="L781" s="893">
        <f t="shared" si="35"/>
        <v>428931.78000000003</v>
      </c>
      <c r="M781" s="1035"/>
    </row>
    <row r="782" spans="2:13" s="386" customFormat="1" ht="14.25">
      <c r="B782" s="17">
        <f t="shared" si="34"/>
        <v>6</v>
      </c>
      <c r="C782" s="1" t="s">
        <v>167</v>
      </c>
      <c r="D782" s="1" t="s">
        <v>168</v>
      </c>
      <c r="E782" s="17"/>
      <c r="F782" s="290">
        <f>'II-I-DIST'!F784</f>
        <v>0</v>
      </c>
      <c r="G782" s="118" t="str">
        <f>'II-I-DIST'!H784</f>
        <v>NCP XHV</v>
      </c>
      <c r="H782" s="290">
        <f>'II-I-MET'!F784</f>
        <v>0</v>
      </c>
      <c r="I782" s="466" t="str">
        <f>'II-I-MET'!$H784</f>
        <v>NCP XHV</v>
      </c>
      <c r="J782" s="24">
        <f>'II-I-TBILLTDCS'!F784</f>
        <v>0</v>
      </c>
      <c r="K782" s="466" t="str">
        <f>'II-I-TBILLTDCS'!$H784</f>
        <v>NCP XHV</v>
      </c>
      <c r="L782" s="893">
        <f t="shared" si="35"/>
        <v>0</v>
      </c>
      <c r="M782" s="1040"/>
    </row>
    <row r="783" spans="2:13" s="386" customFormat="1" ht="14.25">
      <c r="B783" s="17">
        <f t="shared" si="34"/>
        <v>7</v>
      </c>
      <c r="C783" s="1" t="s">
        <v>169</v>
      </c>
      <c r="D783" s="1" t="s">
        <v>170</v>
      </c>
      <c r="E783" s="17"/>
      <c r="F783" s="290">
        <f>'II-I-DIST'!F785</f>
        <v>0</v>
      </c>
      <c r="G783" s="118" t="str">
        <f>'II-I-DIST'!H785</f>
        <v>NCP XHV</v>
      </c>
      <c r="H783" s="290">
        <f>'II-I-MET'!F785</f>
        <v>0</v>
      </c>
      <c r="I783" s="466" t="str">
        <f>'II-I-MET'!$H785</f>
        <v>NCP XHV</v>
      </c>
      <c r="J783" s="24">
        <f>'II-I-TBILLTDCS'!F785</f>
        <v>0</v>
      </c>
      <c r="K783" s="466" t="str">
        <f>'II-I-TBILLTDCS'!$H785</f>
        <v>NCP XHV</v>
      </c>
      <c r="L783" s="893">
        <f t="shared" si="35"/>
        <v>0</v>
      </c>
      <c r="M783" s="1035"/>
    </row>
    <row r="784" spans="2:13" s="386" customFormat="1" ht="15">
      <c r="B784" s="17">
        <f t="shared" si="34"/>
        <v>8</v>
      </c>
      <c r="C784" s="1" t="s">
        <v>171</v>
      </c>
      <c r="D784" s="31" t="s">
        <v>172</v>
      </c>
      <c r="E784" s="922"/>
      <c r="F784" s="290">
        <f>'II-I-DIST'!F786</f>
        <v>0</v>
      </c>
      <c r="G784" s="118" t="str">
        <f>'II-I-DIST'!H786</f>
        <v>4CP RTL</v>
      </c>
      <c r="H784" s="290">
        <f>'II-I-MET'!F786</f>
        <v>0</v>
      </c>
      <c r="I784" s="466" t="str">
        <f>'II-I-MET'!$H786</f>
        <v>4CP RTL</v>
      </c>
      <c r="J784" s="24">
        <f>'II-I-TBILLTDCS'!F786</f>
        <v>0</v>
      </c>
      <c r="K784" s="466" t="str">
        <f>'II-I-TBILLTDCS'!$H786</f>
        <v>4CP RTL</v>
      </c>
      <c r="L784" s="895">
        <f t="shared" si="35"/>
        <v>0</v>
      </c>
      <c r="M784" s="1035"/>
    </row>
    <row r="785" spans="2:13" s="386" customFormat="1" ht="14.25">
      <c r="B785" s="17">
        <f t="shared" si="34"/>
        <v>9</v>
      </c>
      <c r="C785" s="1" t="s">
        <v>173</v>
      </c>
      <c r="D785" s="31" t="s">
        <v>174</v>
      </c>
      <c r="E785" s="17"/>
      <c r="F785" s="290">
        <f>'II-I-DIST'!F787</f>
        <v>152607.32000000001</v>
      </c>
      <c r="G785" s="118" t="str">
        <f>'II-I-DIST'!H787</f>
        <v>NCP XHV</v>
      </c>
      <c r="H785" s="290">
        <f>'II-I-MET'!F787</f>
        <v>0</v>
      </c>
      <c r="I785" s="466" t="str">
        <f>'II-I-MET'!$H787</f>
        <v>NCP XHV</v>
      </c>
      <c r="J785" s="24">
        <f>'II-I-TBILLTDCS'!F787</f>
        <v>0</v>
      </c>
      <c r="K785" s="466" t="str">
        <f>'II-I-TBILLTDCS'!$H787</f>
        <v>NCP XHV</v>
      </c>
      <c r="L785" s="893">
        <f t="shared" si="35"/>
        <v>152607.32000000001</v>
      </c>
      <c r="M785" s="1035" t="s">
        <v>1101</v>
      </c>
    </row>
    <row r="786" spans="2:13" s="386" customFormat="1" ht="14.25">
      <c r="B786" s="17">
        <f t="shared" si="34"/>
        <v>10</v>
      </c>
      <c r="C786" s="1" t="s">
        <v>175</v>
      </c>
      <c r="D786" s="1" t="s">
        <v>176</v>
      </c>
      <c r="E786" s="17"/>
      <c r="F786" s="290">
        <f>'II-I-DIST'!F788</f>
        <v>0</v>
      </c>
      <c r="G786" s="118" t="str">
        <f>'II-I-DIST'!H788</f>
        <v>NCP XHV</v>
      </c>
      <c r="H786" s="290">
        <f>'II-I-MET'!F788</f>
        <v>0</v>
      </c>
      <c r="I786" s="466" t="str">
        <f>'II-I-MET'!$H788</f>
        <v>NCP XHV</v>
      </c>
      <c r="J786" s="24">
        <f>'II-I-TBILLTDCS'!F788</f>
        <v>0</v>
      </c>
      <c r="K786" s="466" t="str">
        <f>'II-I-TBILLTDCS'!$H788</f>
        <v>NCP XHV</v>
      </c>
      <c r="L786" s="893">
        <f t="shared" si="35"/>
        <v>0</v>
      </c>
      <c r="M786" s="1035"/>
    </row>
    <row r="787" spans="2:13" ht="15">
      <c r="B787" s="17">
        <f t="shared" si="34"/>
        <v>11</v>
      </c>
      <c r="C787" s="8"/>
      <c r="D787" s="26" t="s">
        <v>491</v>
      </c>
      <c r="E787" s="922"/>
      <c r="F787" s="896">
        <f>'II-I-DIST'!F789</f>
        <v>630311.83000000007</v>
      </c>
      <c r="G787" s="922"/>
      <c r="H787" s="896">
        <f>'II-I-MET'!F789</f>
        <v>0</v>
      </c>
      <c r="I787" s="922"/>
      <c r="J787" s="896">
        <f>'II-I-TBILLTDCS'!F789</f>
        <v>0</v>
      </c>
      <c r="K787" s="896"/>
      <c r="L787" s="896">
        <f t="shared" si="35"/>
        <v>630311.83000000007</v>
      </c>
      <c r="M787" s="1035"/>
    </row>
    <row r="788" spans="2:13" ht="14.25">
      <c r="B788" s="17">
        <f t="shared" si="34"/>
        <v>12</v>
      </c>
      <c r="C788" s="1"/>
      <c r="D788" s="1"/>
      <c r="E788" s="17"/>
      <c r="F788" s="19"/>
      <c r="G788" s="17"/>
      <c r="H788" s="19"/>
      <c r="I788" s="17"/>
      <c r="J788" s="19"/>
      <c r="K788" s="894"/>
      <c r="L788" s="894"/>
      <c r="M788" s="1035"/>
    </row>
    <row r="789" spans="2:13" ht="15">
      <c r="B789" s="17">
        <f t="shared" si="34"/>
        <v>13</v>
      </c>
      <c r="C789" s="8"/>
      <c r="D789" s="26"/>
      <c r="E789" s="922"/>
      <c r="F789" s="896"/>
      <c r="G789" s="922"/>
      <c r="H789" s="896"/>
      <c r="I789" s="922"/>
      <c r="J789" s="896"/>
      <c r="K789" s="896"/>
      <c r="L789" s="896"/>
      <c r="M789" s="1035"/>
    </row>
    <row r="790" spans="2:13" ht="14.25">
      <c r="B790" s="17">
        <f t="shared" si="34"/>
        <v>14</v>
      </c>
      <c r="C790" s="1"/>
      <c r="D790" s="1"/>
      <c r="E790" s="17"/>
      <c r="F790" s="19"/>
      <c r="G790" s="17"/>
      <c r="H790" s="19"/>
      <c r="I790" s="17"/>
      <c r="J790" s="19"/>
      <c r="K790" s="894"/>
      <c r="L790" s="894"/>
      <c r="M790" s="1035"/>
    </row>
    <row r="791" spans="2:13" ht="15">
      <c r="B791" s="17">
        <f t="shared" si="34"/>
        <v>15</v>
      </c>
      <c r="C791" s="8"/>
      <c r="D791" s="366"/>
      <c r="E791" s="922"/>
      <c r="F791" s="896"/>
      <c r="G791" s="922"/>
      <c r="H791" s="896"/>
      <c r="I791" s="922"/>
      <c r="J791" s="896"/>
      <c r="K791" s="896"/>
      <c r="L791" s="896"/>
      <c r="M791" s="1035"/>
    </row>
    <row r="792" spans="2:13" s="386" customFormat="1" ht="14.25">
      <c r="B792" s="17">
        <f t="shared" si="34"/>
        <v>16</v>
      </c>
      <c r="C792" s="1" t="s">
        <v>178</v>
      </c>
      <c r="D792" s="1" t="s">
        <v>179</v>
      </c>
      <c r="E792" s="17"/>
      <c r="F792" s="290">
        <f>'II-I-DIST'!F794</f>
        <v>85793.720000000001</v>
      </c>
      <c r="G792" s="118" t="str">
        <f>'II-I-DIST'!H794</f>
        <v>PAY TR MNT</v>
      </c>
      <c r="H792" s="290">
        <f>'II-I-MET'!F794</f>
        <v>0</v>
      </c>
      <c r="I792" s="466" t="str">
        <f>'II-I-MET'!$H794</f>
        <v>NCP XHV</v>
      </c>
      <c r="J792" s="24">
        <f>'II-I-TBILLTDCS'!F794</f>
        <v>0</v>
      </c>
      <c r="K792" s="466" t="str">
        <f>'II-I-TBILLTDCS'!$H794</f>
        <v>PAY TR MNT</v>
      </c>
      <c r="L792" s="893">
        <f t="shared" si="36" ref="L792:L849">F792+H792+J792</f>
        <v>85793.720000000001</v>
      </c>
      <c r="M792" s="1035" t="s">
        <v>1102</v>
      </c>
    </row>
    <row r="793" spans="2:13" s="386" customFormat="1" ht="14.25">
      <c r="B793" s="17">
        <f t="shared" si="34"/>
        <v>17</v>
      </c>
      <c r="C793" s="1" t="s">
        <v>180</v>
      </c>
      <c r="D793" s="31" t="s">
        <v>181</v>
      </c>
      <c r="E793" s="17"/>
      <c r="F793" s="290">
        <f>'II-I-DIST'!F795</f>
        <v>0</v>
      </c>
      <c r="G793" s="118" t="str">
        <f>'II-I-DIST'!H795</f>
        <v>NCP XHV</v>
      </c>
      <c r="H793" s="290">
        <f>'II-I-MET'!F795</f>
        <v>0</v>
      </c>
      <c r="I793" s="466" t="str">
        <f>'II-I-MET'!$H795</f>
        <v>NCP XHV</v>
      </c>
      <c r="J793" s="24">
        <f>'II-I-TBILLTDCS'!F795</f>
        <v>0</v>
      </c>
      <c r="K793" s="466" t="str">
        <f>'II-I-TBILLTDCS'!$H795</f>
        <v>NCP XHV</v>
      </c>
      <c r="L793" s="893">
        <f t="shared" si="36"/>
        <v>0</v>
      </c>
      <c r="M793" s="1035"/>
    </row>
    <row r="794" spans="2:13" s="386" customFormat="1" ht="14.25">
      <c r="B794" s="17">
        <f t="shared" si="34"/>
        <v>18</v>
      </c>
      <c r="C794" s="1" t="s">
        <v>182</v>
      </c>
      <c r="D794" s="1" t="s">
        <v>183</v>
      </c>
      <c r="E794" s="17"/>
      <c r="F794" s="290">
        <f>'II-I-DIST'!F796</f>
        <v>70648.929999999993</v>
      </c>
      <c r="G794" s="118" t="str">
        <f>'II-I-DIST'!H796</f>
        <v>NCP XHV</v>
      </c>
      <c r="H794" s="290">
        <f>'II-I-MET'!F796</f>
        <v>0</v>
      </c>
      <c r="I794" s="466" t="str">
        <f>'II-I-MET'!$H796</f>
        <v>NCP XHV</v>
      </c>
      <c r="J794" s="24">
        <f>'II-I-TBILLTDCS'!F796</f>
        <v>0</v>
      </c>
      <c r="K794" s="466" t="str">
        <f>'II-I-TBILLTDCS'!$H796</f>
        <v>NCP XHV</v>
      </c>
      <c r="L794" s="893">
        <f t="shared" si="36"/>
        <v>70648.929999999993</v>
      </c>
      <c r="M794" s="1035" t="s">
        <v>1101</v>
      </c>
    </row>
    <row r="795" spans="2:13" s="386" customFormat="1" ht="14.25">
      <c r="B795" s="17">
        <f t="shared" si="34"/>
        <v>19</v>
      </c>
      <c r="C795" s="1" t="s">
        <v>184</v>
      </c>
      <c r="D795" s="1" t="s">
        <v>185</v>
      </c>
      <c r="E795" s="17"/>
      <c r="F795" s="290">
        <f>'II-I-DIST'!F797</f>
        <v>4236.9099999999999</v>
      </c>
      <c r="G795" s="118" t="str">
        <f>'II-I-DIST'!H797</f>
        <v>NCP XHV</v>
      </c>
      <c r="H795" s="290">
        <f>'II-I-MET'!F797</f>
        <v>0</v>
      </c>
      <c r="I795" s="466" t="str">
        <f>'II-I-MET'!$H797</f>
        <v>NCP XHV</v>
      </c>
      <c r="J795" s="24">
        <f>'II-I-TBILLTDCS'!F797</f>
        <v>0</v>
      </c>
      <c r="K795" s="466" t="str">
        <f>'II-I-TBILLTDCS'!$H797</f>
        <v>NCP XHV</v>
      </c>
      <c r="L795" s="893">
        <f t="shared" si="36"/>
        <v>4236.9099999999999</v>
      </c>
      <c r="M795" s="1035"/>
    </row>
    <row r="796" spans="2:13" s="386" customFormat="1" ht="14.25">
      <c r="B796" s="17">
        <f t="shared" si="34"/>
        <v>20</v>
      </c>
      <c r="C796" s="1" t="s">
        <v>186</v>
      </c>
      <c r="D796" s="31" t="s">
        <v>187</v>
      </c>
      <c r="E796" s="17"/>
      <c r="F796" s="290">
        <f>'II-I-DIST'!F798</f>
        <v>0</v>
      </c>
      <c r="G796" s="118" t="str">
        <f>'II-I-DIST'!H798</f>
        <v>NCP XHV</v>
      </c>
      <c r="H796" s="290">
        <f>'II-I-MET'!F798</f>
        <v>0</v>
      </c>
      <c r="I796" s="466" t="str">
        <f>'II-I-MET'!$H798</f>
        <v>NCP XHV</v>
      </c>
      <c r="J796" s="24">
        <f>'II-I-TBILLTDCS'!F798</f>
        <v>0</v>
      </c>
      <c r="K796" s="466" t="str">
        <f>'II-I-TBILLTDCS'!$H798</f>
        <v>NCP XHV</v>
      </c>
      <c r="L796" s="893">
        <f t="shared" si="36"/>
        <v>0</v>
      </c>
      <c r="M796" s="1035"/>
    </row>
    <row r="797" spans="2:13" s="386" customFormat="1" ht="14.25">
      <c r="B797" s="17">
        <f t="shared" si="34"/>
        <v>21</v>
      </c>
      <c r="C797" s="1" t="s">
        <v>188</v>
      </c>
      <c r="D797" s="31" t="s">
        <v>189</v>
      </c>
      <c r="E797" s="17"/>
      <c r="F797" s="290">
        <f>'II-I-DIST'!F799</f>
        <v>1299.9400000000001</v>
      </c>
      <c r="G797" s="118" t="str">
        <f>'II-I-DIST'!H799</f>
        <v>NCP XHV</v>
      </c>
      <c r="H797" s="290">
        <f>'II-I-MET'!F799</f>
        <v>0</v>
      </c>
      <c r="I797" s="466" t="str">
        <f>'II-I-MET'!$H799</f>
        <v>NCP XHV</v>
      </c>
      <c r="J797" s="24">
        <f>'II-I-TBILLTDCS'!F799</f>
        <v>0</v>
      </c>
      <c r="K797" s="466" t="str">
        <f>'II-I-TBILLTDCS'!$H799</f>
        <v>NCP XHV</v>
      </c>
      <c r="L797" s="893">
        <f t="shared" si="36"/>
        <v>1299.9400000000001</v>
      </c>
      <c r="M797" s="1035"/>
    </row>
    <row r="798" spans="2:13" ht="15">
      <c r="B798" s="17">
        <f t="shared" si="34"/>
        <v>22</v>
      </c>
      <c r="C798" s="8"/>
      <c r="D798" s="26" t="s">
        <v>491</v>
      </c>
      <c r="E798" s="922"/>
      <c r="F798" s="896">
        <f>'II-I-DIST'!F800</f>
        <v>161979.5</v>
      </c>
      <c r="G798" s="922"/>
      <c r="H798" s="896">
        <f>'II-I-MET'!F800</f>
        <v>0</v>
      </c>
      <c r="I798" s="922"/>
      <c r="J798" s="896">
        <f>'II-I-TBILLTDCS'!F800</f>
        <v>0</v>
      </c>
      <c r="K798" s="896"/>
      <c r="L798" s="896">
        <f t="shared" si="36"/>
        <v>161979.5</v>
      </c>
      <c r="M798" s="1035"/>
    </row>
    <row r="799" spans="2:13" ht="14.25">
      <c r="B799" s="17"/>
      <c r="C799" s="1"/>
      <c r="D799" s="1"/>
      <c r="E799" s="17"/>
      <c r="F799" s="19"/>
      <c r="G799" s="17"/>
      <c r="H799" s="19"/>
      <c r="I799" s="17"/>
      <c r="J799" s="19"/>
      <c r="K799" s="894"/>
      <c r="L799" s="894"/>
      <c r="M799" s="1035"/>
    </row>
    <row r="800" spans="2:13" ht="15">
      <c r="B800" s="17"/>
      <c r="C800" s="8"/>
      <c r="D800" s="26"/>
      <c r="E800" s="922"/>
      <c r="F800" s="896"/>
      <c r="G800" s="922"/>
      <c r="H800" s="896"/>
      <c r="I800" s="922"/>
      <c r="J800" s="896"/>
      <c r="K800" s="896"/>
      <c r="L800" s="896"/>
      <c r="M800" s="1035"/>
    </row>
    <row r="801" spans="2:13" ht="15" thickBot="1">
      <c r="B801" s="17"/>
      <c r="C801" s="1"/>
      <c r="D801" s="1"/>
      <c r="E801" s="17"/>
      <c r="F801" s="19"/>
      <c r="G801" s="17"/>
      <c r="H801" s="19"/>
      <c r="I801" s="17"/>
      <c r="J801" s="19"/>
      <c r="K801" s="894"/>
      <c r="L801" s="894"/>
      <c r="M801" s="1035"/>
    </row>
    <row r="802" spans="2:12" ht="15.75" thickBot="1">
      <c r="B802" s="17"/>
      <c r="C802" s="870" t="s">
        <v>664</v>
      </c>
      <c r="D802" s="1017"/>
      <c r="E802" s="1013"/>
      <c r="F802" s="1014">
        <f>+F798+F787</f>
        <v>792291.33000000007</v>
      </c>
      <c r="G802" s="1013"/>
      <c r="H802" s="1014">
        <f>+H798+H787</f>
        <v>0</v>
      </c>
      <c r="I802" s="1013"/>
      <c r="J802" s="1014">
        <f>+J798+J787</f>
        <v>0</v>
      </c>
      <c r="K802" s="1014"/>
      <c r="L802" s="1053">
        <f>+L798+L787</f>
        <v>792291.33000000007</v>
      </c>
    </row>
    <row r="803" spans="2:12" ht="14.25">
      <c r="B803" s="17"/>
      <c r="C803" s="1"/>
      <c r="D803" s="1"/>
      <c r="E803" s="17"/>
      <c r="F803" s="19"/>
      <c r="G803" s="17"/>
      <c r="H803" s="19"/>
      <c r="I803" s="17"/>
      <c r="J803" s="19"/>
      <c r="K803" s="730"/>
      <c r="L803" s="730"/>
    </row>
    <row r="804" spans="2:12" ht="15">
      <c r="B804" s="874"/>
      <c r="C804" s="874"/>
      <c r="D804" s="874"/>
      <c r="E804" s="874"/>
      <c r="F804" s="19"/>
      <c r="G804" s="134"/>
      <c r="H804" s="19"/>
      <c r="I804" s="134"/>
      <c r="J804" s="19"/>
      <c r="K804" s="874"/>
      <c r="L804" s="874"/>
    </row>
    <row r="805" spans="2:12" ht="15.75" thickBot="1">
      <c r="B805" s="874"/>
      <c r="C805" s="874"/>
      <c r="D805" s="874"/>
      <c r="E805" s="874"/>
      <c r="F805" s="19"/>
      <c r="G805" s="17"/>
      <c r="H805" s="19"/>
      <c r="I805" s="17"/>
      <c r="J805" s="19"/>
      <c r="K805" s="874"/>
      <c r="L805" s="874"/>
    </row>
    <row r="806" spans="2:12" ht="15">
      <c r="B806" s="920" t="str">
        <f>$B$4</f>
        <v>2022 RATE CASE</v>
      </c>
      <c r="C806" s="926"/>
      <c r="D806" s="927"/>
      <c r="E806" s="874"/>
      <c r="F806" s="12"/>
      <c r="H806" s="12"/>
      <c r="J806" s="12"/>
      <c r="K806" s="874"/>
      <c r="L806" s="874"/>
    </row>
    <row r="807" spans="2:12" ht="15">
      <c r="B807" s="917" t="str">
        <f>$B$5</f>
        <v>ONCOR ELECTRIC DELIVERY COMPANY LLC</v>
      </c>
      <c r="C807" s="369"/>
      <c r="D807" s="928"/>
      <c r="E807" s="874"/>
      <c r="F807" s="12"/>
      <c r="H807" s="12"/>
      <c r="J807" s="12"/>
      <c r="K807" s="874"/>
      <c r="L807" s="874"/>
    </row>
    <row r="808" spans="2:12" ht="15">
      <c r="B808" s="406" t="str">
        <f>$B$6</f>
        <v>II-I-2.1f:  CONSOLIDATED FUNCTIONALIZED COST OF SERVICE</v>
      </c>
      <c r="C808" s="369"/>
      <c r="D808" s="928"/>
      <c r="E808" s="874"/>
      <c r="F808" s="12"/>
      <c r="H808" s="12"/>
      <c r="J808" s="12"/>
      <c r="K808" s="874"/>
      <c r="L808" s="874"/>
    </row>
    <row r="809" spans="2:12" ht="15">
      <c r="B809" s="406" t="str">
        <f>$B$7</f>
        <v>TEST YEAR ENDING 12/31/2021</v>
      </c>
      <c r="C809" s="369"/>
      <c r="D809" s="928"/>
      <c r="E809" s="369"/>
      <c r="F809" s="12"/>
      <c r="H809" s="12"/>
      <c r="J809" s="12"/>
      <c r="K809" s="369"/>
      <c r="L809" s="369"/>
    </row>
    <row r="810" spans="2:12" ht="15">
      <c r="B810" s="406" t="str">
        <f>$B$8</f>
        <v>SPONSOR:  MATTHEW A. TROXLE</v>
      </c>
      <c r="C810" s="369"/>
      <c r="D810" s="928"/>
      <c r="E810" s="369"/>
      <c r="F810" s="12"/>
      <c r="H810" s="12"/>
      <c r="J810" s="12"/>
      <c r="K810" s="369"/>
      <c r="L810" s="369"/>
    </row>
    <row r="811" spans="2:12" ht="15.75" thickBot="1">
      <c r="B811" s="410"/>
      <c r="C811" s="931"/>
      <c r="D811" s="932"/>
      <c r="E811" s="369"/>
      <c r="F811" s="12"/>
      <c r="H811" s="12"/>
      <c r="J811" s="12"/>
      <c r="K811" s="369"/>
      <c r="L811" s="369"/>
    </row>
    <row r="812" spans="2:13" ht="14.25">
      <c r="B812" s="13"/>
      <c r="C812" s="14"/>
      <c r="D812" s="238"/>
      <c r="E812" s="14"/>
      <c r="F812" s="13"/>
      <c r="G812" s="14"/>
      <c r="H812" s="13"/>
      <c r="I812" s="14"/>
      <c r="J812" s="13"/>
      <c r="K812" s="738"/>
      <c r="L812" s="952"/>
      <c r="M812" s="1036"/>
    </row>
    <row r="813" spans="2:13" ht="15">
      <c r="B813" s="15" t="s">
        <v>2</v>
      </c>
      <c r="C813" s="15" t="s">
        <v>370</v>
      </c>
      <c r="D813" s="241" t="s">
        <v>665</v>
      </c>
      <c r="E813" s="15" t="s">
        <v>371</v>
      </c>
      <c r="F813" s="287" t="str">
        <f>'II-I-DIST'!F815</f>
        <v>DIST</v>
      </c>
      <c r="G813" s="242" t="s">
        <v>376</v>
      </c>
      <c r="H813" s="287" t="str">
        <f>'II-I-MET'!F815</f>
        <v>MET</v>
      </c>
      <c r="I813" s="15" t="s">
        <v>376</v>
      </c>
      <c r="J813" s="287" t="str">
        <f>'II-I-TBILLTDCS'!F815</f>
        <v>TBILLTDCS</v>
      </c>
      <c r="K813" s="743" t="s">
        <v>376</v>
      </c>
      <c r="L813" s="743" t="s">
        <v>481</v>
      </c>
      <c r="M813" s="1030" t="s">
        <v>1046</v>
      </c>
    </row>
    <row r="814" spans="2:13" ht="14.25">
      <c r="B814" s="15"/>
      <c r="C814" s="15"/>
      <c r="D814" s="242"/>
      <c r="E814" s="15"/>
      <c r="F814" s="15"/>
      <c r="G814" s="242" t="s">
        <v>743</v>
      </c>
      <c r="H814" s="15"/>
      <c r="I814" s="15" t="s">
        <v>743</v>
      </c>
      <c r="J814" s="15"/>
      <c r="K814" s="743" t="s">
        <v>743</v>
      </c>
      <c r="L814" s="743" t="s">
        <v>33</v>
      </c>
      <c r="M814" s="1037"/>
    </row>
    <row r="815" spans="2:13" ht="15.75" thickBot="1">
      <c r="B815" s="243"/>
      <c r="C815" s="957"/>
      <c r="D815" s="245"/>
      <c r="E815" s="245"/>
      <c r="F815" s="747" t="s">
        <v>13</v>
      </c>
      <c r="G815" s="747" t="s">
        <v>14</v>
      </c>
      <c r="H815" s="747" t="s">
        <v>15</v>
      </c>
      <c r="I815" s="747" t="s">
        <v>16</v>
      </c>
      <c r="J815" s="747" t="s">
        <v>17</v>
      </c>
      <c r="K815" s="747" t="s">
        <v>18</v>
      </c>
      <c r="L815" s="747" t="s">
        <v>19</v>
      </c>
      <c r="M815" s="1032" t="s">
        <v>20</v>
      </c>
    </row>
    <row r="816" spans="2:13" ht="14.25">
      <c r="B816" s="67"/>
      <c r="C816" s="100"/>
      <c r="D816" s="100"/>
      <c r="E816" s="315"/>
      <c r="F816" s="373"/>
      <c r="G816" s="315"/>
      <c r="H816" s="373"/>
      <c r="I816" s="17"/>
      <c r="J816" s="387"/>
      <c r="K816" s="730"/>
      <c r="L816" s="730"/>
      <c r="M816" s="1035"/>
    </row>
    <row r="817" spans="2:13" ht="15">
      <c r="B817" s="17">
        <f>B803+1</f>
        <v>1</v>
      </c>
      <c r="C817" s="8" t="s">
        <v>665</v>
      </c>
      <c r="D817" s="8"/>
      <c r="E817" s="922"/>
      <c r="F817" s="896"/>
      <c r="G817" s="922"/>
      <c r="H817" s="896"/>
      <c r="I817" s="937"/>
      <c r="J817" s="896"/>
      <c r="K817" s="8"/>
      <c r="L817" s="8"/>
      <c r="M817" s="1035"/>
    </row>
    <row r="818" spans="2:13" ht="15">
      <c r="B818" s="17">
        <f t="shared" si="37" ref="B818:B849">B817+1</f>
        <v>2</v>
      </c>
      <c r="C818" s="8"/>
      <c r="D818" s="366" t="s">
        <v>660</v>
      </c>
      <c r="E818" s="922" t="s">
        <v>279</v>
      </c>
      <c r="F818" s="896"/>
      <c r="G818" s="922"/>
      <c r="H818" s="896"/>
      <c r="I818" s="937"/>
      <c r="J818" s="896"/>
      <c r="K818" s="8"/>
      <c r="L818" s="8"/>
      <c r="M818" s="1035"/>
    </row>
    <row r="819" spans="2:13" s="386" customFormat="1" ht="14.25">
      <c r="B819" s="17">
        <f t="shared" si="37"/>
        <v>3</v>
      </c>
      <c r="C819" s="1" t="s">
        <v>192</v>
      </c>
      <c r="D819" s="1" t="s">
        <v>193</v>
      </c>
      <c r="E819" s="17"/>
      <c r="F819" s="290">
        <f>'II-I-DIST'!F821</f>
        <v>9544431.3300000001</v>
      </c>
      <c r="G819" s="118" t="str">
        <f>'II-I-DIST'!H821</f>
        <v>NCP XHV</v>
      </c>
      <c r="H819" s="290">
        <f>'II-I-MET'!F821</f>
        <v>0</v>
      </c>
      <c r="I819" s="466" t="str">
        <f>'II-I-MET'!$H821</f>
        <v>NCP XHV</v>
      </c>
      <c r="J819" s="24">
        <f>'II-I-TBILLTDCS'!F821</f>
        <v>0</v>
      </c>
      <c r="K819" s="466" t="str">
        <f>'II-I-TBILLTDCS'!$H821</f>
        <v>NCP XHV</v>
      </c>
      <c r="L819" s="893">
        <f t="shared" si="36"/>
        <v>9544431.3300000001</v>
      </c>
      <c r="M819" s="1035" t="s">
        <v>1101</v>
      </c>
    </row>
    <row r="820" spans="2:13" s="386" customFormat="1" ht="14.25">
      <c r="B820" s="17">
        <f t="shared" si="37"/>
        <v>4</v>
      </c>
      <c r="C820" s="1" t="s">
        <v>194</v>
      </c>
      <c r="D820" s="1" t="s">
        <v>166</v>
      </c>
      <c r="E820" s="17"/>
      <c r="F820" s="118">
        <f>'II-I-DIST'!F822</f>
        <v>2814413.9500000002</v>
      </c>
      <c r="G820" s="118" t="str">
        <f>'II-I-DIST'!H822</f>
        <v>PLT 362</v>
      </c>
      <c r="H820" s="118">
        <f>'II-I-MET'!F822</f>
        <v>0</v>
      </c>
      <c r="I820" s="466" t="str">
        <f>'II-I-MET'!$H822</f>
        <v>PLT 362</v>
      </c>
      <c r="J820" s="121">
        <f>'II-I-TBILLTDCS'!F822</f>
        <v>0</v>
      </c>
      <c r="K820" s="466" t="str">
        <f>'II-I-TBILLTDCS'!$H822</f>
        <v>PLT 362</v>
      </c>
      <c r="L820" s="893">
        <f t="shared" si="36"/>
        <v>2814413.9500000002</v>
      </c>
      <c r="M820" s="1035" t="s">
        <v>1101</v>
      </c>
    </row>
    <row r="821" spans="2:13" s="386" customFormat="1" ht="14.25">
      <c r="B821" s="17">
        <f t="shared" si="37"/>
        <v>5</v>
      </c>
      <c r="C821" s="1" t="s">
        <v>195</v>
      </c>
      <c r="D821" s="1" t="s">
        <v>168</v>
      </c>
      <c r="E821" s="17"/>
      <c r="F821" s="118">
        <f>'II-I-DIST'!F823</f>
        <v>1767468.3000000001</v>
      </c>
      <c r="G821" s="118" t="str">
        <f>'II-I-DIST'!H823</f>
        <v>PLT 365</v>
      </c>
      <c r="H821" s="118">
        <f>'II-I-MET'!F823</f>
        <v>91312.369999999995</v>
      </c>
      <c r="I821" s="466" t="str">
        <f>'II-I-MET'!$H823</f>
        <v>PLT 370</v>
      </c>
      <c r="J821" s="121">
        <f>'II-I-TBILLTDCS'!F823</f>
        <v>0</v>
      </c>
      <c r="K821" s="466" t="str">
        <f>'II-I-TBILLTDCS'!$H823</f>
        <v>PLT 365</v>
      </c>
      <c r="L821" s="893">
        <f t="shared" si="36"/>
        <v>1858780.6699999999</v>
      </c>
      <c r="M821" s="1035" t="s">
        <v>1101</v>
      </c>
    </row>
    <row r="822" spans="2:13" s="386" customFormat="1" ht="14.25">
      <c r="B822" s="17">
        <f t="shared" si="37"/>
        <v>6</v>
      </c>
      <c r="C822" s="1" t="s">
        <v>196</v>
      </c>
      <c r="D822" s="1" t="s">
        <v>170</v>
      </c>
      <c r="E822" s="17"/>
      <c r="F822" s="118">
        <f>'II-I-DIST'!F824</f>
        <v>2316833.3399999999</v>
      </c>
      <c r="G822" s="118" t="str">
        <f>'II-I-DIST'!H824</f>
        <v>PLT 367</v>
      </c>
      <c r="H822" s="118">
        <f>'II-I-MET'!F824</f>
        <v>7234.2600000000002</v>
      </c>
      <c r="I822" s="466" t="str">
        <f>'II-I-MET'!$H824</f>
        <v>PLT 370</v>
      </c>
      <c r="J822" s="121">
        <f>'II-I-TBILLTDCS'!F824</f>
        <v>0</v>
      </c>
      <c r="K822" s="466" t="str">
        <f>'II-I-TBILLTDCS'!$H824</f>
        <v>PLT 367</v>
      </c>
      <c r="L822" s="893">
        <f t="shared" si="36"/>
        <v>2324067.5999999996</v>
      </c>
      <c r="M822" s="1035" t="s">
        <v>1101</v>
      </c>
    </row>
    <row r="823" spans="2:13" s="386" customFormat="1" ht="14.25">
      <c r="B823" s="17">
        <f t="shared" si="37"/>
        <v>7</v>
      </c>
      <c r="C823" s="1" t="s">
        <v>197</v>
      </c>
      <c r="D823" s="1" t="s">
        <v>198</v>
      </c>
      <c r="E823" s="17"/>
      <c r="F823" s="118">
        <f>'II-I-DIST'!F825</f>
        <v>0</v>
      </c>
      <c r="G823" s="118" t="str">
        <f>'II-I-DIST'!H825</f>
        <v>NCP LGT</v>
      </c>
      <c r="H823" s="118">
        <f>'II-I-MET'!F825</f>
        <v>0</v>
      </c>
      <c r="I823" s="466" t="str">
        <f>'II-I-MET'!$H825</f>
        <v>NCP LGT</v>
      </c>
      <c r="J823" s="121">
        <f>'II-I-TBILLTDCS'!F825</f>
        <v>0</v>
      </c>
      <c r="K823" s="466" t="str">
        <f>'II-I-TBILLTDCS'!$H825</f>
        <v>NCP LGT</v>
      </c>
      <c r="L823" s="893">
        <f t="shared" si="36"/>
        <v>0</v>
      </c>
      <c r="M823" s="1035" t="s">
        <v>1101</v>
      </c>
    </row>
    <row r="824" spans="2:13" s="386" customFormat="1" ht="14.25">
      <c r="B824" s="17">
        <f t="shared" si="37"/>
        <v>8</v>
      </c>
      <c r="C824" s="1" t="s">
        <v>199</v>
      </c>
      <c r="D824" s="1" t="s">
        <v>200</v>
      </c>
      <c r="E824" s="17"/>
      <c r="F824" s="118">
        <f>'II-I-DIST'!F826</f>
        <v>0</v>
      </c>
      <c r="G824" s="118" t="str">
        <f>'II-I-DIST'!H826</f>
        <v>CUS W ALL</v>
      </c>
      <c r="H824" s="118">
        <f>'II-I-MET'!F826</f>
        <v>7470971.8799999999</v>
      </c>
      <c r="I824" s="466" t="str">
        <f>'II-I-MET'!$H826</f>
        <v>CUS W ALL</v>
      </c>
      <c r="J824" s="121">
        <f>'II-I-TBILLTDCS'!F826</f>
        <v>0</v>
      </c>
      <c r="K824" s="466" t="str">
        <f>'II-I-TBILLTDCS'!$H826</f>
        <v>CUS W ALL</v>
      </c>
      <c r="L824" s="893">
        <f t="shared" si="36"/>
        <v>7470971.8799999999</v>
      </c>
      <c r="M824" s="1035" t="s">
        <v>1101</v>
      </c>
    </row>
    <row r="825" spans="2:13" s="386" customFormat="1" ht="14.25">
      <c r="B825" s="17">
        <f t="shared" si="37"/>
        <v>9</v>
      </c>
      <c r="C825" s="1" t="s">
        <v>201</v>
      </c>
      <c r="D825" s="1" t="s">
        <v>202</v>
      </c>
      <c r="E825" s="17"/>
      <c r="F825" s="118">
        <f>'II-I-DIST'!F827</f>
        <v>1272046.1499999999</v>
      </c>
      <c r="G825" s="118" t="str">
        <f>'II-I-DIST'!H827</f>
        <v>CUS W RTL</v>
      </c>
      <c r="H825" s="118">
        <f>'II-I-MET'!F827</f>
        <v>1210.3900000000001</v>
      </c>
      <c r="I825" s="466" t="str">
        <f>'II-I-MET'!$H827</f>
        <v>CUS W RTL</v>
      </c>
      <c r="J825" s="121">
        <f>'II-I-TBILLTDCS'!F827</f>
        <v>0</v>
      </c>
      <c r="K825" s="466" t="str">
        <f>'II-I-TBILLTDCS'!$H827</f>
        <v>CUS W RTL</v>
      </c>
      <c r="L825" s="893">
        <f t="shared" si="36"/>
        <v>1273256.5399999998</v>
      </c>
      <c r="M825" s="1035" t="s">
        <v>1101</v>
      </c>
    </row>
    <row r="826" spans="2:13" s="386" customFormat="1" ht="14.25">
      <c r="B826" s="17">
        <f t="shared" si="37"/>
        <v>10</v>
      </c>
      <c r="C826" s="1" t="s">
        <v>203</v>
      </c>
      <c r="D826" s="1" t="s">
        <v>204</v>
      </c>
      <c r="E826" s="17"/>
      <c r="F826" s="118">
        <f>'II-I-DIST'!F828</f>
        <v>42023721.539999999</v>
      </c>
      <c r="G826" s="118" t="str">
        <f>'II-I-DIST'!H828</f>
        <v>DIST OPS</v>
      </c>
      <c r="H826" s="118">
        <f>'II-I-MET'!F828</f>
        <v>1499427.6499999999</v>
      </c>
      <c r="I826" s="466" t="str">
        <f>'II-I-MET'!$H828</f>
        <v>DIST OPS</v>
      </c>
      <c r="J826" s="121">
        <f>'II-I-TBILLTDCS'!F828</f>
        <v>763.54999999999995</v>
      </c>
      <c r="K826" s="466" t="str">
        <f>'II-I-TBILLTDCS'!$H828</f>
        <v>DIST OPS</v>
      </c>
      <c r="L826" s="893">
        <f t="shared" si="36"/>
        <v>43523912.739999995</v>
      </c>
      <c r="M826" s="1035" t="s">
        <v>1101</v>
      </c>
    </row>
    <row r="827" spans="2:13" s="386" customFormat="1" ht="14.25">
      <c r="B827" s="17">
        <f t="shared" si="37"/>
        <v>11</v>
      </c>
      <c r="C827" s="1" t="s">
        <v>205</v>
      </c>
      <c r="D827" s="1" t="s">
        <v>206</v>
      </c>
      <c r="E827" s="17"/>
      <c r="F827" s="118">
        <f>'II-I-DIST'!F829</f>
        <v>0</v>
      </c>
      <c r="G827" s="118" t="str">
        <f>'II-I-DIST'!H829</f>
        <v>NCP XHV</v>
      </c>
      <c r="H827" s="118">
        <f>'II-I-MET'!F829</f>
        <v>0</v>
      </c>
      <c r="I827" s="466" t="str">
        <f>'II-I-MET'!$H829</f>
        <v>NCP XHV</v>
      </c>
      <c r="J827" s="121">
        <f>'II-I-TBILLTDCS'!F829</f>
        <v>0</v>
      </c>
      <c r="K827" s="466" t="str">
        <f>'II-I-TBILLTDCS'!$H829</f>
        <v>NCP XHV</v>
      </c>
      <c r="L827" s="893">
        <f t="shared" si="36"/>
        <v>0</v>
      </c>
      <c r="M827" s="1035"/>
    </row>
    <row r="828" spans="2:13" ht="15">
      <c r="B828" s="17">
        <f t="shared" si="37"/>
        <v>12</v>
      </c>
      <c r="C828" s="8"/>
      <c r="D828" s="26" t="s">
        <v>666</v>
      </c>
      <c r="E828" s="922"/>
      <c r="F828" s="896">
        <f>'II-I-DIST'!F830</f>
        <v>59738914.609999999</v>
      </c>
      <c r="G828" s="922"/>
      <c r="H828" s="896">
        <f>'II-I-MET'!F830</f>
        <v>9070156.5499999989</v>
      </c>
      <c r="I828" s="937"/>
      <c r="J828" s="896">
        <f>'II-I-TBILLTDCS'!F830</f>
        <v>763.54999999999995</v>
      </c>
      <c r="K828" s="896"/>
      <c r="L828" s="896">
        <f t="shared" si="36"/>
        <v>68809834.709999993</v>
      </c>
      <c r="M828" s="1035"/>
    </row>
    <row r="829" spans="2:13" ht="15">
      <c r="B829" s="17">
        <f t="shared" si="37"/>
        <v>13</v>
      </c>
      <c r="C829" s="1"/>
      <c r="D829" s="366"/>
      <c r="E829" s="17"/>
      <c r="F829" s="19"/>
      <c r="G829" s="17"/>
      <c r="H829" s="19"/>
      <c r="I829" s="17"/>
      <c r="J829" s="19"/>
      <c r="K829" s="894"/>
      <c r="L829" s="894"/>
      <c r="M829" s="1035"/>
    </row>
    <row r="830" spans="2:13" s="386" customFormat="1" ht="14.25">
      <c r="B830" s="17">
        <f t="shared" si="37"/>
        <v>14</v>
      </c>
      <c r="C830" s="1" t="s">
        <v>191</v>
      </c>
      <c r="D830" s="31" t="s">
        <v>162</v>
      </c>
      <c r="E830" s="17"/>
      <c r="F830" s="118">
        <f>'II-I-DIST'!F832</f>
        <v>5493450.9500000002</v>
      </c>
      <c r="G830" s="118" t="str">
        <f>'II-I-DIST'!H832</f>
        <v>PAY DISTR OPS</v>
      </c>
      <c r="H830" s="118">
        <f>'II-I-MET'!F832</f>
        <v>544302.93000000005</v>
      </c>
      <c r="I830" s="466" t="str">
        <f>'II-I-MET'!$H832</f>
        <v>PAY DISTR OPS</v>
      </c>
      <c r="J830" s="121">
        <f>'II-I-TBILLTDCS'!F832</f>
        <v>0</v>
      </c>
      <c r="K830" s="466" t="str">
        <f>'II-I-TBILLTDCS'!$H832</f>
        <v>PAY DISTR OPS</v>
      </c>
      <c r="L830" s="893">
        <f t="shared" si="36"/>
        <v>6037753.8799999999</v>
      </c>
      <c r="M830" s="1035"/>
    </row>
    <row r="831" spans="2:13" ht="15">
      <c r="B831" s="17">
        <f t="shared" si="37"/>
        <v>15</v>
      </c>
      <c r="C831" s="1"/>
      <c r="D831" s="366"/>
      <c r="E831" s="17"/>
      <c r="F831" s="19"/>
      <c r="G831" s="17"/>
      <c r="H831" s="19"/>
      <c r="I831" s="17"/>
      <c r="J831" s="19"/>
      <c r="K831" s="894"/>
      <c r="L831" s="894"/>
      <c r="M831" s="1035"/>
    </row>
    <row r="832" spans="2:13" ht="15">
      <c r="B832" s="17">
        <f t="shared" si="37"/>
        <v>16</v>
      </c>
      <c r="C832" s="1"/>
      <c r="D832" s="366" t="s">
        <v>667</v>
      </c>
      <c r="E832" s="922" t="s">
        <v>279</v>
      </c>
      <c r="F832" s="896">
        <f>'II-I-DIST'!F834</f>
        <v>65232365.560000002</v>
      </c>
      <c r="G832" s="922"/>
      <c r="H832" s="896">
        <f>'II-I-MET'!F834</f>
        <v>9614459.4799999986</v>
      </c>
      <c r="I832" s="937"/>
      <c r="J832" s="896">
        <f>'II-I-TBILLTDCS'!F834</f>
        <v>763.54999999999995</v>
      </c>
      <c r="K832" s="896"/>
      <c r="L832" s="896">
        <f t="shared" si="36"/>
        <v>74847588.590000004</v>
      </c>
      <c r="M832" s="1035"/>
    </row>
    <row r="833" spans="2:12" ht="15">
      <c r="B833" s="17">
        <f t="shared" si="37"/>
        <v>17</v>
      </c>
      <c r="C833" s="1"/>
      <c r="D833" s="366"/>
      <c r="E833" s="17"/>
      <c r="F833" s="19"/>
      <c r="G833" s="17"/>
      <c r="H833" s="19"/>
      <c r="I833" s="17"/>
      <c r="J833" s="19"/>
      <c r="K833" s="894"/>
      <c r="L833" s="894"/>
    </row>
    <row r="834" spans="2:12" ht="15">
      <c r="B834" s="17">
        <f t="shared" si="37"/>
        <v>18</v>
      </c>
      <c r="C834" s="8"/>
      <c r="D834" s="366" t="s">
        <v>662</v>
      </c>
      <c r="E834" s="922" t="s">
        <v>279</v>
      </c>
      <c r="F834" s="896"/>
      <c r="G834" s="922"/>
      <c r="H834" s="896"/>
      <c r="I834" s="937"/>
      <c r="J834" s="896"/>
      <c r="K834" s="896"/>
      <c r="L834" s="896"/>
    </row>
    <row r="835" spans="2:13" s="386" customFormat="1" ht="14.25">
      <c r="B835" s="17">
        <f t="shared" si="37"/>
        <v>19</v>
      </c>
      <c r="C835" s="1" t="s">
        <v>209</v>
      </c>
      <c r="D835" s="1" t="s">
        <v>181</v>
      </c>
      <c r="E835" s="17"/>
      <c r="F835" s="118">
        <f>'II-I-DIST'!F837</f>
        <v>0</v>
      </c>
      <c r="G835" s="118" t="str">
        <f>'II-I-DIST'!H837</f>
        <v>PLT 361</v>
      </c>
      <c r="H835" s="118">
        <f>'II-I-MET'!F837</f>
        <v>0</v>
      </c>
      <c r="I835" s="466" t="str">
        <f>'II-I-MET'!$H837</f>
        <v>PLT 361</v>
      </c>
      <c r="J835" s="121">
        <f>'II-I-TBILLTDCS'!F837</f>
        <v>0</v>
      </c>
      <c r="K835" s="466" t="str">
        <f>'II-I-TBILLTDCS'!$H837</f>
        <v>PLT 361</v>
      </c>
      <c r="L835" s="893">
        <f t="shared" si="36"/>
        <v>0</v>
      </c>
      <c r="M835" s="1040"/>
    </row>
    <row r="836" spans="2:13" s="386" customFormat="1" ht="14.25">
      <c r="B836" s="17">
        <f t="shared" si="37"/>
        <v>20</v>
      </c>
      <c r="C836" s="1" t="s">
        <v>210</v>
      </c>
      <c r="D836" s="31" t="s">
        <v>183</v>
      </c>
      <c r="E836" s="17"/>
      <c r="F836" s="118">
        <f>'II-I-DIST'!F838</f>
        <v>6147661.1799999997</v>
      </c>
      <c r="G836" s="118" t="str">
        <f>'II-I-DIST'!H838</f>
        <v>PLT 362</v>
      </c>
      <c r="H836" s="118">
        <f>'II-I-MET'!F838</f>
        <v>0</v>
      </c>
      <c r="I836" s="466" t="str">
        <f>'II-I-MET'!$H838</f>
        <v>PLT 362</v>
      </c>
      <c r="J836" s="121">
        <f>'II-I-TBILLTDCS'!F838</f>
        <v>0</v>
      </c>
      <c r="K836" s="466" t="str">
        <f>'II-I-TBILLTDCS'!$H838</f>
        <v>PLT 362</v>
      </c>
      <c r="L836" s="893">
        <f t="shared" si="36"/>
        <v>6147661.1799999997</v>
      </c>
      <c r="M836" s="1035" t="s">
        <v>1101</v>
      </c>
    </row>
    <row r="837" spans="2:13" s="386" customFormat="1" ht="14.25">
      <c r="B837" s="17">
        <f t="shared" si="37"/>
        <v>21</v>
      </c>
      <c r="C837" s="1" t="s">
        <v>211</v>
      </c>
      <c r="D837" s="1" t="s">
        <v>185</v>
      </c>
      <c r="E837" s="17"/>
      <c r="F837" s="118">
        <f>'II-I-DIST'!F839</f>
        <v>36169907.530000001</v>
      </c>
      <c r="G837" s="118" t="str">
        <f>'II-I-DIST'!H839</f>
        <v>PLT OH</v>
      </c>
      <c r="H837" s="118">
        <f>'II-I-MET'!F839</f>
        <v>58540.660000000003</v>
      </c>
      <c r="I837" s="466" t="str">
        <f>'II-I-MET'!$H839</f>
        <v>PLT 370</v>
      </c>
      <c r="J837" s="121">
        <f>'II-I-TBILLTDCS'!F839</f>
        <v>0</v>
      </c>
      <c r="K837" s="466" t="str">
        <f>'II-I-TBILLTDCS'!$H839</f>
        <v>PLT OH</v>
      </c>
      <c r="L837" s="893">
        <f t="shared" si="36"/>
        <v>36228448.189999998</v>
      </c>
      <c r="M837" s="1035" t="s">
        <v>1101</v>
      </c>
    </row>
    <row r="838" spans="2:13" s="386" customFormat="1" ht="14.25">
      <c r="B838" s="17">
        <f t="shared" si="37"/>
        <v>22</v>
      </c>
      <c r="C838" s="1" t="s">
        <v>212</v>
      </c>
      <c r="D838" s="1" t="s">
        <v>187</v>
      </c>
      <c r="E838" s="17"/>
      <c r="F838" s="118">
        <f>'II-I-DIST'!F840</f>
        <v>9233426.6799999997</v>
      </c>
      <c r="G838" s="118" t="str">
        <f>'II-I-DIST'!H840</f>
        <v>PLT UG</v>
      </c>
      <c r="H838" s="118">
        <f>'II-I-MET'!F840</f>
        <v>9608.5100000000002</v>
      </c>
      <c r="I838" s="466" t="str">
        <f>'II-I-MET'!$H840</f>
        <v>PLT 370</v>
      </c>
      <c r="J838" s="121">
        <f>'II-I-TBILLTDCS'!F840</f>
        <v>0</v>
      </c>
      <c r="K838" s="466" t="str">
        <f>'II-I-TBILLTDCS'!$H840</f>
        <v>PLT UG</v>
      </c>
      <c r="L838" s="893">
        <f t="shared" si="36"/>
        <v>9243035.1899999995</v>
      </c>
      <c r="M838" s="1035" t="s">
        <v>1101</v>
      </c>
    </row>
    <row r="839" spans="2:13" s="386" customFormat="1" ht="14.25">
      <c r="B839" s="17">
        <f t="shared" si="37"/>
        <v>23</v>
      </c>
      <c r="C839" s="1" t="s">
        <v>213</v>
      </c>
      <c r="D839" s="1" t="s">
        <v>214</v>
      </c>
      <c r="E839" s="17"/>
      <c r="F839" s="118">
        <f>'II-I-DIST'!F841</f>
        <v>2162694.46</v>
      </c>
      <c r="G839" s="118" t="str">
        <f>'II-I-DIST'!H841</f>
        <v>PLT 368</v>
      </c>
      <c r="H839" s="118">
        <f>'II-I-MET'!F841</f>
        <v>207.96000000000001</v>
      </c>
      <c r="I839" s="466" t="str">
        <f>'II-I-MET'!$H841</f>
        <v>PLT 370</v>
      </c>
      <c r="J839" s="121">
        <f>'II-I-TBILLTDCS'!F841</f>
        <v>0</v>
      </c>
      <c r="K839" s="466" t="str">
        <f>'II-I-TBILLTDCS'!$H841</f>
        <v>PLT 368</v>
      </c>
      <c r="L839" s="893">
        <f t="shared" si="36"/>
        <v>2162902.4199999999</v>
      </c>
      <c r="M839" s="1035" t="s">
        <v>1101</v>
      </c>
    </row>
    <row r="840" spans="2:13" s="386" customFormat="1" ht="14.25">
      <c r="B840" s="17">
        <f t="shared" si="37"/>
        <v>24</v>
      </c>
      <c r="C840" s="1" t="s">
        <v>215</v>
      </c>
      <c r="D840" s="1" t="s">
        <v>216</v>
      </c>
      <c r="E840" s="17"/>
      <c r="F840" s="118">
        <f>'II-I-DIST'!F842</f>
        <v>260031.48000000001</v>
      </c>
      <c r="G840" s="118" t="str">
        <f>'II-I-DIST'!H842</f>
        <v>NCP LGT</v>
      </c>
      <c r="H840" s="118">
        <f>'II-I-MET'!F842</f>
        <v>4.0099999999999998</v>
      </c>
      <c r="I840" s="466" t="str">
        <f>'II-I-MET'!$H842</f>
        <v>NCP LGT</v>
      </c>
      <c r="J840" s="121">
        <f>'II-I-TBILLTDCS'!F842</f>
        <v>0</v>
      </c>
      <c r="K840" s="466" t="str">
        <f>'II-I-TBILLTDCS'!$H842</f>
        <v>NCP LGT</v>
      </c>
      <c r="L840" s="893">
        <f t="shared" si="36"/>
        <v>260035.49000000002</v>
      </c>
      <c r="M840" s="1035" t="s">
        <v>1101</v>
      </c>
    </row>
    <row r="841" spans="2:13" s="386" customFormat="1" ht="14.25">
      <c r="B841" s="17">
        <f t="shared" si="37"/>
        <v>25</v>
      </c>
      <c r="C841" s="1" t="s">
        <v>217</v>
      </c>
      <c r="D841" s="1" t="s">
        <v>218</v>
      </c>
      <c r="E841" s="17"/>
      <c r="F841" s="118">
        <f>'II-I-DIST'!F843</f>
        <v>0</v>
      </c>
      <c r="G841" s="118" t="str">
        <f>'II-I-DIST'!H843</f>
        <v>CUS W ALL</v>
      </c>
      <c r="H841" s="118">
        <f>'II-I-MET'!F843</f>
        <v>12685192.529999999</v>
      </c>
      <c r="I841" s="466" t="str">
        <f>'II-I-MET'!$H843</f>
        <v>CUS W ALL</v>
      </c>
      <c r="J841" s="121">
        <f>'II-I-TBILLTDCS'!F843</f>
        <v>0</v>
      </c>
      <c r="K841" s="466" t="str">
        <f>'II-I-TBILLTDCS'!$H843</f>
        <v>CUS W ALL</v>
      </c>
      <c r="L841" s="893">
        <f t="shared" si="36"/>
        <v>12685192.529999999</v>
      </c>
      <c r="M841" s="1035" t="s">
        <v>1101</v>
      </c>
    </row>
    <row r="842" spans="2:13" s="386" customFormat="1" ht="14.25">
      <c r="B842" s="17">
        <f t="shared" si="37"/>
        <v>26</v>
      </c>
      <c r="C842" s="1" t="s">
        <v>219</v>
      </c>
      <c r="D842" s="1" t="s">
        <v>220</v>
      </c>
      <c r="E842" s="17"/>
      <c r="F842" s="118">
        <f>'II-I-DIST'!F844</f>
        <v>87974.259999999995</v>
      </c>
      <c r="G842" s="118" t="str">
        <f>'II-I-DIST'!H844</f>
        <v>DIST MAINT</v>
      </c>
      <c r="H842" s="118">
        <f>'II-I-MET'!F844</f>
        <v>0.56999999999999995</v>
      </c>
      <c r="I842" s="466" t="str">
        <f>'II-I-MET'!$H844</f>
        <v>DIST MAINT</v>
      </c>
      <c r="J842" s="121">
        <f>'II-I-TBILLTDCS'!F844</f>
        <v>0</v>
      </c>
      <c r="K842" s="466" t="str">
        <f>'II-I-TBILLTDCS'!$H844</f>
        <v>DIST MAINT</v>
      </c>
      <c r="L842" s="893">
        <f t="shared" si="36"/>
        <v>87974.830000000002</v>
      </c>
      <c r="M842" s="1035" t="s">
        <v>1101</v>
      </c>
    </row>
    <row r="843" spans="2:13" ht="15">
      <c r="B843" s="17">
        <f t="shared" si="37"/>
        <v>27</v>
      </c>
      <c r="C843" s="8"/>
      <c r="D843" s="26" t="s">
        <v>668</v>
      </c>
      <c r="E843" s="922"/>
      <c r="F843" s="896">
        <f>'II-I-DIST'!F845</f>
        <v>54061695.589999996</v>
      </c>
      <c r="G843" s="922"/>
      <c r="H843" s="896">
        <f>'II-I-MET'!F845</f>
        <v>12753554.24</v>
      </c>
      <c r="I843" s="937"/>
      <c r="J843" s="896">
        <f>'II-I-TBILLTDCS'!F845</f>
        <v>0</v>
      </c>
      <c r="K843" s="896"/>
      <c r="L843" s="896">
        <f t="shared" si="36"/>
        <v>66815249.829999998</v>
      </c>
      <c r="M843" s="1035"/>
    </row>
    <row r="844" spans="2:13" ht="15">
      <c r="B844" s="17">
        <f t="shared" si="37"/>
        <v>28</v>
      </c>
      <c r="C844" s="1"/>
      <c r="D844" s="366"/>
      <c r="E844" s="17"/>
      <c r="F844" s="19"/>
      <c r="G844" s="17"/>
      <c r="H844" s="19"/>
      <c r="I844" s="17"/>
      <c r="J844" s="19"/>
      <c r="K844" s="894"/>
      <c r="L844" s="894"/>
      <c r="M844" s="1035"/>
    </row>
    <row r="845" spans="2:13" s="386" customFormat="1" ht="14.25">
      <c r="B845" s="17">
        <f t="shared" si="37"/>
        <v>29</v>
      </c>
      <c r="C845" s="1" t="s">
        <v>208</v>
      </c>
      <c r="D845" s="31" t="s">
        <v>179</v>
      </c>
      <c r="E845" s="17"/>
      <c r="F845" s="118">
        <f>'II-I-DIST'!F847</f>
        <v>1921339.4399999999</v>
      </c>
      <c r="G845" s="118" t="str">
        <f>'II-I-DIST'!H847</f>
        <v>PAY DISTR MNT</v>
      </c>
      <c r="H845" s="118">
        <f>'II-I-MET'!F847</f>
        <v>704407.51000000001</v>
      </c>
      <c r="I845" s="466" t="str">
        <f>'II-I-MET'!$H847</f>
        <v>PAY DISTR MNT</v>
      </c>
      <c r="J845" s="121">
        <f>'II-I-TBILLTDCS'!F847</f>
        <v>0</v>
      </c>
      <c r="K845" s="466" t="str">
        <f>'II-I-TBILLTDCS'!$H847</f>
        <v>PAY DISTR MNT</v>
      </c>
      <c r="L845" s="893">
        <f t="shared" si="36"/>
        <v>2625746.9500000002</v>
      </c>
      <c r="M845" s="1035" t="s">
        <v>1103</v>
      </c>
    </row>
    <row r="846" spans="2:13" ht="15">
      <c r="B846" s="17">
        <f t="shared" si="37"/>
        <v>30</v>
      </c>
      <c r="C846" s="1"/>
      <c r="D846" s="366"/>
      <c r="E846" s="17"/>
      <c r="F846" s="19"/>
      <c r="G846" s="17"/>
      <c r="H846" s="19"/>
      <c r="I846" s="17"/>
      <c r="J846" s="19"/>
      <c r="K846" s="894"/>
      <c r="L846" s="894"/>
      <c r="M846" s="1035"/>
    </row>
    <row r="847" spans="2:13" ht="15">
      <c r="B847" s="17">
        <f t="shared" si="37"/>
        <v>31</v>
      </c>
      <c r="C847" s="1"/>
      <c r="D847" s="366" t="s">
        <v>669</v>
      </c>
      <c r="E847" s="922" t="s">
        <v>279</v>
      </c>
      <c r="F847" s="896">
        <f>'II-I-DIST'!F849</f>
        <v>55983035.029999994</v>
      </c>
      <c r="G847" s="922"/>
      <c r="H847" s="896">
        <f>'II-I-MET'!F849</f>
        <v>13457961.75</v>
      </c>
      <c r="I847" s="937"/>
      <c r="J847" s="896">
        <f>'II-I-TBILLTDCS'!F849</f>
        <v>0</v>
      </c>
      <c r="K847" s="896"/>
      <c r="L847" s="896">
        <f t="shared" si="36"/>
        <v>69440996.780000001</v>
      </c>
      <c r="M847" s="1035"/>
    </row>
    <row r="848" spans="2:13" ht="15.75" thickBot="1">
      <c r="B848" s="17">
        <f t="shared" si="37"/>
        <v>32</v>
      </c>
      <c r="C848" s="1"/>
      <c r="D848" s="366"/>
      <c r="E848" s="17"/>
      <c r="F848" s="19"/>
      <c r="G848" s="17"/>
      <c r="H848" s="19"/>
      <c r="I848" s="17"/>
      <c r="J848" s="19"/>
      <c r="K848" s="894"/>
      <c r="L848" s="894"/>
      <c r="M848" s="1035"/>
    </row>
    <row r="849" spans="2:13" ht="15.75" thickBot="1">
      <c r="B849" s="17">
        <f t="shared" si="37"/>
        <v>33</v>
      </c>
      <c r="C849" s="870" t="s">
        <v>670</v>
      </c>
      <c r="D849" s="1017"/>
      <c r="E849" s="1013" t="s">
        <v>279</v>
      </c>
      <c r="F849" s="1014">
        <f>'II-I-DIST'!F851</f>
        <v>121215400.59</v>
      </c>
      <c r="G849" s="1013"/>
      <c r="H849" s="1014">
        <f>'II-I-MET'!F851</f>
        <v>23072421.229999997</v>
      </c>
      <c r="I849" s="1013"/>
      <c r="J849" s="1014">
        <f>'II-I-TBILLTDCS'!F851</f>
        <v>763.54999999999995</v>
      </c>
      <c r="K849" s="1014"/>
      <c r="L849" s="1053">
        <f t="shared" si="36"/>
        <v>144288585.37000001</v>
      </c>
      <c r="M849" s="1035"/>
    </row>
    <row r="850" spans="2:12" ht="15.75" thickBot="1">
      <c r="B850" s="874"/>
      <c r="C850" s="874"/>
      <c r="D850" s="874"/>
      <c r="E850" s="874"/>
      <c r="F850" s="19"/>
      <c r="G850" s="17"/>
      <c r="H850" s="19"/>
      <c r="I850" s="17"/>
      <c r="J850" s="19"/>
      <c r="K850" s="874"/>
      <c r="L850" s="874"/>
    </row>
    <row r="851" spans="2:12" ht="15">
      <c r="B851" s="920" t="str">
        <f>$B$4</f>
        <v>2022 RATE CASE</v>
      </c>
      <c r="C851" s="926"/>
      <c r="D851" s="927"/>
      <c r="E851" s="874"/>
      <c r="F851" s="12"/>
      <c r="G851" s="134"/>
      <c r="H851" s="12"/>
      <c r="I851" s="134"/>
      <c r="J851" s="12"/>
      <c r="K851" s="874"/>
      <c r="L851" s="874"/>
    </row>
    <row r="852" spans="2:12" ht="15">
      <c r="B852" s="917" t="str">
        <f>$B$5</f>
        <v>ONCOR ELECTRIC DELIVERY COMPANY LLC</v>
      </c>
      <c r="C852" s="369"/>
      <c r="D852" s="928"/>
      <c r="E852" s="874"/>
      <c r="F852" s="12"/>
      <c r="H852" s="12"/>
      <c r="J852" s="12"/>
      <c r="K852" s="874"/>
      <c r="L852" s="874"/>
    </row>
    <row r="853" spans="2:12" ht="15">
      <c r="B853" s="406" t="str">
        <f>$B$6</f>
        <v>II-I-2.1f:  CONSOLIDATED FUNCTIONALIZED COST OF SERVICE</v>
      </c>
      <c r="C853" s="369"/>
      <c r="D853" s="928"/>
      <c r="E853" s="874"/>
      <c r="F853" s="12"/>
      <c r="H853" s="12"/>
      <c r="J853" s="12"/>
      <c r="K853" s="874"/>
      <c r="L853" s="874"/>
    </row>
    <row r="854" spans="2:12" ht="15">
      <c r="B854" s="406" t="str">
        <f>$B$7</f>
        <v>TEST YEAR ENDING 12/31/2021</v>
      </c>
      <c r="C854" s="369"/>
      <c r="D854" s="928"/>
      <c r="E854" s="874"/>
      <c r="F854" s="12"/>
      <c r="H854" s="12"/>
      <c r="J854" s="12"/>
      <c r="K854" s="874"/>
      <c r="L854" s="874"/>
    </row>
    <row r="855" spans="2:10" ht="15.75">
      <c r="B855" s="406" t="str">
        <f>$B$8</f>
        <v>SPONSOR:  MATTHEW A. TROXLE</v>
      </c>
      <c r="C855" s="840"/>
      <c r="D855" s="921"/>
      <c r="E855" s="67"/>
      <c r="F855" s="12"/>
      <c r="H855" s="12"/>
      <c r="J855" s="12"/>
    </row>
    <row r="856" spans="2:12" ht="15.75" thickBot="1">
      <c r="B856" s="410"/>
      <c r="C856" s="931"/>
      <c r="D856" s="932"/>
      <c r="E856" s="369"/>
      <c r="F856" s="12"/>
      <c r="H856" s="12"/>
      <c r="J856" s="12"/>
      <c r="K856" s="369"/>
      <c r="L856" s="369"/>
    </row>
    <row r="857" spans="2:13" ht="14.25">
      <c r="B857" s="13"/>
      <c r="C857" s="14"/>
      <c r="D857" s="238"/>
      <c r="E857" s="14"/>
      <c r="F857" s="13"/>
      <c r="G857" s="14"/>
      <c r="H857" s="13"/>
      <c r="I857" s="14"/>
      <c r="J857" s="13"/>
      <c r="K857" s="738"/>
      <c r="L857" s="952"/>
      <c r="M857" s="1036"/>
    </row>
    <row r="858" spans="2:13" ht="15">
      <c r="B858" s="15" t="s">
        <v>2</v>
      </c>
      <c r="C858" s="15" t="s">
        <v>370</v>
      </c>
      <c r="D858" s="241" t="s">
        <v>671</v>
      </c>
      <c r="E858" s="15" t="s">
        <v>371</v>
      </c>
      <c r="F858" s="287" t="str">
        <f>'II-I-DIST'!F860</f>
        <v>DIST</v>
      </c>
      <c r="G858" s="242" t="s">
        <v>376</v>
      </c>
      <c r="H858" s="287" t="str">
        <f>'II-I-MET'!F860</f>
        <v>MET</v>
      </c>
      <c r="I858" s="242" t="s">
        <v>376</v>
      </c>
      <c r="J858" s="287" t="str">
        <f>'II-I-TBILLTDCS'!F860</f>
        <v>TBILLTDCS</v>
      </c>
      <c r="K858" s="743" t="s">
        <v>376</v>
      </c>
      <c r="L858" s="743" t="s">
        <v>481</v>
      </c>
      <c r="M858" s="1030" t="s">
        <v>1046</v>
      </c>
    </row>
    <row r="859" spans="2:13" ht="14.25">
      <c r="B859" s="15"/>
      <c r="C859" s="15"/>
      <c r="D859" s="242"/>
      <c r="E859" s="15"/>
      <c r="F859" s="15"/>
      <c r="G859" s="242" t="s">
        <v>743</v>
      </c>
      <c r="H859" s="15"/>
      <c r="I859" s="242" t="s">
        <v>743</v>
      </c>
      <c r="J859" s="15"/>
      <c r="K859" s="743" t="s">
        <v>743</v>
      </c>
      <c r="L859" s="743" t="s">
        <v>33</v>
      </c>
      <c r="M859" s="1037"/>
    </row>
    <row r="860" spans="2:13" ht="15.75" thickBot="1">
      <c r="B860" s="243"/>
      <c r="C860" s="957"/>
      <c r="D860" s="245"/>
      <c r="E860" s="245"/>
      <c r="F860" s="747" t="s">
        <v>13</v>
      </c>
      <c r="G860" s="747" t="s">
        <v>14</v>
      </c>
      <c r="H860" s="747" t="s">
        <v>15</v>
      </c>
      <c r="I860" s="747" t="s">
        <v>16</v>
      </c>
      <c r="J860" s="747" t="s">
        <v>17</v>
      </c>
      <c r="K860" s="747" t="s">
        <v>18</v>
      </c>
      <c r="L860" s="747" t="s">
        <v>19</v>
      </c>
      <c r="M860" s="1032" t="s">
        <v>1137</v>
      </c>
    </row>
    <row r="861" spans="2:13" ht="14.25">
      <c r="B861" s="67"/>
      <c r="C861" s="100"/>
      <c r="D861" s="100"/>
      <c r="E861" s="315"/>
      <c r="F861" s="373"/>
      <c r="G861" s="315"/>
      <c r="H861" s="373"/>
      <c r="I861" s="315"/>
      <c r="J861" s="387"/>
      <c r="K861" s="730"/>
      <c r="L861" s="730"/>
      <c r="M861" s="1035"/>
    </row>
    <row r="862" spans="2:13" ht="15">
      <c r="B862" s="17">
        <f t="shared" si="38" ref="B862:B900">B861+1</f>
        <v>1</v>
      </c>
      <c r="C862" s="8"/>
      <c r="D862" s="366" t="s">
        <v>283</v>
      </c>
      <c r="E862" s="922" t="s">
        <v>279</v>
      </c>
      <c r="F862" s="896"/>
      <c r="G862" s="922"/>
      <c r="H862" s="896"/>
      <c r="I862" s="922"/>
      <c r="J862" s="896"/>
      <c r="K862" s="8"/>
      <c r="L862" s="8"/>
      <c r="M862" s="1035"/>
    </row>
    <row r="863" spans="2:13" s="386" customFormat="1" ht="28.5">
      <c r="B863" s="17">
        <f t="shared" si="38"/>
        <v>2</v>
      </c>
      <c r="C863" s="1" t="s">
        <v>224</v>
      </c>
      <c r="D863" s="1" t="s">
        <v>225</v>
      </c>
      <c r="E863" s="17"/>
      <c r="F863" s="118">
        <f>'II-I-DIST'!F865</f>
        <v>0</v>
      </c>
      <c r="G863" s="118" t="str">
        <f>'II-I-DIST'!H865</f>
        <v>CUS W ALL</v>
      </c>
      <c r="H863" s="118">
        <f>'II-I-MET'!F865</f>
        <v>0</v>
      </c>
      <c r="I863" s="466" t="str">
        <f>'II-I-MET'!$H865</f>
        <v>CUS W ALL</v>
      </c>
      <c r="J863" s="121">
        <f>'II-I-TBILLTDCS'!F865</f>
        <v>0</v>
      </c>
      <c r="K863" s="466" t="str">
        <f>'II-I-TBILLTDCS'!$H865</f>
        <v>CUS W ALL</v>
      </c>
      <c r="L863" s="893">
        <f t="shared" si="39" ref="L863:L919">F863+H863+J863</f>
        <v>0</v>
      </c>
      <c r="M863" s="1035" t="s">
        <v>1104</v>
      </c>
    </row>
    <row r="864" spans="2:13" s="386" customFormat="1" ht="28.5">
      <c r="B864" s="17">
        <f t="shared" si="38"/>
        <v>3</v>
      </c>
      <c r="C864" s="1" t="s">
        <v>226</v>
      </c>
      <c r="D864" s="1" t="s">
        <v>227</v>
      </c>
      <c r="E864" s="17"/>
      <c r="F864" s="118">
        <f>'II-I-DIST'!F866</f>
        <v>10733.690000000001</v>
      </c>
      <c r="G864" s="118" t="str">
        <f>'II-I-DIST'!H866</f>
        <v>CUS W ALL</v>
      </c>
      <c r="H864" s="118">
        <f>'II-I-MET'!F866</f>
        <v>8003098.5999999996</v>
      </c>
      <c r="I864" s="466" t="str">
        <f>'II-I-MET'!$H866</f>
        <v>CUS W ALL</v>
      </c>
      <c r="J864" s="121">
        <f>'II-I-TBILLTDCS'!F866</f>
        <v>1248666.01</v>
      </c>
      <c r="K864" s="466" t="str">
        <f>'II-I-TBILLTDCS'!$H866</f>
        <v>CUS W ALL</v>
      </c>
      <c r="L864" s="893">
        <f t="shared" si="39"/>
        <v>9262498.3000000007</v>
      </c>
      <c r="M864" s="1035" t="s">
        <v>1104</v>
      </c>
    </row>
    <row r="865" spans="2:13" ht="15">
      <c r="B865" s="17">
        <f t="shared" si="38"/>
        <v>4</v>
      </c>
      <c r="C865" s="8"/>
      <c r="D865" s="26" t="s">
        <v>649</v>
      </c>
      <c r="E865" s="922"/>
      <c r="F865" s="896">
        <f>'II-I-DIST'!F867</f>
        <v>10733.690000000001</v>
      </c>
      <c r="G865" s="922"/>
      <c r="H865" s="896">
        <f>'II-I-MET'!F867</f>
        <v>8003098.5999999996</v>
      </c>
      <c r="I865" s="922"/>
      <c r="J865" s="896">
        <f>'II-I-TBILLTDCS'!F867</f>
        <v>1248666.01</v>
      </c>
      <c r="K865" s="896"/>
      <c r="L865" s="896">
        <f t="shared" si="39"/>
        <v>9262498.3000000007</v>
      </c>
      <c r="M865" s="1035"/>
    </row>
    <row r="866" spans="2:13" ht="15">
      <c r="B866" s="17">
        <f t="shared" si="38"/>
        <v>5</v>
      </c>
      <c r="C866" s="1"/>
      <c r="D866" s="26"/>
      <c r="E866" s="17"/>
      <c r="F866" s="19"/>
      <c r="G866" s="17"/>
      <c r="H866" s="19"/>
      <c r="I866" s="17"/>
      <c r="J866" s="19"/>
      <c r="K866" s="894"/>
      <c r="L866" s="894"/>
      <c r="M866" s="1035"/>
    </row>
    <row r="867" spans="2:13" s="386" customFormat="1" ht="28.5">
      <c r="B867" s="17">
        <f t="shared" si="38"/>
        <v>6</v>
      </c>
      <c r="C867" s="1" t="s">
        <v>222</v>
      </c>
      <c r="D867" s="1" t="s">
        <v>223</v>
      </c>
      <c r="E867" s="17"/>
      <c r="F867" s="118">
        <f>'II-I-DIST'!F869</f>
        <v>114.29000000000001</v>
      </c>
      <c r="G867" s="118" t="str">
        <f>'II-I-DIST'!H869</f>
        <v>CUS W ALL</v>
      </c>
      <c r="H867" s="118">
        <f>'II-I-MET'!F869</f>
        <v>9828.9400000000005</v>
      </c>
      <c r="I867" s="466" t="str">
        <f>'II-I-MET'!$H869</f>
        <v>PAY CUS ACCT</v>
      </c>
      <c r="J867" s="121">
        <f>'II-I-TBILLTDCS'!F869</f>
        <v>1485.77</v>
      </c>
      <c r="K867" s="466" t="str">
        <f>'II-I-TBILLTDCS'!$H869</f>
        <v>PAY CUS ACCT</v>
      </c>
      <c r="L867" s="893">
        <f t="shared" si="39"/>
        <v>11429.000000000002</v>
      </c>
      <c r="M867" s="1035" t="s">
        <v>1104</v>
      </c>
    </row>
    <row r="868" spans="2:13" s="386" customFormat="1" ht="14.25">
      <c r="B868" s="17">
        <f t="shared" si="38"/>
        <v>7</v>
      </c>
      <c r="C868" s="1" t="s">
        <v>228</v>
      </c>
      <c r="D868" s="1" t="s">
        <v>229</v>
      </c>
      <c r="E868" s="17"/>
      <c r="F868" s="118">
        <f>'II-I-DIST'!F870</f>
        <v>0</v>
      </c>
      <c r="G868" s="118" t="str">
        <f>'II-I-DIST'!H870</f>
        <v>REVENUE</v>
      </c>
      <c r="H868" s="118">
        <f>'II-I-MET'!F870</f>
        <v>0</v>
      </c>
      <c r="I868" s="466" t="str">
        <f>'II-I-MET'!$H870</f>
        <v>REVENUE</v>
      </c>
      <c r="J868" s="121">
        <f>'II-I-TBILLTDCS'!F870</f>
        <v>0</v>
      </c>
      <c r="K868" s="466" t="str">
        <f>'II-I-TBILLTDCS'!$H870</f>
        <v>REVENUE</v>
      </c>
      <c r="L868" s="893">
        <f t="shared" si="39"/>
        <v>0</v>
      </c>
      <c r="M868" s="1035"/>
    </row>
    <row r="869" spans="2:13" s="386" customFormat="1" ht="14.25">
      <c r="B869" s="17">
        <f t="shared" si="38"/>
        <v>8</v>
      </c>
      <c r="C869" s="1" t="s">
        <v>230</v>
      </c>
      <c r="D869" s="31" t="s">
        <v>231</v>
      </c>
      <c r="E869" s="17"/>
      <c r="F869" s="118">
        <f>'II-I-DIST'!F871</f>
        <v>0</v>
      </c>
      <c r="G869" s="118" t="str">
        <f>'II-I-DIST'!H871</f>
        <v>PAY CUS ACCT</v>
      </c>
      <c r="H869" s="118">
        <f>'II-I-MET'!F871</f>
        <v>0</v>
      </c>
      <c r="I869" s="466" t="str">
        <f>'II-I-MET'!$H871</f>
        <v>PAY CUS ACCT</v>
      </c>
      <c r="J869" s="121">
        <f>'II-I-TBILLTDCS'!F871</f>
        <v>0</v>
      </c>
      <c r="K869" s="466" t="str">
        <f>'II-I-TBILLTDCS'!$H871</f>
        <v>PAY CUS ACCT</v>
      </c>
      <c r="L869" s="893">
        <f t="shared" si="39"/>
        <v>0</v>
      </c>
      <c r="M869" s="1035"/>
    </row>
    <row r="870" spans="2:13" ht="15">
      <c r="B870" s="17">
        <f t="shared" si="38"/>
        <v>9</v>
      </c>
      <c r="C870" s="8"/>
      <c r="D870" s="26" t="s">
        <v>672</v>
      </c>
      <c r="E870" s="922"/>
      <c r="F870" s="896">
        <f>'II-I-DIST'!F872</f>
        <v>114.29000000000001</v>
      </c>
      <c r="G870" s="922"/>
      <c r="H870" s="896">
        <f>'II-I-MET'!F872</f>
        <v>9828.9400000000005</v>
      </c>
      <c r="I870" s="922"/>
      <c r="J870" s="896">
        <f>'II-I-TBILLTDCS'!F872</f>
        <v>1485.77</v>
      </c>
      <c r="K870" s="896"/>
      <c r="L870" s="896">
        <f t="shared" si="39"/>
        <v>11429.000000000002</v>
      </c>
      <c r="M870" s="1035"/>
    </row>
    <row r="871" spans="2:13" ht="15">
      <c r="B871" s="17">
        <f t="shared" si="38"/>
        <v>10</v>
      </c>
      <c r="C871" s="1"/>
      <c r="D871" s="26"/>
      <c r="E871" s="17"/>
      <c r="F871" s="19"/>
      <c r="G871" s="17"/>
      <c r="H871" s="19"/>
      <c r="I871" s="17"/>
      <c r="J871" s="19"/>
      <c r="K871" s="894"/>
      <c r="L871" s="894"/>
      <c r="M871" s="1035"/>
    </row>
    <row r="872" spans="2:13" ht="15">
      <c r="B872" s="17">
        <f t="shared" si="38"/>
        <v>11</v>
      </c>
      <c r="C872" s="8"/>
      <c r="D872" s="297" t="s">
        <v>673</v>
      </c>
      <c r="E872" s="922"/>
      <c r="F872" s="896">
        <f>'II-I-DIST'!F874</f>
        <v>10847.980000000001</v>
      </c>
      <c r="G872" s="922"/>
      <c r="H872" s="896">
        <f>'II-I-MET'!F874</f>
        <v>8012927.54</v>
      </c>
      <c r="I872" s="922"/>
      <c r="J872" s="896">
        <f>'II-I-TBILLTDCS'!F874</f>
        <v>1250151.78</v>
      </c>
      <c r="K872" s="896"/>
      <c r="L872" s="896">
        <f t="shared" si="39"/>
        <v>9273927.3000000007</v>
      </c>
      <c r="M872" s="1035"/>
    </row>
    <row r="873" spans="2:13" ht="14.25">
      <c r="B873" s="17">
        <f t="shared" si="38"/>
        <v>12</v>
      </c>
      <c r="C873" s="1"/>
      <c r="D873" s="1"/>
      <c r="E873" s="17"/>
      <c r="F873" s="19"/>
      <c r="G873" s="17"/>
      <c r="H873" s="19"/>
      <c r="I873" s="17"/>
      <c r="J873" s="19"/>
      <c r="K873" s="894"/>
      <c r="L873" s="894"/>
      <c r="M873" s="1035"/>
    </row>
    <row r="874" spans="2:13" ht="15">
      <c r="B874" s="17">
        <f t="shared" si="38"/>
        <v>13</v>
      </c>
      <c r="C874" s="8"/>
      <c r="D874" s="366" t="s">
        <v>674</v>
      </c>
      <c r="E874" s="922" t="s">
        <v>279</v>
      </c>
      <c r="F874" s="896"/>
      <c r="G874" s="922"/>
      <c r="H874" s="896"/>
      <c r="I874" s="922"/>
      <c r="J874" s="896"/>
      <c r="K874" s="896"/>
      <c r="L874" s="896"/>
      <c r="M874" s="1035"/>
    </row>
    <row r="875" spans="2:13" s="386" customFormat="1" ht="14.25">
      <c r="B875" s="17">
        <f t="shared" si="38"/>
        <v>14</v>
      </c>
      <c r="C875" s="1" t="s">
        <v>233</v>
      </c>
      <c r="D875" s="1" t="s">
        <v>234</v>
      </c>
      <c r="E875" s="17"/>
      <c r="F875" s="118">
        <f>'II-I-DIST'!F877</f>
        <v>0</v>
      </c>
      <c r="G875" s="118" t="str">
        <f>'II-I-DIST'!H877</f>
        <v>CUS U ALL</v>
      </c>
      <c r="H875" s="118">
        <f>'II-I-MET'!F877</f>
        <v>0</v>
      </c>
      <c r="I875" s="466" t="str">
        <f>'II-I-MET'!$H877</f>
        <v>CUS U ALL</v>
      </c>
      <c r="J875" s="121">
        <f>'II-I-TBILLTDCS'!F877</f>
        <v>0</v>
      </c>
      <c r="K875" s="466" t="str">
        <f>'II-I-TBILLTDCS'!$H877</f>
        <v>CUS U ALL</v>
      </c>
      <c r="L875" s="893">
        <f t="shared" si="39"/>
        <v>0</v>
      </c>
      <c r="M875" s="1035"/>
    </row>
    <row r="876" spans="2:13" s="386" customFormat="1" ht="28.5">
      <c r="B876" s="17">
        <f t="shared" si="38"/>
        <v>15</v>
      </c>
      <c r="C876" s="1" t="s">
        <v>236</v>
      </c>
      <c r="D876" s="31" t="s">
        <v>237</v>
      </c>
      <c r="E876" s="17"/>
      <c r="F876" s="118">
        <f>'II-I-DIST'!F878</f>
        <v>0</v>
      </c>
      <c r="G876" s="118" t="str">
        <f>'II-I-DIST'!H878</f>
        <v>CUS U ALL</v>
      </c>
      <c r="H876" s="118">
        <f>'II-I-MET'!F878</f>
        <v>0</v>
      </c>
      <c r="I876" s="466" t="str">
        <f>'II-I-MET'!$H878</f>
        <v>CUS U ALL</v>
      </c>
      <c r="J876" s="121">
        <f>'II-I-TBILLTDCS'!F878</f>
        <v>0</v>
      </c>
      <c r="K876" s="466" t="str">
        <f>'II-I-TBILLTDCS'!$H878</f>
        <v>CUS U ALL</v>
      </c>
      <c r="L876" s="893">
        <f t="shared" si="39"/>
        <v>0</v>
      </c>
      <c r="M876" s="1035" t="s">
        <v>1105</v>
      </c>
    </row>
    <row r="877" spans="2:13" s="386" customFormat="1" ht="14.25">
      <c r="B877" s="17">
        <f t="shared" si="38"/>
        <v>16</v>
      </c>
      <c r="C877" s="1" t="s">
        <v>238</v>
      </c>
      <c r="D877" s="1" t="s">
        <v>239</v>
      </c>
      <c r="E877" s="17"/>
      <c r="F877" s="118">
        <f>'II-I-DIST'!F879</f>
        <v>0</v>
      </c>
      <c r="G877" s="118" t="str">
        <f>'II-I-DIST'!H879</f>
        <v>CUS U ALL</v>
      </c>
      <c r="H877" s="118">
        <f>'II-I-MET'!F879</f>
        <v>0</v>
      </c>
      <c r="I877" s="466" t="str">
        <f>'II-I-MET'!$H879</f>
        <v>CUS U ALL</v>
      </c>
      <c r="J877" s="121">
        <f>'II-I-TBILLTDCS'!F879</f>
        <v>0</v>
      </c>
      <c r="K877" s="466" t="str">
        <f>'II-I-TBILLTDCS'!$H879</f>
        <v>CUS U ALL</v>
      </c>
      <c r="L877" s="893">
        <f t="shared" si="39"/>
        <v>0</v>
      </c>
      <c r="M877" s="1035"/>
    </row>
    <row r="878" spans="2:13" ht="15">
      <c r="B878" s="17">
        <f t="shared" si="38"/>
        <v>17</v>
      </c>
      <c r="C878" s="8"/>
      <c r="D878" s="26" t="s">
        <v>675</v>
      </c>
      <c r="E878" s="922"/>
      <c r="F878" s="896">
        <f>'II-I-DIST'!F880</f>
        <v>0</v>
      </c>
      <c r="G878" s="922"/>
      <c r="H878" s="896">
        <f>'II-I-MET'!F880</f>
        <v>0</v>
      </c>
      <c r="I878" s="922"/>
      <c r="J878" s="896">
        <f>'II-I-TBILLTDCS'!F880</f>
        <v>0</v>
      </c>
      <c r="K878" s="896"/>
      <c r="L878" s="896">
        <f t="shared" si="39"/>
        <v>0</v>
      </c>
      <c r="M878" s="1035"/>
    </row>
    <row r="879" spans="2:13" ht="14.25">
      <c r="B879" s="17">
        <f t="shared" si="38"/>
        <v>18</v>
      </c>
      <c r="C879" s="1"/>
      <c r="D879" s="1"/>
      <c r="E879" s="17"/>
      <c r="F879" s="19"/>
      <c r="G879" s="17"/>
      <c r="H879" s="19"/>
      <c r="I879" s="17"/>
      <c r="J879" s="19"/>
      <c r="K879" s="894"/>
      <c r="L879" s="894"/>
      <c r="M879" s="1035"/>
    </row>
    <row r="880" spans="2:13" s="386" customFormat="1" ht="14.25">
      <c r="B880" s="17">
        <f t="shared" si="38"/>
        <v>19</v>
      </c>
      <c r="C880" s="1" t="s">
        <v>235</v>
      </c>
      <c r="D880" s="1" t="s">
        <v>223</v>
      </c>
      <c r="E880" s="17"/>
      <c r="F880" s="118">
        <f>'II-I-DIST'!F882</f>
        <v>0</v>
      </c>
      <c r="G880" s="118" t="str">
        <f>'II-I-DIST'!H882</f>
        <v>PAY CUS SV INF</v>
      </c>
      <c r="H880" s="118">
        <f>'II-I-MET'!F882</f>
        <v>0</v>
      </c>
      <c r="I880" s="466" t="str">
        <f>'II-I-MET'!$H882</f>
        <v>PAY CUS SV INF</v>
      </c>
      <c r="J880" s="121">
        <f>'II-I-TBILLTDCS'!F882</f>
        <v>0</v>
      </c>
      <c r="K880" s="466" t="str">
        <f>'II-I-TBILLTDCS'!$H882</f>
        <v>PAY CUS SV INF</v>
      </c>
      <c r="L880" s="893">
        <f t="shared" si="39"/>
        <v>0</v>
      </c>
      <c r="M880" s="1035"/>
    </row>
    <row r="881" spans="2:13" s="386" customFormat="1" ht="14.25">
      <c r="B881" s="17">
        <f t="shared" si="38"/>
        <v>20</v>
      </c>
      <c r="C881" s="1" t="s">
        <v>240</v>
      </c>
      <c r="D881" s="1" t="s">
        <v>676</v>
      </c>
      <c r="E881" s="17"/>
      <c r="F881" s="118">
        <f>'II-I-DIST'!F883</f>
        <v>0</v>
      </c>
      <c r="G881" s="118" t="str">
        <f>'II-I-DIST'!H883</f>
        <v>PAY CUS SV INF</v>
      </c>
      <c r="H881" s="118">
        <f>'II-I-MET'!F883</f>
        <v>0</v>
      </c>
      <c r="I881" s="466" t="str">
        <f>'II-I-MET'!$H883</f>
        <v>PAY CUS SV INF</v>
      </c>
      <c r="J881" s="121">
        <f>'II-I-TBILLTDCS'!F883</f>
        <v>0</v>
      </c>
      <c r="K881" s="466" t="str">
        <f>'II-I-TBILLTDCS'!$H883</f>
        <v>PAY CUS SV INF</v>
      </c>
      <c r="L881" s="893">
        <f t="shared" si="39"/>
        <v>0</v>
      </c>
      <c r="M881" s="1035"/>
    </row>
    <row r="882" spans="2:13" ht="15">
      <c r="B882" s="17">
        <f t="shared" si="38"/>
        <v>21</v>
      </c>
      <c r="C882" s="8"/>
      <c r="D882" s="26" t="s">
        <v>677</v>
      </c>
      <c r="E882" s="922"/>
      <c r="F882" s="896">
        <f>'II-I-DIST'!F884</f>
        <v>0</v>
      </c>
      <c r="G882" s="922"/>
      <c r="H882" s="896">
        <f>'II-I-MET'!F884</f>
        <v>0</v>
      </c>
      <c r="I882" s="922"/>
      <c r="J882" s="896">
        <f>'II-I-TBILLTDCS'!F884</f>
        <v>0</v>
      </c>
      <c r="K882" s="896"/>
      <c r="L882" s="896">
        <f t="shared" si="39"/>
        <v>0</v>
      </c>
      <c r="M882" s="1035"/>
    </row>
    <row r="883" spans="2:13" ht="14.25">
      <c r="B883" s="17">
        <f t="shared" si="38"/>
        <v>22</v>
      </c>
      <c r="C883" s="1"/>
      <c r="D883" s="1"/>
      <c r="E883" s="17"/>
      <c r="F883" s="19"/>
      <c r="G883" s="17"/>
      <c r="H883" s="19"/>
      <c r="I883" s="17"/>
      <c r="J883" s="19"/>
      <c r="K883" s="894"/>
      <c r="L883" s="894"/>
      <c r="M883" s="1035"/>
    </row>
    <row r="884" spans="2:13" ht="15">
      <c r="B884" s="17">
        <f t="shared" si="38"/>
        <v>23</v>
      </c>
      <c r="C884" s="8"/>
      <c r="D884" s="297" t="s">
        <v>678</v>
      </c>
      <c r="E884" s="922"/>
      <c r="F884" s="896">
        <f>'II-I-DIST'!F886</f>
        <v>0</v>
      </c>
      <c r="G884" s="922"/>
      <c r="H884" s="896">
        <f>'II-I-MET'!F886</f>
        <v>0</v>
      </c>
      <c r="I884" s="922"/>
      <c r="J884" s="896">
        <f>'II-I-TBILLTDCS'!F886</f>
        <v>0</v>
      </c>
      <c r="K884" s="896"/>
      <c r="L884" s="896">
        <f t="shared" si="39"/>
        <v>0</v>
      </c>
      <c r="M884" s="1035"/>
    </row>
    <row r="885" spans="2:13" ht="14.25">
      <c r="B885" s="17">
        <f t="shared" si="38"/>
        <v>24</v>
      </c>
      <c r="C885" s="1"/>
      <c r="D885" s="1"/>
      <c r="E885" s="17"/>
      <c r="F885" s="19"/>
      <c r="G885" s="17"/>
      <c r="H885" s="19"/>
      <c r="I885" s="17"/>
      <c r="J885" s="19"/>
      <c r="K885" s="894"/>
      <c r="L885" s="894"/>
      <c r="M885" s="1035"/>
    </row>
    <row r="886" spans="2:13" ht="15">
      <c r="B886" s="17">
        <f t="shared" si="38"/>
        <v>25</v>
      </c>
      <c r="C886" s="8"/>
      <c r="D886" s="368" t="s">
        <v>285</v>
      </c>
      <c r="E886" s="922" t="s">
        <v>279</v>
      </c>
      <c r="F886" s="896">
        <f>'II-I-DIST'!F888</f>
        <v>0</v>
      </c>
      <c r="G886" s="922"/>
      <c r="H886" s="896">
        <f>'II-I-MET'!F888</f>
        <v>0</v>
      </c>
      <c r="I886" s="922"/>
      <c r="J886" s="896">
        <f>'II-I-TBILLTDCS'!F888</f>
        <v>0</v>
      </c>
      <c r="K886" s="896"/>
      <c r="L886" s="896">
        <f t="shared" si="39"/>
        <v>0</v>
      </c>
      <c r="M886" s="1035"/>
    </row>
    <row r="887" spans="2:13" s="386" customFormat="1" ht="14.25">
      <c r="B887" s="17">
        <f t="shared" si="38"/>
        <v>26</v>
      </c>
      <c r="C887" s="1" t="s">
        <v>244</v>
      </c>
      <c r="D887" s="51" t="s">
        <v>679</v>
      </c>
      <c r="E887" s="17"/>
      <c r="F887" s="118">
        <f>'II-I-DIST'!F889</f>
        <v>0</v>
      </c>
      <c r="G887" s="118" t="str">
        <f>'II-I-DIST'!H889</f>
        <v>CUS U ALL</v>
      </c>
      <c r="H887" s="118">
        <f>'II-I-MET'!F889</f>
        <v>0</v>
      </c>
      <c r="I887" s="466" t="str">
        <f>'II-I-MET'!$H889</f>
        <v>CUS U ALL</v>
      </c>
      <c r="J887" s="121">
        <f>'II-I-TBILLTDCS'!F889</f>
        <v>0</v>
      </c>
      <c r="K887" s="466" t="str">
        <f>'II-I-TBILLTDCS'!$H889</f>
        <v>CUS U ALL</v>
      </c>
      <c r="L887" s="893">
        <f t="shared" si="39"/>
        <v>0</v>
      </c>
      <c r="M887" s="1035"/>
    </row>
    <row r="888" spans="2:13" s="386" customFormat="1" ht="14.25">
      <c r="B888" s="17">
        <f t="shared" si="38"/>
        <v>27</v>
      </c>
      <c r="C888" s="1" t="s">
        <v>246</v>
      </c>
      <c r="D888" s="51" t="s">
        <v>680</v>
      </c>
      <c r="E888" s="17"/>
      <c r="F888" s="118">
        <f>'II-I-DIST'!F890</f>
        <v>0</v>
      </c>
      <c r="G888" s="118" t="str">
        <f>'II-I-DIST'!H890</f>
        <v>CUS U ALL</v>
      </c>
      <c r="H888" s="118">
        <f>'II-I-MET'!F890</f>
        <v>0</v>
      </c>
      <c r="I888" s="466" t="str">
        <f>'II-I-MET'!$H890</f>
        <v>CUS U ALL</v>
      </c>
      <c r="J888" s="121">
        <f>'II-I-TBILLTDCS'!F890</f>
        <v>0</v>
      </c>
      <c r="K888" s="466" t="str">
        <f>'II-I-TBILLTDCS'!$H890</f>
        <v>CUS U ALL</v>
      </c>
      <c r="L888" s="893">
        <f t="shared" si="39"/>
        <v>0</v>
      </c>
      <c r="M888" s="1035"/>
    </row>
    <row r="889" spans="2:13" s="386" customFormat="1" ht="14.25">
      <c r="B889" s="17">
        <f t="shared" si="38"/>
        <v>28</v>
      </c>
      <c r="C889" s="1" t="s">
        <v>250</v>
      </c>
      <c r="D889" s="51" t="s">
        <v>242</v>
      </c>
      <c r="E889" s="17"/>
      <c r="F889" s="118">
        <f>'II-I-DIST'!F891</f>
        <v>0</v>
      </c>
      <c r="G889" s="118" t="str">
        <f>'II-I-DIST'!H891</f>
        <v>CUS U ALL</v>
      </c>
      <c r="H889" s="118">
        <f>'II-I-MET'!F891</f>
        <v>0</v>
      </c>
      <c r="I889" s="466" t="str">
        <f>'II-I-MET'!$H891</f>
        <v>CUS U ALL</v>
      </c>
      <c r="J889" s="121">
        <f>'II-I-TBILLTDCS'!F891</f>
        <v>0</v>
      </c>
      <c r="K889" s="466" t="str">
        <f>'II-I-TBILLTDCS'!$H891</f>
        <v>CUS U ALL</v>
      </c>
      <c r="L889" s="893">
        <f t="shared" si="39"/>
        <v>0</v>
      </c>
      <c r="M889" s="1035"/>
    </row>
    <row r="890" spans="2:13" s="386" customFormat="1" ht="15">
      <c r="B890" s="17">
        <f t="shared" si="38"/>
        <v>29</v>
      </c>
      <c r="C890" s="8"/>
      <c r="D890" s="297" t="s">
        <v>681</v>
      </c>
      <c r="E890" s="922"/>
      <c r="F890" s="896">
        <f>'II-I-DIST'!F892</f>
        <v>0</v>
      </c>
      <c r="G890" s="922"/>
      <c r="H890" s="896">
        <f>'II-I-MET'!F892</f>
        <v>0</v>
      </c>
      <c r="I890" s="922"/>
      <c r="J890" s="896">
        <f>'II-I-TBILLTDCS'!F892</f>
        <v>0</v>
      </c>
      <c r="K890" s="896"/>
      <c r="L890" s="896">
        <f t="shared" si="39"/>
        <v>0</v>
      </c>
      <c r="M890" s="1035"/>
    </row>
    <row r="891" spans="2:13" ht="15">
      <c r="B891" s="17">
        <f t="shared" si="38"/>
        <v>30</v>
      </c>
      <c r="C891" s="1"/>
      <c r="D891" s="297"/>
      <c r="E891" s="17"/>
      <c r="F891" s="19"/>
      <c r="G891" s="17"/>
      <c r="H891" s="19"/>
      <c r="I891" s="17"/>
      <c r="J891" s="19"/>
      <c r="K891" s="894"/>
      <c r="L891" s="894">
        <f t="shared" si="39"/>
        <v>0</v>
      </c>
      <c r="M891" s="1035"/>
    </row>
    <row r="892" spans="2:13" s="386" customFormat="1" ht="14.25">
      <c r="B892" s="17">
        <f t="shared" si="38"/>
        <v>31</v>
      </c>
      <c r="C892" s="1" t="s">
        <v>243</v>
      </c>
      <c r="D892" s="51" t="s">
        <v>223</v>
      </c>
      <c r="E892" s="17"/>
      <c r="F892" s="118">
        <f>'II-I-DIST'!F894</f>
        <v>0</v>
      </c>
      <c r="G892" s="118" t="str">
        <f>'II-I-DIST'!H894</f>
        <v>CUS U ALL</v>
      </c>
      <c r="H892" s="118">
        <f>'II-I-MET'!F894</f>
        <v>0</v>
      </c>
      <c r="I892" s="466" t="str">
        <f>'II-I-MET'!$H894</f>
        <v>CUS U ALL</v>
      </c>
      <c r="J892" s="121">
        <f>'II-I-TBILLTDCS'!F894</f>
        <v>0</v>
      </c>
      <c r="K892" s="466" t="str">
        <f>'II-I-TBILLTDCS'!$H894</f>
        <v>CUS U ALL</v>
      </c>
      <c r="L892" s="893">
        <f t="shared" si="39"/>
        <v>0</v>
      </c>
      <c r="M892" s="1035"/>
    </row>
    <row r="893" spans="2:13" s="386" customFormat="1" ht="14.25">
      <c r="B893" s="17">
        <f t="shared" si="38"/>
        <v>32</v>
      </c>
      <c r="C893" s="1" t="s">
        <v>248</v>
      </c>
      <c r="D893" s="51" t="s">
        <v>682</v>
      </c>
      <c r="E893" s="17"/>
      <c r="F893" s="118">
        <f>'II-I-DIST'!F895</f>
        <v>0</v>
      </c>
      <c r="G893" s="118" t="str">
        <f>'II-I-DIST'!H895</f>
        <v>CUS U ALL</v>
      </c>
      <c r="H893" s="118">
        <f>'II-I-MET'!F895</f>
        <v>0</v>
      </c>
      <c r="I893" s="466" t="str">
        <f>'II-I-MET'!$H895</f>
        <v>CUS U ALL</v>
      </c>
      <c r="J893" s="121">
        <f>'II-I-TBILLTDCS'!F895</f>
        <v>0</v>
      </c>
      <c r="K893" s="466" t="str">
        <f>'II-I-TBILLTDCS'!$H895</f>
        <v>CUS U ALL</v>
      </c>
      <c r="L893" s="893">
        <f t="shared" si="39"/>
        <v>0</v>
      </c>
      <c r="M893" s="1035"/>
    </row>
    <row r="894" spans="2:13" ht="15">
      <c r="B894" s="17">
        <f t="shared" si="38"/>
        <v>33</v>
      </c>
      <c r="C894" s="8"/>
      <c r="D894" s="26" t="s">
        <v>683</v>
      </c>
      <c r="E894" s="922"/>
      <c r="F894" s="896">
        <f>'II-I-DIST'!F896</f>
        <v>0</v>
      </c>
      <c r="G894" s="922"/>
      <c r="H894" s="896">
        <f>'II-I-MET'!F896</f>
        <v>0</v>
      </c>
      <c r="I894" s="922"/>
      <c r="J894" s="896">
        <f>'II-I-TBILLTDCS'!F896</f>
        <v>0</v>
      </c>
      <c r="K894" s="896"/>
      <c r="L894" s="896">
        <f t="shared" si="39"/>
        <v>0</v>
      </c>
      <c r="M894" s="1035"/>
    </row>
    <row r="895" spans="2:13" ht="14.25">
      <c r="B895" s="17">
        <f t="shared" si="38"/>
        <v>34</v>
      </c>
      <c r="C895" s="1"/>
      <c r="D895" s="1"/>
      <c r="E895" s="17"/>
      <c r="F895" s="19"/>
      <c r="G895" s="17"/>
      <c r="H895" s="19"/>
      <c r="I895" s="17"/>
      <c r="J895" s="19"/>
      <c r="K895" s="894"/>
      <c r="L895" s="894"/>
      <c r="M895" s="1035"/>
    </row>
    <row r="896" spans="2:13" ht="15">
      <c r="B896" s="17">
        <f t="shared" si="38"/>
        <v>35</v>
      </c>
      <c r="C896" s="8"/>
      <c r="D896" s="297" t="s">
        <v>684</v>
      </c>
      <c r="E896" s="922"/>
      <c r="F896" s="896">
        <f>'II-I-DIST'!F898</f>
        <v>0</v>
      </c>
      <c r="G896" s="922"/>
      <c r="H896" s="896">
        <f>'II-I-MET'!F898</f>
        <v>0</v>
      </c>
      <c r="I896" s="922"/>
      <c r="J896" s="896">
        <f>'II-I-TBILLTDCS'!F898</f>
        <v>0</v>
      </c>
      <c r="K896" s="896"/>
      <c r="L896" s="896">
        <f t="shared" si="39"/>
        <v>0</v>
      </c>
      <c r="M896" s="1035"/>
    </row>
    <row r="897" spans="2:12" ht="15" thickBot="1">
      <c r="B897" s="17">
        <f t="shared" si="38"/>
        <v>36</v>
      </c>
      <c r="C897" s="1"/>
      <c r="D897" s="51"/>
      <c r="E897" s="17"/>
      <c r="F897" s="19"/>
      <c r="G897" s="17"/>
      <c r="H897" s="19"/>
      <c r="I897" s="17"/>
      <c r="J897" s="19"/>
      <c r="K897" s="894"/>
      <c r="L897" s="894"/>
    </row>
    <row r="898" spans="2:12" ht="15.75" thickBot="1">
      <c r="B898" s="17">
        <f t="shared" si="38"/>
        <v>37</v>
      </c>
      <c r="C898" s="870" t="s">
        <v>685</v>
      </c>
      <c r="D898" s="1017"/>
      <c r="E898" s="1013"/>
      <c r="F898" s="1014">
        <f>'II-I-DIST'!F900</f>
        <v>10847.980000000001</v>
      </c>
      <c r="G898" s="1013"/>
      <c r="H898" s="1014">
        <f>'II-I-MET'!F900</f>
        <v>8012927.54</v>
      </c>
      <c r="I898" s="1013"/>
      <c r="J898" s="1014">
        <f>'II-I-TBILLTDCS'!F900</f>
        <v>1250151.78</v>
      </c>
      <c r="K898" s="1014"/>
      <c r="L898" s="1053">
        <f t="shared" si="39"/>
        <v>9273927.3000000007</v>
      </c>
    </row>
    <row r="899" spans="2:12" ht="15.75" thickBot="1">
      <c r="B899" s="17">
        <f t="shared" si="38"/>
        <v>38</v>
      </c>
      <c r="C899" s="1"/>
      <c r="D899" s="8"/>
      <c r="E899" s="17"/>
      <c r="F899" s="19"/>
      <c r="G899" s="17"/>
      <c r="H899" s="19"/>
      <c r="I899" s="17"/>
      <c r="J899" s="19"/>
      <c r="K899" s="894"/>
      <c r="L899" s="894"/>
    </row>
    <row r="900" spans="2:12" ht="15.75" thickBot="1">
      <c r="B900" s="17">
        <f t="shared" si="38"/>
        <v>39</v>
      </c>
      <c r="C900" s="284" t="s">
        <v>1201</v>
      </c>
      <c r="D900" s="285"/>
      <c r="E900" s="374" t="s">
        <v>279</v>
      </c>
      <c r="F900" s="903">
        <f>'II-I-DIST'!F902</f>
        <v>122018539.90000001</v>
      </c>
      <c r="G900" s="374"/>
      <c r="H900" s="903">
        <f>'II-I-MET'!F902</f>
        <v>31085348.769999996</v>
      </c>
      <c r="I900" s="374"/>
      <c r="J900" s="903">
        <f>'II-I-TBILLTDCS'!F902</f>
        <v>1250915.3300000001</v>
      </c>
      <c r="K900" s="903"/>
      <c r="L900" s="380">
        <f t="shared" si="39"/>
        <v>154354804.00000003</v>
      </c>
    </row>
    <row r="901" spans="2:12" ht="15">
      <c r="B901" s="874"/>
      <c r="C901" s="874"/>
      <c r="D901" s="874"/>
      <c r="E901" s="874"/>
      <c r="F901" s="17"/>
      <c r="G901" s="134"/>
      <c r="H901" s="17"/>
      <c r="I901" s="134"/>
      <c r="J901" s="17"/>
      <c r="K901" s="874"/>
      <c r="L901" s="874"/>
    </row>
    <row r="902" spans="2:12" ht="15.75" thickBot="1">
      <c r="B902" s="874"/>
      <c r="C902" s="874"/>
      <c r="D902" s="874"/>
      <c r="E902" s="874"/>
      <c r="F902" s="17"/>
      <c r="G902" s="17"/>
      <c r="H902" s="17"/>
      <c r="I902" s="17"/>
      <c r="J902" s="17"/>
      <c r="K902" s="874"/>
      <c r="L902" s="874"/>
    </row>
    <row r="903" spans="2:12" ht="15">
      <c r="B903" s="920" t="str">
        <f>$B$4</f>
        <v>2022 RATE CASE</v>
      </c>
      <c r="C903" s="926"/>
      <c r="D903" s="927"/>
      <c r="E903" s="874"/>
      <c r="F903" s="12"/>
      <c r="H903" s="12"/>
      <c r="J903" s="12"/>
      <c r="K903" s="874"/>
      <c r="L903" s="874"/>
    </row>
    <row r="904" spans="2:12" ht="15">
      <c r="B904" s="917" t="str">
        <f>$B$5</f>
        <v>ONCOR ELECTRIC DELIVERY COMPANY LLC</v>
      </c>
      <c r="C904" s="369"/>
      <c r="D904" s="928"/>
      <c r="E904" s="874"/>
      <c r="F904" s="12"/>
      <c r="H904" s="12"/>
      <c r="J904" s="12"/>
      <c r="K904" s="874"/>
      <c r="L904" s="874"/>
    </row>
    <row r="905" spans="2:12" ht="15">
      <c r="B905" s="406" t="str">
        <f>$B$6</f>
        <v>II-I-2.1f:  CONSOLIDATED FUNCTIONALIZED COST OF SERVICE</v>
      </c>
      <c r="C905" s="369"/>
      <c r="D905" s="928"/>
      <c r="E905" s="874"/>
      <c r="F905" s="12"/>
      <c r="H905" s="12"/>
      <c r="J905" s="12"/>
      <c r="K905" s="874"/>
      <c r="L905" s="874"/>
    </row>
    <row r="906" spans="2:12" ht="15">
      <c r="B906" s="406" t="str">
        <f>$B$7</f>
        <v>TEST YEAR ENDING 12/31/2021</v>
      </c>
      <c r="C906" s="369"/>
      <c r="D906" s="928"/>
      <c r="E906" s="369"/>
      <c r="F906" s="12"/>
      <c r="H906" s="12"/>
      <c r="J906" s="12"/>
      <c r="K906" s="369"/>
      <c r="L906" s="369"/>
    </row>
    <row r="907" spans="2:12" ht="15">
      <c r="B907" s="406" t="str">
        <f>$B$8</f>
        <v>SPONSOR:  MATTHEW A. TROXLE</v>
      </c>
      <c r="C907" s="369"/>
      <c r="D907" s="928"/>
      <c r="E907" s="369"/>
      <c r="F907" s="12"/>
      <c r="H907" s="12"/>
      <c r="J907" s="12"/>
      <c r="K907" s="369"/>
      <c r="L907" s="369"/>
    </row>
    <row r="908" spans="2:12" ht="15.75" thickBot="1">
      <c r="B908" s="410"/>
      <c r="C908" s="931"/>
      <c r="D908" s="932"/>
      <c r="E908" s="369"/>
      <c r="F908" s="12"/>
      <c r="H908" s="12"/>
      <c r="J908" s="12"/>
      <c r="K908" s="369"/>
      <c r="L908" s="369"/>
    </row>
    <row r="909" spans="2:13" ht="14.25">
      <c r="B909" s="13"/>
      <c r="C909" s="739"/>
      <c r="D909" s="238"/>
      <c r="E909" s="14"/>
      <c r="F909" s="13"/>
      <c r="G909" s="14"/>
      <c r="H909" s="13"/>
      <c r="I909" s="14"/>
      <c r="J909" s="13"/>
      <c r="K909" s="738"/>
      <c r="L909" s="952"/>
      <c r="M909" s="1036"/>
    </row>
    <row r="910" spans="2:13" ht="15">
      <c r="B910" s="15" t="s">
        <v>2</v>
      </c>
      <c r="C910" s="743" t="s">
        <v>370</v>
      </c>
      <c r="D910" s="241" t="s">
        <v>1196</v>
      </c>
      <c r="E910" s="15" t="s">
        <v>371</v>
      </c>
      <c r="F910" s="287" t="str">
        <f>'II-I-DIST'!F912</f>
        <v>DIST</v>
      </c>
      <c r="G910" s="242" t="s">
        <v>376</v>
      </c>
      <c r="H910" s="287" t="str">
        <f>'II-I-MET'!F912</f>
        <v>MET</v>
      </c>
      <c r="I910" s="242" t="s">
        <v>376</v>
      </c>
      <c r="J910" s="287" t="str">
        <f>'II-I-TBILLTDCS'!F912</f>
        <v>TBILLTDCS</v>
      </c>
      <c r="K910" s="743" t="s">
        <v>376</v>
      </c>
      <c r="L910" s="743" t="s">
        <v>481</v>
      </c>
      <c r="M910" s="1030" t="s">
        <v>1046</v>
      </c>
    </row>
    <row r="911" spans="2:13" ht="14.25">
      <c r="B911" s="15"/>
      <c r="C911" s="743"/>
      <c r="D911" s="242"/>
      <c r="E911" s="15"/>
      <c r="F911" s="15"/>
      <c r="G911" s="242" t="s">
        <v>743</v>
      </c>
      <c r="H911" s="15"/>
      <c r="I911" s="242" t="s">
        <v>743</v>
      </c>
      <c r="J911" s="15"/>
      <c r="K911" s="743" t="s">
        <v>743</v>
      </c>
      <c r="L911" s="743" t="s">
        <v>33</v>
      </c>
      <c r="M911" s="1037"/>
    </row>
    <row r="912" spans="2:13" ht="15.75" thickBot="1">
      <c r="B912" s="243"/>
      <c r="C912" s="957"/>
      <c r="D912" s="245"/>
      <c r="E912" s="245"/>
      <c r="F912" s="747" t="s">
        <v>13</v>
      </c>
      <c r="G912" s="747" t="s">
        <v>14</v>
      </c>
      <c r="H912" s="747" t="s">
        <v>15</v>
      </c>
      <c r="I912" s="747" t="s">
        <v>16</v>
      </c>
      <c r="J912" s="747" t="s">
        <v>17</v>
      </c>
      <c r="K912" s="747" t="s">
        <v>18</v>
      </c>
      <c r="L912" s="747" t="s">
        <v>19</v>
      </c>
      <c r="M912" s="1032" t="s">
        <v>20</v>
      </c>
    </row>
    <row r="913" spans="2:12" ht="15">
      <c r="B913" s="17"/>
      <c r="C913" s="1"/>
      <c r="D913" s="8"/>
      <c r="E913" s="19"/>
      <c r="F913" s="19"/>
      <c r="G913" s="19"/>
      <c r="H913" s="19"/>
      <c r="I913" s="19"/>
      <c r="J913" s="19"/>
      <c r="K913" s="730"/>
      <c r="L913" s="730"/>
    </row>
    <row r="914" spans="2:12" ht="15">
      <c r="B914" s="17">
        <f t="shared" si="40" ref="B914:B932">B913+1</f>
        <v>1</v>
      </c>
      <c r="C914" s="8" t="s">
        <v>1196</v>
      </c>
      <c r="D914" s="8"/>
      <c r="E914" s="922" t="s">
        <v>279</v>
      </c>
      <c r="F914" s="896"/>
      <c r="G914" s="922"/>
      <c r="H914" s="896"/>
      <c r="I914" s="922"/>
      <c r="J914" s="896"/>
      <c r="K914" s="8"/>
      <c r="L914" s="8"/>
    </row>
    <row r="915" spans="2:13" s="386" customFormat="1" ht="14.25">
      <c r="B915" s="17">
        <f t="shared" si="40"/>
        <v>2</v>
      </c>
      <c r="C915" s="1" t="s">
        <v>254</v>
      </c>
      <c r="D915" s="1" t="s">
        <v>255</v>
      </c>
      <c r="E915" s="19"/>
      <c r="F915" s="729">
        <f>'II-I-DIST'!F917</f>
        <v>48295262.43</v>
      </c>
      <c r="G915" s="118" t="str">
        <f>'II-I-DIST'!H917</f>
        <v>O&amp;M x565</v>
      </c>
      <c r="H915" s="118">
        <f>'II-I-MET'!F917</f>
        <v>13067163.640000001</v>
      </c>
      <c r="I915" s="466" t="str">
        <f>'II-I-MET'!$H917</f>
        <v>O&amp;M x565</v>
      </c>
      <c r="J915" s="118">
        <f>'II-I-TBILLTDCS'!F917</f>
        <v>17818909.5</v>
      </c>
      <c r="K915" s="466" t="str">
        <f>'II-I-TBILLTDCS'!$H917</f>
        <v>O&amp;M x565</v>
      </c>
      <c r="L915" s="893">
        <f t="shared" si="39"/>
        <v>79181335.569999993</v>
      </c>
      <c r="M915" s="1033" t="s">
        <v>1106</v>
      </c>
    </row>
    <row r="916" spans="2:13" s="386" customFormat="1" ht="14.25">
      <c r="B916" s="17">
        <f t="shared" si="40"/>
        <v>3</v>
      </c>
      <c r="C916" s="1" t="s">
        <v>256</v>
      </c>
      <c r="D916" s="1" t="s">
        <v>257</v>
      </c>
      <c r="E916" s="19"/>
      <c r="F916" s="729">
        <f>'II-I-DIST'!F918</f>
        <v>0</v>
      </c>
      <c r="G916" s="118" t="str">
        <f>'II-I-DIST'!H918</f>
        <v>O&amp;M x565</v>
      </c>
      <c r="H916" s="118">
        <f>'II-I-MET'!F918</f>
        <v>0</v>
      </c>
      <c r="I916" s="466" t="str">
        <f>'II-I-MET'!$H918</f>
        <v>O&amp;M x565</v>
      </c>
      <c r="J916" s="118">
        <f>'II-I-TBILLTDCS'!F918</f>
        <v>0</v>
      </c>
      <c r="K916" s="466" t="str">
        <f>'II-I-TBILLTDCS'!$H918</f>
        <v>O&amp;M x565</v>
      </c>
      <c r="L916" s="893">
        <f t="shared" si="39"/>
        <v>0</v>
      </c>
      <c r="M916" s="1033" t="s">
        <v>1106</v>
      </c>
    </row>
    <row r="917" spans="2:13" s="386" customFormat="1" ht="14.25">
      <c r="B917" s="17">
        <f t="shared" si="40"/>
        <v>4</v>
      </c>
      <c r="C917" s="1" t="s">
        <v>258</v>
      </c>
      <c r="D917" s="1" t="s">
        <v>259</v>
      </c>
      <c r="E917" s="19"/>
      <c r="F917" s="729">
        <f>'II-I-DIST'!F919</f>
        <v>0</v>
      </c>
      <c r="G917" s="118" t="str">
        <f>'II-I-DIST'!H919</f>
        <v>O&amp;M x565</v>
      </c>
      <c r="H917" s="118">
        <f>'II-I-MET'!F919</f>
        <v>0</v>
      </c>
      <c r="I917" s="466" t="str">
        <f>'II-I-MET'!$H919</f>
        <v>O&amp;M x565</v>
      </c>
      <c r="J917" s="118">
        <f>'II-I-TBILLTDCS'!F919</f>
        <v>0</v>
      </c>
      <c r="K917" s="466" t="str">
        <f>'II-I-TBILLTDCS'!$H919</f>
        <v>O&amp;M x565</v>
      </c>
      <c r="L917" s="893">
        <f t="shared" si="39"/>
        <v>0</v>
      </c>
      <c r="M917" s="1033"/>
    </row>
    <row r="918" spans="2:13" s="386" customFormat="1" ht="14.25">
      <c r="B918" s="17">
        <f t="shared" si="40"/>
        <v>5</v>
      </c>
      <c r="C918" s="1" t="s">
        <v>260</v>
      </c>
      <c r="D918" s="1" t="s">
        <v>261</v>
      </c>
      <c r="E918" s="19"/>
      <c r="F918" s="729">
        <f>'II-I-DIST'!F920</f>
        <v>0</v>
      </c>
      <c r="G918" s="118" t="str">
        <f>'II-I-DIST'!H920</f>
        <v>O&amp;M x565</v>
      </c>
      <c r="H918" s="118">
        <f>'II-I-MET'!F920</f>
        <v>0</v>
      </c>
      <c r="I918" s="466" t="str">
        <f>'II-I-MET'!$H920</f>
        <v>O&amp;M x565</v>
      </c>
      <c r="J918" s="118">
        <f>'II-I-TBILLTDCS'!F920</f>
        <v>0</v>
      </c>
      <c r="K918" s="466" t="str">
        <f>'II-I-TBILLTDCS'!$H920</f>
        <v>O&amp;M x565</v>
      </c>
      <c r="L918" s="893">
        <f t="shared" si="39"/>
        <v>0</v>
      </c>
      <c r="M918" s="1040"/>
    </row>
    <row r="919" spans="2:13" s="386" customFormat="1" ht="14.25">
      <c r="B919" s="17">
        <f t="shared" si="40"/>
        <v>6</v>
      </c>
      <c r="C919" s="31" t="s">
        <v>262</v>
      </c>
      <c r="D919" s="1" t="s">
        <v>263</v>
      </c>
      <c r="E919" s="19"/>
      <c r="F919" s="729">
        <f>'II-I-DIST'!F921</f>
        <v>0</v>
      </c>
      <c r="G919" s="118" t="str">
        <f>'II-I-DIST'!H921</f>
        <v>PLANT</v>
      </c>
      <c r="H919" s="118">
        <f>'II-I-MET'!F921</f>
        <v>0</v>
      </c>
      <c r="I919" s="466" t="str">
        <f>'II-I-MET'!$H921</f>
        <v>PLANT</v>
      </c>
      <c r="J919" s="118">
        <f>'II-I-TBILLTDCS'!F921</f>
        <v>0</v>
      </c>
      <c r="K919" s="466" t="str">
        <f>'II-I-TBILLTDCS'!$H921</f>
        <v>PLANT</v>
      </c>
      <c r="L919" s="893">
        <f t="shared" si="39"/>
        <v>0</v>
      </c>
      <c r="M919" s="1033"/>
    </row>
    <row r="920" spans="2:13" s="386" customFormat="1" ht="14.25">
      <c r="B920" s="17">
        <f t="shared" si="40"/>
        <v>7</v>
      </c>
      <c r="C920" s="31" t="s">
        <v>264</v>
      </c>
      <c r="D920" s="1" t="s">
        <v>265</v>
      </c>
      <c r="E920" s="19"/>
      <c r="F920" s="729">
        <f>'II-I-DIST'!F922</f>
        <v>0</v>
      </c>
      <c r="G920" s="118" t="str">
        <f>'II-I-DIST'!H922</f>
        <v>O&amp;M x565</v>
      </c>
      <c r="H920" s="118">
        <f>'II-I-MET'!F922</f>
        <v>0</v>
      </c>
      <c r="I920" s="466" t="str">
        <f>'II-I-MET'!$H922</f>
        <v>O&amp;M x565</v>
      </c>
      <c r="J920" s="118">
        <f>'II-I-TBILLTDCS'!F922</f>
        <v>0</v>
      </c>
      <c r="K920" s="466" t="str">
        <f>'II-I-TBILLTDCS'!$H922</f>
        <v>O&amp;M x565</v>
      </c>
      <c r="L920" s="893">
        <f t="shared" si="41" ref="L920:L928">F920+H920+J920</f>
        <v>0</v>
      </c>
      <c r="M920" s="1033"/>
    </row>
    <row r="921" spans="2:13" s="386" customFormat="1" ht="14.25">
      <c r="B921" s="17">
        <f t="shared" si="40"/>
        <v>8</v>
      </c>
      <c r="C921" s="1" t="s">
        <v>266</v>
      </c>
      <c r="D921" s="1" t="s">
        <v>267</v>
      </c>
      <c r="E921" s="19"/>
      <c r="F921" s="729">
        <f>'II-I-DIST'!F923</f>
        <v>0</v>
      </c>
      <c r="G921" s="118" t="str">
        <f>'II-I-DIST'!H923</f>
        <v>PAYROLL XAG</v>
      </c>
      <c r="H921" s="118">
        <f>'II-I-MET'!F923</f>
        <v>0</v>
      </c>
      <c r="I921" s="466" t="str">
        <f>'II-I-MET'!$H923</f>
        <v>O&amp;M x565</v>
      </c>
      <c r="J921" s="118">
        <f>'II-I-TBILLTDCS'!F923</f>
        <v>0</v>
      </c>
      <c r="K921" s="466" t="str">
        <f>'II-I-TBILLTDCS'!$H923</f>
        <v>O&amp;M x565</v>
      </c>
      <c r="L921" s="893">
        <f t="shared" si="41"/>
        <v>0</v>
      </c>
      <c r="M921" s="1033" t="s">
        <v>1106</v>
      </c>
    </row>
    <row r="922" spans="2:13" s="386" customFormat="1" ht="14.25">
      <c r="B922" s="17">
        <f t="shared" si="40"/>
        <v>9</v>
      </c>
      <c r="C922" s="1" t="s">
        <v>268</v>
      </c>
      <c r="D922" s="1" t="s">
        <v>269</v>
      </c>
      <c r="E922" s="19"/>
      <c r="F922" s="729">
        <f>'II-I-DIST'!F924</f>
        <v>0</v>
      </c>
      <c r="G922" s="118" t="str">
        <f>'II-I-DIST'!H924</f>
        <v>REVENUE</v>
      </c>
      <c r="H922" s="118">
        <f>'II-I-MET'!F924</f>
        <v>0</v>
      </c>
      <c r="I922" s="466" t="str">
        <f>'II-I-MET'!$H924</f>
        <v>REVENUE</v>
      </c>
      <c r="J922" s="118">
        <f>'II-I-TBILLTDCS'!F924</f>
        <v>0</v>
      </c>
      <c r="K922" s="466" t="str">
        <f>'II-I-TBILLTDCS'!$H924</f>
        <v>REVENUE</v>
      </c>
      <c r="L922" s="893">
        <f t="shared" si="41"/>
        <v>0</v>
      </c>
      <c r="M922" s="1033"/>
    </row>
    <row r="923" spans="2:13" s="386" customFormat="1" ht="14.25">
      <c r="B923" s="17">
        <f t="shared" si="40"/>
        <v>10</v>
      </c>
      <c r="C923" s="1" t="s">
        <v>270</v>
      </c>
      <c r="D923" s="1" t="s">
        <v>271</v>
      </c>
      <c r="E923" s="19"/>
      <c r="F923" s="729">
        <f>'II-I-DIST'!F925</f>
        <v>0</v>
      </c>
      <c r="G923" s="118" t="str">
        <f>'II-I-DIST'!H925</f>
        <v>O&amp;M x565</v>
      </c>
      <c r="H923" s="118">
        <f>'II-I-MET'!F925</f>
        <v>0</v>
      </c>
      <c r="I923" s="466" t="str">
        <f>'II-I-MET'!$H925</f>
        <v>O&amp;M x565</v>
      </c>
      <c r="J923" s="118">
        <f>'II-I-TBILLTDCS'!F925</f>
        <v>0</v>
      </c>
      <c r="K923" s="466" t="str">
        <f>'II-I-TBILLTDCS'!$H925</f>
        <v>O&amp;M x565</v>
      </c>
      <c r="L923" s="893">
        <f t="shared" si="41"/>
        <v>0</v>
      </c>
      <c r="M923" s="1033" t="s">
        <v>1106</v>
      </c>
    </row>
    <row r="924" spans="2:13" s="386" customFormat="1" ht="14.25">
      <c r="B924" s="17">
        <f t="shared" si="40"/>
        <v>11</v>
      </c>
      <c r="C924" s="1" t="s">
        <v>272</v>
      </c>
      <c r="D924" s="1" t="s">
        <v>273</v>
      </c>
      <c r="E924" s="19"/>
      <c r="F924" s="729">
        <f>'II-I-DIST'!F926</f>
        <v>0</v>
      </c>
      <c r="G924" s="118" t="str">
        <f>'II-I-DIST'!H926</f>
        <v>O&amp;M x565</v>
      </c>
      <c r="H924" s="118">
        <f>'II-I-MET'!F926</f>
        <v>0</v>
      </c>
      <c r="I924" s="466" t="str">
        <f>'II-I-MET'!$H926</f>
        <v>O&amp;M x565</v>
      </c>
      <c r="J924" s="118">
        <f>'II-I-TBILLTDCS'!F926</f>
        <v>0</v>
      </c>
      <c r="K924" s="466" t="str">
        <f>'II-I-TBILLTDCS'!$H926</f>
        <v>O&amp;M x565</v>
      </c>
      <c r="L924" s="893">
        <f t="shared" si="41"/>
        <v>0</v>
      </c>
      <c r="M924" s="1033" t="s">
        <v>1106</v>
      </c>
    </row>
    <row r="925" spans="2:13" s="386" customFormat="1" ht="14.25">
      <c r="B925" s="17">
        <f t="shared" si="40"/>
        <v>12</v>
      </c>
      <c r="C925" s="31" t="s">
        <v>274</v>
      </c>
      <c r="D925" s="1" t="s">
        <v>206</v>
      </c>
      <c r="E925" s="19"/>
      <c r="F925" s="729">
        <f>'II-I-DIST'!F927</f>
        <v>0</v>
      </c>
      <c r="G925" s="118" t="str">
        <f>'II-I-DIST'!H927</f>
        <v>O&amp;M x565</v>
      </c>
      <c r="H925" s="118">
        <f>'II-I-MET'!F927</f>
        <v>0</v>
      </c>
      <c r="I925" s="466" t="str">
        <f>'II-I-MET'!$H927</f>
        <v>O&amp;M x565</v>
      </c>
      <c r="J925" s="118">
        <f>'II-I-TBILLTDCS'!F927</f>
        <v>0</v>
      </c>
      <c r="K925" s="466" t="str">
        <f>'II-I-TBILLTDCS'!$H927</f>
        <v>O&amp;M x565</v>
      </c>
      <c r="L925" s="893">
        <f t="shared" si="41"/>
        <v>0</v>
      </c>
      <c r="M925" s="1033"/>
    </row>
    <row r="926" spans="2:13" s="386" customFormat="1" ht="14.25">
      <c r="B926" s="17">
        <f t="shared" si="40"/>
        <v>13</v>
      </c>
      <c r="C926" s="31" t="s">
        <v>275</v>
      </c>
      <c r="D926" s="1" t="s">
        <v>276</v>
      </c>
      <c r="E926" s="19"/>
      <c r="F926" s="729">
        <f>'II-I-DIST'!F928</f>
        <v>3118.1799999999998</v>
      </c>
      <c r="G926" s="118" t="str">
        <f>'II-I-DIST'!H928</f>
        <v>PLTGEN</v>
      </c>
      <c r="H926" s="118">
        <f>'II-I-MET'!F928</f>
        <v>16.629999999999999</v>
      </c>
      <c r="I926" s="466" t="str">
        <f>'II-I-MET'!$H928</f>
        <v>PLTGEN</v>
      </c>
      <c r="J926" s="118">
        <f>'II-I-TBILLTDCS'!F928</f>
        <v>0</v>
      </c>
      <c r="K926" s="466" t="str">
        <f>'II-I-TBILLTDCS'!$H928</f>
        <v>PLTGEN</v>
      </c>
      <c r="L926" s="893">
        <f t="shared" si="41"/>
        <v>3134.8099999999999</v>
      </c>
      <c r="M926" s="1033"/>
    </row>
    <row r="927" spans="2:13" s="386" customFormat="1" ht="14.25">
      <c r="B927" s="17">
        <f t="shared" si="40"/>
        <v>14</v>
      </c>
      <c r="C927" s="28" t="s">
        <v>277</v>
      </c>
      <c r="D927" s="1" t="s">
        <v>276</v>
      </c>
      <c r="E927" s="19"/>
      <c r="F927" s="729">
        <f>'II-I-DIST'!F929</f>
        <v>1273875.04</v>
      </c>
      <c r="G927" s="118" t="str">
        <f>'II-I-DIST'!H929</f>
        <v>PLTGEN</v>
      </c>
      <c r="H927" s="118">
        <f>'II-I-MET'!F929</f>
        <v>212.81</v>
      </c>
      <c r="I927" s="466" t="str">
        <f>'II-I-MET'!$H929</f>
        <v>PLTGEN</v>
      </c>
      <c r="J927" s="118">
        <f>'II-I-TBILLTDCS'!F929</f>
        <v>4.4100000000000001</v>
      </c>
      <c r="K927" s="466" t="str">
        <f>'II-I-TBILLTDCS'!$H929</f>
        <v>PLTGEN</v>
      </c>
      <c r="L927" s="893">
        <f t="shared" si="41"/>
        <v>1274092.26</v>
      </c>
      <c r="M927" s="1033"/>
    </row>
    <row r="928" spans="2:12" ht="15">
      <c r="B928" s="17">
        <f t="shared" si="40"/>
        <v>15</v>
      </c>
      <c r="C928" s="8" t="s">
        <v>687</v>
      </c>
      <c r="D928" s="34"/>
      <c r="E928" s="896"/>
      <c r="F928" s="896">
        <f>'II-I-DIST'!F930</f>
        <v>49572255.649999999</v>
      </c>
      <c r="G928" s="896"/>
      <c r="H928" s="896">
        <f>'II-I-MET'!F930</f>
        <v>13067393.080000002</v>
      </c>
      <c r="I928" s="896"/>
      <c r="J928" s="896">
        <f>'II-I-TBILLTDCS'!F930</f>
        <v>17818913.91</v>
      </c>
      <c r="K928" s="896"/>
      <c r="L928" s="896">
        <f t="shared" si="41"/>
        <v>80458562.640000001</v>
      </c>
    </row>
    <row r="929" spans="2:12" ht="14.25">
      <c r="B929" s="17">
        <f t="shared" si="40"/>
        <v>16</v>
      </c>
      <c r="C929" s="1"/>
      <c r="D929" s="1"/>
      <c r="E929" s="19"/>
      <c r="F929" s="894"/>
      <c r="G929" s="894"/>
      <c r="H929" s="19"/>
      <c r="I929" s="19"/>
      <c r="J929" s="19"/>
      <c r="K929" s="730"/>
      <c r="L929" s="730"/>
    </row>
    <row r="930" spans="2:12" ht="15">
      <c r="B930" s="17">
        <f t="shared" si="40"/>
        <v>17</v>
      </c>
      <c r="C930" s="8"/>
      <c r="D930" s="297" t="s">
        <v>688</v>
      </c>
      <c r="E930" s="922"/>
      <c r="F930" s="896">
        <f>'II-I-DIST'!F932</f>
        <v>1276993.22</v>
      </c>
      <c r="G930" s="922"/>
      <c r="H930" s="896">
        <f>'II-I-MET'!F932</f>
        <v>229.44</v>
      </c>
      <c r="I930" s="922"/>
      <c r="J930" s="896">
        <f>'II-I-TBILLTDCS'!F932</f>
        <v>4.4100000000000001</v>
      </c>
      <c r="K930" s="896"/>
      <c r="L930" s="896">
        <f>F930+H930+J930</f>
        <v>1277227.0699999998</v>
      </c>
    </row>
    <row r="931" spans="2:12" ht="15" thickBot="1">
      <c r="B931" s="17">
        <f t="shared" si="40"/>
        <v>18</v>
      </c>
      <c r="C931" s="1"/>
      <c r="D931" s="51"/>
      <c r="E931" s="17"/>
      <c r="F931" s="894"/>
      <c r="G931" s="728"/>
      <c r="H931" s="19"/>
      <c r="I931" s="17"/>
      <c r="J931" s="19"/>
      <c r="K931" s="894"/>
      <c r="L931" s="894"/>
    </row>
    <row r="932" spans="2:12" ht="15.75" thickBot="1">
      <c r="B932" s="17">
        <f t="shared" si="40"/>
        <v>19</v>
      </c>
      <c r="C932" s="284" t="s">
        <v>689</v>
      </c>
      <c r="D932" s="285"/>
      <c r="E932" s="374" t="s">
        <v>279</v>
      </c>
      <c r="F932" s="903">
        <f>'II-I-DIST'!F934</f>
        <v>171590795.55000001</v>
      </c>
      <c r="G932" s="374"/>
      <c r="H932" s="903">
        <f>'II-I-MET'!F934</f>
        <v>44152741.849999994</v>
      </c>
      <c r="I932" s="374"/>
      <c r="J932" s="903">
        <f>'II-I-TBILLTDCS'!F934</f>
        <v>19069829.240000002</v>
      </c>
      <c r="K932" s="903"/>
      <c r="L932" s="380">
        <f>F932+H932+J932</f>
        <v>234813366.64000002</v>
      </c>
    </row>
    <row r="933" spans="2:10" ht="14.25">
      <c r="B933" s="67"/>
      <c r="C933" s="67"/>
      <c r="D933" s="67"/>
      <c r="E933" s="67"/>
      <c r="F933" s="664"/>
      <c r="G933" s="664"/>
      <c r="H933" s="67"/>
      <c r="I933" s="67"/>
      <c r="J933" s="67"/>
    </row>
    <row r="934" spans="2:12" ht="15">
      <c r="B934" s="874"/>
      <c r="C934" s="874"/>
      <c r="D934" s="874"/>
      <c r="E934" s="874"/>
      <c r="F934" s="664"/>
      <c r="G934" s="736"/>
      <c r="H934" s="67"/>
      <c r="I934" s="134"/>
      <c r="J934" s="67"/>
      <c r="K934" s="874"/>
      <c r="L934" s="874"/>
    </row>
    <row r="935" spans="2:12" ht="15.75" thickBot="1">
      <c r="B935" s="874"/>
      <c r="C935" s="874"/>
      <c r="D935" s="874"/>
      <c r="E935" s="874"/>
      <c r="F935" s="664"/>
      <c r="G935" s="664"/>
      <c r="H935" s="67"/>
      <c r="I935" s="67"/>
      <c r="J935" s="67"/>
      <c r="K935" s="874"/>
      <c r="L935" s="874"/>
    </row>
    <row r="936" spans="2:12" ht="15">
      <c r="B936" s="920" t="str">
        <f>$B$4</f>
        <v>2022 RATE CASE</v>
      </c>
      <c r="C936" s="926"/>
      <c r="D936" s="927"/>
      <c r="E936" s="874"/>
      <c r="F936" s="737"/>
      <c r="G936" s="664"/>
      <c r="H936" s="332"/>
      <c r="J936" s="332"/>
      <c r="K936" s="874"/>
      <c r="L936" s="874"/>
    </row>
    <row r="937" spans="2:12" ht="15">
      <c r="B937" s="917" t="str">
        <f>$B$5</f>
        <v>ONCOR ELECTRIC DELIVERY COMPANY LLC</v>
      </c>
      <c r="C937" s="369"/>
      <c r="D937" s="928"/>
      <c r="E937" s="874"/>
      <c r="F937" s="737"/>
      <c r="G937" s="664"/>
      <c r="H937" s="332"/>
      <c r="J937" s="332"/>
      <c r="K937" s="874"/>
      <c r="L937" s="874"/>
    </row>
    <row r="938" spans="2:12" ht="15">
      <c r="B938" s="406" t="str">
        <f>$B$6</f>
        <v>II-I-2.1f:  CONSOLIDATED FUNCTIONALIZED COST OF SERVICE</v>
      </c>
      <c r="C938" s="369"/>
      <c r="D938" s="928"/>
      <c r="E938" s="874"/>
      <c r="F938" s="737"/>
      <c r="G938" s="664"/>
      <c r="H938" s="332"/>
      <c r="J938" s="332"/>
      <c r="K938" s="874"/>
      <c r="L938" s="874"/>
    </row>
    <row r="939" spans="2:10" ht="15.75">
      <c r="B939" s="406" t="str">
        <f>$B$7</f>
        <v>TEST YEAR ENDING 12/31/2021</v>
      </c>
      <c r="C939" s="840"/>
      <c r="D939" s="921"/>
      <c r="E939" s="67"/>
      <c r="F939" s="737"/>
      <c r="G939" s="664"/>
      <c r="H939" s="332"/>
      <c r="J939" s="332"/>
    </row>
    <row r="940" spans="2:12" ht="15">
      <c r="B940" s="406" t="str">
        <f>$B$8</f>
        <v>SPONSOR:  MATTHEW A. TROXLE</v>
      </c>
      <c r="C940" s="369"/>
      <c r="D940" s="928"/>
      <c r="E940" s="369"/>
      <c r="F940" s="737"/>
      <c r="G940" s="664"/>
      <c r="H940" s="332"/>
      <c r="J940" s="332"/>
      <c r="K940" s="369"/>
      <c r="L940" s="369"/>
    </row>
    <row r="941" spans="2:12" ht="15.75" thickBot="1">
      <c r="B941" s="410"/>
      <c r="C941" s="934"/>
      <c r="D941" s="936"/>
      <c r="F941" s="737"/>
      <c r="G941" s="664"/>
      <c r="H941" s="332"/>
      <c r="J941" s="332"/>
      <c r="K941" s="737"/>
      <c r="L941" s="737"/>
    </row>
    <row r="942" spans="2:13" ht="14.25">
      <c r="B942" s="13"/>
      <c r="C942" s="14"/>
      <c r="D942" s="238"/>
      <c r="E942" s="14"/>
      <c r="F942" s="738"/>
      <c r="G942" s="739"/>
      <c r="H942" s="13"/>
      <c r="I942" s="14"/>
      <c r="J942" s="13"/>
      <c r="K942" s="738"/>
      <c r="L942" s="952"/>
      <c r="M942" s="1036"/>
    </row>
    <row r="943" spans="2:13" ht="15">
      <c r="B943" s="15" t="s">
        <v>2</v>
      </c>
      <c r="C943" s="15" t="s">
        <v>370</v>
      </c>
      <c r="D943" s="241" t="s">
        <v>690</v>
      </c>
      <c r="E943" s="15" t="s">
        <v>371</v>
      </c>
      <c r="F943" s="287" t="str">
        <f>'II-I-DIST'!F945</f>
        <v>DIST</v>
      </c>
      <c r="G943" s="744" t="s">
        <v>376</v>
      </c>
      <c r="H943" s="287" t="str">
        <f>'II-I-MET'!F945</f>
        <v>MET</v>
      </c>
      <c r="I943" s="242" t="s">
        <v>376</v>
      </c>
      <c r="J943" s="287" t="str">
        <f>'II-I-TBILLTDCS'!F945</f>
        <v>TBILLTDCS</v>
      </c>
      <c r="K943" s="743" t="s">
        <v>376</v>
      </c>
      <c r="L943" s="743" t="s">
        <v>481</v>
      </c>
      <c r="M943" s="1030" t="s">
        <v>1046</v>
      </c>
    </row>
    <row r="944" spans="2:13" ht="14.25">
      <c r="B944" s="15"/>
      <c r="C944" s="15"/>
      <c r="D944" s="242"/>
      <c r="E944" s="15"/>
      <c r="F944" s="743"/>
      <c r="G944" s="744" t="s">
        <v>743</v>
      </c>
      <c r="H944" s="15"/>
      <c r="I944" s="242" t="s">
        <v>743</v>
      </c>
      <c r="J944" s="15"/>
      <c r="K944" s="743" t="s">
        <v>743</v>
      </c>
      <c r="L944" s="743" t="s">
        <v>33</v>
      </c>
      <c r="M944" s="1037"/>
    </row>
    <row r="945" spans="2:13" ht="15.75" thickBot="1">
      <c r="B945" s="243"/>
      <c r="C945" s="957"/>
      <c r="D945" s="245"/>
      <c r="E945" s="245"/>
      <c r="F945" s="747" t="s">
        <v>13</v>
      </c>
      <c r="G945" s="747" t="s">
        <v>14</v>
      </c>
      <c r="H945" s="747" t="s">
        <v>15</v>
      </c>
      <c r="I945" s="747" t="s">
        <v>16</v>
      </c>
      <c r="J945" s="747" t="s">
        <v>17</v>
      </c>
      <c r="K945" s="747" t="s">
        <v>18</v>
      </c>
      <c r="L945" s="747" t="s">
        <v>19</v>
      </c>
      <c r="M945" s="1032" t="s">
        <v>1137</v>
      </c>
    </row>
    <row r="946" spans="2:12" ht="15">
      <c r="B946" s="67"/>
      <c r="C946" s="333"/>
      <c r="D946" s="333"/>
      <c r="E946" s="897"/>
      <c r="F946" s="749"/>
      <c r="G946" s="897"/>
      <c r="H946" s="333"/>
      <c r="I946" s="897"/>
      <c r="J946" s="333"/>
      <c r="K946" s="691"/>
      <c r="L946" s="691"/>
    </row>
    <row r="947" spans="2:13" s="386" customFormat="1" ht="15">
      <c r="B947" s="17">
        <f t="shared" si="42" ref="B947:B953">B946+1</f>
        <v>1</v>
      </c>
      <c r="C947" s="376"/>
      <c r="D947" s="43" t="s">
        <v>289</v>
      </c>
      <c r="E947" s="897" t="s">
        <v>290</v>
      </c>
      <c r="F947" s="377">
        <f>'II-I-DIST'!F949</f>
        <v>0</v>
      </c>
      <c r="G947" s="118" t="str">
        <f>'II-I-DIST'!H949</f>
        <v>CUS W ALL</v>
      </c>
      <c r="H947" s="377">
        <f>'II-I-MET'!F949</f>
        <v>0</v>
      </c>
      <c r="I947" s="466" t="str">
        <f>'II-I-MET'!$H949</f>
        <v>CUS W ALL</v>
      </c>
      <c r="J947" s="377">
        <f>'II-I-TBILLTDCS'!F949</f>
        <v>0</v>
      </c>
      <c r="K947" s="466" t="str">
        <f>'II-I-TBILLTDCS'!$H949</f>
        <v>CUS W ALL</v>
      </c>
      <c r="L947" s="893">
        <f>F947+H947+J947</f>
        <v>0</v>
      </c>
      <c r="M947" s="1033"/>
    </row>
    <row r="948" spans="2:13" s="386" customFormat="1" ht="15">
      <c r="B948" s="17">
        <f t="shared" si="42"/>
        <v>2</v>
      </c>
      <c r="C948" s="334"/>
      <c r="D948" s="43" t="s">
        <v>291</v>
      </c>
      <c r="E948" s="897" t="s">
        <v>290</v>
      </c>
      <c r="F948" s="377">
        <f>'II-I-DIST'!F950</f>
        <v>0</v>
      </c>
      <c r="G948" s="118" t="str">
        <f>'II-I-DIST'!H950</f>
        <v>CUS W ALL</v>
      </c>
      <c r="H948" s="377">
        <f>'II-I-MET'!F950</f>
        <v>0</v>
      </c>
      <c r="I948" s="466" t="str">
        <f>'II-I-MET'!$H950</f>
        <v>CUS W ALL</v>
      </c>
      <c r="J948" s="377">
        <f>'II-I-TBILLTDCS'!F950</f>
        <v>0</v>
      </c>
      <c r="K948" s="466" t="str">
        <f>'II-I-TBILLTDCS'!$H950</f>
        <v>CUS W ALL</v>
      </c>
      <c r="L948" s="893">
        <f>F948+H948+J948</f>
        <v>0</v>
      </c>
      <c r="M948" s="1033"/>
    </row>
    <row r="949" spans="2:13" s="386" customFormat="1" ht="15">
      <c r="B949" s="17">
        <f t="shared" si="42"/>
        <v>3</v>
      </c>
      <c r="C949" s="43"/>
      <c r="D949" s="43" t="s">
        <v>292</v>
      </c>
      <c r="E949" s="897" t="s">
        <v>293</v>
      </c>
      <c r="F949" s="377">
        <f>'II-I-DIST'!F951</f>
        <v>0</v>
      </c>
      <c r="G949" s="118" t="str">
        <f>'II-I-DIST'!H951</f>
        <v>CUS W ALL</v>
      </c>
      <c r="H949" s="377">
        <f>'II-I-MET'!F951</f>
        <v>0</v>
      </c>
      <c r="I949" s="466" t="str">
        <f>'II-I-MET'!$H951</f>
        <v>CUS W ALL</v>
      </c>
      <c r="J949" s="377">
        <f>'II-I-TBILLTDCS'!F951</f>
        <v>0</v>
      </c>
      <c r="K949" s="466" t="str">
        <f>'II-I-TBILLTDCS'!$H951</f>
        <v>CUS W ALL</v>
      </c>
      <c r="L949" s="893">
        <f>F949+H949+J949</f>
        <v>0</v>
      </c>
      <c r="M949" s="1033"/>
    </row>
    <row r="950" spans="2:13" s="386" customFormat="1" ht="15">
      <c r="B950" s="17">
        <f t="shared" si="42"/>
        <v>4</v>
      </c>
      <c r="C950" s="43"/>
      <c r="D950" s="43" t="s">
        <v>294</v>
      </c>
      <c r="E950" s="897" t="s">
        <v>293</v>
      </c>
      <c r="F950" s="377">
        <f>'II-I-DIST'!F952</f>
        <v>0</v>
      </c>
      <c r="G950" s="118" t="str">
        <f>'II-I-DIST'!H952</f>
        <v>CUS W ALL</v>
      </c>
      <c r="H950" s="377">
        <f>'II-I-MET'!F952</f>
        <v>0</v>
      </c>
      <c r="I950" s="466" t="str">
        <f>'II-I-MET'!$H952</f>
        <v>CUS W ALL</v>
      </c>
      <c r="J950" s="377">
        <f>'II-I-TBILLTDCS'!F952</f>
        <v>0</v>
      </c>
      <c r="K950" s="466" t="str">
        <f>'II-I-TBILLTDCS'!$H952</f>
        <v>CUS W ALL</v>
      </c>
      <c r="L950" s="893">
        <f>F950+H950+J950</f>
        <v>0</v>
      </c>
      <c r="M950" s="1033"/>
    </row>
    <row r="951" spans="2:13" s="386" customFormat="1" ht="15">
      <c r="B951" s="17">
        <f t="shared" si="42"/>
        <v>5</v>
      </c>
      <c r="C951" s="43"/>
      <c r="D951" s="43" t="s">
        <v>295</v>
      </c>
      <c r="E951" s="897" t="s">
        <v>293</v>
      </c>
      <c r="F951" s="377">
        <f>'II-I-DIST'!F953</f>
        <v>0</v>
      </c>
      <c r="G951" s="118" t="str">
        <f>'II-I-DIST'!H953</f>
        <v>CUS W ALL</v>
      </c>
      <c r="H951" s="377">
        <f>'II-I-MET'!F953</f>
        <v>0</v>
      </c>
      <c r="I951" s="466" t="str">
        <f>'II-I-MET'!$H953</f>
        <v>CUS W ALL</v>
      </c>
      <c r="J951" s="377">
        <f>'II-I-TBILLTDCS'!F953</f>
        <v>0</v>
      </c>
      <c r="K951" s="466" t="str">
        <f>'II-I-TBILLTDCS'!$H953</f>
        <v>CUS W ALL</v>
      </c>
      <c r="L951" s="893">
        <f>F951+H951+J951</f>
        <v>0</v>
      </c>
      <c r="M951" s="1033"/>
    </row>
    <row r="952" spans="2:12" ht="15.75" thickBot="1">
      <c r="B952" s="17">
        <f t="shared" si="42"/>
        <v>6</v>
      </c>
      <c r="C952" s="43"/>
      <c r="D952" s="43"/>
      <c r="E952" s="897"/>
      <c r="F952" s="377"/>
      <c r="G952" s="897"/>
      <c r="H952" s="377"/>
      <c r="I952" s="897"/>
      <c r="J952" s="377"/>
      <c r="K952" s="893"/>
      <c r="L952" s="893"/>
    </row>
    <row r="953" spans="2:12" ht="15.75" thickBot="1">
      <c r="B953" s="17">
        <f t="shared" si="42"/>
        <v>7</v>
      </c>
      <c r="C953" s="341" t="s">
        <v>691</v>
      </c>
      <c r="D953" s="336"/>
      <c r="E953" s="337"/>
      <c r="F953" s="905"/>
      <c r="G953" s="337"/>
      <c r="H953" s="905"/>
      <c r="I953" s="337"/>
      <c r="J953" s="905"/>
      <c r="K953" s="905"/>
      <c r="L953" s="279"/>
    </row>
    <row r="954" spans="2:12" ht="15">
      <c r="B954" s="874"/>
      <c r="C954" s="874"/>
      <c r="D954" s="874"/>
      <c r="E954" s="874"/>
      <c r="F954" s="664"/>
      <c r="G954" s="664"/>
      <c r="H954" s="67"/>
      <c r="I954" s="67"/>
      <c r="J954" s="67"/>
      <c r="K954" s="874"/>
      <c r="L954" s="874"/>
    </row>
    <row r="955" spans="2:12" ht="15.75" thickBot="1">
      <c r="B955" s="874"/>
      <c r="C955" s="874"/>
      <c r="D955" s="874"/>
      <c r="E955" s="874"/>
      <c r="F955" s="664"/>
      <c r="G955" s="736"/>
      <c r="H955" s="67"/>
      <c r="I955" s="134"/>
      <c r="J955" s="67"/>
      <c r="K955" s="874"/>
      <c r="L955" s="874"/>
    </row>
    <row r="956" spans="2:12" ht="15">
      <c r="B956" s="920" t="str">
        <f>$B$4</f>
        <v>2022 RATE CASE</v>
      </c>
      <c r="C956" s="926"/>
      <c r="D956" s="927"/>
      <c r="E956" s="874"/>
      <c r="F956" s="737"/>
      <c r="G956" s="664"/>
      <c r="H956" s="332"/>
      <c r="J956" s="332"/>
      <c r="K956" s="874"/>
      <c r="L956" s="874"/>
    </row>
    <row r="957" spans="2:12" ht="15">
      <c r="B957" s="917" t="str">
        <f>$B$5</f>
        <v>ONCOR ELECTRIC DELIVERY COMPANY LLC</v>
      </c>
      <c r="C957" s="369"/>
      <c r="D957" s="928"/>
      <c r="E957" s="874"/>
      <c r="F957" s="737"/>
      <c r="G957" s="664"/>
      <c r="H957" s="332"/>
      <c r="J957" s="332"/>
      <c r="K957" s="874"/>
      <c r="L957" s="874"/>
    </row>
    <row r="958" spans="2:12" ht="15">
      <c r="B958" s="406" t="str">
        <f>$B$6</f>
        <v>II-I-2.1f:  CONSOLIDATED FUNCTIONALIZED COST OF SERVICE</v>
      </c>
      <c r="C958" s="369"/>
      <c r="D958" s="928"/>
      <c r="E958" s="874"/>
      <c r="F958" s="737"/>
      <c r="G958" s="664"/>
      <c r="H958" s="332"/>
      <c r="J958" s="332"/>
      <c r="K958" s="874"/>
      <c r="L958" s="874"/>
    </row>
    <row r="959" spans="2:10" ht="15.75">
      <c r="B959" s="406" t="str">
        <f>$B$7</f>
        <v>TEST YEAR ENDING 12/31/2021</v>
      </c>
      <c r="C959" s="840"/>
      <c r="D959" s="921"/>
      <c r="E959" s="67"/>
      <c r="F959" s="737"/>
      <c r="G959" s="664"/>
      <c r="H959" s="332"/>
      <c r="J959" s="332"/>
    </row>
    <row r="960" spans="2:12" ht="15">
      <c r="B960" s="406" t="str">
        <f>$B$8</f>
        <v>SPONSOR:  MATTHEW A. TROXLE</v>
      </c>
      <c r="C960" s="369"/>
      <c r="D960" s="928"/>
      <c r="E960" s="369"/>
      <c r="F960" s="737"/>
      <c r="G960" s="664"/>
      <c r="H960" s="332"/>
      <c r="J960" s="332"/>
      <c r="K960" s="369"/>
      <c r="L960" s="369"/>
    </row>
    <row r="961" spans="2:12" ht="15.75" thickBot="1">
      <c r="B961" s="410"/>
      <c r="C961" s="934"/>
      <c r="D961" s="936"/>
      <c r="F961" s="737"/>
      <c r="G961" s="664"/>
      <c r="H961" s="332"/>
      <c r="J961" s="332"/>
      <c r="K961" s="737"/>
      <c r="L961" s="737"/>
    </row>
    <row r="962" spans="2:13" ht="14.25">
      <c r="B962" s="13"/>
      <c r="C962" s="14"/>
      <c r="D962" s="238"/>
      <c r="E962" s="14"/>
      <c r="F962" s="738"/>
      <c r="G962" s="739"/>
      <c r="H962" s="13"/>
      <c r="I962" s="14"/>
      <c r="J962" s="13"/>
      <c r="K962" s="738"/>
      <c r="L962" s="952"/>
      <c r="M962" s="1036"/>
    </row>
    <row r="963" spans="2:13" ht="15">
      <c r="B963" s="15" t="s">
        <v>2</v>
      </c>
      <c r="C963" s="15" t="s">
        <v>370</v>
      </c>
      <c r="D963" s="241" t="s">
        <v>692</v>
      </c>
      <c r="E963" s="15" t="s">
        <v>371</v>
      </c>
      <c r="F963" s="287" t="str">
        <f>'II-I-DIST'!F965</f>
        <v>DIST</v>
      </c>
      <c r="G963" s="744" t="s">
        <v>376</v>
      </c>
      <c r="H963" s="287" t="str">
        <f>'II-I-MET'!F965</f>
        <v>MET</v>
      </c>
      <c r="I963" s="242" t="s">
        <v>376</v>
      </c>
      <c r="J963" s="287" t="str">
        <f>'II-I-TBILLTDCS'!F965</f>
        <v>TBILLTDCS</v>
      </c>
      <c r="K963" s="743" t="s">
        <v>376</v>
      </c>
      <c r="L963" s="287" t="s">
        <v>966</v>
      </c>
      <c r="M963" s="1030" t="s">
        <v>1046</v>
      </c>
    </row>
    <row r="964" spans="2:13" ht="15">
      <c r="B964" s="15"/>
      <c r="C964" s="15"/>
      <c r="D964" s="242"/>
      <c r="E964" s="15"/>
      <c r="F964" s="743"/>
      <c r="G964" s="744" t="s">
        <v>743</v>
      </c>
      <c r="H964" s="15"/>
      <c r="I964" s="242" t="s">
        <v>743</v>
      </c>
      <c r="J964" s="15"/>
      <c r="K964" s="743" t="s">
        <v>743</v>
      </c>
      <c r="L964" s="287" t="s">
        <v>967</v>
      </c>
      <c r="M964" s="1037"/>
    </row>
    <row r="965" spans="2:13" ht="15.75" thickBot="1">
      <c r="B965" s="243"/>
      <c r="C965" s="957"/>
      <c r="D965" s="245"/>
      <c r="E965" s="245"/>
      <c r="F965" s="747" t="s">
        <v>13</v>
      </c>
      <c r="G965" s="747" t="s">
        <v>14</v>
      </c>
      <c r="H965" s="747" t="s">
        <v>15</v>
      </c>
      <c r="I965" s="747" t="s">
        <v>16</v>
      </c>
      <c r="J965" s="747" t="s">
        <v>17</v>
      </c>
      <c r="K965" s="747" t="s">
        <v>18</v>
      </c>
      <c r="L965" s="747" t="s">
        <v>19</v>
      </c>
      <c r="M965" s="1032" t="s">
        <v>1137</v>
      </c>
    </row>
    <row r="966" spans="2:12" ht="14.25">
      <c r="B966" s="67"/>
      <c r="C966" s="333"/>
      <c r="D966" s="333"/>
      <c r="E966" s="333"/>
      <c r="F966" s="749"/>
      <c r="G966" s="749"/>
      <c r="H966" s="333"/>
      <c r="I966" s="333"/>
      <c r="J966" s="333"/>
      <c r="K966" s="691"/>
      <c r="L966" s="691"/>
    </row>
    <row r="967" spans="2:12" ht="15">
      <c r="B967" s="17">
        <f t="shared" si="43" ref="B967:B1002">B966+1</f>
        <v>1</v>
      </c>
      <c r="C967" s="366" t="s">
        <v>296</v>
      </c>
      <c r="D967" s="8"/>
      <c r="E967" s="922"/>
      <c r="F967" s="8"/>
      <c r="G967" s="922"/>
      <c r="H967" s="8"/>
      <c r="I967" s="922"/>
      <c r="J967" s="8"/>
      <c r="K967" s="8"/>
      <c r="L967" s="8"/>
    </row>
    <row r="968" spans="2:12" ht="14.25">
      <c r="B968" s="17">
        <f t="shared" si="43"/>
        <v>2</v>
      </c>
      <c r="C968" s="1"/>
      <c r="D968" s="1"/>
      <c r="E968" s="17"/>
      <c r="F968" s="730"/>
      <c r="G968" s="728"/>
      <c r="H968" s="1"/>
      <c r="I968" s="17"/>
      <c r="J968" s="1"/>
      <c r="K968" s="730"/>
      <c r="L968" s="730"/>
    </row>
    <row r="969" spans="2:12" ht="15">
      <c r="B969" s="17">
        <f t="shared" si="43"/>
        <v>3</v>
      </c>
      <c r="C969" s="8" t="s">
        <v>693</v>
      </c>
      <c r="D969" s="8"/>
      <c r="E969" s="922" t="s">
        <v>297</v>
      </c>
      <c r="F969" s="378"/>
      <c r="G969" s="922"/>
      <c r="H969" s="378"/>
      <c r="I969" s="922"/>
      <c r="J969" s="378"/>
      <c r="K969" s="902"/>
      <c r="L969" s="902"/>
    </row>
    <row r="970" spans="2:13" s="386" customFormat="1" ht="14.25">
      <c r="B970" s="17">
        <f t="shared" si="43"/>
        <v>4</v>
      </c>
      <c r="C970" s="1" t="s">
        <v>25</v>
      </c>
      <c r="D970" s="1" t="s">
        <v>26</v>
      </c>
      <c r="E970" s="17"/>
      <c r="F970" s="729">
        <f>'II-I-DIST'!F972</f>
        <v>0</v>
      </c>
      <c r="G970" s="118" t="str">
        <f>'II-I-DIST'!H972</f>
        <v>PLT INT_N</v>
      </c>
      <c r="H970" s="118">
        <f>'II-I-MET'!F972</f>
        <v>0</v>
      </c>
      <c r="I970" s="466" t="str">
        <f>'II-I-MET'!$H972</f>
        <v>PLT INT_N</v>
      </c>
      <c r="J970" s="121">
        <f>'II-I-TBILLTDCS'!F972</f>
        <v>0</v>
      </c>
      <c r="K970" s="466" t="str">
        <f>'II-I-TBILLTDCS'!$H972</f>
        <v>PLT INT_N</v>
      </c>
      <c r="L970" s="893">
        <f>F970+H970+J970</f>
        <v>0</v>
      </c>
      <c r="M970" s="1033"/>
    </row>
    <row r="971" spans="2:13" s="386" customFormat="1" ht="14.25">
      <c r="B971" s="17">
        <f t="shared" si="43"/>
        <v>5</v>
      </c>
      <c r="C971" s="1" t="s">
        <v>27</v>
      </c>
      <c r="D971" s="1" t="s">
        <v>37</v>
      </c>
      <c r="E971" s="17"/>
      <c r="F971" s="729">
        <f>'II-I-DIST'!F973</f>
        <v>0</v>
      </c>
      <c r="G971" s="118" t="str">
        <f>'II-I-DIST'!H973</f>
        <v>PLT INT_N</v>
      </c>
      <c r="H971" s="118">
        <f>'II-I-MET'!F973</f>
        <v>0</v>
      </c>
      <c r="I971" s="466" t="str">
        <f>'II-I-MET'!$H973</f>
        <v>PLT INT_N</v>
      </c>
      <c r="J971" s="121">
        <f>'II-I-TBILLTDCS'!F973</f>
        <v>0</v>
      </c>
      <c r="K971" s="466" t="str">
        <f>'II-I-TBILLTDCS'!$H973</f>
        <v>PLT INT_N</v>
      </c>
      <c r="L971" s="893">
        <f>F971+H971+J971</f>
        <v>0</v>
      </c>
      <c r="M971" s="1033"/>
    </row>
    <row r="972" spans="2:13" s="386" customFormat="1" ht="28.5">
      <c r="B972" s="17">
        <f t="shared" si="43"/>
        <v>6</v>
      </c>
      <c r="C972" s="1" t="s">
        <v>29</v>
      </c>
      <c r="D972" s="1" t="s">
        <v>34</v>
      </c>
      <c r="E972" s="17"/>
      <c r="F972" s="729">
        <f>'II-I-DIST'!F974</f>
        <v>29112436.41</v>
      </c>
      <c r="G972" s="118" t="str">
        <f>'II-I-DIST'!H974</f>
        <v>PLT INT_N</v>
      </c>
      <c r="H972" s="118">
        <f>'II-I-MET'!F974</f>
        <v>3894383</v>
      </c>
      <c r="I972" s="466" t="str">
        <f>'II-I-MET'!$H974</f>
        <v>PLT INT_N</v>
      </c>
      <c r="J972" s="121">
        <f>'II-I-TBILLTDCS'!F974</f>
        <v>22267461.890000001</v>
      </c>
      <c r="K972" s="466" t="str">
        <f>'II-I-TBILLTDCS'!$H974</f>
        <v>PLT INT_N</v>
      </c>
      <c r="L972" s="893">
        <f>F972+H972+J972</f>
        <v>55274281.299999997</v>
      </c>
      <c r="M972" s="1033" t="s">
        <v>1107</v>
      </c>
    </row>
    <row r="973" spans="2:12" ht="15">
      <c r="B973" s="17">
        <f t="shared" si="43"/>
        <v>7</v>
      </c>
      <c r="C973" s="896"/>
      <c r="D973" s="916" t="s">
        <v>491</v>
      </c>
      <c r="E973" s="896"/>
      <c r="F973" s="896">
        <f>'II-I-DIST'!F975</f>
        <v>29112436.41</v>
      </c>
      <c r="G973" s="896"/>
      <c r="H973" s="896">
        <f>'II-I-MET'!F975</f>
        <v>3894383</v>
      </c>
      <c r="I973" s="896"/>
      <c r="J973" s="896">
        <f>'II-I-TBILLTDCS'!F975</f>
        <v>22267461.890000001</v>
      </c>
      <c r="K973" s="896"/>
      <c r="L973" s="896">
        <f>F973+H973+J973</f>
        <v>55274281.299999997</v>
      </c>
    </row>
    <row r="974" spans="2:13" ht="14.25">
      <c r="B974" s="17">
        <f t="shared" si="43"/>
        <v>8</v>
      </c>
      <c r="C974" s="1"/>
      <c r="D974" s="1"/>
      <c r="E974" s="17"/>
      <c r="F974" s="894"/>
      <c r="G974" s="728"/>
      <c r="H974" s="19"/>
      <c r="I974" s="17"/>
      <c r="J974" s="19"/>
      <c r="K974" s="894"/>
      <c r="L974" s="894"/>
      <c r="M974" s="1035"/>
    </row>
    <row r="975" spans="2:13" ht="15">
      <c r="B975" s="17">
        <f t="shared" si="43"/>
        <v>9</v>
      </c>
      <c r="C975" s="8" t="s">
        <v>694</v>
      </c>
      <c r="D975" s="8"/>
      <c r="E975" s="922" t="s">
        <v>297</v>
      </c>
      <c r="F975" s="896"/>
      <c r="G975" s="922"/>
      <c r="H975" s="896"/>
      <c r="I975" s="922"/>
      <c r="J975" s="896"/>
      <c r="K975" s="896"/>
      <c r="L975" s="896"/>
      <c r="M975" s="1035"/>
    </row>
    <row r="976" spans="2:13" s="386" customFormat="1" ht="14.25">
      <c r="B976" s="17">
        <f t="shared" si="43"/>
        <v>10</v>
      </c>
      <c r="C976" s="1" t="s">
        <v>41</v>
      </c>
      <c r="D976" s="1" t="s">
        <v>42</v>
      </c>
      <c r="E976" s="17"/>
      <c r="F976" s="729">
        <f>'II-I-DIST'!F978</f>
        <v>0</v>
      </c>
      <c r="G976" s="118" t="str">
        <f>'II-I-DIST'!H978</f>
        <v>PLTTRAN_N</v>
      </c>
      <c r="H976" s="118">
        <f>'II-I-MET'!F978</f>
        <v>0</v>
      </c>
      <c r="I976" s="466" t="str">
        <f>'II-I-MET'!$H978</f>
        <v>PLTTRAN_N</v>
      </c>
      <c r="J976" s="121">
        <f>'II-I-TBILLTDCS'!F978</f>
        <v>0</v>
      </c>
      <c r="K976" s="466" t="str">
        <f>'II-I-TBILLTDCS'!$H978</f>
        <v>PLTTRAN_N</v>
      </c>
      <c r="L976" s="893">
        <f t="shared" si="44" ref="L976:L983">F976+H976+J976</f>
        <v>0</v>
      </c>
      <c r="M976" s="1035"/>
    </row>
    <row r="977" spans="2:13" s="386" customFormat="1" ht="28.5">
      <c r="B977" s="17">
        <f t="shared" si="43"/>
        <v>11</v>
      </c>
      <c r="C977" s="1" t="s">
        <v>43</v>
      </c>
      <c r="D977" s="1" t="s">
        <v>44</v>
      </c>
      <c r="E977" s="17"/>
      <c r="F977" s="729">
        <f>'II-I-DIST'!F979</f>
        <v>0</v>
      </c>
      <c r="G977" s="118" t="str">
        <f>'II-I-DIST'!H979</f>
        <v>PLTTRAN_N</v>
      </c>
      <c r="H977" s="118">
        <f>'II-I-MET'!F979</f>
        <v>0</v>
      </c>
      <c r="I977" s="466" t="str">
        <f>'II-I-MET'!$H979</f>
        <v>NCP XHV</v>
      </c>
      <c r="J977" s="121">
        <f>'II-I-TBILLTDCS'!F979</f>
        <v>0</v>
      </c>
      <c r="K977" s="466" t="str">
        <f>'II-I-TBILLTDCS'!$H979</f>
        <v>PLTTRAN_N</v>
      </c>
      <c r="L977" s="893">
        <f t="shared" si="44"/>
        <v>0</v>
      </c>
      <c r="M977" s="1050" t="s">
        <v>1197</v>
      </c>
    </row>
    <row r="978" spans="2:13" s="386" customFormat="1" ht="28.5">
      <c r="B978" s="17">
        <f t="shared" si="43"/>
        <v>12</v>
      </c>
      <c r="C978" s="1" t="s">
        <v>45</v>
      </c>
      <c r="D978" s="1" t="s">
        <v>46</v>
      </c>
      <c r="E978" s="17"/>
      <c r="F978" s="729">
        <f>'II-I-DIST'!F980</f>
        <v>9346418.3000000007</v>
      </c>
      <c r="G978" s="118" t="str">
        <f>'II-I-DIST'!H980</f>
        <v>NCP XHV</v>
      </c>
      <c r="H978" s="118">
        <f>'II-I-MET'!F980</f>
        <v>0</v>
      </c>
      <c r="I978" s="466" t="str">
        <f>'II-I-MET'!$H980</f>
        <v>NCP XHV</v>
      </c>
      <c r="J978" s="121">
        <f>'II-I-TBILLTDCS'!F980</f>
        <v>0</v>
      </c>
      <c r="K978" s="466" t="str">
        <f>'II-I-TBILLTDCS'!$H980</f>
        <v>PLTTRAN_N</v>
      </c>
      <c r="L978" s="893">
        <f t="shared" si="44"/>
        <v>9346418.3000000007</v>
      </c>
      <c r="M978" s="1050" t="s">
        <v>1198</v>
      </c>
    </row>
    <row r="979" spans="2:13" s="386" customFormat="1" ht="14.25">
      <c r="B979" s="17">
        <f t="shared" si="43"/>
        <v>13</v>
      </c>
      <c r="C979" s="1" t="s">
        <v>47</v>
      </c>
      <c r="D979" s="1" t="s">
        <v>48</v>
      </c>
      <c r="E979" s="17"/>
      <c r="F979" s="729">
        <f>'II-I-DIST'!F981</f>
        <v>0</v>
      </c>
      <c r="G979" s="118" t="str">
        <f>'II-I-DIST'!H981</f>
        <v>PLTTRAN_N</v>
      </c>
      <c r="H979" s="118">
        <f>'II-I-MET'!F981</f>
        <v>0</v>
      </c>
      <c r="I979" s="466" t="str">
        <f>'II-I-MET'!$H981</f>
        <v>PLTTRAN_N</v>
      </c>
      <c r="J979" s="121">
        <f>'II-I-TBILLTDCS'!F981</f>
        <v>0</v>
      </c>
      <c r="K979" s="466" t="str">
        <f>'II-I-TBILLTDCS'!$H981</f>
        <v>PLTTRAN_N</v>
      </c>
      <c r="L979" s="893">
        <f t="shared" si="44"/>
        <v>0</v>
      </c>
      <c r="M979" s="1035"/>
    </row>
    <row r="980" spans="2:13" s="386" customFormat="1" ht="14.25">
      <c r="B980" s="17">
        <f t="shared" si="43"/>
        <v>14</v>
      </c>
      <c r="C980" s="1" t="s">
        <v>49</v>
      </c>
      <c r="D980" s="1" t="s">
        <v>50</v>
      </c>
      <c r="E980" s="17"/>
      <c r="F980" s="729">
        <f>'II-I-DIST'!F982</f>
        <v>0</v>
      </c>
      <c r="G980" s="118" t="str">
        <f>'II-I-DIST'!H982</f>
        <v>PLTTRAN_N</v>
      </c>
      <c r="H980" s="118">
        <f>'II-I-MET'!F982</f>
        <v>0</v>
      </c>
      <c r="I980" s="466" t="str">
        <f>'II-I-MET'!$H982</f>
        <v>PLTTRAN_N</v>
      </c>
      <c r="J980" s="121">
        <f>'II-I-TBILLTDCS'!F982</f>
        <v>0</v>
      </c>
      <c r="K980" s="466" t="str">
        <f>'II-I-TBILLTDCS'!$H982</f>
        <v>PLTTRAN_N</v>
      </c>
      <c r="L980" s="893">
        <f t="shared" si="44"/>
        <v>0</v>
      </c>
      <c r="M980" s="1035"/>
    </row>
    <row r="981" spans="2:13" s="386" customFormat="1" ht="14.25">
      <c r="B981" s="17">
        <f t="shared" si="43"/>
        <v>15</v>
      </c>
      <c r="C981" s="1" t="s">
        <v>51</v>
      </c>
      <c r="D981" s="1" t="s">
        <v>534</v>
      </c>
      <c r="E981" s="17"/>
      <c r="F981" s="729">
        <f>'II-I-DIST'!F983</f>
        <v>0</v>
      </c>
      <c r="G981" s="118" t="str">
        <f>'II-I-DIST'!H983</f>
        <v>PLTTRAN_N</v>
      </c>
      <c r="H981" s="118">
        <f>'II-I-MET'!F983</f>
        <v>0</v>
      </c>
      <c r="I981" s="466" t="str">
        <f>'II-I-MET'!$H983</f>
        <v>PLTTRAN_N</v>
      </c>
      <c r="J981" s="121">
        <f>'II-I-TBILLTDCS'!F983</f>
        <v>0</v>
      </c>
      <c r="K981" s="466" t="str">
        <f>'II-I-TBILLTDCS'!$H983</f>
        <v>PLTTRAN_N</v>
      </c>
      <c r="L981" s="893">
        <f t="shared" si="44"/>
        <v>0</v>
      </c>
      <c r="M981" s="1035"/>
    </row>
    <row r="982" spans="2:13" s="386" customFormat="1" ht="14.25">
      <c r="B982" s="17">
        <f t="shared" si="43"/>
        <v>16</v>
      </c>
      <c r="C982" s="1" t="s">
        <v>53</v>
      </c>
      <c r="D982" s="1" t="s">
        <v>695</v>
      </c>
      <c r="E982" s="17"/>
      <c r="F982" s="729">
        <f>'II-I-DIST'!F984</f>
        <v>0</v>
      </c>
      <c r="G982" s="118" t="str">
        <f>'II-I-DIST'!H984</f>
        <v>PLTTRAN_N</v>
      </c>
      <c r="H982" s="118">
        <f>'II-I-MET'!F984</f>
        <v>0</v>
      </c>
      <c r="I982" s="466" t="str">
        <f>'II-I-MET'!$H984</f>
        <v>PLTTRAN_N</v>
      </c>
      <c r="J982" s="121">
        <f>'II-I-TBILLTDCS'!F984</f>
        <v>0</v>
      </c>
      <c r="K982" s="466" t="str">
        <f>'II-I-TBILLTDCS'!$H984</f>
        <v>PLTTRAN_N</v>
      </c>
      <c r="L982" s="893">
        <f t="shared" si="44"/>
        <v>0</v>
      </c>
      <c r="M982" s="1035"/>
    </row>
    <row r="983" spans="2:13" s="386" customFormat="1" ht="14.25">
      <c r="B983" s="17">
        <f t="shared" si="43"/>
        <v>17</v>
      </c>
      <c r="C983" s="1" t="s">
        <v>55</v>
      </c>
      <c r="D983" s="31" t="s">
        <v>535</v>
      </c>
      <c r="E983" s="17"/>
      <c r="F983" s="729">
        <f>'II-I-DIST'!F985</f>
        <v>0</v>
      </c>
      <c r="G983" s="118" t="str">
        <f>'II-I-DIST'!H985</f>
        <v>PLTTRAN_N</v>
      </c>
      <c r="H983" s="118">
        <f>'II-I-MET'!F985</f>
        <v>0</v>
      </c>
      <c r="I983" s="466" t="str">
        <f>'II-I-MET'!$H985</f>
        <v>PLTTRAN_N</v>
      </c>
      <c r="J983" s="121">
        <f>'II-I-TBILLTDCS'!F985</f>
        <v>0</v>
      </c>
      <c r="K983" s="466" t="str">
        <f>'II-I-TBILLTDCS'!$H985</f>
        <v>PLTTRAN_N</v>
      </c>
      <c r="L983" s="893">
        <f t="shared" si="44"/>
        <v>0</v>
      </c>
      <c r="M983" s="1035"/>
    </row>
    <row r="984" spans="2:13" s="386" customFormat="1" ht="14.25">
      <c r="B984" s="17">
        <f t="shared" si="43"/>
        <v>18</v>
      </c>
      <c r="C984" s="1" t="s">
        <v>57</v>
      </c>
      <c r="D984" s="1" t="s">
        <v>58</v>
      </c>
      <c r="E984" s="17"/>
      <c r="F984" s="729">
        <f>'II-I-DIST'!F986</f>
        <v>0</v>
      </c>
      <c r="G984" s="118" t="str">
        <f>'II-I-DIST'!H986</f>
        <v>PLTTRAN_N</v>
      </c>
      <c r="H984" s="118">
        <f>'II-I-MET'!F986</f>
        <v>0</v>
      </c>
      <c r="I984" s="466" t="str">
        <f>'II-I-MET'!$H986</f>
        <v>PLTTRAN_N</v>
      </c>
      <c r="J984" s="121">
        <f>'II-I-TBILLTDCS'!F986</f>
        <v>0</v>
      </c>
      <c r="K984" s="466" t="str">
        <f>'II-I-TBILLTDCS'!$H986</f>
        <v>PLTTRAN_N</v>
      </c>
      <c r="L984" s="893">
        <f t="shared" si="45" ref="L984:L1038">F984+H984+J984</f>
        <v>0</v>
      </c>
      <c r="M984" s="1035"/>
    </row>
    <row r="985" spans="2:13" ht="15">
      <c r="B985" s="17">
        <f t="shared" si="43"/>
        <v>19</v>
      </c>
      <c r="C985" s="8"/>
      <c r="D985" s="297" t="s">
        <v>491</v>
      </c>
      <c r="E985" s="922"/>
      <c r="F985" s="896">
        <f>'II-I-DIST'!F987</f>
        <v>9346418.3000000007</v>
      </c>
      <c r="G985" s="922"/>
      <c r="H985" s="896">
        <f>'II-I-MET'!F987</f>
        <v>0</v>
      </c>
      <c r="I985" s="922"/>
      <c r="J985" s="896">
        <f>'II-I-TBILLTDCS'!F987</f>
        <v>0</v>
      </c>
      <c r="K985" s="896"/>
      <c r="L985" s="896">
        <f t="shared" si="45"/>
        <v>9346418.3000000007</v>
      </c>
      <c r="M985" s="1035"/>
    </row>
    <row r="986" spans="2:13" ht="14.25">
      <c r="B986" s="17">
        <f t="shared" si="43"/>
        <v>20</v>
      </c>
      <c r="C986" s="1"/>
      <c r="D986" s="1"/>
      <c r="E986" s="17"/>
      <c r="F986" s="894"/>
      <c r="G986" s="728"/>
      <c r="H986" s="19"/>
      <c r="I986" s="17"/>
      <c r="J986" s="19"/>
      <c r="K986" s="894"/>
      <c r="L986" s="894"/>
      <c r="M986" s="1035"/>
    </row>
    <row r="987" spans="2:13" ht="15">
      <c r="B987" s="17">
        <f t="shared" si="43"/>
        <v>21</v>
      </c>
      <c r="C987" s="8" t="s">
        <v>696</v>
      </c>
      <c r="D987" s="8"/>
      <c r="E987" s="922" t="s">
        <v>297</v>
      </c>
      <c r="F987" s="896"/>
      <c r="G987" s="922"/>
      <c r="H987" s="896"/>
      <c r="I987" s="922"/>
      <c r="J987" s="896"/>
      <c r="K987" s="896"/>
      <c r="L987" s="896"/>
      <c r="M987" s="1035"/>
    </row>
    <row r="988" spans="2:13" s="386" customFormat="1" ht="28.5">
      <c r="B988" s="17">
        <f t="shared" si="43"/>
        <v>22</v>
      </c>
      <c r="C988" s="1" t="s">
        <v>61</v>
      </c>
      <c r="D988" s="1" t="s">
        <v>42</v>
      </c>
      <c r="E988" s="17"/>
      <c r="F988" s="729">
        <f>'II-I-DIST'!F990</f>
        <v>292756.59000000003</v>
      </c>
      <c r="G988" s="118" t="str">
        <f>'II-I-DIST'!H990</f>
        <v>PLT 362-373</v>
      </c>
      <c r="H988" s="118">
        <f>'II-I-MET'!F990</f>
        <v>0</v>
      </c>
      <c r="I988" s="466" t="str">
        <f>'II-I-MET'!$H990</f>
        <v>PLT 362-373</v>
      </c>
      <c r="J988" s="121">
        <f>'II-I-TBILLTDCS'!F990</f>
        <v>0</v>
      </c>
      <c r="K988" s="466" t="str">
        <f>'II-I-TBILLTDCS'!$H990</f>
        <v>PLT 362-373</v>
      </c>
      <c r="L988" s="893">
        <f t="shared" si="45"/>
        <v>292756.59000000003</v>
      </c>
      <c r="M988" s="1035" t="s">
        <v>1108</v>
      </c>
    </row>
    <row r="989" spans="2:13" s="386" customFormat="1" ht="28.5">
      <c r="B989" s="17">
        <f t="shared" si="43"/>
        <v>23</v>
      </c>
      <c r="C989" s="1" t="s">
        <v>62</v>
      </c>
      <c r="D989" s="31" t="s">
        <v>44</v>
      </c>
      <c r="E989" s="17"/>
      <c r="F989" s="729">
        <f>'II-I-DIST'!F991</f>
        <v>2856983.6299999999</v>
      </c>
      <c r="G989" s="118" t="str">
        <f>'II-I-DIST'!H991</f>
        <v>PLT 361</v>
      </c>
      <c r="H989" s="118">
        <f>'II-I-MET'!F991</f>
        <v>0</v>
      </c>
      <c r="I989" s="466" t="str">
        <f>'II-I-MET'!$H991</f>
        <v>PLT 361</v>
      </c>
      <c r="J989" s="121">
        <f>'II-I-TBILLTDCS'!F991</f>
        <v>0</v>
      </c>
      <c r="K989" s="466" t="str">
        <f>'II-I-TBILLTDCS'!$H991</f>
        <v>PLT 361</v>
      </c>
      <c r="L989" s="893">
        <f t="shared" si="45"/>
        <v>2856983.6299999999</v>
      </c>
      <c r="M989" s="1035" t="s">
        <v>1083</v>
      </c>
    </row>
    <row r="990" spans="2:13" s="386" customFormat="1" ht="28.5">
      <c r="B990" s="17">
        <f t="shared" si="43"/>
        <v>24</v>
      </c>
      <c r="C990" s="1" t="s">
        <v>63</v>
      </c>
      <c r="D990" s="1" t="s">
        <v>46</v>
      </c>
      <c r="E990" s="17"/>
      <c r="F990" s="729">
        <f>'II-I-DIST'!F992</f>
        <v>36683880.890000001</v>
      </c>
      <c r="G990" s="118" t="str">
        <f>'II-I-DIST'!H992</f>
        <v>PLT 362</v>
      </c>
      <c r="H990" s="118">
        <f>'II-I-MET'!F992</f>
        <v>0</v>
      </c>
      <c r="I990" s="466" t="str">
        <f>'II-I-MET'!$H992</f>
        <v>PLT 362</v>
      </c>
      <c r="J990" s="121">
        <f>'II-I-TBILLTDCS'!F992</f>
        <v>0</v>
      </c>
      <c r="K990" s="466" t="str">
        <f>'II-I-TBILLTDCS'!$H992</f>
        <v>PLT 362</v>
      </c>
      <c r="L990" s="893">
        <f t="shared" si="45"/>
        <v>36683880.890000001</v>
      </c>
      <c r="M990" s="1035" t="s">
        <v>1084</v>
      </c>
    </row>
    <row r="991" spans="2:13" s="386" customFormat="1" ht="14.25">
      <c r="B991" s="17">
        <f t="shared" si="43"/>
        <v>25</v>
      </c>
      <c r="C991" s="1" t="s">
        <v>64</v>
      </c>
      <c r="D991" s="1" t="s">
        <v>65</v>
      </c>
      <c r="E991" s="17"/>
      <c r="F991" s="751">
        <f>'II-I-DIST'!F993</f>
        <v>0</v>
      </c>
      <c r="G991" s="118" t="str">
        <f>'II-I-DIST'!H993</f>
        <v>NCP XHV</v>
      </c>
      <c r="H991" s="290">
        <f>'II-I-MET'!F993</f>
        <v>0</v>
      </c>
      <c r="I991" s="466" t="str">
        <f>'II-I-MET'!$H993</f>
        <v>NCP XHV</v>
      </c>
      <c r="J991" s="24">
        <f>'II-I-TBILLTDCS'!F993</f>
        <v>0</v>
      </c>
      <c r="K991" s="466" t="str">
        <f>'II-I-TBILLTDCS'!$H993</f>
        <v>NCP XHV</v>
      </c>
      <c r="L991" s="893">
        <f t="shared" si="45"/>
        <v>0</v>
      </c>
      <c r="M991" s="1039"/>
    </row>
    <row r="992" spans="2:13" s="386" customFormat="1" ht="28.5">
      <c r="B992" s="17">
        <f t="shared" si="43"/>
        <v>26</v>
      </c>
      <c r="C992" s="1" t="s">
        <v>66</v>
      </c>
      <c r="D992" s="31" t="s">
        <v>697</v>
      </c>
      <c r="E992" s="17"/>
      <c r="F992" s="729">
        <f>'II-I-DIST'!F994</f>
        <v>95063645.810000002</v>
      </c>
      <c r="G992" s="118" t="str">
        <f>'II-I-DIST'!H994</f>
        <v>PLT 364</v>
      </c>
      <c r="H992" s="118">
        <f>'II-I-MET'!F994</f>
        <v>0</v>
      </c>
      <c r="I992" s="466" t="str">
        <f>'II-I-MET'!$H994</f>
        <v>PLT 364</v>
      </c>
      <c r="J992" s="121">
        <f>'II-I-TBILLTDCS'!F994</f>
        <v>0</v>
      </c>
      <c r="K992" s="466" t="str">
        <f>'II-I-TBILLTDCS'!$H994</f>
        <v>PLT 364</v>
      </c>
      <c r="L992" s="893">
        <f t="shared" si="45"/>
        <v>95063645.810000002</v>
      </c>
      <c r="M992" s="1035" t="s">
        <v>1109</v>
      </c>
    </row>
    <row r="993" spans="2:13" s="386" customFormat="1" ht="28.5">
      <c r="B993" s="17">
        <f t="shared" si="43"/>
        <v>27</v>
      </c>
      <c r="C993" s="1" t="s">
        <v>68</v>
      </c>
      <c r="D993" s="1" t="s">
        <v>534</v>
      </c>
      <c r="E993" s="17"/>
      <c r="F993" s="729">
        <f>'II-I-DIST'!F995</f>
        <v>53354376.829999998</v>
      </c>
      <c r="G993" s="118" t="str">
        <f>'II-I-DIST'!H995</f>
        <v>PLT 365</v>
      </c>
      <c r="H993" s="118">
        <f>'II-I-MET'!F995</f>
        <v>0</v>
      </c>
      <c r="I993" s="466" t="str">
        <f>'II-I-MET'!$H995</f>
        <v>PLT 365</v>
      </c>
      <c r="J993" s="121">
        <f>'II-I-TBILLTDCS'!F995</f>
        <v>0</v>
      </c>
      <c r="K993" s="466" t="str">
        <f>'II-I-TBILLTDCS'!$H995</f>
        <v>PLT 365</v>
      </c>
      <c r="L993" s="893">
        <f t="shared" si="45"/>
        <v>53354376.829999998</v>
      </c>
      <c r="M993" s="1035" t="s">
        <v>1110</v>
      </c>
    </row>
    <row r="994" spans="2:13" s="386" customFormat="1" ht="28.5">
      <c r="B994" s="17">
        <f t="shared" si="43"/>
        <v>28</v>
      </c>
      <c r="C994" s="1" t="s">
        <v>70</v>
      </c>
      <c r="D994" s="1" t="s">
        <v>698</v>
      </c>
      <c r="E994" s="17"/>
      <c r="F994" s="729">
        <f>'II-I-DIST'!F996</f>
        <v>23578853.789999999</v>
      </c>
      <c r="G994" s="118" t="str">
        <f>'II-I-DIST'!H996</f>
        <v>PLT 366</v>
      </c>
      <c r="H994" s="118">
        <f>'II-I-MET'!F996</f>
        <v>0</v>
      </c>
      <c r="I994" s="466" t="str">
        <f>'II-I-MET'!$H996</f>
        <v>PLT 366</v>
      </c>
      <c r="J994" s="121">
        <f>'II-I-TBILLTDCS'!F996</f>
        <v>0</v>
      </c>
      <c r="K994" s="466" t="str">
        <f>'II-I-TBILLTDCS'!$H996</f>
        <v>PLT 366</v>
      </c>
      <c r="L994" s="893">
        <f t="shared" si="45"/>
        <v>23578853.789999999</v>
      </c>
      <c r="M994" s="1035" t="s">
        <v>1111</v>
      </c>
    </row>
    <row r="995" spans="2:13" s="386" customFormat="1" ht="28.5">
      <c r="B995" s="17">
        <f t="shared" si="43"/>
        <v>29</v>
      </c>
      <c r="C995" s="1" t="s">
        <v>72</v>
      </c>
      <c r="D995" s="31" t="s">
        <v>699</v>
      </c>
      <c r="E995" s="17"/>
      <c r="F995" s="729">
        <f>'II-I-DIST'!F997</f>
        <v>56736034.090000004</v>
      </c>
      <c r="G995" s="118" t="str">
        <f>'II-I-DIST'!H997</f>
        <v>PLT 367</v>
      </c>
      <c r="H995" s="118">
        <f>'II-I-MET'!F997</f>
        <v>0</v>
      </c>
      <c r="I995" s="466" t="str">
        <f>'II-I-MET'!$H997</f>
        <v>PLT 367</v>
      </c>
      <c r="J995" s="121">
        <f>'II-I-TBILLTDCS'!F997</f>
        <v>0</v>
      </c>
      <c r="K995" s="466" t="str">
        <f>'II-I-TBILLTDCS'!$H997</f>
        <v>PLT 367</v>
      </c>
      <c r="L995" s="893">
        <f t="shared" si="45"/>
        <v>56736034.090000004</v>
      </c>
      <c r="M995" s="1035" t="s">
        <v>1112</v>
      </c>
    </row>
    <row r="996" spans="2:13" s="386" customFormat="1" ht="28.5">
      <c r="B996" s="17">
        <f t="shared" si="43"/>
        <v>30</v>
      </c>
      <c r="C996" s="1" t="s">
        <v>74</v>
      </c>
      <c r="D996" s="1" t="s">
        <v>700</v>
      </c>
      <c r="E996" s="17"/>
      <c r="F996" s="729">
        <f>'II-I-DIST'!F998</f>
        <v>56703640.140000001</v>
      </c>
      <c r="G996" s="118" t="str">
        <f>'II-I-DIST'!H998</f>
        <v>PLT 368</v>
      </c>
      <c r="H996" s="118">
        <f>'II-I-MET'!F998</f>
        <v>0</v>
      </c>
      <c r="I996" s="466" t="str">
        <f>'II-I-MET'!$H998</f>
        <v>PLT 368</v>
      </c>
      <c r="J996" s="121">
        <f>'II-I-TBILLTDCS'!F998</f>
        <v>0</v>
      </c>
      <c r="K996" s="466" t="str">
        <f>'II-I-TBILLTDCS'!$H998</f>
        <v>PLT 368</v>
      </c>
      <c r="L996" s="893">
        <f t="shared" si="45"/>
        <v>56703640.140000001</v>
      </c>
      <c r="M996" s="1035" t="s">
        <v>1113</v>
      </c>
    </row>
    <row r="997" spans="2:13" s="386" customFormat="1" ht="28.5">
      <c r="B997" s="17">
        <f t="shared" si="43"/>
        <v>31</v>
      </c>
      <c r="C997" s="1" t="s">
        <v>76</v>
      </c>
      <c r="D997" s="31" t="s">
        <v>77</v>
      </c>
      <c r="E997" s="17"/>
      <c r="F997" s="729">
        <f>'II-I-DIST'!F999</f>
        <v>50246720.280000001</v>
      </c>
      <c r="G997" s="118" t="str">
        <f>'II-I-DIST'!H999</f>
        <v>PLT 369</v>
      </c>
      <c r="H997" s="118">
        <f>'II-I-MET'!F999</f>
        <v>0</v>
      </c>
      <c r="I997" s="466" t="str">
        <f>'II-I-MET'!$H999</f>
        <v>PLT 369</v>
      </c>
      <c r="J997" s="121">
        <f>'II-I-TBILLTDCS'!F999</f>
        <v>0</v>
      </c>
      <c r="K997" s="466" t="str">
        <f>'II-I-TBILLTDCS'!$H999</f>
        <v>PLT 369</v>
      </c>
      <c r="L997" s="893">
        <f t="shared" si="45"/>
        <v>50246720.280000001</v>
      </c>
      <c r="M997" s="1035" t="s">
        <v>1114</v>
      </c>
    </row>
    <row r="998" spans="2:13" s="386" customFormat="1" ht="28.5">
      <c r="B998" s="17">
        <f t="shared" si="43"/>
        <v>32</v>
      </c>
      <c r="C998" s="1" t="s">
        <v>78</v>
      </c>
      <c r="D998" s="1" t="s">
        <v>79</v>
      </c>
      <c r="E998" s="17"/>
      <c r="F998" s="729">
        <f>'II-I-DIST'!F1000</f>
        <v>0</v>
      </c>
      <c r="G998" s="118" t="str">
        <f>'II-I-DIST'!H1000</f>
        <v>CUS W ALL</v>
      </c>
      <c r="H998" s="118">
        <f>'II-I-MET'!F1000</f>
        <v>17195294.84</v>
      </c>
      <c r="I998" s="466" t="str">
        <f>'II-I-MET'!$H1000</f>
        <v>CUS W ALL</v>
      </c>
      <c r="J998" s="121">
        <f>'II-I-TBILLTDCS'!F1000</f>
        <v>0</v>
      </c>
      <c r="K998" s="466" t="str">
        <f>'II-I-TBILLTDCS'!$H1000</f>
        <v>CUS W ALL</v>
      </c>
      <c r="L998" s="893">
        <f t="shared" si="45"/>
        <v>17195294.84</v>
      </c>
      <c r="M998" s="1035" t="s">
        <v>1115</v>
      </c>
    </row>
    <row r="999" spans="2:13" s="386" customFormat="1" ht="14.25">
      <c r="B999" s="17">
        <f t="shared" si="43"/>
        <v>33</v>
      </c>
      <c r="C999" s="1" t="s">
        <v>80</v>
      </c>
      <c r="D999" s="1" t="s">
        <v>543</v>
      </c>
      <c r="E999" s="17"/>
      <c r="F999" s="729">
        <f>'II-I-DIST'!F1001</f>
        <v>2390143.4199999999</v>
      </c>
      <c r="G999" s="118" t="str">
        <f>'II-I-DIST'!H1001</f>
        <v>NCP LGT</v>
      </c>
      <c r="H999" s="118">
        <f>'II-I-MET'!F1001</f>
        <v>0</v>
      </c>
      <c r="I999" s="466" t="str">
        <f>'II-I-MET'!$H1001</f>
        <v>NCP LGT</v>
      </c>
      <c r="J999" s="121">
        <f>'II-I-TBILLTDCS'!F1001</f>
        <v>0</v>
      </c>
      <c r="K999" s="466" t="str">
        <f>'II-I-TBILLTDCS'!$H1001</f>
        <v>NCP LGT</v>
      </c>
      <c r="L999" s="893">
        <f t="shared" si="45"/>
        <v>2390143.4199999999</v>
      </c>
      <c r="M999" s="1035" t="s">
        <v>1116</v>
      </c>
    </row>
    <row r="1000" spans="2:13" s="386" customFormat="1" ht="14.25">
      <c r="B1000" s="17">
        <f t="shared" si="43"/>
        <v>34</v>
      </c>
      <c r="C1000" s="1" t="s">
        <v>82</v>
      </c>
      <c r="D1000" s="1" t="s">
        <v>544</v>
      </c>
      <c r="E1000" s="17"/>
      <c r="F1000" s="729">
        <f>'II-I-DIST'!F1002</f>
        <v>0</v>
      </c>
      <c r="G1000" s="118" t="str">
        <f>'II-I-DIST'!H1002</f>
        <v>CUS W ALL</v>
      </c>
      <c r="H1000" s="118">
        <f>'II-I-MET'!F1002</f>
        <v>0</v>
      </c>
      <c r="I1000" s="466" t="str">
        <f>'II-I-MET'!$H1002</f>
        <v>CUS W ALL</v>
      </c>
      <c r="J1000" s="121">
        <f>'II-I-TBILLTDCS'!F1002</f>
        <v>0</v>
      </c>
      <c r="K1000" s="466" t="str">
        <f>'II-I-TBILLTDCS'!$H1002</f>
        <v>CUS W ALL</v>
      </c>
      <c r="L1000" s="893">
        <f t="shared" si="45"/>
        <v>0</v>
      </c>
      <c r="M1000" s="1035"/>
    </row>
    <row r="1001" spans="2:13" s="386" customFormat="1" ht="14.25">
      <c r="B1001" s="17">
        <f t="shared" si="43"/>
        <v>35</v>
      </c>
      <c r="C1001" s="1" t="s">
        <v>84</v>
      </c>
      <c r="D1001" s="1" t="s">
        <v>88</v>
      </c>
      <c r="E1001" s="17"/>
      <c r="F1001" s="729">
        <f>'II-I-DIST'!F1003</f>
        <v>21013686.960000001</v>
      </c>
      <c r="G1001" s="118" t="str">
        <f>'II-I-DIST'!H1003</f>
        <v>NCP LGT</v>
      </c>
      <c r="H1001" s="118">
        <f>'II-I-MET'!F1003</f>
        <v>0</v>
      </c>
      <c r="I1001" s="466" t="str">
        <f>'II-I-MET'!$H1003</f>
        <v>NCP LGT</v>
      </c>
      <c r="J1001" s="121">
        <f>'II-I-TBILLTDCS'!F1003</f>
        <v>0</v>
      </c>
      <c r="K1001" s="466" t="str">
        <f>'II-I-TBILLTDCS'!$H1003</f>
        <v>NCP LGT</v>
      </c>
      <c r="L1001" s="893">
        <f t="shared" si="45"/>
        <v>21013686.960000001</v>
      </c>
      <c r="M1001" s="1035" t="s">
        <v>1116</v>
      </c>
    </row>
    <row r="1002" spans="2:13" ht="15">
      <c r="B1002" s="17">
        <f t="shared" si="43"/>
        <v>36</v>
      </c>
      <c r="C1002" s="8"/>
      <c r="D1002" s="297" t="s">
        <v>491</v>
      </c>
      <c r="E1002" s="922"/>
      <c r="F1002" s="896">
        <f>'II-I-DIST'!F1004</f>
        <v>398920722.42999995</v>
      </c>
      <c r="G1002" s="922"/>
      <c r="H1002" s="896">
        <f>'II-I-MET'!F1004</f>
        <v>17195294.84</v>
      </c>
      <c r="I1002" s="922"/>
      <c r="J1002" s="896">
        <f>'II-I-TBILLTDCS'!F1004</f>
        <v>0</v>
      </c>
      <c r="K1002" s="896"/>
      <c r="L1002" s="896">
        <f t="shared" si="45"/>
        <v>416116017.26999992</v>
      </c>
      <c r="M1002" s="1035"/>
    </row>
    <row r="1003" spans="2:13" ht="14.25">
      <c r="B1003" s="17"/>
      <c r="C1003" s="1"/>
      <c r="D1003" s="1"/>
      <c r="E1003" s="17"/>
      <c r="F1003" s="894"/>
      <c r="G1003" s="728"/>
      <c r="H1003" s="19"/>
      <c r="I1003" s="17"/>
      <c r="J1003" s="19"/>
      <c r="K1003" s="894"/>
      <c r="L1003" s="894"/>
      <c r="M1003" s="1035"/>
    </row>
    <row r="1004" spans="2:13" ht="15">
      <c r="B1004" s="874"/>
      <c r="C1004" s="874"/>
      <c r="D1004" s="874"/>
      <c r="E1004" s="874"/>
      <c r="F1004" s="894"/>
      <c r="G1004" s="736"/>
      <c r="H1004" s="19"/>
      <c r="I1004" s="134"/>
      <c r="J1004" s="19"/>
      <c r="K1004" s="925"/>
      <c r="L1004" s="925"/>
      <c r="M1004" s="1035"/>
    </row>
    <row r="1005" spans="2:13" ht="15.75" thickBot="1">
      <c r="B1005" s="874"/>
      <c r="C1005" s="874"/>
      <c r="D1005" s="874"/>
      <c r="E1005" s="874"/>
      <c r="F1005" s="894"/>
      <c r="G1005" s="728"/>
      <c r="H1005" s="19"/>
      <c r="I1005" s="17"/>
      <c r="J1005" s="19"/>
      <c r="K1005" s="925"/>
      <c r="L1005" s="925"/>
      <c r="M1005" s="1035"/>
    </row>
    <row r="1006" spans="2:12" ht="15">
      <c r="B1006" s="920" t="str">
        <f>$B$4</f>
        <v>2022 RATE CASE</v>
      </c>
      <c r="C1006" s="926"/>
      <c r="D1006" s="927"/>
      <c r="E1006" s="874"/>
      <c r="F1006" s="737"/>
      <c r="G1006" s="664"/>
      <c r="H1006" s="332"/>
      <c r="J1006" s="332"/>
      <c r="K1006" s="874"/>
      <c r="L1006" s="874"/>
    </row>
    <row r="1007" spans="2:12" ht="15">
      <c r="B1007" s="917" t="str">
        <f>$B$5</f>
        <v>ONCOR ELECTRIC DELIVERY COMPANY LLC</v>
      </c>
      <c r="C1007" s="369"/>
      <c r="D1007" s="928"/>
      <c r="E1007" s="874"/>
      <c r="F1007" s="737"/>
      <c r="G1007" s="664"/>
      <c r="H1007" s="332"/>
      <c r="J1007" s="332"/>
      <c r="K1007" s="874"/>
      <c r="L1007" s="874"/>
    </row>
    <row r="1008" spans="2:12" ht="15">
      <c r="B1008" s="406" t="str">
        <f>$B$6</f>
        <v>II-I-2.1f:  CONSOLIDATED FUNCTIONALIZED COST OF SERVICE</v>
      </c>
      <c r="C1008" s="369"/>
      <c r="D1008" s="928"/>
      <c r="E1008" s="874"/>
      <c r="F1008" s="737"/>
      <c r="G1008" s="664"/>
      <c r="H1008" s="332"/>
      <c r="J1008" s="332"/>
      <c r="K1008" s="874"/>
      <c r="L1008" s="874"/>
    </row>
    <row r="1009" spans="2:10" ht="15.75">
      <c r="B1009" s="406" t="str">
        <f>$B$7</f>
        <v>TEST YEAR ENDING 12/31/2021</v>
      </c>
      <c r="C1009" s="840"/>
      <c r="D1009" s="921"/>
      <c r="E1009" s="67"/>
      <c r="F1009" s="737"/>
      <c r="G1009" s="664"/>
      <c r="H1009" s="332"/>
      <c r="J1009" s="332"/>
    </row>
    <row r="1010" spans="2:12" ht="15">
      <c r="B1010" s="406" t="str">
        <f>$B$8</f>
        <v>SPONSOR:  MATTHEW A. TROXLE</v>
      </c>
      <c r="C1010" s="369"/>
      <c r="D1010" s="928"/>
      <c r="E1010" s="369"/>
      <c r="F1010" s="737"/>
      <c r="G1010" s="664"/>
      <c r="H1010" s="332"/>
      <c r="J1010" s="332"/>
      <c r="K1010" s="369"/>
      <c r="L1010" s="369"/>
    </row>
    <row r="1011" spans="2:12" ht="15.75" thickBot="1">
      <c r="B1011" s="410"/>
      <c r="C1011" s="934"/>
      <c r="D1011" s="936"/>
      <c r="F1011" s="737"/>
      <c r="G1011" s="664"/>
      <c r="H1011" s="332"/>
      <c r="J1011" s="332"/>
      <c r="K1011" s="737"/>
      <c r="L1011" s="737"/>
    </row>
    <row r="1012" spans="2:13" ht="14.25">
      <c r="B1012" s="13"/>
      <c r="C1012" s="14"/>
      <c r="D1012" s="238"/>
      <c r="E1012" s="14"/>
      <c r="F1012" s="738"/>
      <c r="G1012" s="739"/>
      <c r="H1012" s="13"/>
      <c r="I1012" s="14"/>
      <c r="J1012" s="13"/>
      <c r="K1012" s="738"/>
      <c r="L1012" s="952"/>
      <c r="M1012" s="1036"/>
    </row>
    <row r="1013" spans="2:13" ht="15">
      <c r="B1013" s="15" t="s">
        <v>2</v>
      </c>
      <c r="C1013" s="15" t="s">
        <v>370</v>
      </c>
      <c r="D1013" s="241" t="s">
        <v>701</v>
      </c>
      <c r="E1013" s="15" t="s">
        <v>371</v>
      </c>
      <c r="F1013" s="287" t="str">
        <f>'II-I-DIST'!F1015</f>
        <v>DIST</v>
      </c>
      <c r="G1013" s="744" t="s">
        <v>376</v>
      </c>
      <c r="H1013" s="287" t="str">
        <f>'II-I-MET'!F1015</f>
        <v>MET</v>
      </c>
      <c r="I1013" s="242" t="s">
        <v>376</v>
      </c>
      <c r="J1013" s="287" t="str">
        <f>'II-I-TBILLTDCS'!F1015</f>
        <v>TBILLTDCS</v>
      </c>
      <c r="K1013" s="743" t="s">
        <v>376</v>
      </c>
      <c r="L1013" s="743" t="s">
        <v>481</v>
      </c>
      <c r="M1013" s="1030" t="s">
        <v>1046</v>
      </c>
    </row>
    <row r="1014" spans="2:13" ht="14.25">
      <c r="B1014" s="15"/>
      <c r="C1014" s="15"/>
      <c r="D1014" s="242"/>
      <c r="E1014" s="15"/>
      <c r="F1014" s="743"/>
      <c r="G1014" s="744" t="s">
        <v>743</v>
      </c>
      <c r="H1014" s="15"/>
      <c r="I1014" s="242" t="s">
        <v>743</v>
      </c>
      <c r="J1014" s="15"/>
      <c r="K1014" s="743" t="s">
        <v>743</v>
      </c>
      <c r="L1014" s="743" t="s">
        <v>33</v>
      </c>
      <c r="M1014" s="1037"/>
    </row>
    <row r="1015" spans="2:13" ht="15.75" thickBot="1">
      <c r="B1015" s="243"/>
      <c r="C1015" s="957"/>
      <c r="D1015" s="245"/>
      <c r="E1015" s="245"/>
      <c r="F1015" s="747" t="s">
        <v>13</v>
      </c>
      <c r="G1015" s="747" t="s">
        <v>14</v>
      </c>
      <c r="H1015" s="747" t="s">
        <v>15</v>
      </c>
      <c r="I1015" s="747" t="s">
        <v>16</v>
      </c>
      <c r="J1015" s="747" t="s">
        <v>17</v>
      </c>
      <c r="K1015" s="747" t="s">
        <v>18</v>
      </c>
      <c r="L1015" s="747" t="s">
        <v>19</v>
      </c>
      <c r="M1015" s="1032" t="s">
        <v>1137</v>
      </c>
    </row>
    <row r="1016" spans="2:12" ht="14.25">
      <c r="B1016" s="67"/>
      <c r="C1016" s="333"/>
      <c r="D1016" s="333"/>
      <c r="E1016" s="333"/>
      <c r="F1016" s="749"/>
      <c r="G1016" s="749"/>
      <c r="H1016" s="333"/>
      <c r="I1016" s="333"/>
      <c r="J1016" s="333"/>
      <c r="K1016" s="691"/>
      <c r="L1016" s="691"/>
    </row>
    <row r="1017" spans="2:12" ht="15">
      <c r="B1017" s="17">
        <f>B1003+1</f>
        <v>1</v>
      </c>
      <c r="C1017" s="34" t="s">
        <v>702</v>
      </c>
      <c r="D1017" s="8"/>
      <c r="E1017" s="922" t="s">
        <v>297</v>
      </c>
      <c r="F1017" s="896"/>
      <c r="G1017" s="922"/>
      <c r="H1017" s="896"/>
      <c r="I1017" s="922"/>
      <c r="J1017" s="896"/>
      <c r="K1017" s="896"/>
      <c r="L1017" s="896"/>
    </row>
    <row r="1018" spans="2:12" ht="14.25">
      <c r="B1018" s="17">
        <f t="shared" si="46" ref="B1018:B1038">B1017+1</f>
        <v>2</v>
      </c>
      <c r="C1018" s="1"/>
      <c r="D1018" s="1"/>
      <c r="E1018" s="17"/>
      <c r="F1018" s="894"/>
      <c r="G1018" s="728"/>
      <c r="H1018" s="19"/>
      <c r="I1018" s="17"/>
      <c r="J1018" s="19"/>
      <c r="K1018" s="894"/>
      <c r="L1018" s="894"/>
    </row>
    <row r="1019" spans="2:13" s="386" customFormat="1" ht="28.5">
      <c r="B1019" s="17">
        <f t="shared" si="46"/>
        <v>3</v>
      </c>
      <c r="C1019" s="1" t="s">
        <v>703</v>
      </c>
      <c r="D1019" s="1" t="s">
        <v>42</v>
      </c>
      <c r="E1019" s="17"/>
      <c r="F1019" s="729">
        <f>'II-I-DIST'!F1021</f>
        <v>1610.53</v>
      </c>
      <c r="G1019" s="118" t="str">
        <f>'II-I-DIST'!H1021</f>
        <v>PLTGEN_N</v>
      </c>
      <c r="H1019" s="118">
        <f>'II-I-MET'!F1021</f>
        <v>68.370000000000005</v>
      </c>
      <c r="I1019" s="466" t="str">
        <f>'II-I-MET'!$H1021</f>
        <v>PLTGEN_N</v>
      </c>
      <c r="J1019" s="121">
        <f>'II-I-TBILLTDCS'!F1021</f>
        <v>0.26000000000000001</v>
      </c>
      <c r="K1019" s="466" t="str">
        <f>'II-I-TBILLTDCS'!$H1021</f>
        <v>PLTGEN_N</v>
      </c>
      <c r="L1019" s="893">
        <f t="shared" si="45"/>
        <v>1679.1600000000001</v>
      </c>
      <c r="M1019" s="1033" t="s">
        <v>1117</v>
      </c>
    </row>
    <row r="1020" spans="2:13" s="386" customFormat="1" ht="14.25">
      <c r="B1020" s="17">
        <f t="shared" si="46"/>
        <v>4</v>
      </c>
      <c r="C1020" s="1" t="s">
        <v>93</v>
      </c>
      <c r="D1020" s="1" t="s">
        <v>44</v>
      </c>
      <c r="E1020" s="17"/>
      <c r="F1020" s="729">
        <f>'II-I-DIST'!F1022</f>
        <v>2871490.2400000002</v>
      </c>
      <c r="G1020" s="118" t="str">
        <f>'II-I-DIST'!H1022</f>
        <v>PLTGEN_N</v>
      </c>
      <c r="H1020" s="118">
        <f>'II-I-MET'!F1022</f>
        <v>489731.73999999999</v>
      </c>
      <c r="I1020" s="466" t="str">
        <f>'II-I-MET'!$H1022</f>
        <v>PLTGEN_N</v>
      </c>
      <c r="J1020" s="121">
        <f>'II-I-TBILLTDCS'!F1022</f>
        <v>269972.15999999997</v>
      </c>
      <c r="K1020" s="466" t="str">
        <f>'II-I-TBILLTDCS'!$H1022</f>
        <v>PLTGEN_N</v>
      </c>
      <c r="L1020" s="893">
        <f t="shared" si="45"/>
        <v>3631194.1400000006</v>
      </c>
      <c r="M1020" s="1033" t="s">
        <v>1118</v>
      </c>
    </row>
    <row r="1021" spans="2:13" s="386" customFormat="1" ht="14.25">
      <c r="B1021" s="17">
        <f t="shared" si="46"/>
        <v>5</v>
      </c>
      <c r="C1021" s="1" t="s">
        <v>94</v>
      </c>
      <c r="D1021" s="1" t="s">
        <v>95</v>
      </c>
      <c r="E1021" s="17"/>
      <c r="F1021" s="729">
        <f>'II-I-DIST'!F1023</f>
        <v>11253947.6</v>
      </c>
      <c r="G1021" s="118" t="str">
        <f>'II-I-DIST'!H1023</f>
        <v>PLTGEN_N</v>
      </c>
      <c r="H1021" s="118">
        <f>'II-I-MET'!F1023</f>
        <v>8476613.7300000004</v>
      </c>
      <c r="I1021" s="466" t="str">
        <f>'II-I-MET'!$H1023</f>
        <v>PLTGEN_N</v>
      </c>
      <c r="J1021" s="121">
        <f>'II-I-TBILLTDCS'!F1023</f>
        <v>10258435.65</v>
      </c>
      <c r="K1021" s="466" t="str">
        <f>'II-I-TBILLTDCS'!$H1023</f>
        <v>PLTGEN_N</v>
      </c>
      <c r="L1021" s="893">
        <f t="shared" si="45"/>
        <v>29988996.979999997</v>
      </c>
      <c r="M1021" s="1033" t="s">
        <v>1118</v>
      </c>
    </row>
    <row r="1022" spans="2:13" s="386" customFormat="1" ht="14.25">
      <c r="B1022" s="17">
        <f t="shared" si="46"/>
        <v>6</v>
      </c>
      <c r="C1022" s="1" t="s">
        <v>96</v>
      </c>
      <c r="D1022" s="1" t="s">
        <v>704</v>
      </c>
      <c r="E1022" s="17"/>
      <c r="F1022" s="729">
        <f>'II-I-DIST'!F1024</f>
        <v>1013262.58</v>
      </c>
      <c r="G1022" s="118" t="str">
        <f>'II-I-DIST'!H1024</f>
        <v>PLTGEN_N</v>
      </c>
      <c r="H1022" s="118">
        <f>'II-I-MET'!F1024</f>
        <v>0</v>
      </c>
      <c r="I1022" s="466" t="str">
        <f>'II-I-MET'!$H1024</f>
        <v>PLTGEN_N</v>
      </c>
      <c r="J1022" s="121">
        <f>'II-I-TBILLTDCS'!F1024</f>
        <v>0</v>
      </c>
      <c r="K1022" s="466" t="str">
        <f>'II-I-TBILLTDCS'!$H1024</f>
        <v>PLTGEN_N</v>
      </c>
      <c r="L1022" s="893">
        <f t="shared" si="45"/>
        <v>1013262.58</v>
      </c>
      <c r="M1022" s="1033" t="s">
        <v>1118</v>
      </c>
    </row>
    <row r="1023" spans="2:13" s="386" customFormat="1" ht="14.25">
      <c r="B1023" s="17">
        <f t="shared" si="46"/>
        <v>7</v>
      </c>
      <c r="C1023" s="1" t="s">
        <v>99</v>
      </c>
      <c r="D1023" s="1" t="s">
        <v>705</v>
      </c>
      <c r="E1023" s="17"/>
      <c r="F1023" s="729">
        <f>'II-I-DIST'!F1025</f>
        <v>179893.10999999999</v>
      </c>
      <c r="G1023" s="118" t="str">
        <f>'II-I-DIST'!H1025</f>
        <v>PLTGEN_N</v>
      </c>
      <c r="H1023" s="118">
        <f>'II-I-MET'!F1025</f>
        <v>32050.389999999999</v>
      </c>
      <c r="I1023" s="466" t="str">
        <f>'II-I-MET'!$H1025</f>
        <v>PLTGEN_N</v>
      </c>
      <c r="J1023" s="121">
        <f>'II-I-TBILLTDCS'!F1025</f>
        <v>0</v>
      </c>
      <c r="K1023" s="466" t="str">
        <f>'II-I-TBILLTDCS'!$H1025</f>
        <v>PLTGEN_N</v>
      </c>
      <c r="L1023" s="893">
        <f t="shared" si="45"/>
        <v>211943.5</v>
      </c>
      <c r="M1023" s="1033" t="s">
        <v>1118</v>
      </c>
    </row>
    <row r="1024" spans="2:13" s="386" customFormat="1" ht="14.25">
      <c r="B1024" s="17">
        <f t="shared" si="46"/>
        <v>8</v>
      </c>
      <c r="C1024" s="1" t="s">
        <v>101</v>
      </c>
      <c r="D1024" s="1" t="s">
        <v>706</v>
      </c>
      <c r="E1024" s="17"/>
      <c r="F1024" s="729">
        <f>'II-I-DIST'!F1026</f>
        <v>1613751</v>
      </c>
      <c r="G1024" s="118" t="str">
        <f>'II-I-DIST'!H1026</f>
        <v>PLTGEN_N</v>
      </c>
      <c r="H1024" s="118">
        <f>'II-I-MET'!F1026</f>
        <v>160870.84</v>
      </c>
      <c r="I1024" s="466" t="str">
        <f>'II-I-MET'!$H1026</f>
        <v>PLTGEN_N</v>
      </c>
      <c r="J1024" s="121">
        <f>'II-I-TBILLTDCS'!F1026</f>
        <v>0</v>
      </c>
      <c r="K1024" s="466" t="str">
        <f>'II-I-TBILLTDCS'!$H1026</f>
        <v>PLTGEN_N</v>
      </c>
      <c r="L1024" s="893">
        <f t="shared" si="45"/>
        <v>1774621.8400000001</v>
      </c>
      <c r="M1024" s="1033" t="s">
        <v>1118</v>
      </c>
    </row>
    <row r="1025" spans="2:13" s="386" customFormat="1" ht="14.25">
      <c r="B1025" s="17">
        <f t="shared" si="46"/>
        <v>9</v>
      </c>
      <c r="C1025" s="1" t="s">
        <v>103</v>
      </c>
      <c r="D1025" s="1" t="s">
        <v>707</v>
      </c>
      <c r="E1025" s="17"/>
      <c r="F1025" s="729">
        <f>'II-I-DIST'!F1027</f>
        <v>1151258.3999999999</v>
      </c>
      <c r="G1025" s="118" t="str">
        <f>'II-I-DIST'!H1027</f>
        <v>PLTGEN_N</v>
      </c>
      <c r="H1025" s="118">
        <f>'II-I-MET'!F1027</f>
        <v>242609.72</v>
      </c>
      <c r="I1025" s="466" t="str">
        <f>'II-I-MET'!$H1027</f>
        <v>PLTGEN_N</v>
      </c>
      <c r="J1025" s="121">
        <f>'II-I-TBILLTDCS'!F1027</f>
        <v>0</v>
      </c>
      <c r="K1025" s="466" t="str">
        <f>'II-I-TBILLTDCS'!$H1027</f>
        <v>PLTGEN_N</v>
      </c>
      <c r="L1025" s="893">
        <f t="shared" si="45"/>
        <v>1393868.1199999999</v>
      </c>
      <c r="M1025" s="1033" t="s">
        <v>1118</v>
      </c>
    </row>
    <row r="1026" spans="2:13" s="386" customFormat="1" ht="14.25">
      <c r="B1026" s="17">
        <f t="shared" si="46"/>
        <v>10</v>
      </c>
      <c r="C1026" s="1" t="s">
        <v>105</v>
      </c>
      <c r="D1026" s="1" t="s">
        <v>106</v>
      </c>
      <c r="E1026" s="17"/>
      <c r="F1026" s="729">
        <f>'II-I-DIST'!F1028</f>
        <v>479878.02000000002</v>
      </c>
      <c r="G1026" s="118" t="str">
        <f>'II-I-DIST'!H1028</f>
        <v>PLTGEN_N</v>
      </c>
      <c r="H1026" s="118">
        <f>'II-I-MET'!F1028</f>
        <v>61487.510000000002</v>
      </c>
      <c r="I1026" s="466" t="str">
        <f>'II-I-MET'!$H1028</f>
        <v>PLTGEN_N</v>
      </c>
      <c r="J1026" s="121">
        <f>'II-I-TBILLTDCS'!F1028</f>
        <v>0</v>
      </c>
      <c r="K1026" s="466" t="str">
        <f>'II-I-TBILLTDCS'!$H1028</f>
        <v>PLTGEN_N</v>
      </c>
      <c r="L1026" s="893">
        <f t="shared" si="45"/>
        <v>541365.53000000003</v>
      </c>
      <c r="M1026" s="1033" t="s">
        <v>1118</v>
      </c>
    </row>
    <row r="1027" spans="2:13" s="386" customFormat="1" ht="14.25">
      <c r="B1027" s="17">
        <f t="shared" si="46"/>
        <v>11</v>
      </c>
      <c r="C1027" s="1" t="s">
        <v>107</v>
      </c>
      <c r="D1027" s="1" t="s">
        <v>108</v>
      </c>
      <c r="E1027" s="17"/>
      <c r="F1027" s="729">
        <f>'II-I-DIST'!F1029</f>
        <v>3522760.3300000001</v>
      </c>
      <c r="G1027" s="118" t="str">
        <f>'II-I-DIST'!H1029</f>
        <v>PLTGEN_N</v>
      </c>
      <c r="H1027" s="118">
        <f>'II-I-MET'!F1029</f>
        <v>289426.59999999998</v>
      </c>
      <c r="I1027" s="466" t="str">
        <f>'II-I-MET'!$H1029</f>
        <v>PLTGEN_N</v>
      </c>
      <c r="J1027" s="121">
        <f>'II-I-TBILLTDCS'!F1029</f>
        <v>133407.13000000001</v>
      </c>
      <c r="K1027" s="466" t="str">
        <f>'II-I-TBILLTDCS'!$H1029</f>
        <v>PLTGEN_N</v>
      </c>
      <c r="L1027" s="893">
        <f t="shared" si="45"/>
        <v>3945594.0600000001</v>
      </c>
      <c r="M1027" s="1033" t="s">
        <v>1118</v>
      </c>
    </row>
    <row r="1028" spans="2:13" s="386" customFormat="1" ht="14.25">
      <c r="B1028" s="17">
        <f t="shared" si="46"/>
        <v>12</v>
      </c>
      <c r="C1028" s="1" t="s">
        <v>110</v>
      </c>
      <c r="D1028" s="1" t="s">
        <v>708</v>
      </c>
      <c r="E1028" s="17"/>
      <c r="F1028" s="729">
        <f>'II-I-DIST'!F1030</f>
        <v>349716.01000000001</v>
      </c>
      <c r="G1028" s="118" t="str">
        <f>'II-I-DIST'!H1030</f>
        <v>PLTGEN_N</v>
      </c>
      <c r="H1028" s="118">
        <f>'II-I-MET'!F1030</f>
        <v>71826.929999999993</v>
      </c>
      <c r="I1028" s="466" t="str">
        <f>'II-I-MET'!$H1030</f>
        <v>PLTGEN_N</v>
      </c>
      <c r="J1028" s="121">
        <f>'II-I-TBILLTDCS'!F1030</f>
        <v>0</v>
      </c>
      <c r="K1028" s="466" t="str">
        <f>'II-I-TBILLTDCS'!$H1030</f>
        <v>PLTGEN_N</v>
      </c>
      <c r="L1028" s="893">
        <f t="shared" si="45"/>
        <v>421542.94</v>
      </c>
      <c r="M1028" s="1033" t="s">
        <v>1118</v>
      </c>
    </row>
    <row r="1029" spans="2:13" s="386" customFormat="1" ht="14.25">
      <c r="B1029" s="17">
        <f t="shared" si="46"/>
        <v>13</v>
      </c>
      <c r="C1029" s="1" t="s">
        <v>112</v>
      </c>
      <c r="D1029" s="1" t="s">
        <v>302</v>
      </c>
      <c r="E1029" s="17"/>
      <c r="F1029" s="729">
        <f>'II-I-DIST'!F1031</f>
        <v>0</v>
      </c>
      <c r="G1029" s="118" t="str">
        <f>'II-I-DIST'!H1031</f>
        <v>PLTGEN_N</v>
      </c>
      <c r="H1029" s="118">
        <f>'II-I-MET'!F1031</f>
        <v>0</v>
      </c>
      <c r="I1029" s="466" t="str">
        <f>'II-I-MET'!$H1031</f>
        <v>PLTGEN_N</v>
      </c>
      <c r="J1029" s="121">
        <f>'II-I-TBILLTDCS'!F1031</f>
        <v>0</v>
      </c>
      <c r="K1029" s="466" t="str">
        <f>'II-I-TBILLTDCS'!$H1031</f>
        <v>PLTGEN_N</v>
      </c>
      <c r="L1029" s="893">
        <f t="shared" si="45"/>
        <v>0</v>
      </c>
      <c r="M1029" s="1033"/>
    </row>
    <row r="1030" spans="2:13" s="386" customFormat="1" ht="14.25">
      <c r="B1030" s="17">
        <f t="shared" si="46"/>
        <v>14</v>
      </c>
      <c r="C1030" s="1" t="s">
        <v>112</v>
      </c>
      <c r="D1030" s="1" t="s">
        <v>303</v>
      </c>
      <c r="E1030" s="17"/>
      <c r="F1030" s="729">
        <f>'II-I-DIST'!F1032</f>
        <v>0</v>
      </c>
      <c r="G1030" s="118" t="str">
        <f>'II-I-DIST'!H1032</f>
        <v>PLTGEN_N</v>
      </c>
      <c r="H1030" s="118">
        <f>'II-I-MET'!F1032</f>
        <v>0</v>
      </c>
      <c r="I1030" s="466" t="str">
        <f>'II-I-MET'!$H1032</f>
        <v>PLTGEN_N</v>
      </c>
      <c r="J1030" s="121">
        <f>'II-I-TBILLTDCS'!F1032</f>
        <v>0</v>
      </c>
      <c r="K1030" s="466" t="str">
        <f>'II-I-TBILLTDCS'!$H1032</f>
        <v>PLTGEN_N</v>
      </c>
      <c r="L1030" s="893">
        <f t="shared" si="45"/>
        <v>0</v>
      </c>
      <c r="M1030" s="1033"/>
    </row>
    <row r="1031" spans="2:12" ht="15">
      <c r="B1031" s="17">
        <f t="shared" si="46"/>
        <v>15</v>
      </c>
      <c r="C1031" s="8"/>
      <c r="D1031" s="297" t="s">
        <v>491</v>
      </c>
      <c r="E1031" s="922"/>
      <c r="F1031" s="896">
        <f>'II-I-DIST'!F1033</f>
        <v>22437567.819999997</v>
      </c>
      <c r="G1031" s="922"/>
      <c r="H1031" s="896">
        <f>'II-I-MET'!F1033</f>
        <v>9824685.8300000001</v>
      </c>
      <c r="I1031" s="922"/>
      <c r="J1031" s="896">
        <f>'II-I-TBILLTDCS'!F1033</f>
        <v>10661815.200000001</v>
      </c>
      <c r="K1031" s="896"/>
      <c r="L1031" s="896">
        <f t="shared" si="45"/>
        <v>42924068.850000001</v>
      </c>
    </row>
    <row r="1032" spans="2:12" ht="15.75" thickBot="1">
      <c r="B1032" s="17">
        <f t="shared" si="46"/>
        <v>16</v>
      </c>
      <c r="C1032" s="8"/>
      <c r="D1032" s="297"/>
      <c r="E1032" s="922"/>
      <c r="F1032" s="896"/>
      <c r="G1032" s="922"/>
      <c r="H1032" s="896"/>
      <c r="I1032" s="922"/>
      <c r="J1032" s="896"/>
      <c r="K1032" s="896"/>
      <c r="L1032" s="896"/>
    </row>
    <row r="1033" spans="2:12" ht="15.75" thickBot="1">
      <c r="B1033" s="17">
        <f t="shared" si="46"/>
        <v>17</v>
      </c>
      <c r="C1033" s="284" t="s">
        <v>709</v>
      </c>
      <c r="D1033" s="285"/>
      <c r="E1033" s="374" t="s">
        <v>297</v>
      </c>
      <c r="F1033" s="903">
        <f>'II-I-DIST'!F1035</f>
        <v>459817144.95999992</v>
      </c>
      <c r="G1033" s="374"/>
      <c r="H1033" s="903">
        <f>'II-I-MET'!F1035</f>
        <v>30914363.670000002</v>
      </c>
      <c r="I1033" s="374"/>
      <c r="J1033" s="903">
        <f>'II-I-TBILLTDCS'!F1035</f>
        <v>32929277.090000004</v>
      </c>
      <c r="K1033" s="903"/>
      <c r="L1033" s="380">
        <f t="shared" si="45"/>
        <v>523660785.71999991</v>
      </c>
    </row>
    <row r="1034" spans="2:13" ht="15">
      <c r="B1034" s="17">
        <f t="shared" si="46"/>
        <v>18</v>
      </c>
      <c r="C1034" s="8"/>
      <c r="D1034" s="297"/>
      <c r="E1034" s="922"/>
      <c r="F1034" s="896"/>
      <c r="G1034" s="922"/>
      <c r="H1034" s="896"/>
      <c r="I1034" s="922"/>
      <c r="J1034" s="896"/>
      <c r="K1034" s="896"/>
      <c r="L1034" s="896"/>
      <c r="M1034" s="1035"/>
    </row>
    <row r="1035" spans="2:13" ht="15">
      <c r="B1035" s="17">
        <f t="shared" si="46"/>
        <v>19</v>
      </c>
      <c r="C1035" s="8" t="s">
        <v>710</v>
      </c>
      <c r="D1035" s="297"/>
      <c r="E1035" s="922" t="s">
        <v>330</v>
      </c>
      <c r="F1035" s="729">
        <f>'II-I-DIST'!F1037</f>
        <v>97.260000000002037</v>
      </c>
      <c r="G1035" s="118" t="str">
        <f>'II-I-DIST'!H1037</f>
        <v>PLT_N XINT</v>
      </c>
      <c r="H1035" s="118">
        <f>'II-I-MET'!F1037</f>
        <v>0</v>
      </c>
      <c r="I1035" s="466" t="str">
        <f>'II-I-MET'!$H1037</f>
        <v>N / A</v>
      </c>
      <c r="J1035" s="121">
        <f>'II-I-TBILLTDCS'!F1037</f>
        <v>0</v>
      </c>
      <c r="K1035" s="466" t="str">
        <f>'II-I-TBILLTDCS'!$H1037</f>
        <v>CUS U RTL</v>
      </c>
      <c r="L1035" s="893">
        <f t="shared" si="45"/>
        <v>97.260000000002037</v>
      </c>
      <c r="M1035" s="1039" t="str">
        <f>M1146</f>
        <v xml:space="preserve"> Related primarily to the number of customers.</v>
      </c>
    </row>
    <row r="1036" spans="2:13" ht="15">
      <c r="B1036" s="17">
        <f t="shared" si="46"/>
        <v>20</v>
      </c>
      <c r="C1036" s="8" t="s">
        <v>711</v>
      </c>
      <c r="D1036" s="297"/>
      <c r="E1036" s="922" t="s">
        <v>333</v>
      </c>
      <c r="F1036" s="729">
        <f>'II-I-DIST'!F1038</f>
        <v>-2773001.1500000004</v>
      </c>
      <c r="G1036" s="118" t="str">
        <f>'II-I-DIST'!H1038</f>
        <v>PLT_N XINT</v>
      </c>
      <c r="H1036" s="118">
        <f>'II-I-MET'!F1038</f>
        <v>25459958.16</v>
      </c>
      <c r="I1036" s="466" t="str">
        <f>'II-I-MET'!$H1038</f>
        <v>PLT_N XINT</v>
      </c>
      <c r="J1036" s="121">
        <f>'II-I-TBILLTDCS'!F1038</f>
        <v>0</v>
      </c>
      <c r="K1036" s="466" t="str">
        <f>'II-I-TBILLTDCS'!$H1038</f>
        <v>PLT_N XINT</v>
      </c>
      <c r="L1036" s="893">
        <f t="shared" si="45"/>
        <v>22686957.009999998</v>
      </c>
      <c r="M1036" s="1039" t="s">
        <v>1119</v>
      </c>
    </row>
    <row r="1037" spans="2:13" ht="15.75" thickBot="1">
      <c r="B1037" s="17">
        <f t="shared" si="46"/>
        <v>21</v>
      </c>
      <c r="C1037" s="8"/>
      <c r="D1037" s="297"/>
      <c r="E1037" s="922"/>
      <c r="F1037" s="896"/>
      <c r="G1037" s="922"/>
      <c r="H1037" s="896"/>
      <c r="I1037" s="922"/>
      <c r="J1037" s="896"/>
      <c r="K1037" s="896"/>
      <c r="L1037" s="896"/>
      <c r="M1037" s="1035"/>
    </row>
    <row r="1038" spans="2:12" ht="15.75" thickBot="1">
      <c r="B1038" s="17">
        <f t="shared" si="46"/>
        <v>22</v>
      </c>
      <c r="C1038" s="284" t="s">
        <v>712</v>
      </c>
      <c r="D1038" s="285"/>
      <c r="E1038" s="374"/>
      <c r="F1038" s="903">
        <f>'II-I-DIST'!F1040</f>
        <v>457044241.06999993</v>
      </c>
      <c r="G1038" s="374"/>
      <c r="H1038" s="903">
        <f>'II-I-MET'!F1040</f>
        <v>56374321.829999998</v>
      </c>
      <c r="I1038" s="374"/>
      <c r="J1038" s="903">
        <f>'II-I-TBILLTDCS'!F1040</f>
        <v>32929277.090000004</v>
      </c>
      <c r="K1038" s="903"/>
      <c r="L1038" s="380">
        <f t="shared" si="45"/>
        <v>546347839.98999989</v>
      </c>
    </row>
    <row r="1039" spans="2:10" ht="14.25">
      <c r="B1039" s="67"/>
      <c r="C1039" s="67"/>
      <c r="D1039" s="67"/>
      <c r="E1039" s="67"/>
      <c r="F1039" s="664"/>
      <c r="G1039" s="664"/>
      <c r="H1039" s="67"/>
      <c r="I1039" s="67"/>
      <c r="J1039" s="67"/>
    </row>
    <row r="1040" spans="2:12" ht="15">
      <c r="B1040" s="874"/>
      <c r="C1040" s="874"/>
      <c r="D1040" s="874"/>
      <c r="E1040" s="874"/>
      <c r="F1040" s="664"/>
      <c r="G1040" s="736"/>
      <c r="H1040" s="67"/>
      <c r="I1040" s="134"/>
      <c r="J1040" s="67"/>
      <c r="K1040" s="874"/>
      <c r="L1040" s="874"/>
    </row>
    <row r="1041" spans="2:12" ht="15.75" thickBot="1">
      <c r="B1041" s="874"/>
      <c r="C1041" s="874"/>
      <c r="D1041" s="874"/>
      <c r="E1041" s="874"/>
      <c r="F1041" s="664"/>
      <c r="G1041" s="664"/>
      <c r="H1041" s="67"/>
      <c r="I1041" s="67"/>
      <c r="J1041" s="67"/>
      <c r="K1041" s="874"/>
      <c r="L1041" s="874"/>
    </row>
    <row r="1042" spans="2:12" ht="15">
      <c r="B1042" s="920" t="str">
        <f>$B$4</f>
        <v>2022 RATE CASE</v>
      </c>
      <c r="C1042" s="926"/>
      <c r="D1042" s="927"/>
      <c r="E1042" s="874"/>
      <c r="F1042" s="737"/>
      <c r="G1042" s="664"/>
      <c r="H1042" s="332"/>
      <c r="J1042" s="332"/>
      <c r="K1042" s="874"/>
      <c r="L1042" s="874"/>
    </row>
    <row r="1043" spans="2:12" ht="15">
      <c r="B1043" s="917" t="str">
        <f>$B$5</f>
        <v>ONCOR ELECTRIC DELIVERY COMPANY LLC</v>
      </c>
      <c r="C1043" s="369"/>
      <c r="D1043" s="928"/>
      <c r="E1043" s="874"/>
      <c r="F1043" s="737"/>
      <c r="G1043" s="664"/>
      <c r="H1043" s="332"/>
      <c r="J1043" s="332"/>
      <c r="K1043" s="874"/>
      <c r="L1043" s="874"/>
    </row>
    <row r="1044" spans="2:12" ht="15">
      <c r="B1044" s="406" t="str">
        <f>$B$6</f>
        <v>II-I-2.1f:  CONSOLIDATED FUNCTIONALIZED COST OF SERVICE</v>
      </c>
      <c r="C1044" s="369"/>
      <c r="D1044" s="928"/>
      <c r="E1044" s="874"/>
      <c r="F1044" s="737"/>
      <c r="G1044" s="664"/>
      <c r="H1044" s="332"/>
      <c r="J1044" s="332"/>
      <c r="K1044" s="874"/>
      <c r="L1044" s="874"/>
    </row>
    <row r="1045" spans="2:10" ht="15.75">
      <c r="B1045" s="406" t="str">
        <f>$B$7</f>
        <v>TEST YEAR ENDING 12/31/2021</v>
      </c>
      <c r="C1045" s="840"/>
      <c r="D1045" s="921"/>
      <c r="E1045" s="67"/>
      <c r="F1045" s="737"/>
      <c r="G1045" s="664"/>
      <c r="H1045" s="332"/>
      <c r="J1045" s="332"/>
    </row>
    <row r="1046" spans="2:12" ht="15">
      <c r="B1046" s="406" t="str">
        <f>$B$8</f>
        <v>SPONSOR:  MATTHEW A. TROXLE</v>
      </c>
      <c r="C1046" s="369"/>
      <c r="D1046" s="928"/>
      <c r="E1046" s="369"/>
      <c r="F1046" s="737"/>
      <c r="G1046" s="664"/>
      <c r="H1046" s="332"/>
      <c r="J1046" s="332"/>
      <c r="K1046" s="369"/>
      <c r="L1046" s="369"/>
    </row>
    <row r="1047" spans="2:12" ht="15.75" thickBot="1">
      <c r="B1047" s="410"/>
      <c r="C1047" s="934"/>
      <c r="D1047" s="936"/>
      <c r="F1047" s="737"/>
      <c r="G1047" s="664"/>
      <c r="H1047" s="332"/>
      <c r="J1047" s="332"/>
      <c r="K1047" s="737"/>
      <c r="L1047" s="737"/>
    </row>
    <row r="1048" spans="2:13" ht="14.25">
      <c r="B1048" s="13"/>
      <c r="C1048" s="14"/>
      <c r="D1048" s="238"/>
      <c r="E1048" s="14"/>
      <c r="F1048" s="738"/>
      <c r="G1048" s="739"/>
      <c r="H1048" s="13"/>
      <c r="I1048" s="14"/>
      <c r="J1048" s="13"/>
      <c r="K1048" s="738"/>
      <c r="L1048" s="952"/>
      <c r="M1048" s="1036"/>
    </row>
    <row r="1049" spans="2:13" ht="15">
      <c r="B1049" s="15" t="s">
        <v>2</v>
      </c>
      <c r="C1049" s="15" t="s">
        <v>370</v>
      </c>
      <c r="D1049" s="241" t="s">
        <v>304</v>
      </c>
      <c r="E1049" s="15" t="s">
        <v>371</v>
      </c>
      <c r="F1049" s="287" t="str">
        <f>'II-I-DIST'!F1051</f>
        <v>DIST</v>
      </c>
      <c r="G1049" s="744" t="s">
        <v>376</v>
      </c>
      <c r="H1049" s="287" t="str">
        <f>'II-I-MET'!F1051</f>
        <v>MET</v>
      </c>
      <c r="I1049" s="242" t="s">
        <v>376</v>
      </c>
      <c r="J1049" s="287" t="str">
        <f>'II-I-TBILLTDCS'!F1051</f>
        <v>TBILLTDCS</v>
      </c>
      <c r="K1049" s="743" t="s">
        <v>376</v>
      </c>
      <c r="L1049" s="743" t="s">
        <v>481</v>
      </c>
      <c r="M1049" s="1030" t="s">
        <v>1046</v>
      </c>
    </row>
    <row r="1050" spans="2:13" ht="14.25">
      <c r="B1050" s="15"/>
      <c r="C1050" s="15"/>
      <c r="D1050" s="242"/>
      <c r="E1050" s="15"/>
      <c r="F1050" s="743"/>
      <c r="G1050" s="744" t="s">
        <v>743</v>
      </c>
      <c r="H1050" s="15"/>
      <c r="I1050" s="242" t="s">
        <v>743</v>
      </c>
      <c r="J1050" s="15"/>
      <c r="K1050" s="743" t="s">
        <v>743</v>
      </c>
      <c r="L1050" s="743" t="s">
        <v>33</v>
      </c>
      <c r="M1050" s="1037"/>
    </row>
    <row r="1051" spans="2:13" ht="15.75" thickBot="1">
      <c r="B1051" s="243"/>
      <c r="C1051" s="957"/>
      <c r="D1051" s="245"/>
      <c r="E1051" s="245"/>
      <c r="F1051" s="747" t="s">
        <v>13</v>
      </c>
      <c r="G1051" s="747" t="s">
        <v>14</v>
      </c>
      <c r="H1051" s="747" t="s">
        <v>15</v>
      </c>
      <c r="I1051" s="747" t="s">
        <v>16</v>
      </c>
      <c r="J1051" s="747" t="s">
        <v>17</v>
      </c>
      <c r="K1051" s="747" t="s">
        <v>18</v>
      </c>
      <c r="L1051" s="747" t="s">
        <v>19</v>
      </c>
      <c r="M1051" s="1032" t="s">
        <v>1137</v>
      </c>
    </row>
    <row r="1052" spans="2:12" ht="14.25">
      <c r="B1052" s="67"/>
      <c r="C1052" s="333"/>
      <c r="D1052" s="333"/>
      <c r="E1052" s="333"/>
      <c r="F1052" s="749"/>
      <c r="G1052" s="749"/>
      <c r="H1052" s="333"/>
      <c r="I1052" s="333"/>
      <c r="J1052" s="333"/>
      <c r="K1052" s="691"/>
      <c r="L1052" s="691"/>
    </row>
    <row r="1053" spans="2:12" ht="15">
      <c r="B1053" s="17">
        <f t="shared" si="47" ref="B1053:B1070">B1052+1</f>
        <v>1</v>
      </c>
      <c r="C1053" s="366" t="s">
        <v>304</v>
      </c>
      <c r="D1053" s="366"/>
      <c r="E1053" s="922"/>
      <c r="F1053" s="896"/>
      <c r="G1053" s="922"/>
      <c r="H1053" s="896"/>
      <c r="I1053" s="922"/>
      <c r="J1053" s="896"/>
      <c r="K1053" s="896"/>
      <c r="L1053" s="8"/>
    </row>
    <row r="1054" spans="2:12" ht="14.25">
      <c r="B1054" s="17">
        <f t="shared" si="47"/>
        <v>2</v>
      </c>
      <c r="C1054" s="1"/>
      <c r="D1054" s="1"/>
      <c r="E1054" s="17"/>
      <c r="F1054" s="894"/>
      <c r="G1054" s="728"/>
      <c r="H1054" s="19"/>
      <c r="I1054" s="17"/>
      <c r="J1054" s="19"/>
      <c r="K1054" s="894"/>
      <c r="L1054" s="730"/>
    </row>
    <row r="1055" spans="2:12" ht="15">
      <c r="B1055" s="17">
        <f t="shared" si="47"/>
        <v>3</v>
      </c>
      <c r="C1055" s="8" t="s">
        <v>306</v>
      </c>
      <c r="D1055" s="8"/>
      <c r="E1055" s="922" t="s">
        <v>305</v>
      </c>
      <c r="F1055" s="896"/>
      <c r="G1055" s="922"/>
      <c r="H1055" s="896"/>
      <c r="I1055" s="922"/>
      <c r="J1055" s="896"/>
      <c r="K1055" s="896"/>
      <c r="L1055" s="8"/>
    </row>
    <row r="1056" spans="2:13" s="386" customFormat="1" ht="14.25">
      <c r="B1056" s="17">
        <f t="shared" si="47"/>
        <v>4</v>
      </c>
      <c r="C1056" s="1"/>
      <c r="D1056" s="1" t="s">
        <v>307</v>
      </c>
      <c r="E1056" s="17"/>
      <c r="F1056" s="729">
        <f>'II-I-DIST'!F1058</f>
        <v>10525362.25</v>
      </c>
      <c r="G1056" s="118" t="str">
        <f>'II-I-DIST'!H1058</f>
        <v>PAYROLL</v>
      </c>
      <c r="H1056" s="118">
        <f>'II-I-MET'!F1058</f>
        <v>2869720.4100000001</v>
      </c>
      <c r="I1056" s="466" t="str">
        <f>'II-I-MET'!$H1058</f>
        <v>PAYROLL</v>
      </c>
      <c r="J1056" s="118">
        <f>'II-I-TBILLTDCS'!F1058</f>
        <v>115481.33000000194</v>
      </c>
      <c r="K1056" s="466" t="str">
        <f>'II-I-TBILLTDCS'!$H1058</f>
        <v>PAYROLL</v>
      </c>
      <c r="L1056" s="893">
        <f>F1056+H1056+J1056</f>
        <v>13510563.990000002</v>
      </c>
      <c r="M1056" s="1033" t="s">
        <v>1120</v>
      </c>
    </row>
    <row r="1057" spans="2:13" s="386" customFormat="1" ht="14.25">
      <c r="B1057" s="17">
        <f t="shared" si="47"/>
        <v>5</v>
      </c>
      <c r="C1057" s="1"/>
      <c r="D1057" s="1" t="s">
        <v>308</v>
      </c>
      <c r="E1057" s="17"/>
      <c r="F1057" s="729">
        <f>'II-I-DIST'!F1059</f>
        <v>131750.22</v>
      </c>
      <c r="G1057" s="118" t="str">
        <f>'II-I-DIST'!H1059</f>
        <v>PAYROLL</v>
      </c>
      <c r="H1057" s="118">
        <f>'II-I-MET'!F1059</f>
        <v>35921.449999999997</v>
      </c>
      <c r="I1057" s="466" t="str">
        <f>'II-I-MET'!$H1059</f>
        <v>PAYROLL</v>
      </c>
      <c r="J1057" s="118">
        <f>'II-I-TBILLTDCS'!F1059</f>
        <v>1445.5200000000041</v>
      </c>
      <c r="K1057" s="466" t="str">
        <f>'II-I-TBILLTDCS'!$H1059</f>
        <v>PAYROLL</v>
      </c>
      <c r="L1057" s="893">
        <f>F1057+H1057+J1057</f>
        <v>169117.19</v>
      </c>
      <c r="M1057" s="1033" t="s">
        <v>1120</v>
      </c>
    </row>
    <row r="1058" spans="2:13" s="386" customFormat="1" ht="14.25">
      <c r="B1058" s="17">
        <f t="shared" si="47"/>
        <v>6</v>
      </c>
      <c r="C1058" s="1"/>
      <c r="D1058" s="1" t="s">
        <v>309</v>
      </c>
      <c r="E1058" s="17"/>
      <c r="F1058" s="729">
        <f>'II-I-DIST'!F1060</f>
        <v>181083.20999999999</v>
      </c>
      <c r="G1058" s="118" t="str">
        <f>'II-I-DIST'!H1060</f>
        <v>PAYROLL</v>
      </c>
      <c r="H1058" s="118">
        <f>'II-I-MET'!F1060</f>
        <v>49372</v>
      </c>
      <c r="I1058" s="466" t="str">
        <f>'II-I-MET'!$H1060</f>
        <v>PAYROLL</v>
      </c>
      <c r="J1058" s="118">
        <f>'II-I-TBILLTDCS'!F1060</f>
        <v>1986.7999999999884</v>
      </c>
      <c r="K1058" s="466" t="str">
        <f>'II-I-TBILLTDCS'!$H1060</f>
        <v>PAYROLL</v>
      </c>
      <c r="L1058" s="893">
        <f>F1058+H1058+J1058</f>
        <v>232442.00999999998</v>
      </c>
      <c r="M1058" s="1033" t="s">
        <v>1120</v>
      </c>
    </row>
    <row r="1059" spans="2:12" ht="15">
      <c r="B1059" s="17">
        <f t="shared" si="47"/>
        <v>7</v>
      </c>
      <c r="C1059" s="8"/>
      <c r="D1059" s="297" t="s">
        <v>713</v>
      </c>
      <c r="E1059" s="922"/>
      <c r="F1059" s="252">
        <f>'II-I-DIST'!F1061</f>
        <v>10838195.680000002</v>
      </c>
      <c r="G1059" s="922"/>
      <c r="H1059" s="252">
        <f>'II-I-MET'!F1061</f>
        <v>2955013.8600000003</v>
      </c>
      <c r="I1059" s="922"/>
      <c r="J1059" s="252">
        <f>'II-I-TBILLTDCS'!F1061</f>
        <v>118913.65000000193</v>
      </c>
      <c r="K1059" s="252"/>
      <c r="L1059" s="252">
        <f>F1059+H1059+J1059</f>
        <v>13912123.190000005</v>
      </c>
    </row>
    <row r="1060" spans="2:12" ht="14.25">
      <c r="B1060" s="17">
        <f t="shared" si="47"/>
        <v>8</v>
      </c>
      <c r="C1060" s="1"/>
      <c r="D1060" s="1"/>
      <c r="E1060" s="17"/>
      <c r="F1060" s="894"/>
      <c r="G1060" s="728"/>
      <c r="H1060" s="19"/>
      <c r="I1060" s="17"/>
      <c r="J1060" s="19"/>
      <c r="K1060" s="894"/>
      <c r="L1060" s="894"/>
    </row>
    <row r="1061" spans="2:12" ht="15">
      <c r="B1061" s="17">
        <f t="shared" si="47"/>
        <v>9</v>
      </c>
      <c r="C1061" s="8" t="s">
        <v>310</v>
      </c>
      <c r="D1061" s="8"/>
      <c r="E1061" s="922" t="s">
        <v>305</v>
      </c>
      <c r="F1061" s="896"/>
      <c r="G1061" s="922"/>
      <c r="H1061" s="896"/>
      <c r="I1061" s="922"/>
      <c r="J1061" s="896"/>
      <c r="K1061" s="896"/>
      <c r="L1061" s="896"/>
    </row>
    <row r="1062" spans="2:13" s="386" customFormat="1" ht="28.5">
      <c r="B1062" s="17">
        <f t="shared" si="47"/>
        <v>10</v>
      </c>
      <c r="C1062" s="383"/>
      <c r="D1062" s="1" t="s">
        <v>311</v>
      </c>
      <c r="E1062" s="19"/>
      <c r="F1062" s="729">
        <f>'II-I-DIST'!F1064</f>
        <v>132463225.04000001</v>
      </c>
      <c r="G1062" s="118" t="str">
        <f>'II-I-DIST'!H1064</f>
        <v>PLANT</v>
      </c>
      <c r="H1062" s="118">
        <f>'II-I-MET'!F1064</f>
        <v>4504909.1100000003</v>
      </c>
      <c r="I1062" s="466" t="str">
        <f>'II-I-MET'!$H1064</f>
        <v>PLANT</v>
      </c>
      <c r="J1062" s="118">
        <f>'II-I-TBILLTDCS'!F1064</f>
        <v>3841558.0100000342</v>
      </c>
      <c r="K1062" s="466" t="str">
        <f>'II-I-TBILLTDCS'!$H1064</f>
        <v>PLANT</v>
      </c>
      <c r="L1062" s="893">
        <f>F1062+H1062+J1062</f>
        <v>140809692.16000003</v>
      </c>
      <c r="M1062" s="1033" t="s">
        <v>1063</v>
      </c>
    </row>
    <row r="1063" spans="2:12" ht="15">
      <c r="B1063" s="17">
        <f t="shared" si="47"/>
        <v>11</v>
      </c>
      <c r="C1063" s="8"/>
      <c r="D1063" s="297" t="s">
        <v>714</v>
      </c>
      <c r="E1063" s="922"/>
      <c r="F1063" s="896">
        <f>'II-I-DIST'!F1065</f>
        <v>132463225.04000001</v>
      </c>
      <c r="G1063" s="922"/>
      <c r="H1063" s="896">
        <f>'II-I-MET'!F1065</f>
        <v>4504909.1100000003</v>
      </c>
      <c r="I1063" s="922"/>
      <c r="J1063" s="896">
        <f>'II-I-TBILLTDCS'!F1065</f>
        <v>3841558.0100000342</v>
      </c>
      <c r="K1063" s="896"/>
      <c r="L1063" s="896">
        <f>F1063+H1063+J1063</f>
        <v>140809692.16000003</v>
      </c>
    </row>
    <row r="1064" spans="2:12" ht="14.25">
      <c r="B1064" s="17">
        <f t="shared" si="47"/>
        <v>12</v>
      </c>
      <c r="C1064" s="1"/>
      <c r="D1064" s="1"/>
      <c r="E1064" s="17"/>
      <c r="F1064" s="894"/>
      <c r="G1064" s="728"/>
      <c r="H1064" s="19"/>
      <c r="I1064" s="17"/>
      <c r="J1064" s="19"/>
      <c r="K1064" s="894"/>
      <c r="L1064" s="894"/>
    </row>
    <row r="1065" spans="2:12" ht="15">
      <c r="B1065" s="17">
        <f t="shared" si="47"/>
        <v>13</v>
      </c>
      <c r="C1065" s="8" t="s">
        <v>312</v>
      </c>
      <c r="D1065" s="8"/>
      <c r="E1065" s="922" t="s">
        <v>305</v>
      </c>
      <c r="F1065" s="896"/>
      <c r="G1065" s="922"/>
      <c r="H1065" s="896"/>
      <c r="I1065" s="922"/>
      <c r="J1065" s="896"/>
      <c r="K1065" s="896"/>
      <c r="L1065" s="896"/>
    </row>
    <row r="1066" spans="2:13" s="386" customFormat="1" ht="14.25">
      <c r="B1066" s="17">
        <f t="shared" si="47"/>
        <v>14</v>
      </c>
      <c r="C1066" s="1"/>
      <c r="D1066" s="1" t="s">
        <v>313</v>
      </c>
      <c r="E1066" s="17"/>
      <c r="F1066" s="729">
        <f>'II-I-DIST'!F1068</f>
        <v>21065900.859999999</v>
      </c>
      <c r="G1066" s="118" t="str">
        <f>'II-I-DIST'!H1068</f>
        <v>TAX INC</v>
      </c>
      <c r="H1066" s="118">
        <f>'II-I-MET'!F1068</f>
        <v>1078537.3899999999</v>
      </c>
      <c r="I1066" s="466" t="str">
        <f>'II-I-MET'!$H1068</f>
        <v>TAX INC</v>
      </c>
      <c r="J1066" s="118">
        <f>'II-I-TBILLTDCS'!F1068</f>
        <v>549068.12999999966</v>
      </c>
      <c r="K1066" s="466" t="str">
        <f>'II-I-TBILLTDCS'!$H1068</f>
        <v>TAX INC</v>
      </c>
      <c r="L1066" s="893">
        <f>F1066+H1066+J1066</f>
        <v>22693506.379999999</v>
      </c>
      <c r="M1066" s="1033" t="s">
        <v>1121</v>
      </c>
    </row>
    <row r="1067" spans="2:13" s="386" customFormat="1" ht="28.5">
      <c r="B1067" s="17">
        <f t="shared" si="47"/>
        <v>15</v>
      </c>
      <c r="C1067" s="1"/>
      <c r="D1067" s="1" t="s">
        <v>314</v>
      </c>
      <c r="E1067" s="17"/>
      <c r="F1067" s="729">
        <f>'II-I-DIST'!F1069</f>
        <v>283082877</v>
      </c>
      <c r="G1067" s="118" t="str">
        <f>'II-I-DIST'!H1069</f>
        <v>ENERGY ICL</v>
      </c>
      <c r="H1067" s="118">
        <f>'II-I-MET'!F1069</f>
        <v>0</v>
      </c>
      <c r="I1067" s="466" t="str">
        <f>'II-I-MET'!$H1069</f>
        <v>ENERGY ICL</v>
      </c>
      <c r="J1067" s="118">
        <f>'II-I-TBILLTDCS'!F1069</f>
        <v>0</v>
      </c>
      <c r="K1067" s="466" t="str">
        <f>'II-I-TBILLTDCS'!$H1069</f>
        <v>ENERGY ICL</v>
      </c>
      <c r="L1067" s="893">
        <f>F1067+H1067+J1067</f>
        <v>283082877</v>
      </c>
      <c r="M1067" s="1033" t="s">
        <v>1122</v>
      </c>
    </row>
    <row r="1068" spans="2:12" ht="15">
      <c r="B1068" s="17">
        <f t="shared" si="47"/>
        <v>16</v>
      </c>
      <c r="C1068" s="8"/>
      <c r="D1068" s="297" t="s">
        <v>715</v>
      </c>
      <c r="E1068" s="922"/>
      <c r="F1068" s="896">
        <f>'II-I-DIST'!F1070</f>
        <v>304148777.86000001</v>
      </c>
      <c r="G1068" s="922"/>
      <c r="H1068" s="896">
        <f>'II-I-MET'!F1070</f>
        <v>1078537.3899999999</v>
      </c>
      <c r="I1068" s="922"/>
      <c r="J1068" s="896">
        <f>'II-I-TBILLTDCS'!F1070</f>
        <v>549068.12999999966</v>
      </c>
      <c r="K1068" s="896"/>
      <c r="L1068" s="896">
        <f>F1068+H1068+J1068</f>
        <v>305776383.38</v>
      </c>
    </row>
    <row r="1069" spans="2:12" ht="15" thickBot="1">
      <c r="B1069" s="17">
        <f t="shared" si="47"/>
        <v>17</v>
      </c>
      <c r="C1069" s="1"/>
      <c r="D1069" s="1"/>
      <c r="E1069" s="17"/>
      <c r="F1069" s="385">
        <f>'II-I-DIST'!F1071</f>
        <v>0</v>
      </c>
      <c r="G1069" s="728"/>
      <c r="H1069" s="385">
        <f>'II-I-MET'!F1071</f>
        <v>0</v>
      </c>
      <c r="I1069" s="17"/>
      <c r="J1069" s="385">
        <f>'II-I-TBILLTDCS'!F1071</f>
        <v>0</v>
      </c>
      <c r="K1069" s="753"/>
      <c r="L1069" s="753"/>
    </row>
    <row r="1070" spans="2:12" ht="15.75" thickBot="1">
      <c r="B1070" s="17">
        <f t="shared" si="47"/>
        <v>18</v>
      </c>
      <c r="C1070" s="284" t="s">
        <v>716</v>
      </c>
      <c r="D1070" s="285"/>
      <c r="E1070" s="374" t="s">
        <v>305</v>
      </c>
      <c r="F1070" s="903">
        <f>'II-I-DIST'!F1072</f>
        <v>447450198.58000004</v>
      </c>
      <c r="G1070" s="374"/>
      <c r="H1070" s="903">
        <f>'II-I-MET'!F1072</f>
        <v>8538460.3599999994</v>
      </c>
      <c r="I1070" s="374"/>
      <c r="J1070" s="903">
        <f>'II-I-TBILLTDCS'!F1072</f>
        <v>4509539.7900000364</v>
      </c>
      <c r="K1070" s="903"/>
      <c r="L1070" s="380">
        <f>F1070+H1070+J1070</f>
        <v>460498198.73000008</v>
      </c>
    </row>
    <row r="1071" spans="2:12" ht="15.75" thickBot="1">
      <c r="B1071" s="874"/>
      <c r="C1071" s="874"/>
      <c r="D1071" s="874"/>
      <c r="E1071" s="874"/>
      <c r="F1071" s="664"/>
      <c r="G1071" s="664"/>
      <c r="H1071" s="67"/>
      <c r="I1071" s="67"/>
      <c r="J1071" s="67"/>
      <c r="K1071" s="874"/>
      <c r="L1071" s="874"/>
    </row>
    <row r="1072" spans="2:12" ht="15">
      <c r="B1072" s="920" t="str">
        <f>$B$4</f>
        <v>2022 RATE CASE</v>
      </c>
      <c r="C1072" s="926"/>
      <c r="D1072" s="927"/>
      <c r="E1072" s="874"/>
      <c r="F1072" s="737"/>
      <c r="G1072" s="736"/>
      <c r="H1072" s="332"/>
      <c r="I1072" s="134"/>
      <c r="J1072" s="332"/>
      <c r="K1072" s="874"/>
      <c r="L1072" s="874"/>
    </row>
    <row r="1073" spans="2:12" ht="15">
      <c r="B1073" s="917" t="str">
        <f>$B$5</f>
        <v>ONCOR ELECTRIC DELIVERY COMPANY LLC</v>
      </c>
      <c r="C1073" s="369"/>
      <c r="D1073" s="928"/>
      <c r="E1073" s="874"/>
      <c r="F1073" s="737"/>
      <c r="G1073" s="664"/>
      <c r="H1073" s="332"/>
      <c r="J1073" s="332"/>
      <c r="K1073" s="874"/>
      <c r="L1073" s="874"/>
    </row>
    <row r="1074" spans="2:12" ht="15">
      <c r="B1074" s="406" t="str">
        <f>$B$6</f>
        <v>II-I-2.1f:  CONSOLIDATED FUNCTIONALIZED COST OF SERVICE</v>
      </c>
      <c r="C1074" s="369"/>
      <c r="D1074" s="928"/>
      <c r="E1074" s="874"/>
      <c r="F1074" s="737"/>
      <c r="G1074" s="664"/>
      <c r="H1074" s="332"/>
      <c r="J1074" s="332"/>
      <c r="K1074" s="874"/>
      <c r="L1074" s="874"/>
    </row>
    <row r="1075" spans="2:12" ht="15">
      <c r="B1075" s="406" t="str">
        <f>$B$7</f>
        <v>TEST YEAR ENDING 12/31/2021</v>
      </c>
      <c r="C1075" s="369"/>
      <c r="D1075" s="928"/>
      <c r="E1075" s="874"/>
      <c r="F1075" s="894"/>
      <c r="G1075" s="664"/>
      <c r="H1075" s="19"/>
      <c r="J1075" s="19"/>
      <c r="K1075" s="874"/>
      <c r="L1075" s="874"/>
    </row>
    <row r="1076" spans="2:10" ht="15.75">
      <c r="B1076" s="406" t="str">
        <f>$B$8</f>
        <v>SPONSOR:  MATTHEW A. TROXLE</v>
      </c>
      <c r="C1076" s="840"/>
      <c r="D1076" s="921"/>
      <c r="E1076" s="67"/>
      <c r="F1076" s="737"/>
      <c r="G1076" s="664"/>
      <c r="H1076" s="332"/>
      <c r="J1076" s="332"/>
    </row>
    <row r="1077" spans="2:12" ht="15.75" thickBot="1">
      <c r="B1077" s="410"/>
      <c r="C1077" s="931"/>
      <c r="D1077" s="932"/>
      <c r="E1077" s="369"/>
      <c r="F1077" s="737"/>
      <c r="G1077" s="664"/>
      <c r="H1077" s="332"/>
      <c r="J1077" s="332"/>
      <c r="K1077" s="369"/>
      <c r="L1077" s="369"/>
    </row>
    <row r="1078" spans="2:13" ht="14.25">
      <c r="B1078" s="13"/>
      <c r="C1078" s="14"/>
      <c r="D1078" s="238"/>
      <c r="E1078" s="14"/>
      <c r="F1078" s="738"/>
      <c r="G1078" s="739"/>
      <c r="H1078" s="13"/>
      <c r="I1078" s="14"/>
      <c r="J1078" s="13"/>
      <c r="K1078" s="738"/>
      <c r="L1078" s="952"/>
      <c r="M1078" s="1036"/>
    </row>
    <row r="1079" spans="2:13" ht="15">
      <c r="B1079" s="15" t="s">
        <v>2</v>
      </c>
      <c r="C1079" s="15" t="s">
        <v>370</v>
      </c>
      <c r="D1079" s="241" t="s">
        <v>315</v>
      </c>
      <c r="E1079" s="15" t="s">
        <v>371</v>
      </c>
      <c r="F1079" s="287" t="str">
        <f>'II-I-DIST'!F1081</f>
        <v>DIST</v>
      </c>
      <c r="G1079" s="744" t="s">
        <v>376</v>
      </c>
      <c r="H1079" s="287" t="str">
        <f>'II-I-MET'!F1081</f>
        <v>MET</v>
      </c>
      <c r="I1079" s="242" t="s">
        <v>376</v>
      </c>
      <c r="J1079" s="287" t="str">
        <f>'II-I-TBILLTDCS'!F1081</f>
        <v>TBILLTDCS</v>
      </c>
      <c r="K1079" s="743" t="s">
        <v>376</v>
      </c>
      <c r="L1079" s="743" t="s">
        <v>481</v>
      </c>
      <c r="M1079" s="1030" t="s">
        <v>1046</v>
      </c>
    </row>
    <row r="1080" spans="2:13" ht="14.25">
      <c r="B1080" s="15"/>
      <c r="C1080" s="15"/>
      <c r="D1080" s="242"/>
      <c r="E1080" s="15"/>
      <c r="F1080" s="743"/>
      <c r="G1080" s="744" t="s">
        <v>743</v>
      </c>
      <c r="H1080" s="15"/>
      <c r="I1080" s="242" t="s">
        <v>743</v>
      </c>
      <c r="J1080" s="15"/>
      <c r="K1080" s="743" t="s">
        <v>743</v>
      </c>
      <c r="L1080" s="743" t="s">
        <v>33</v>
      </c>
      <c r="M1080" s="1037"/>
    </row>
    <row r="1081" spans="2:13" ht="15.75" thickBot="1">
      <c r="B1081" s="243"/>
      <c r="C1081" s="957"/>
      <c r="D1081" s="245"/>
      <c r="E1081" s="245"/>
      <c r="F1081" s="747" t="s">
        <v>13</v>
      </c>
      <c r="G1081" s="747" t="s">
        <v>14</v>
      </c>
      <c r="H1081" s="747" t="s">
        <v>15</v>
      </c>
      <c r="I1081" s="747" t="s">
        <v>16</v>
      </c>
      <c r="J1081" s="747" t="s">
        <v>17</v>
      </c>
      <c r="K1081" s="747" t="s">
        <v>18</v>
      </c>
      <c r="L1081" s="747" t="s">
        <v>19</v>
      </c>
      <c r="M1081" s="1032" t="s">
        <v>1137</v>
      </c>
    </row>
    <row r="1082" spans="2:12" ht="14.25">
      <c r="B1082" s="67"/>
      <c r="C1082" s="333"/>
      <c r="D1082" s="333"/>
      <c r="E1082" s="333"/>
      <c r="F1082" s="749"/>
      <c r="G1082" s="749"/>
      <c r="H1082" s="333"/>
      <c r="I1082" s="333"/>
      <c r="J1082" s="333"/>
      <c r="K1082" s="691"/>
      <c r="L1082" s="691"/>
    </row>
    <row r="1083" spans="2:12" ht="15">
      <c r="B1083" s="17">
        <f t="shared" si="48" ref="B1083:B1128">B1082+1</f>
        <v>1</v>
      </c>
      <c r="C1083" s="366" t="s">
        <v>315</v>
      </c>
      <c r="D1083" s="8"/>
      <c r="E1083" s="922"/>
      <c r="F1083" s="896"/>
      <c r="G1083" s="922"/>
      <c r="H1083" s="896"/>
      <c r="I1083" s="922"/>
      <c r="J1083" s="896"/>
      <c r="K1083" s="896"/>
      <c r="L1083" s="8"/>
    </row>
    <row r="1084" spans="2:12" ht="14.25">
      <c r="B1084" s="17">
        <f t="shared" si="48"/>
        <v>2</v>
      </c>
      <c r="C1084" s="1"/>
      <c r="D1084" s="1"/>
      <c r="E1084" s="17"/>
      <c r="F1084" s="894"/>
      <c r="G1084" s="728"/>
      <c r="H1084" s="19"/>
      <c r="I1084" s="17"/>
      <c r="J1084" s="19"/>
      <c r="K1084" s="894"/>
      <c r="L1084" s="730"/>
    </row>
    <row r="1085" spans="2:12" ht="15">
      <c r="B1085" s="17">
        <f t="shared" si="48"/>
        <v>3</v>
      </c>
      <c r="C1085" s="8"/>
      <c r="D1085" s="34" t="s">
        <v>361</v>
      </c>
      <c r="E1085" s="922" t="s">
        <v>510</v>
      </c>
      <c r="F1085" s="896">
        <f>'II-I-DIST'!F1087</f>
        <v>638839835.45845962</v>
      </c>
      <c r="G1085" s="922"/>
      <c r="H1085" s="896">
        <f>'II-I-MET'!F1087</f>
        <v>29703069.880629234</v>
      </c>
      <c r="I1085" s="922"/>
      <c r="J1085" s="896">
        <f>'II-I-TBILLTDCS'!F1087</f>
        <v>14457604.669049725</v>
      </c>
      <c r="K1085" s="896"/>
      <c r="L1085" s="896">
        <f>F1085+H1085+J1085</f>
        <v>683000510.00813854</v>
      </c>
    </row>
    <row r="1086" spans="2:12" ht="14.25">
      <c r="B1086" s="17">
        <f t="shared" si="48"/>
        <v>4</v>
      </c>
      <c r="C1086" s="1"/>
      <c r="D1086" s="1"/>
      <c r="E1086" s="17"/>
      <c r="F1086" s="894"/>
      <c r="G1086" s="728"/>
      <c r="H1086" s="19"/>
      <c r="I1086" s="17"/>
      <c r="J1086" s="19"/>
      <c r="K1086" s="894"/>
      <c r="L1086" s="730"/>
    </row>
    <row r="1087" spans="2:12" ht="15">
      <c r="B1087" s="17">
        <f t="shared" si="48"/>
        <v>5</v>
      </c>
      <c r="C1087" s="1"/>
      <c r="D1087" s="8" t="s">
        <v>317</v>
      </c>
      <c r="E1087" s="922" t="s">
        <v>316</v>
      </c>
      <c r="F1087" s="894"/>
      <c r="G1087" s="922"/>
      <c r="H1087" s="19"/>
      <c r="I1087" s="922"/>
      <c r="J1087" s="19"/>
      <c r="K1087" s="894"/>
      <c r="L1087" s="730"/>
    </row>
    <row r="1088" spans="2:13" s="386" customFormat="1" ht="28.5">
      <c r="B1088" s="17">
        <f t="shared" si="48"/>
        <v>6</v>
      </c>
      <c r="C1088" s="1"/>
      <c r="D1088" t="s">
        <v>318</v>
      </c>
      <c r="E1088" s="17"/>
      <c r="F1088" s="729">
        <f>'II-I-DIST'!F1090</f>
        <v>218383546.59</v>
      </c>
      <c r="G1088" s="118" t="str">
        <f>'II-I-DIST'!H1090</f>
        <v>RATEBASE</v>
      </c>
      <c r="H1088" s="118">
        <f>'II-I-MET'!F1090</f>
        <v>10153815.380000001</v>
      </c>
      <c r="I1088" s="466" t="str">
        <f>'II-I-MET'!$H1090</f>
        <v>RATEBASE</v>
      </c>
      <c r="J1088" s="118">
        <f>'II-I-TBILLTDCS'!F1090</f>
        <v>4942244.9999999348</v>
      </c>
      <c r="K1088" s="466" t="str">
        <f>'II-I-TBILLTDCS'!$H1090</f>
        <v>RATEBASE</v>
      </c>
      <c r="L1088" s="893">
        <f t="shared" si="49" ref="L1088:L1093">F1088+H1088+J1088</f>
        <v>233479606.96999994</v>
      </c>
      <c r="M1088" s="1033" t="s">
        <v>1123</v>
      </c>
    </row>
    <row r="1089" spans="2:13" s="386" customFormat="1" ht="14.25">
      <c r="B1089" s="17">
        <f t="shared" si="48"/>
        <v>7</v>
      </c>
      <c r="C1089" s="1"/>
      <c r="D1089" t="s">
        <v>319</v>
      </c>
      <c r="E1089" s="17"/>
      <c r="F1089" s="729">
        <f>'II-I-DIST'!F1091</f>
        <v>191147.98999999999</v>
      </c>
      <c r="G1089" s="118" t="str">
        <f>'II-I-DIST'!H1091</f>
        <v>PLANT_N</v>
      </c>
      <c r="H1089" s="118">
        <f>'II-I-MET'!F1091</f>
        <v>0</v>
      </c>
      <c r="I1089" s="466" t="str">
        <f>'II-I-MET'!$H1091</f>
        <v>PLANT_N</v>
      </c>
      <c r="J1089" s="118">
        <f>'II-I-TBILLTDCS'!F1091</f>
        <v>0</v>
      </c>
      <c r="K1089" s="466" t="str">
        <f>'II-I-TBILLTDCS'!$H1091</f>
        <v>PLANT_N</v>
      </c>
      <c r="L1089" s="893">
        <f t="shared" si="49"/>
        <v>191147.98999999999</v>
      </c>
      <c r="M1089" s="1033"/>
    </row>
    <row r="1090" spans="2:13" s="386" customFormat="1" ht="28.5">
      <c r="B1090" s="17">
        <f t="shared" si="48"/>
        <v>8</v>
      </c>
      <c r="C1090" s="1"/>
      <c r="D1090" t="s">
        <v>1247</v>
      </c>
      <c r="E1090" s="17"/>
      <c r="F1090" s="729">
        <f>'II-I-DIST'!F1092</f>
        <v>7133574.9500000002</v>
      </c>
      <c r="G1090" s="118" t="str">
        <f>'II-I-DIST'!H1092</f>
        <v>RATEBASE</v>
      </c>
      <c r="H1090" s="118">
        <f>'II-I-MET'!F1092</f>
        <v>242603.98999999999</v>
      </c>
      <c r="I1090" s="466" t="str">
        <f>'II-I-MET'!$H1092</f>
        <v>RATEBASE</v>
      </c>
      <c r="J1090" s="118">
        <f>'II-I-TBILLTDCS'!F1092</f>
        <v>206880.70000000042</v>
      </c>
      <c r="K1090" s="466" t="str">
        <f>'II-I-TBILLTDCS'!$H1092</f>
        <v>RATEBASE</v>
      </c>
      <c r="L1090" s="893">
        <f t="shared" si="49"/>
        <v>7583059.6400000006</v>
      </c>
      <c r="M1090" s="1033" t="s">
        <v>1123</v>
      </c>
    </row>
    <row r="1091" spans="2:13" s="386" customFormat="1" ht="28.5">
      <c r="B1091" s="17">
        <f t="shared" si="48"/>
        <v>9</v>
      </c>
      <c r="C1091" s="1"/>
      <c r="D1091" t="s">
        <v>1248</v>
      </c>
      <c r="E1091" s="17"/>
      <c r="F1091" s="729">
        <f>'II-I-DIST'!F1093</f>
        <v>20604260.02</v>
      </c>
      <c r="G1091" s="118" t="str">
        <f>'II-I-DIST'!H1093</f>
        <v>RATEBASE</v>
      </c>
      <c r="H1091" s="118">
        <f>'II-I-MET'!F1093</f>
        <v>2549533.1000000001</v>
      </c>
      <c r="I1091" s="466" t="str">
        <f>'II-I-MET'!$H1093</f>
        <v>RATEBASE</v>
      </c>
      <c r="J1091" s="118">
        <f>'II-I-TBILLTDCS'!F1093</f>
        <v>-217593.92999998515</v>
      </c>
      <c r="K1091" s="466" t="str">
        <f>'II-I-TBILLTDCS'!$H1093</f>
        <v>RATEBASE</v>
      </c>
      <c r="L1091" s="893">
        <f t="shared" si="49"/>
        <v>22936199.190000016</v>
      </c>
      <c r="M1091" s="1033" t="s">
        <v>1123</v>
      </c>
    </row>
    <row r="1092" spans="2:13" s="386" customFormat="1" ht="28.5">
      <c r="B1092" s="17">
        <f>B1091+1</f>
        <v>10</v>
      </c>
      <c r="C1092" s="1"/>
      <c r="D1092" t="s">
        <v>1249</v>
      </c>
      <c r="E1092" s="17"/>
      <c r="F1092" s="729">
        <f>'II-I-DIST'!F1094</f>
        <v>-1676942.8500000001</v>
      </c>
      <c r="G1092" s="118" t="str">
        <f>'II-I-DIST'!H1094</f>
        <v>RATEBASE</v>
      </c>
      <c r="H1092" s="118">
        <f>'II-I-MET'!F1094</f>
        <v>-57030.739999999998</v>
      </c>
      <c r="I1092" s="466" t="str">
        <f>'II-I-MET'!$H1094</f>
        <v>RATEBASE</v>
      </c>
      <c r="J1092" s="118">
        <f>'II-I-TBILLTDCS'!F1094</f>
        <v>-48632.919999999918</v>
      </c>
      <c r="K1092" s="466" t="str">
        <f>'II-I-TBILLTDCS'!$H1094</f>
        <v>RATEBASE</v>
      </c>
      <c r="L1092" s="893">
        <f t="shared" si="49"/>
        <v>-1782606.51</v>
      </c>
      <c r="M1092" s="1033" t="s">
        <v>1123</v>
      </c>
    </row>
    <row r="1093" spans="2:13" s="386" customFormat="1" ht="14.25">
      <c r="B1093" s="17">
        <f t="shared" si="48"/>
        <v>11</v>
      </c>
      <c r="C1093" s="1"/>
      <c r="D1093" t="s">
        <v>1250</v>
      </c>
      <c r="E1093" s="17"/>
      <c r="F1093" s="729">
        <f>'II-I-DIST'!F1095</f>
        <v>253322.39000000001</v>
      </c>
      <c r="G1093" s="118" t="str">
        <f>'II-I-DIST'!H1095</f>
        <v>RATEBASE</v>
      </c>
      <c r="H1093" s="118">
        <f>'II-I-MET'!F1095</f>
        <v>8615.1800000000003</v>
      </c>
      <c r="I1093" s="466" t="str">
        <f>'II-I-MET'!$H1095</f>
        <v>RATEBASE</v>
      </c>
      <c r="J1093" s="118">
        <f>'II-I-TBILLTDCS'!F1095</f>
        <v>7346.580000000009</v>
      </c>
      <c r="K1093" s="466" t="str">
        <f>'II-I-TBILLTDCS'!$H1095</f>
        <v>RATEBASE</v>
      </c>
      <c r="L1093" s="893">
        <f t="shared" si="49"/>
        <v>269284.15000000002</v>
      </c>
      <c r="M1093" s="1033"/>
    </row>
    <row r="1094" spans="2:12" ht="14.25">
      <c r="B1094" s="17">
        <f>B1093+1</f>
        <v>12</v>
      </c>
      <c r="C1094" s="1"/>
      <c r="D1094" t="s">
        <v>998</v>
      </c>
      <c r="E1094" s="17"/>
      <c r="F1094" s="729">
        <f>'II-I-DIST'!F1096</f>
        <v>85706.160000000003</v>
      </c>
      <c r="G1094" s="118" t="str">
        <f>'II-I-DIST'!H1096</f>
        <v>RATEBASE</v>
      </c>
      <c r="H1094" s="118">
        <f>'II-I-MET'!F1096</f>
        <v>4388.0100000000002</v>
      </c>
      <c r="I1094" s="466" t="str">
        <f>'II-I-MET'!$H1096</f>
        <v>RATEBASE</v>
      </c>
      <c r="J1094" s="118">
        <f>'II-I-TBILLTDCS'!F1096</f>
        <v>2233.8599999999951</v>
      </c>
      <c r="K1094" s="466" t="str">
        <f>'II-I-TBILLTDCS'!$H1096</f>
        <v>RATEBASE</v>
      </c>
      <c r="L1094" s="893">
        <f t="shared" si="50" ref="L1094">F1094+H1094+J1094</f>
        <v>92328.029999999999</v>
      </c>
    </row>
    <row r="1095" spans="2:12" ht="14.25">
      <c r="B1095" s="17">
        <f t="shared" si="48"/>
        <v>13</v>
      </c>
      <c r="C1095" s="1"/>
      <c r="D1095" s="1"/>
      <c r="E1095" s="17"/>
      <c r="F1095" s="729"/>
      <c r="G1095" s="703"/>
      <c r="H1095" s="118"/>
      <c r="I1095" s="47"/>
      <c r="J1095" s="118"/>
      <c r="K1095" s="893"/>
      <c r="L1095" s="893"/>
    </row>
    <row r="1096" spans="2:12" ht="14.25">
      <c r="B1096" s="17">
        <f t="shared" si="48"/>
        <v>14</v>
      </c>
      <c r="C1096" s="1"/>
      <c r="D1096" s="1"/>
      <c r="E1096" s="17"/>
      <c r="F1096" s="729"/>
      <c r="G1096" s="703"/>
      <c r="H1096" s="118"/>
      <c r="I1096" s="47"/>
      <c r="J1096" s="118"/>
      <c r="K1096" s="893"/>
      <c r="L1096" s="893"/>
    </row>
    <row r="1097" spans="2:12" ht="15">
      <c r="B1097" s="17">
        <f>B1096+1</f>
        <v>15</v>
      </c>
      <c r="C1097" s="8"/>
      <c r="D1097" s="297" t="s">
        <v>491</v>
      </c>
      <c r="E1097" s="922"/>
      <c r="F1097" s="896">
        <f>'II-I-DIST'!F1099</f>
        <v>244974615.25</v>
      </c>
      <c r="G1097" s="922"/>
      <c r="H1097" s="896">
        <f>'II-I-MET'!F1099</f>
        <v>12901924.92</v>
      </c>
      <c r="I1097" s="922"/>
      <c r="J1097" s="896">
        <f>'II-I-TBILLTDCS'!F1099</f>
        <v>4892479.2899999507</v>
      </c>
      <c r="K1097" s="896"/>
      <c r="L1097" s="896">
        <f>F1097+H1097+J1097</f>
        <v>262769019.45999995</v>
      </c>
    </row>
    <row r="1098" spans="2:12" ht="14.25">
      <c r="B1098" s="17">
        <f t="shared" si="48"/>
        <v>16</v>
      </c>
      <c r="C1098" s="1"/>
      <c r="D1098" s="1"/>
      <c r="E1098" s="17"/>
      <c r="F1098" s="753"/>
      <c r="G1098" s="728"/>
      <c r="H1098" s="128"/>
      <c r="I1098" s="17"/>
      <c r="J1098" s="128"/>
      <c r="K1098" s="753"/>
      <c r="L1098" s="753"/>
    </row>
    <row r="1099" spans="2:12" ht="15">
      <c r="B1099" s="17">
        <f t="shared" si="48"/>
        <v>17</v>
      </c>
      <c r="C1099" s="8"/>
      <c r="D1099" s="8" t="s">
        <v>321</v>
      </c>
      <c r="E1099" s="922" t="s">
        <v>316</v>
      </c>
      <c r="F1099" s="896"/>
      <c r="G1099" s="922"/>
      <c r="H1099" s="896"/>
      <c r="I1099" s="922"/>
      <c r="J1099" s="896"/>
      <c r="K1099" s="896"/>
      <c r="L1099" s="8"/>
    </row>
    <row r="1100" spans="2:13" s="386" customFormat="1" ht="14.25">
      <c r="B1100" s="17">
        <f t="shared" si="48"/>
        <v>18</v>
      </c>
      <c r="C1100" s="1"/>
      <c r="D1100" s="1" t="s">
        <v>323</v>
      </c>
      <c r="E1100" s="17"/>
      <c r="F1100" s="751">
        <f>'II-I-DIST'!F1102</f>
        <v>141352.53</v>
      </c>
      <c r="G1100" s="118" t="str">
        <f>'II-I-DIST'!H1102</f>
        <v>PLANT_N</v>
      </c>
      <c r="H1100" s="118">
        <f>'II-I-MET'!F1102</f>
        <v>4807.2200000000003</v>
      </c>
      <c r="I1100" s="466" t="str">
        <f>'II-I-MET'!$H1102</f>
        <v>PLANT_N</v>
      </c>
      <c r="J1100" s="118">
        <f>'II-I-TBILLTDCS'!F1102</f>
        <v>4099.3500000000358</v>
      </c>
      <c r="K1100" s="466" t="str">
        <f>'II-I-TBILLTDCS'!$H1102</f>
        <v>PLANT_N</v>
      </c>
      <c r="L1100" s="893">
        <f t="shared" si="51" ref="L1100:L1104">F1100+H1100+J1100</f>
        <v>150259.10000000004</v>
      </c>
      <c r="M1100" s="1033" t="s">
        <v>1124</v>
      </c>
    </row>
    <row r="1101" spans="2:13" s="386" customFormat="1" ht="14.25">
      <c r="B1101" s="17">
        <f t="shared" si="48"/>
        <v>19</v>
      </c>
      <c r="C1101" s="1"/>
      <c r="D1101" s="1" t="s">
        <v>1251</v>
      </c>
      <c r="E1101" s="17"/>
      <c r="F1101" s="751">
        <f>'II-I-DIST'!F1103</f>
        <v>1031343.5</v>
      </c>
      <c r="G1101" s="118" t="str">
        <f>'II-I-DIST'!H1103</f>
        <v>RATEBASE</v>
      </c>
      <c r="H1101" s="118">
        <f>'II-I-MET'!F1103</f>
        <v>281193.88</v>
      </c>
      <c r="I1101" s="466" t="str">
        <f>'II-I-MET'!$H1103</f>
        <v>RATEBASE</v>
      </c>
      <c r="J1101" s="118">
        <f>'II-I-TBILLTDCS'!F1103</f>
        <v>11315.619999999995</v>
      </c>
      <c r="K1101" s="466" t="str">
        <f>'II-I-TBILLTDCS'!$H1103</f>
        <v>RATEBASE</v>
      </c>
      <c r="L1101" s="893">
        <f t="shared" si="51"/>
        <v>1323853</v>
      </c>
      <c r="M1101" s="1033"/>
    </row>
    <row r="1102" spans="2:13" s="386" customFormat="1" ht="14.25">
      <c r="B1102" s="17">
        <f t="shared" si="48"/>
        <v>20</v>
      </c>
      <c r="C1102" s="1"/>
      <c r="D1102" s="1" t="s">
        <v>1252</v>
      </c>
      <c r="E1102" s="17"/>
      <c r="F1102" s="751">
        <f>'II-I-DIST'!F1104</f>
        <v>0</v>
      </c>
      <c r="G1102" s="118" t="str">
        <f>'II-I-DIST'!H1104</f>
        <v>RATEBASE</v>
      </c>
      <c r="H1102" s="118">
        <f>'II-I-MET'!F1104</f>
        <v>0</v>
      </c>
      <c r="I1102" s="466" t="str">
        <f>'II-I-MET'!$H1104</f>
        <v>RATEBASE</v>
      </c>
      <c r="J1102" s="118">
        <f>'II-I-TBILLTDCS'!F1104</f>
        <v>0</v>
      </c>
      <c r="K1102" s="466" t="str">
        <f>'II-I-TBILLTDCS'!$H1104</f>
        <v>RATEBASE</v>
      </c>
      <c r="L1102" s="893">
        <f t="shared" si="51"/>
        <v>0</v>
      </c>
      <c r="M1102" s="1033"/>
    </row>
    <row r="1103" spans="2:13" s="386" customFormat="1" ht="14.25">
      <c r="B1103" s="17">
        <f t="shared" si="48"/>
        <v>21</v>
      </c>
      <c r="C1103" s="1"/>
      <c r="D1103" s="1" t="s">
        <v>1253</v>
      </c>
      <c r="E1103" s="17"/>
      <c r="F1103" s="751">
        <f>'II-I-DIST'!F1105</f>
        <v>862857.16000000003</v>
      </c>
      <c r="G1103" s="118" t="str">
        <f>'II-I-DIST'!H1105</f>
        <v>PAYROLL</v>
      </c>
      <c r="H1103" s="118">
        <f>'II-I-MET'!F1105</f>
        <v>235256.39999999999</v>
      </c>
      <c r="I1103" s="466" t="str">
        <f>'II-I-MET'!$H1105</f>
        <v>PAYROLL</v>
      </c>
      <c r="J1103" s="118">
        <f>'II-I-TBILLTDCS'!F1105</f>
        <v>9467.0199999998149</v>
      </c>
      <c r="K1103" s="466" t="str">
        <f>'II-I-TBILLTDCS'!$H1105</f>
        <v>PAYROLL</v>
      </c>
      <c r="L1103" s="893">
        <f t="shared" si="51"/>
        <v>1107580.5799999998</v>
      </c>
      <c r="M1103" s="1033" t="s">
        <v>1125</v>
      </c>
    </row>
    <row r="1104" spans="2:13" s="386" customFormat="1" ht="14.25">
      <c r="B1104" s="17">
        <f t="shared" si="48"/>
        <v>22</v>
      </c>
      <c r="C1104" s="1"/>
      <c r="D1104" s="28" t="s">
        <v>1254</v>
      </c>
      <c r="E1104" s="17"/>
      <c r="F1104" s="751">
        <f>'II-I-DIST'!F1106</f>
        <v>-2460478.1699999999</v>
      </c>
      <c r="G1104" s="118" t="str">
        <f>'II-I-DIST'!H1106</f>
        <v>OPEB MED</v>
      </c>
      <c r="H1104" s="118">
        <f>'II-I-MET'!F1106</f>
        <v>-815018.30000000005</v>
      </c>
      <c r="I1104" s="466" t="str">
        <f>'II-I-MET'!$H1106</f>
        <v>OPEB MED</v>
      </c>
      <c r="J1104" s="118">
        <f>'II-I-TBILLTDCS'!F1106</f>
        <v>-267715.65999999997</v>
      </c>
      <c r="K1104" s="466" t="str">
        <f>'II-I-TBILLTDCS'!$H1106</f>
        <v>OPEB MED</v>
      </c>
      <c r="L1104" s="893">
        <f t="shared" si="51"/>
        <v>-3543212.1299999999</v>
      </c>
      <c r="M1104" s="1033" t="s">
        <v>1068</v>
      </c>
    </row>
    <row r="1105" spans="2:13" s="386" customFormat="1" ht="14.25">
      <c r="B1105" s="17"/>
      <c r="C1105" s="1"/>
      <c r="D1105" s="28" t="s">
        <v>1374</v>
      </c>
      <c r="E1105" s="17"/>
      <c r="F1105" s="751">
        <f>'II-I-DIST'!F1107</f>
        <v>0</v>
      </c>
      <c r="G1105" s="118" t="str">
        <f>'II-I-DIST'!H1107</f>
        <v>RATEBASE</v>
      </c>
      <c r="H1105" s="118">
        <f>'II-I-MET'!F1107</f>
        <v>0</v>
      </c>
      <c r="I1105" s="47" t="str">
        <f>'II-I-MET'!$H1107</f>
        <v>RATEBASE</v>
      </c>
      <c r="J1105" s="118">
        <f>'II-I-TBILLTDCS'!F1107</f>
        <v>0</v>
      </c>
      <c r="K1105" s="894" t="str">
        <f>'II-I-TBILLTDCS'!$H1107</f>
        <v>RATEBASE</v>
      </c>
      <c r="L1105" s="893">
        <f t="shared" si="52" ref="L1105:L1106">F1105+H1105+J1105</f>
        <v>0</v>
      </c>
      <c r="M1105" s="1033"/>
    </row>
    <row r="1106" spans="2:12" ht="14.25">
      <c r="B1106" s="17">
        <f>B1104+1</f>
        <v>23</v>
      </c>
      <c r="C1106" s="1"/>
      <c r="D1106" t="s">
        <v>322</v>
      </c>
      <c r="F1106">
        <f>'II-I-DIST'!F1108</f>
        <v>0</v>
      </c>
      <c r="G1106" t="str">
        <f>'II-I-DIST'!H1108</f>
        <v>RATEBASE</v>
      </c>
      <c r="H1106">
        <f>'II-I-MET'!F1108</f>
        <v>0</v>
      </c>
      <c r="I1106" t="str">
        <f>'II-I-MET'!$H1108</f>
        <v>RATEBASE</v>
      </c>
      <c r="J1106">
        <f>'II-I-TBILLTDCS'!F1108</f>
        <v>0</v>
      </c>
      <c r="K1106" s="664" t="str">
        <f>'II-I-TBILLTDCS'!$H1108</f>
        <v>RATEBASE</v>
      </c>
      <c r="L1106" s="664">
        <f t="shared" si="52"/>
        <v>0</v>
      </c>
    </row>
    <row r="1107" spans="2:12" ht="15">
      <c r="B1107" s="17">
        <f t="shared" si="48"/>
        <v>24</v>
      </c>
      <c r="C1107" s="1"/>
      <c r="D1107" s="297" t="s">
        <v>491</v>
      </c>
      <c r="E1107" s="17"/>
      <c r="F1107" s="896">
        <f>'II-I-DIST'!F1109</f>
        <v>-424924.97999999998</v>
      </c>
      <c r="G1107" s="728"/>
      <c r="H1107" s="896">
        <f>'II-I-MET'!F1109</f>
        <v>-293760.80000000005</v>
      </c>
      <c r="I1107" s="17"/>
      <c r="J1107" s="896">
        <f>'II-I-TBILLTDCS'!F1109</f>
        <v>-242833.67000000013</v>
      </c>
      <c r="K1107" s="896"/>
      <c r="L1107" s="896">
        <f>F1107+H1107+J1107</f>
        <v>-961519.45000000019</v>
      </c>
    </row>
    <row r="1108" spans="2:12" ht="15">
      <c r="B1108" s="17">
        <f t="shared" si="48"/>
        <v>25</v>
      </c>
      <c r="C1108" s="8"/>
      <c r="D1108" s="8" t="s">
        <v>435</v>
      </c>
      <c r="E1108" s="1383"/>
      <c r="F1108" s="896">
        <f>'II-I-DIST'!F1110</f>
        <v>393440295.2284596</v>
      </c>
      <c r="G1108" s="922"/>
      <c r="H1108" s="896">
        <f>'II-I-MET'!F1110</f>
        <v>16507384.160629232</v>
      </c>
      <c r="I1108" s="922"/>
      <c r="J1108" s="896">
        <f>'II-I-TBILLTDCS'!F1110</f>
        <v>9322291.7090497743</v>
      </c>
      <c r="K1108" s="896"/>
      <c r="L1108" s="896">
        <f>F1108+H1108+J1108</f>
        <v>419269971.09813857</v>
      </c>
    </row>
    <row r="1109" spans="2:12" ht="15">
      <c r="B1109" s="17">
        <f t="shared" si="48"/>
        <v>26</v>
      </c>
      <c r="C1109" s="8"/>
      <c r="D1109" s="8" t="s">
        <v>436</v>
      </c>
      <c r="E1109" s="1383" t="s">
        <v>316</v>
      </c>
      <c r="F1109" s="902">
        <f>'II-I-DIST'!F1111</f>
        <v>0.26582278481012656</v>
      </c>
      <c r="G1109" s="922"/>
      <c r="H1109" s="122">
        <f>'II-I-MET'!F1111</f>
        <v>0.26582278481012656</v>
      </c>
      <c r="I1109" s="922"/>
      <c r="J1109" s="122">
        <f>'II-I-TBILLTDCS'!F1111</f>
        <v>0.26582278481012656</v>
      </c>
      <c r="K1109" s="902"/>
      <c r="L1109" s="902">
        <v>0.53846153846153844</v>
      </c>
    </row>
    <row r="1110" spans="2:12" ht="14.25">
      <c r="B1110" s="17">
        <f t="shared" si="48"/>
        <v>27</v>
      </c>
      <c r="C1110" s="1"/>
      <c r="D1110" s="1"/>
      <c r="E1110" s="17"/>
      <c r="F1110" s="894"/>
      <c r="G1110" s="728"/>
      <c r="H1110" s="19"/>
      <c r="I1110" s="17"/>
      <c r="J1110" s="19"/>
      <c r="K1110" s="894"/>
      <c r="L1110" s="730"/>
    </row>
    <row r="1111" spans="2:12" ht="15">
      <c r="B1111" s="17">
        <f t="shared" si="48"/>
        <v>28</v>
      </c>
      <c r="C1111" s="8"/>
      <c r="D1111" s="8" t="s">
        <v>717</v>
      </c>
      <c r="E1111" s="1383"/>
      <c r="F1111" s="896">
        <f>'II-I-DIST'!F1113</f>
        <v>104585394.93414748</v>
      </c>
      <c r="G1111" s="922"/>
      <c r="H1111" s="896">
        <f>'II-I-MET'!F1113</f>
        <v>4388038.8275090354</v>
      </c>
      <c r="I1111" s="922"/>
      <c r="J1111" s="896">
        <f>'II-I-TBILLTDCS'!F1113</f>
        <v>2478077.5429119649</v>
      </c>
      <c r="K1111" s="896"/>
      <c r="L1111" s="896">
        <f>F1111+H1111+J1111</f>
        <v>111451511.30456847</v>
      </c>
    </row>
    <row r="1112" spans="2:12" ht="14.25">
      <c r="B1112" s="17">
        <f t="shared" si="48"/>
        <v>29</v>
      </c>
      <c r="C1112" s="1"/>
      <c r="D1112" s="1"/>
      <c r="E1112" s="17"/>
      <c r="F1112" s="894"/>
      <c r="G1112" s="728"/>
      <c r="H1112" s="19"/>
      <c r="I1112" s="17"/>
      <c r="J1112" s="19"/>
      <c r="K1112" s="894"/>
      <c r="L1112" s="730"/>
    </row>
    <row r="1113" spans="2:12" ht="15">
      <c r="B1113" s="17">
        <f t="shared" si="48"/>
        <v>30</v>
      </c>
      <c r="C1113" s="8"/>
      <c r="D1113" s="8" t="s">
        <v>324</v>
      </c>
      <c r="E1113" s="1383" t="s">
        <v>316</v>
      </c>
      <c r="F1113" s="896"/>
      <c r="G1113" s="922"/>
      <c r="H1113" s="896"/>
      <c r="I1113" s="922"/>
      <c r="J1113" s="896"/>
      <c r="K1113" s="896"/>
      <c r="L1113" s="8"/>
    </row>
    <row r="1114" spans="2:13" s="386" customFormat="1" ht="14.25">
      <c r="B1114" s="17">
        <f t="shared" si="48"/>
        <v>31</v>
      </c>
      <c r="C1114" s="1"/>
      <c r="D1114" s="778" t="s">
        <v>319</v>
      </c>
      <c r="E1114" s="17"/>
      <c r="F1114" s="751">
        <f>'II-I-DIST'!F1116</f>
        <v>191147.98999999999</v>
      </c>
      <c r="G1114" s="118" t="str">
        <f>'II-I-DIST'!H1116</f>
        <v>PLANT_N</v>
      </c>
      <c r="H1114" s="118">
        <f>'II-I-MET'!F1116</f>
        <v>0</v>
      </c>
      <c r="I1114" s="466" t="str">
        <f>'II-I-MET'!$H1116</f>
        <v>PLANT_N</v>
      </c>
      <c r="J1114" s="118">
        <f>'II-I-TBILLTDCS'!F1116</f>
        <v>0</v>
      </c>
      <c r="K1114" s="466" t="str">
        <f>'II-I-TBILLTDCS'!$H1116</f>
        <v>PLANT_N</v>
      </c>
      <c r="L1114" s="893">
        <f>F1114+H1114+J1114</f>
        <v>191147.98999999999</v>
      </c>
      <c r="M1114" s="1033" t="s">
        <v>1126</v>
      </c>
    </row>
    <row r="1115" spans="2:13" s="386" customFormat="1" ht="28.5">
      <c r="B1115" s="17">
        <f t="shared" si="48"/>
        <v>32</v>
      </c>
      <c r="C1115" s="1"/>
      <c r="D1115" s="778" t="s">
        <v>1247</v>
      </c>
      <c r="E1115" s="17"/>
      <c r="F1115" s="751">
        <f>'II-I-DIST'!F1117</f>
        <v>7133574.9500000002</v>
      </c>
      <c r="G1115" s="118" t="str">
        <f>'II-I-DIST'!H1117</f>
        <v>RATEBASE</v>
      </c>
      <c r="H1115" s="118">
        <f>'II-I-MET'!F1117</f>
        <v>242603.98999999999</v>
      </c>
      <c r="I1115" s="466" t="str">
        <f>'II-I-MET'!$H1117</f>
        <v>RATEBASE</v>
      </c>
      <c r="J1115" s="118">
        <f>'II-I-TBILLTDCS'!F1117</f>
        <v>206880.70000000042</v>
      </c>
      <c r="K1115" s="466" t="str">
        <f>'II-I-TBILLTDCS'!$H1117</f>
        <v>RATEBASE</v>
      </c>
      <c r="L1115" s="893">
        <f>F1115+H1115+J1115</f>
        <v>7583059.6400000006</v>
      </c>
      <c r="M1115" s="1033" t="s">
        <v>1123</v>
      </c>
    </row>
    <row r="1116" spans="2:15" s="386" customFormat="1" ht="28.5">
      <c r="B1116" s="17">
        <f t="shared" si="48"/>
        <v>33</v>
      </c>
      <c r="C1116" s="1"/>
      <c r="D1116" s="778" t="s">
        <v>1248</v>
      </c>
      <c r="E1116" s="17"/>
      <c r="F1116" s="751">
        <f>'II-I-DIST'!F1118</f>
        <v>20604260.02</v>
      </c>
      <c r="G1116" s="118" t="str">
        <f>'II-I-DIST'!H1118</f>
        <v>RATEBASE</v>
      </c>
      <c r="H1116" s="118">
        <f>'II-I-MET'!F1118</f>
        <v>2549533.1000000001</v>
      </c>
      <c r="I1116" s="466" t="str">
        <f>'II-I-MET'!$H1118</f>
        <v>RATEBASE</v>
      </c>
      <c r="J1116" s="118">
        <f>'II-I-TBILLTDCS'!F1120</f>
        <v>7346.580000000009</v>
      </c>
      <c r="K1116" s="466" t="str">
        <f>'II-I-TBILLTDCS'!$H1118</f>
        <v>RATEBASE</v>
      </c>
      <c r="L1116" s="893">
        <f>F1116+H1116+J1116</f>
        <v>23161139.699999999</v>
      </c>
      <c r="M1116" s="1033" t="s">
        <v>1123</v>
      </c>
      <c r="O1116" s="386">
        <v>1475220541</v>
      </c>
    </row>
    <row r="1117" spans="2:13" s="386" customFormat="1" ht="14.25">
      <c r="B1117" s="17">
        <f t="shared" si="48"/>
        <v>34</v>
      </c>
      <c r="C1117" s="1"/>
      <c r="D1117" s="778" t="s">
        <v>1249</v>
      </c>
      <c r="E1117" s="17"/>
      <c r="F1117" s="751">
        <f>'II-I-DIST'!F1119</f>
        <v>-1676942.8500000001</v>
      </c>
      <c r="G1117" s="118" t="str">
        <f>'II-I-DIST'!H1119</f>
        <v>RATEBASE</v>
      </c>
      <c r="H1117" s="118">
        <f>'II-I-MET'!F1119</f>
        <v>-57030.739999999998</v>
      </c>
      <c r="I1117" s="47"/>
      <c r="J1117" s="118">
        <f>'II-I-TBILLTDCS'!F1121</f>
        <v>-51999.56999998464</v>
      </c>
      <c r="K1117" s="466" t="str">
        <f>'II-I-TBILLTDCS'!$H1119</f>
        <v>RATEBASE</v>
      </c>
      <c r="L1117" s="893">
        <f t="shared" si="53" ref="L1117:L1118">F1117+H1117+J1117</f>
        <v>-1785973.1599999848</v>
      </c>
      <c r="M1117" s="1033"/>
    </row>
    <row r="1118" spans="2:13" s="386" customFormat="1" ht="14.25">
      <c r="B1118" s="17">
        <f t="shared" si="48"/>
        <v>35</v>
      </c>
      <c r="C1118" s="1"/>
      <c r="D1118" s="778" t="s">
        <v>1250</v>
      </c>
      <c r="E1118" s="17"/>
      <c r="F1118" s="751">
        <f>'II-I-DIST'!F1120</f>
        <v>253322.39000000001</v>
      </c>
      <c r="G1118" s="118" t="str">
        <f>'II-I-DIST'!H1120</f>
        <v>RATEBASE</v>
      </c>
      <c r="H1118" s="118">
        <f>'II-I-MET'!F1120</f>
        <v>8615.1800000000003</v>
      </c>
      <c r="I1118" s="47"/>
      <c r="J1118" s="118">
        <f>'II-I-TBILLTDCS'!F1122</f>
        <v>0</v>
      </c>
      <c r="K1118" s="466" t="str">
        <f>'II-I-TBILLTDCS'!$H1120</f>
        <v>RATEBASE</v>
      </c>
      <c r="L1118" s="893">
        <f t="shared" si="53"/>
        <v>261937.57000000001</v>
      </c>
      <c r="M1118" s="1033"/>
    </row>
    <row r="1119" spans="2:15" ht="15">
      <c r="B1119" s="17">
        <f t="shared" si="48"/>
        <v>36</v>
      </c>
      <c r="C1119" s="1"/>
      <c r="D1119" s="297" t="s">
        <v>491</v>
      </c>
      <c r="E1119" s="17"/>
      <c r="F1119" s="896">
        <f>'II-I-DIST'!F1121</f>
        <v>26505362.5</v>
      </c>
      <c r="G1119" s="728"/>
      <c r="H1119" s="896">
        <f>'II-I-MET'!F1121</f>
        <v>2792137.0899999999</v>
      </c>
      <c r="I1119" s="17"/>
      <c r="J1119" s="896">
        <f>'II-I-TBILLTDCS'!F1121</f>
        <v>-51999.56999998464</v>
      </c>
      <c r="K1119" s="896"/>
      <c r="L1119" s="896">
        <f>F1119+H1119+J1119</f>
        <v>29245500.020000014</v>
      </c>
      <c r="O1119">
        <v>1477607739</v>
      </c>
    </row>
    <row r="1120" spans="2:15" ht="23.25">
      <c r="B1120" s="17">
        <f t="shared" si="48"/>
        <v>37</v>
      </c>
      <c r="C1120" s="1"/>
      <c r="D1120" s="1"/>
      <c r="E1120" s="17"/>
      <c r="F1120" s="291"/>
      <c r="G1120" s="728"/>
      <c r="H1120" s="291"/>
      <c r="I1120" s="17"/>
      <c r="J1120" s="291"/>
      <c r="K1120" s="893"/>
      <c r="L1120" s="893"/>
      <c r="O1120" s="1140">
        <f>O1116-O1119</f>
        <v>-2387198</v>
      </c>
    </row>
    <row r="1121" spans="2:12" ht="15">
      <c r="B1121" s="17">
        <f t="shared" si="48"/>
        <v>38</v>
      </c>
      <c r="C1121" s="8"/>
      <c r="D1121" s="8" t="s">
        <v>325</v>
      </c>
      <c r="E1121" s="1383" t="s">
        <v>316</v>
      </c>
      <c r="F1121" s="896"/>
      <c r="G1121" s="922"/>
      <c r="H1121" s="896"/>
      <c r="I1121" s="922"/>
      <c r="J1121" s="896"/>
      <c r="K1121" s="896"/>
      <c r="L1121" s="8"/>
    </row>
    <row r="1122" spans="2:13" s="386" customFormat="1" ht="14.25">
      <c r="B1122" s="17">
        <f t="shared" si="48"/>
        <v>39</v>
      </c>
      <c r="C1122" s="1"/>
      <c r="D1122" s="894" t="s">
        <v>323</v>
      </c>
      <c r="E1122" s="17"/>
      <c r="F1122" s="751">
        <f>'II-I-DIST'!F1124</f>
        <v>141352.53</v>
      </c>
      <c r="G1122" s="118" t="str">
        <f>'II-I-DIST'!H1124</f>
        <v>RATEBASE</v>
      </c>
      <c r="H1122" s="118">
        <f>'II-I-MET'!F1124</f>
        <v>4807.2200000000003</v>
      </c>
      <c r="I1122" s="466" t="str">
        <f>'II-I-MET'!$H1124</f>
        <v>RATEBASE</v>
      </c>
      <c r="J1122" s="118">
        <f>'II-I-TBILLTDCS'!F1124</f>
        <v>4099.3500000000358</v>
      </c>
      <c r="K1122" s="466" t="str">
        <f>'II-I-TBILLTDCS'!$H1124</f>
        <v>RATEBASE</v>
      </c>
      <c r="L1122" s="893">
        <f>F1122+H1122+J1122</f>
        <v>150259.10000000004</v>
      </c>
      <c r="M1122" s="1033" t="s">
        <v>1125</v>
      </c>
    </row>
    <row r="1123" spans="2:13" s="386" customFormat="1" ht="14.25">
      <c r="B1123" s="17">
        <f t="shared" si="48"/>
        <v>40</v>
      </c>
      <c r="C1123" s="1"/>
      <c r="D1123" s="28" t="s">
        <v>1374</v>
      </c>
      <c r="E1123" s="17"/>
      <c r="F1123" s="751">
        <f>'II-I-DIST'!F1125</f>
        <v>0</v>
      </c>
      <c r="G1123" s="118" t="str">
        <f>'II-I-DIST'!H1125</f>
        <v>RATEBASE</v>
      </c>
      <c r="H1123" s="118">
        <f>'II-I-MET'!F1125</f>
        <v>0</v>
      </c>
      <c r="I1123" s="466" t="str">
        <f>'II-I-MET'!$H1125</f>
        <v>RATEBASE</v>
      </c>
      <c r="J1123" s="118">
        <f>'II-I-TBILLTDCS'!F1125</f>
        <v>0</v>
      </c>
      <c r="K1123" s="466" t="str">
        <f>'II-I-TBILLTDCS'!$H1125</f>
        <v>RATEBASE</v>
      </c>
      <c r="L1123" s="893">
        <f>F1123+H1123+J1123</f>
        <v>0</v>
      </c>
      <c r="M1123" s="1033"/>
    </row>
    <row r="1124" spans="2:13" s="386" customFormat="1" ht="14.25">
      <c r="B1124" s="17">
        <f t="shared" si="48"/>
        <v>41</v>
      </c>
      <c r="C1124" s="1"/>
      <c r="D1124" s="894" t="s">
        <v>326</v>
      </c>
      <c r="F1124" s="751">
        <f>'II-I-DIST'!F1126</f>
        <v>0</v>
      </c>
      <c r="G1124" s="118" t="str">
        <f>'II-I-DIST'!H1126</f>
        <v>PLANT_N</v>
      </c>
      <c r="H1124" s="118">
        <f>'II-I-MET'!F1126</f>
        <v>0</v>
      </c>
      <c r="I1124" s="466" t="str">
        <f>'II-I-MET'!$H1126</f>
        <v>PLANT_N</v>
      </c>
      <c r="J1124" s="118">
        <f>'II-I-TBILLTDCS'!F1126</f>
        <v>0</v>
      </c>
      <c r="K1124" s="466" t="str">
        <f>'II-I-TBILLTDCS'!$H1126</f>
        <v>PLANT_N</v>
      </c>
      <c r="L1124" s="893">
        <f>F1124+H1124+J1124</f>
        <v>0</v>
      </c>
      <c r="M1124" s="1033"/>
    </row>
    <row r="1125" spans="2:12" ht="14.25">
      <c r="B1125" s="17">
        <f t="shared" si="48"/>
        <v>42</v>
      </c>
      <c r="C1125" s="1"/>
      <c r="D1125" s="19"/>
      <c r="E1125" s="17"/>
      <c r="F1125" s="751"/>
      <c r="G1125" s="703"/>
      <c r="H1125" s="118"/>
      <c r="I1125" s="47"/>
      <c r="J1125" s="118"/>
      <c r="K1125" s="893"/>
      <c r="L1125" s="893"/>
    </row>
    <row r="1126" spans="2:12" ht="15">
      <c r="B1126" s="17">
        <f t="shared" si="48"/>
        <v>43</v>
      </c>
      <c r="C1126" s="1"/>
      <c r="D1126" s="297" t="s">
        <v>491</v>
      </c>
      <c r="E1126" s="17"/>
      <c r="F1126" s="896">
        <f>'II-I-DIST'!F1128</f>
        <v>141352.53</v>
      </c>
      <c r="G1126" s="728"/>
      <c r="H1126" s="896">
        <f>'II-I-MET'!F1128</f>
        <v>4807.2200000000003</v>
      </c>
      <c r="I1126" s="17"/>
      <c r="J1126" s="896">
        <f>'II-I-TBILLTDCS'!F1128</f>
        <v>4099.3500000000358</v>
      </c>
      <c r="K1126" s="896"/>
      <c r="L1126" s="896">
        <f>F1126+H1126+J1126</f>
        <v>150259.10000000004</v>
      </c>
    </row>
    <row r="1127" spans="2:12" ht="15" thickBot="1">
      <c r="B1127" s="17">
        <f t="shared" si="48"/>
        <v>44</v>
      </c>
      <c r="C1127" s="1"/>
      <c r="D1127" s="1"/>
      <c r="E1127" s="17"/>
      <c r="F1127" s="894"/>
      <c r="G1127" s="728"/>
      <c r="H1127" s="19"/>
      <c r="I1127" s="17"/>
      <c r="J1127" s="19"/>
      <c r="K1127" s="894"/>
      <c r="L1127" s="730"/>
    </row>
    <row r="1128" spans="2:12" ht="15.75" thickBot="1">
      <c r="B1128" s="17">
        <f t="shared" si="48"/>
        <v>45</v>
      </c>
      <c r="C1128" s="284" t="s">
        <v>718</v>
      </c>
      <c r="D1128" s="285"/>
      <c r="E1128" s="374" t="s">
        <v>316</v>
      </c>
      <c r="F1128" s="903">
        <f>'II-I-DIST'!F1130</f>
        <v>78221384.964147478</v>
      </c>
      <c r="G1128" s="374"/>
      <c r="H1128" s="903">
        <f>'II-I-MET'!F1130</f>
        <v>1649124.5175090355</v>
      </c>
      <c r="I1128" s="374"/>
      <c r="J1128" s="903">
        <f>'II-I-TBILLTDCS'!F1130</f>
        <v>2534176.4629119495</v>
      </c>
      <c r="K1128" s="903"/>
      <c r="L1128" s="380">
        <f>F1128+H1128+J1128</f>
        <v>82404685.944568455</v>
      </c>
    </row>
    <row r="1129" spans="2:10" ht="14.25">
      <c r="B1129" s="67"/>
      <c r="C1129" s="67"/>
      <c r="D1129" s="67"/>
      <c r="E1129" s="67"/>
      <c r="F1129" s="664"/>
      <c r="G1129" s="664"/>
      <c r="H1129" s="67"/>
      <c r="I1129" s="67"/>
      <c r="J1129" s="67"/>
    </row>
    <row r="1130" spans="2:12" ht="15">
      <c r="B1130" s="874"/>
      <c r="C1130" s="874"/>
      <c r="D1130" s="874"/>
      <c r="E1130" s="874"/>
      <c r="F1130" s="664"/>
      <c r="G1130" s="736"/>
      <c r="H1130" s="67"/>
      <c r="I1130" s="134"/>
      <c r="J1130" s="67"/>
      <c r="K1130" s="874"/>
      <c r="L1130" s="874"/>
    </row>
    <row r="1131" spans="2:12" ht="15.75" thickBot="1">
      <c r="B1131" s="874"/>
      <c r="C1131" s="874"/>
      <c r="D1131" s="874"/>
      <c r="E1131" s="874"/>
      <c r="F1131" s="664"/>
      <c r="G1131" s="664"/>
      <c r="H1131" s="67"/>
      <c r="I1131" s="67"/>
      <c r="J1131" s="67"/>
      <c r="K1131" s="874"/>
      <c r="L1131" s="874"/>
    </row>
    <row r="1132" spans="2:12" ht="15">
      <c r="B1132" s="920" t="str">
        <f>$B$4</f>
        <v>2022 RATE CASE</v>
      </c>
      <c r="C1132" s="926"/>
      <c r="D1132" s="927"/>
      <c r="E1132" s="874"/>
      <c r="F1132" s="737"/>
      <c r="G1132" s="664"/>
      <c r="H1132" s="332"/>
      <c r="J1132" s="332"/>
      <c r="K1132" s="874"/>
      <c r="L1132" s="874"/>
    </row>
    <row r="1133" spans="2:12" ht="15">
      <c r="B1133" s="917" t="str">
        <f>$B$5</f>
        <v>ONCOR ELECTRIC DELIVERY COMPANY LLC</v>
      </c>
      <c r="C1133" s="369"/>
      <c r="D1133" s="928"/>
      <c r="E1133" s="874"/>
      <c r="F1133" s="737"/>
      <c r="G1133" s="664"/>
      <c r="H1133" s="332"/>
      <c r="J1133" s="332"/>
      <c r="K1133" s="874"/>
      <c r="L1133" s="874"/>
    </row>
    <row r="1134" spans="2:12" ht="15">
      <c r="B1134" s="406" t="str">
        <f>$B$6</f>
        <v>II-I-2.1f:  CONSOLIDATED FUNCTIONALIZED COST OF SERVICE</v>
      </c>
      <c r="C1134" s="369"/>
      <c r="D1134" s="928"/>
      <c r="E1134" s="874"/>
      <c r="F1134" s="737"/>
      <c r="G1134" s="664"/>
      <c r="H1134" s="332"/>
      <c r="J1134" s="332"/>
      <c r="K1134" s="874"/>
      <c r="L1134" s="874"/>
    </row>
    <row r="1135" spans="2:10" ht="15.75">
      <c r="B1135" s="406" t="str">
        <f>$B$7</f>
        <v>TEST YEAR ENDING 12/31/2021</v>
      </c>
      <c r="C1135" s="840"/>
      <c r="D1135" s="921"/>
      <c r="E1135" s="67"/>
      <c r="F1135" s="737"/>
      <c r="G1135" s="664"/>
      <c r="H1135" s="332"/>
      <c r="J1135" s="332"/>
    </row>
    <row r="1136" spans="2:12" ht="15">
      <c r="B1136" s="406" t="str">
        <f>$B$8</f>
        <v>SPONSOR:  MATTHEW A. TROXLE</v>
      </c>
      <c r="C1136" s="369"/>
      <c r="D1136" s="928"/>
      <c r="E1136" s="369"/>
      <c r="F1136" s="737"/>
      <c r="G1136" s="664"/>
      <c r="H1136" s="332"/>
      <c r="J1136" s="332"/>
      <c r="K1136" s="369"/>
      <c r="L1136" s="369"/>
    </row>
    <row r="1137" spans="2:12" ht="15.75" thickBot="1">
      <c r="B1137" s="410"/>
      <c r="C1137" s="934"/>
      <c r="D1137" s="936"/>
      <c r="F1137" s="737"/>
      <c r="G1137" s="664"/>
      <c r="H1137" s="332"/>
      <c r="J1137" s="332"/>
      <c r="K1137" s="737"/>
      <c r="L1137" s="737"/>
    </row>
    <row r="1138" spans="2:13" ht="14.25">
      <c r="B1138" s="13"/>
      <c r="C1138" s="14"/>
      <c r="D1138" s="238"/>
      <c r="E1138" s="14"/>
      <c r="F1138" s="738"/>
      <c r="G1138" s="739"/>
      <c r="H1138" s="13"/>
      <c r="I1138" s="14"/>
      <c r="J1138" s="13"/>
      <c r="K1138" s="738"/>
      <c r="L1138" s="952"/>
      <c r="M1138" s="1036"/>
    </row>
    <row r="1139" spans="2:13" ht="15">
      <c r="B1139" s="15" t="s">
        <v>2</v>
      </c>
      <c r="C1139" s="15" t="s">
        <v>370</v>
      </c>
      <c r="D1139" s="241" t="s">
        <v>719</v>
      </c>
      <c r="E1139" s="15" t="s">
        <v>371</v>
      </c>
      <c r="F1139" s="287" t="str">
        <f>'II-I-DIST'!F1141</f>
        <v>DIST</v>
      </c>
      <c r="G1139" s="744" t="s">
        <v>376</v>
      </c>
      <c r="H1139" s="287" t="str">
        <f>'II-I-MET'!F1141</f>
        <v>MET</v>
      </c>
      <c r="I1139" s="242" t="s">
        <v>376</v>
      </c>
      <c r="J1139" s="287" t="str">
        <f>'II-I-TBILLTDCS'!F1141</f>
        <v>TBILLTDCS</v>
      </c>
      <c r="K1139" s="743" t="s">
        <v>376</v>
      </c>
      <c r="L1139" s="743" t="s">
        <v>481</v>
      </c>
      <c r="M1139" s="1030" t="s">
        <v>1046</v>
      </c>
    </row>
    <row r="1140" spans="2:13" ht="14.25">
      <c r="B1140" s="15"/>
      <c r="C1140" s="15"/>
      <c r="D1140" s="242"/>
      <c r="E1140" s="15"/>
      <c r="F1140" s="743"/>
      <c r="G1140" s="744" t="s">
        <v>743</v>
      </c>
      <c r="H1140" s="15"/>
      <c r="I1140" s="242" t="s">
        <v>743</v>
      </c>
      <c r="J1140" s="15"/>
      <c r="K1140" s="743" t="s">
        <v>743</v>
      </c>
      <c r="L1140" s="743" t="s">
        <v>33</v>
      </c>
      <c r="M1140" s="1037"/>
    </row>
    <row r="1141" spans="2:13" ht="15.75" thickBot="1">
      <c r="B1141" s="243"/>
      <c r="C1141" s="957"/>
      <c r="D1141" s="245"/>
      <c r="E1141" s="245"/>
      <c r="F1141" s="747" t="s">
        <v>13</v>
      </c>
      <c r="G1141" s="747" t="s">
        <v>14</v>
      </c>
      <c r="H1141" s="747" t="s">
        <v>15</v>
      </c>
      <c r="I1141" s="747" t="s">
        <v>16</v>
      </c>
      <c r="J1141" s="747" t="s">
        <v>17</v>
      </c>
      <c r="K1141" s="747" t="s">
        <v>18</v>
      </c>
      <c r="L1141" s="747" t="s">
        <v>19</v>
      </c>
      <c r="M1141" s="1032" t="s">
        <v>1137</v>
      </c>
    </row>
    <row r="1142" spans="2:12" ht="14.25">
      <c r="B1142" s="67"/>
      <c r="C1142" s="333"/>
      <c r="D1142" s="333"/>
      <c r="E1142" s="333"/>
      <c r="F1142" s="749"/>
      <c r="G1142" s="749"/>
      <c r="H1142" s="333"/>
      <c r="I1142" s="333"/>
      <c r="J1142" s="333"/>
      <c r="K1142" s="691"/>
      <c r="L1142" s="691"/>
    </row>
    <row r="1143" spans="2:12" ht="15">
      <c r="B1143" s="17">
        <f t="shared" si="54" ref="B1143:B1154">B1142+1</f>
        <v>1</v>
      </c>
      <c r="C1143" s="366" t="s">
        <v>719</v>
      </c>
      <c r="D1143" s="8"/>
      <c r="E1143" s="922"/>
      <c r="F1143" s="896"/>
      <c r="G1143" s="922"/>
      <c r="H1143" s="896"/>
      <c r="I1143" s="922"/>
      <c r="J1143" s="896"/>
      <c r="K1143" s="896"/>
      <c r="L1143" s="8"/>
    </row>
    <row r="1144" spans="2:12" ht="14.25">
      <c r="B1144" s="17">
        <f t="shared" si="54"/>
        <v>2</v>
      </c>
      <c r="D1144" s="1"/>
      <c r="E1144" s="17"/>
      <c r="F1144" s="894"/>
      <c r="G1144" s="728"/>
      <c r="H1144" s="19"/>
      <c r="I1144" s="17"/>
      <c r="J1144" s="19"/>
      <c r="K1144" s="894"/>
      <c r="L1144" s="730"/>
    </row>
    <row r="1145" spans="2:3" ht="15">
      <c r="B1145" s="17">
        <f t="shared" si="54"/>
        <v>3</v>
      </c>
      <c r="C1145" s="8" t="s">
        <v>720</v>
      </c>
    </row>
    <row r="1146" spans="2:13" s="386" customFormat="1" ht="15">
      <c r="B1146" s="17">
        <f t="shared" si="54"/>
        <v>4</v>
      </c>
      <c r="C1146" s="1">
        <v>431</v>
      </c>
      <c r="D1146" s="1" t="s">
        <v>329</v>
      </c>
      <c r="E1146" s="922" t="s">
        <v>330</v>
      </c>
      <c r="F1146" s="729">
        <f>'II-I-DIST'!F1148</f>
        <v>97.260000000002037</v>
      </c>
      <c r="G1146" s="118" t="str">
        <f>'II-I-DIST'!H1148</f>
        <v>CUS U RTL</v>
      </c>
      <c r="H1146" s="118">
        <f>'II-I-MET'!F1148</f>
        <v>0</v>
      </c>
      <c r="I1146" s="466" t="str">
        <f>'II-I-MET'!$H1148</f>
        <v>CUS U RTL</v>
      </c>
      <c r="J1146" s="118">
        <f>'II-I-TBILLTDCS'!F1148</f>
        <v>0</v>
      </c>
      <c r="K1146" s="466" t="str">
        <f>'II-I-TBILLTDCS'!$H1148</f>
        <v>CUS U RTL</v>
      </c>
      <c r="L1146" s="893">
        <f>F1146+H1146+J1146</f>
        <v>97.260000000002037</v>
      </c>
      <c r="M1146" s="1033" t="s">
        <v>1127</v>
      </c>
    </row>
    <row r="1147" spans="2:12" ht="15" thickBot="1">
      <c r="B1147" s="17">
        <f t="shared" si="54"/>
        <v>5</v>
      </c>
      <c r="C1147" s="1"/>
      <c r="D1147" s="1"/>
      <c r="E1147" s="17"/>
      <c r="F1147" s="894"/>
      <c r="G1147" s="728"/>
      <c r="H1147" s="19"/>
      <c r="I1147" s="17"/>
      <c r="J1147" s="19"/>
      <c r="K1147" s="894"/>
      <c r="L1147" s="730"/>
    </row>
    <row r="1148" spans="2:12" ht="15.75" thickBot="1">
      <c r="B1148" s="17">
        <f t="shared" si="54"/>
        <v>6</v>
      </c>
      <c r="C1148" s="284" t="s">
        <v>721</v>
      </c>
      <c r="D1148" s="336"/>
      <c r="E1148" s="337"/>
      <c r="F1148" s="905">
        <f>'II-I-DIST'!F1150</f>
        <v>907267440.79999995</v>
      </c>
      <c r="G1148" s="337"/>
      <c r="H1148" s="905">
        <f>'II-I-MET'!F1150</f>
        <v>39452824.030000001</v>
      </c>
      <c r="I1148" s="337"/>
      <c r="J1148" s="905">
        <f>'II-I-TBILLTDCS'!F1150</f>
        <v>37438816.88000004</v>
      </c>
      <c r="K1148" s="905"/>
      <c r="L1148" s="279">
        <f>F1148+H1148+J1148</f>
        <v>984159081.70999992</v>
      </c>
    </row>
    <row r="1149" spans="2:12" ht="15.75" thickBot="1">
      <c r="B1149" s="17">
        <f t="shared" si="54"/>
        <v>7</v>
      </c>
      <c r="C1149" s="8"/>
      <c r="D1149" s="36"/>
      <c r="E1149" s="897"/>
      <c r="F1149" s="898"/>
      <c r="G1149" s="897"/>
      <c r="H1149" s="898"/>
      <c r="I1149" s="897"/>
      <c r="J1149" s="898"/>
      <c r="K1149" s="898"/>
      <c r="L1149" s="896"/>
    </row>
    <row r="1150" spans="2:12" ht="15.75" thickBot="1">
      <c r="B1150" s="17">
        <f t="shared" si="54"/>
        <v>8</v>
      </c>
      <c r="C1150" s="284" t="s">
        <v>722</v>
      </c>
      <c r="D1150" s="336"/>
      <c r="E1150" s="337"/>
      <c r="F1150" s="905">
        <f>'II-I-DIST'!F1152</f>
        <v>985488825.7641474</v>
      </c>
      <c r="G1150" s="337"/>
      <c r="H1150" s="905">
        <f>'II-I-MET'!F1152</f>
        <v>41101948.547509037</v>
      </c>
      <c r="I1150" s="337"/>
      <c r="J1150" s="905">
        <f>'II-I-TBILLTDCS'!F1152</f>
        <v>39972993.342911988</v>
      </c>
      <c r="K1150" s="905"/>
      <c r="L1150" s="279">
        <f>F1150+H1150+J1150</f>
        <v>1066563767.6545684</v>
      </c>
    </row>
    <row r="1151" spans="2:12" ht="15.75" thickBot="1">
      <c r="B1151" s="17">
        <f t="shared" si="54"/>
        <v>9</v>
      </c>
      <c r="C1151" s="8"/>
      <c r="D1151" s="36"/>
      <c r="E1151" s="897"/>
      <c r="F1151" s="898"/>
      <c r="G1151" s="897"/>
      <c r="H1151" s="898"/>
      <c r="I1151" s="897"/>
      <c r="J1151" s="898"/>
      <c r="K1151" s="898"/>
      <c r="L1151" s="896"/>
    </row>
    <row r="1152" spans="2:12" ht="15.75" thickBot="1">
      <c r="B1152" s="17">
        <f t="shared" si="54"/>
        <v>10</v>
      </c>
      <c r="C1152" s="284" t="s">
        <v>723</v>
      </c>
      <c r="D1152" s="336"/>
      <c r="E1152" s="337"/>
      <c r="F1152" s="905">
        <f>'II-I-DIST'!F1154</f>
        <v>3373712708.5941477</v>
      </c>
      <c r="G1152" s="337"/>
      <c r="H1152" s="905">
        <f>'II-I-MET'!F1154</f>
        <v>175732623.48750904</v>
      </c>
      <c r="I1152" s="337"/>
      <c r="J1152" s="905">
        <f>'II-I-TBILLTDCS'!F1154</f>
        <v>90126801.302911997</v>
      </c>
      <c r="K1152" s="905"/>
      <c r="L1152" s="279">
        <f>F1152+H1152+J1152</f>
        <v>3639572133.3845692</v>
      </c>
    </row>
    <row r="1153" spans="2:12" ht="15.75" thickBot="1">
      <c r="B1153" s="17">
        <f t="shared" si="54"/>
        <v>11</v>
      </c>
      <c r="C1153" s="8"/>
      <c r="D1153" s="36"/>
      <c r="E1153" s="897"/>
      <c r="F1153" s="898"/>
      <c r="G1153" s="897"/>
      <c r="H1153" s="898"/>
      <c r="I1153" s="897"/>
      <c r="J1153" s="898"/>
      <c r="K1153" s="898"/>
      <c r="L1153" s="896"/>
    </row>
    <row r="1154" spans="2:12" ht="15.75" thickBot="1">
      <c r="B1154" s="17">
        <f t="shared" si="54"/>
        <v>12</v>
      </c>
      <c r="C1154" s="284" t="s">
        <v>1041</v>
      </c>
      <c r="D1154" s="336"/>
      <c r="E1154" s="337"/>
      <c r="F1154" s="905">
        <f>'II-I-DIST'!F1156</f>
        <v>1719544061.3801124</v>
      </c>
      <c r="G1154" s="337"/>
      <c r="H1154" s="905">
        <f>'II-I-MET'!F1156</f>
        <v>175732623.48750904</v>
      </c>
      <c r="I1154" s="337"/>
      <c r="J1154" s="905">
        <f>'II-I-TBILLTDCS'!F1156</f>
        <v>90126801.302911997</v>
      </c>
      <c r="K1154" s="905"/>
      <c r="L1154" s="279">
        <f>F1154+H1154+J1154</f>
        <v>1985403486.1705334</v>
      </c>
    </row>
    <row r="1155" spans="2:10" ht="14.25">
      <c r="B1155" s="67"/>
      <c r="C1155" s="67"/>
      <c r="D1155" s="67"/>
      <c r="E1155" s="67"/>
      <c r="F1155" s="664"/>
      <c r="G1155" s="664"/>
      <c r="H1155" s="67"/>
      <c r="I1155" s="67"/>
      <c r="J1155" s="67"/>
    </row>
    <row r="1156" spans="2:10" ht="14.25">
      <c r="B1156" s="67"/>
      <c r="C1156" s="67"/>
      <c r="D1156" s="67"/>
      <c r="E1156" s="67"/>
      <c r="F1156" s="664"/>
      <c r="G1156" s="736"/>
      <c r="H1156" s="67"/>
      <c r="I1156" s="134"/>
      <c r="J1156" s="67"/>
    </row>
    <row r="1157" spans="2:12" ht="15.75" thickBot="1">
      <c r="B1157" s="874"/>
      <c r="C1157" s="874"/>
      <c r="D1157" s="874"/>
      <c r="E1157" s="874"/>
      <c r="F1157" s="664"/>
      <c r="G1157" s="664"/>
      <c r="H1157" s="67"/>
      <c r="I1157" s="67"/>
      <c r="J1157" s="67"/>
      <c r="K1157" s="874"/>
      <c r="L1157" s="874"/>
    </row>
    <row r="1158" spans="2:12" ht="15">
      <c r="B1158" s="920" t="str">
        <f>$B$4</f>
        <v>2022 RATE CASE</v>
      </c>
      <c r="C1158" s="926"/>
      <c r="D1158" s="927"/>
      <c r="E1158" s="874"/>
      <c r="F1158" s="646"/>
      <c r="G1158" s="664"/>
      <c r="H1158" s="12"/>
      <c r="J1158" s="12"/>
      <c r="K1158" s="874"/>
      <c r="L1158" s="874"/>
    </row>
    <row r="1159" spans="2:12" ht="15">
      <c r="B1159" s="917" t="str">
        <f>$B$5</f>
        <v>ONCOR ELECTRIC DELIVERY COMPANY LLC</v>
      </c>
      <c r="C1159" s="369"/>
      <c r="D1159" s="928"/>
      <c r="E1159" s="874"/>
      <c r="F1159" s="646"/>
      <c r="G1159" s="664"/>
      <c r="H1159" s="12"/>
      <c r="J1159" s="12"/>
      <c r="K1159" s="874"/>
      <c r="L1159" s="874"/>
    </row>
    <row r="1160" spans="2:12" ht="15">
      <c r="B1160" s="406" t="str">
        <f>$B$6</f>
        <v>II-I-2.1f:  CONSOLIDATED FUNCTIONALIZED COST OF SERVICE</v>
      </c>
      <c r="C1160" s="369"/>
      <c r="D1160" s="928"/>
      <c r="E1160" s="874"/>
      <c r="F1160" s="646"/>
      <c r="G1160" s="664"/>
      <c r="H1160" s="12"/>
      <c r="J1160" s="12"/>
      <c r="K1160" s="874"/>
      <c r="L1160" s="874"/>
    </row>
    <row r="1161" spans="2:12" ht="15">
      <c r="B1161" s="406" t="str">
        <f>$B$7</f>
        <v>TEST YEAR ENDING 12/31/2021</v>
      </c>
      <c r="C1161" s="369"/>
      <c r="D1161" s="928"/>
      <c r="E1161" s="874"/>
      <c r="F1161" s="646"/>
      <c r="G1161" s="664"/>
      <c r="H1161" s="12"/>
      <c r="J1161" s="12"/>
      <c r="K1161" s="874"/>
      <c r="L1161" s="874"/>
    </row>
    <row r="1162" spans="2:10" ht="15.75">
      <c r="B1162" s="406" t="str">
        <f>$B$8</f>
        <v>SPONSOR:  MATTHEW A. TROXLE</v>
      </c>
      <c r="C1162" s="840"/>
      <c r="D1162" s="921"/>
      <c r="E1162" s="67"/>
      <c r="F1162" s="646"/>
      <c r="G1162" s="664"/>
      <c r="H1162" s="12"/>
      <c r="J1162" s="12"/>
    </row>
    <row r="1163" spans="2:12" ht="15.75" thickBot="1">
      <c r="B1163" s="410"/>
      <c r="C1163" s="931"/>
      <c r="D1163" s="932"/>
      <c r="E1163" s="369"/>
      <c r="F1163" s="646"/>
      <c r="G1163" s="664"/>
      <c r="H1163" s="12"/>
      <c r="J1163" s="12"/>
      <c r="K1163" s="369"/>
      <c r="L1163" s="369"/>
    </row>
    <row r="1164" spans="2:13" ht="14.25">
      <c r="B1164" s="13"/>
      <c r="C1164" s="14"/>
      <c r="D1164" s="238"/>
      <c r="E1164" s="14"/>
      <c r="F1164" s="738"/>
      <c r="G1164" s="739"/>
      <c r="H1164" s="13"/>
      <c r="I1164" s="14"/>
      <c r="J1164" s="13"/>
      <c r="K1164" s="738"/>
      <c r="L1164" s="952"/>
      <c r="M1164" s="1036"/>
    </row>
    <row r="1165" spans="2:13" ht="15">
      <c r="B1165" s="15" t="s">
        <v>2</v>
      </c>
      <c r="C1165" s="15" t="s">
        <v>370</v>
      </c>
      <c r="D1165" s="241" t="s">
        <v>334</v>
      </c>
      <c r="E1165" s="15" t="s">
        <v>371</v>
      </c>
      <c r="F1165" s="287" t="str">
        <f>'II-I-DIST'!F1167</f>
        <v>DIST</v>
      </c>
      <c r="G1165" s="744" t="s">
        <v>376</v>
      </c>
      <c r="H1165" s="287" t="str">
        <f>'II-I-MET'!F1167</f>
        <v>MET</v>
      </c>
      <c r="I1165" s="242" t="s">
        <v>376</v>
      </c>
      <c r="J1165" s="287" t="str">
        <f>'II-I-TBILLTDCS'!F1167</f>
        <v>TBILLTDCS</v>
      </c>
      <c r="K1165" s="743" t="s">
        <v>376</v>
      </c>
      <c r="L1165" s="743" t="s">
        <v>481</v>
      </c>
      <c r="M1165" s="1030" t="s">
        <v>1046</v>
      </c>
    </row>
    <row r="1166" spans="2:13" ht="14.25">
      <c r="B1166" s="15"/>
      <c r="C1166" s="15"/>
      <c r="D1166" s="242"/>
      <c r="E1166" s="15"/>
      <c r="F1166" s="743"/>
      <c r="G1166" s="744" t="s">
        <v>743</v>
      </c>
      <c r="H1166" s="15"/>
      <c r="I1166" s="242" t="s">
        <v>743</v>
      </c>
      <c r="J1166" s="15">
        <f>'II-I-TBILLTDCS'!F1168</f>
        <v>0</v>
      </c>
      <c r="K1166" s="743" t="s">
        <v>743</v>
      </c>
      <c r="L1166" s="743" t="s">
        <v>33</v>
      </c>
      <c r="M1166" s="1037"/>
    </row>
    <row r="1167" spans="2:13" ht="15.75" thickBot="1">
      <c r="B1167" s="243"/>
      <c r="C1167" s="957"/>
      <c r="D1167" s="245"/>
      <c r="E1167" s="245"/>
      <c r="F1167" s="747" t="s">
        <v>13</v>
      </c>
      <c r="G1167" s="747" t="s">
        <v>14</v>
      </c>
      <c r="H1167" s="747" t="s">
        <v>15</v>
      </c>
      <c r="I1167" s="747" t="s">
        <v>16</v>
      </c>
      <c r="J1167" s="747" t="s">
        <v>17</v>
      </c>
      <c r="K1167" s="747" t="s">
        <v>18</v>
      </c>
      <c r="L1167" s="747" t="s">
        <v>19</v>
      </c>
      <c r="M1167" s="1032" t="s">
        <v>1137</v>
      </c>
    </row>
    <row r="1168" spans="2:12" ht="14.25">
      <c r="B1168" s="67"/>
      <c r="C1168" s="100"/>
      <c r="D1168" s="100"/>
      <c r="E1168" s="315"/>
      <c r="F1168" s="757"/>
      <c r="G1168" s="756"/>
      <c r="H1168" s="373"/>
      <c r="I1168" s="315"/>
      <c r="J1168" s="373"/>
      <c r="K1168" s="949"/>
      <c r="L1168" s="730"/>
    </row>
    <row r="1169" spans="2:12" ht="15">
      <c r="B1169" s="17">
        <f t="shared" si="55" ref="B1169:B1192">B1168+1</f>
        <v>1</v>
      </c>
      <c r="C1169" s="8" t="s">
        <v>724</v>
      </c>
      <c r="D1169" s="8"/>
      <c r="E1169" s="922" t="s">
        <v>335</v>
      </c>
      <c r="F1169" s="896"/>
      <c r="G1169" s="922"/>
      <c r="H1169" s="896"/>
      <c r="I1169" s="922"/>
      <c r="J1169" s="896"/>
      <c r="K1169" s="896"/>
      <c r="L1169" s="8"/>
    </row>
    <row r="1170" spans="2:12" ht="15">
      <c r="B1170" s="17">
        <f t="shared" si="55"/>
        <v>2</v>
      </c>
      <c r="C1170" s="8" t="s">
        <v>336</v>
      </c>
      <c r="D1170" s="8"/>
      <c r="E1170" s="922" t="s">
        <v>0</v>
      </c>
      <c r="F1170" s="896"/>
      <c r="G1170" s="922"/>
      <c r="H1170" s="896"/>
      <c r="I1170" s="922"/>
      <c r="J1170" s="896"/>
      <c r="K1170" s="896"/>
      <c r="L1170" s="8"/>
    </row>
    <row r="1171" spans="2:13" s="386" customFormat="1" ht="48.75" customHeight="1">
      <c r="B1171" s="17">
        <f t="shared" si="55"/>
        <v>3</v>
      </c>
      <c r="C1171" s="1" t="s">
        <v>337</v>
      </c>
      <c r="D1171" s="1" t="s">
        <v>338</v>
      </c>
      <c r="E1171" s="17"/>
      <c r="F1171" s="729">
        <f>'II-I-DIST'!F1173</f>
        <v>17616778</v>
      </c>
      <c r="G1171" s="118" t="str">
        <f>'II-I-DIST'!H1173</f>
        <v>PLTDIST_N xWHL</v>
      </c>
      <c r="H1171" s="118">
        <f>'II-I-MET'!F1173</f>
        <v>0</v>
      </c>
      <c r="I1171" s="466" t="str">
        <f>'II-I-MET'!$H1173</f>
        <v>PLTDIST_N xWHL</v>
      </c>
      <c r="J1171" s="118">
        <f>'II-I-TBILLTDCS'!F1173</f>
        <v>0</v>
      </c>
      <c r="K1171" s="466" t="str">
        <f>'II-I-TBILLTDCS'!$H1173</f>
        <v>PLTDIST_N xWHL</v>
      </c>
      <c r="L1171" s="893">
        <f t="shared" si="56" ref="L1171:L1178">F1171+H1171+J1171</f>
        <v>17616778</v>
      </c>
      <c r="M1171" s="1033" t="s">
        <v>1128</v>
      </c>
    </row>
    <row r="1172" spans="2:13" s="386" customFormat="1" ht="28.5">
      <c r="B1172" s="17">
        <f t="shared" si="55"/>
        <v>4</v>
      </c>
      <c r="C1172" s="1" t="s">
        <v>339</v>
      </c>
      <c r="D1172" s="1" t="s">
        <v>340</v>
      </c>
      <c r="E1172" s="17"/>
      <c r="F1172" s="729">
        <f>'II-I-DIST'!F1174</f>
        <v>1070706.0600000001</v>
      </c>
      <c r="G1172" s="118" t="str">
        <f>'II-I-DIST'!H1174</f>
        <v>RCOS x565</v>
      </c>
      <c r="H1172" s="118">
        <f>'II-I-MET'!F1174</f>
        <v>0</v>
      </c>
      <c r="I1172" s="466" t="str">
        <f>'II-I-MET'!$H1174</f>
        <v>RCOS x565</v>
      </c>
      <c r="J1172" s="118">
        <f>'II-I-TBILLTDCS'!F1174</f>
        <v>0</v>
      </c>
      <c r="K1172" s="466" t="str">
        <f>'II-I-TBILLTDCS'!$H1174</f>
        <v>RCOS x565</v>
      </c>
      <c r="L1172" s="893">
        <f t="shared" si="56"/>
        <v>1070706.0600000001</v>
      </c>
      <c r="M1172" s="1033" t="s">
        <v>1129</v>
      </c>
    </row>
    <row r="1173" spans="2:13" s="386" customFormat="1" ht="14.25">
      <c r="B1173" s="17">
        <f t="shared" si="55"/>
        <v>5</v>
      </c>
      <c r="C1173" s="1" t="s">
        <v>725</v>
      </c>
      <c r="D1173" s="28" t="s">
        <v>342</v>
      </c>
      <c r="E1173" s="17"/>
      <c r="F1173" s="729">
        <f>'II-I-DIST'!F1175</f>
        <v>17168857.82</v>
      </c>
      <c r="G1173" s="118" t="str">
        <f>'II-I-DIST'!H1175</f>
        <v>CUS U RTL</v>
      </c>
      <c r="H1173" s="118">
        <f>'II-I-MET'!F1175</f>
        <v>5094630.9699999997</v>
      </c>
      <c r="I1173" s="466" t="str">
        <f>'II-I-MET'!$H1175</f>
        <v>CUS W RTL</v>
      </c>
      <c r="J1173" s="118">
        <f>'II-I-TBILLTDCS'!F1175</f>
        <v>205014.6500000013</v>
      </c>
      <c r="K1173" s="466" t="str">
        <f>'II-I-TBILLTDCS'!$H1175</f>
        <v>CUS U RTL</v>
      </c>
      <c r="L1173" s="893">
        <f t="shared" si="56"/>
        <v>22468503.440000001</v>
      </c>
      <c r="M1173" s="1033" t="s">
        <v>1130</v>
      </c>
    </row>
    <row r="1174" spans="2:13" s="386" customFormat="1" ht="14.25">
      <c r="B1174" s="17">
        <f t="shared" si="55"/>
        <v>6</v>
      </c>
      <c r="C1174" s="1" t="s">
        <v>725</v>
      </c>
      <c r="D1174" s="1" t="s">
        <v>344</v>
      </c>
      <c r="E1174" s="17"/>
      <c r="F1174" s="729">
        <f>'II-I-DIST'!F1176</f>
        <v>456565.46000000002</v>
      </c>
      <c r="G1174" s="118" t="str">
        <f>'II-I-DIST'!H1176</f>
        <v>PLTDIST_N</v>
      </c>
      <c r="H1174" s="118">
        <f>'II-I-MET'!F1176</f>
        <v>0</v>
      </c>
      <c r="I1174" s="466" t="str">
        <f>'II-I-MET'!$H1176</f>
        <v>PLTDIST_N</v>
      </c>
      <c r="J1174" s="118">
        <f>'II-I-TBILLTDCS'!F1176</f>
        <v>0</v>
      </c>
      <c r="K1174" s="466" t="str">
        <f>'II-I-TBILLTDCS'!$H1176</f>
        <v>PLTDIST_N</v>
      </c>
      <c r="L1174" s="893">
        <f t="shared" si="56"/>
        <v>456565.46000000002</v>
      </c>
      <c r="M1174" s="1033" t="s">
        <v>1131</v>
      </c>
    </row>
    <row r="1175" spans="2:13" s="386" customFormat="1" ht="14.25">
      <c r="B1175" s="17">
        <f t="shared" si="55"/>
        <v>7</v>
      </c>
      <c r="C1175" s="1" t="s">
        <v>345</v>
      </c>
      <c r="D1175" s="1" t="s">
        <v>346</v>
      </c>
      <c r="E1175" s="17"/>
      <c r="F1175" s="751">
        <f>'II-I-DIST'!F1177</f>
        <v>8281656.0099999998</v>
      </c>
      <c r="G1175" s="118" t="str">
        <f>'II-I-DIST'!H1177</f>
        <v>PLT 364</v>
      </c>
      <c r="H1175" s="290">
        <f>'II-I-MET'!F1177</f>
        <v>0</v>
      </c>
      <c r="I1175" s="466" t="str">
        <f>'II-I-MET'!$H1177</f>
        <v>PLT 364</v>
      </c>
      <c r="J1175" s="290">
        <f>'II-I-TBILLTDCS'!F1177</f>
        <v>0</v>
      </c>
      <c r="K1175" s="466" t="str">
        <f>'II-I-TBILLTDCS'!$H1177</f>
        <v>PLT 364</v>
      </c>
      <c r="L1175" s="893">
        <f t="shared" si="56"/>
        <v>8281656.0099999998</v>
      </c>
      <c r="M1175" s="1033" t="s">
        <v>1132</v>
      </c>
    </row>
    <row r="1176" spans="2:13" s="386" customFormat="1" ht="14.25">
      <c r="B1176" s="17">
        <f t="shared" si="55"/>
        <v>8</v>
      </c>
      <c r="C1176" s="1" t="s">
        <v>372</v>
      </c>
      <c r="D1176" s="1" t="s">
        <v>959</v>
      </c>
      <c r="E1176" s="17" t="s">
        <v>961</v>
      </c>
      <c r="F1176" s="751">
        <f>'II-I-DIST'!F1178</f>
        <v>127189.3152</v>
      </c>
      <c r="G1176" s="118" t="str">
        <f>'II-I-DIST'!H1178</f>
        <v>PLT 364</v>
      </c>
      <c r="H1176" s="290">
        <f>'II-I-MET'!F1178</f>
        <v>0</v>
      </c>
      <c r="I1176" s="466" t="str">
        <f>'II-I-MET'!$H1178</f>
        <v>PLT 364</v>
      </c>
      <c r="J1176" s="290">
        <f>'II-I-TBILLTDCS'!F1178</f>
        <v>0</v>
      </c>
      <c r="K1176" s="466" t="str">
        <f>'II-I-TBILLTDCS'!$H1178</f>
        <v>PLT 364</v>
      </c>
      <c r="L1176" s="893">
        <f t="shared" si="56"/>
        <v>127189.3152</v>
      </c>
      <c r="M1176" s="1033" t="s">
        <v>1133</v>
      </c>
    </row>
    <row r="1177" spans="2:13" s="386" customFormat="1" ht="14.25">
      <c r="B1177" s="17">
        <f t="shared" si="55"/>
        <v>9</v>
      </c>
      <c r="C1177" s="1" t="s">
        <v>374</v>
      </c>
      <c r="D1177" s="1" t="s">
        <v>960</v>
      </c>
      <c r="E1177" s="17" t="s">
        <v>961</v>
      </c>
      <c r="F1177" s="751">
        <f>'II-I-DIST'!F1179</f>
        <v>932721.64480000001</v>
      </c>
      <c r="G1177" s="118" t="str">
        <f>'II-I-DIST'!H1179</f>
        <v>PLT 366</v>
      </c>
      <c r="H1177" s="290">
        <f>'II-I-MET'!F1179</f>
        <v>0</v>
      </c>
      <c r="I1177" s="466" t="str">
        <f>'II-I-MET'!$H1179</f>
        <v>PLT 366</v>
      </c>
      <c r="J1177" s="290">
        <f>'II-I-TBILLTDCS'!F1179</f>
        <v>0</v>
      </c>
      <c r="K1177" s="466" t="str">
        <f>'II-I-TBILLTDCS'!$H1179</f>
        <v>PLT 366</v>
      </c>
      <c r="L1177" s="893">
        <f t="shared" si="56"/>
        <v>932721.64480000001</v>
      </c>
      <c r="M1177" s="1033" t="s">
        <v>1134</v>
      </c>
    </row>
    <row r="1178" spans="2:13" s="386" customFormat="1" ht="14.25">
      <c r="B1178" s="17">
        <f t="shared" si="55"/>
        <v>10</v>
      </c>
      <c r="C1178" s="1" t="s">
        <v>349</v>
      </c>
      <c r="D1178" s="1" t="s">
        <v>350</v>
      </c>
      <c r="E1178" s="17"/>
      <c r="F1178" s="751">
        <f>'II-I-DIST'!F1180</f>
        <v>0</v>
      </c>
      <c r="G1178" s="118" t="str">
        <f>'II-I-DIST'!H1180</f>
        <v>PLT 364</v>
      </c>
      <c r="H1178" s="290">
        <f>'II-I-MET'!F1180</f>
        <v>0</v>
      </c>
      <c r="I1178" s="466" t="str">
        <f>'II-I-MET'!$H1180</f>
        <v>PLT 364</v>
      </c>
      <c r="J1178" s="290">
        <f>'II-I-TBILLTDCS'!F1180</f>
        <v>0</v>
      </c>
      <c r="K1178" s="466" t="str">
        <f>'II-I-TBILLTDCS'!$H1180</f>
        <v>PLT 364</v>
      </c>
      <c r="L1178" s="893">
        <f t="shared" si="56"/>
        <v>0</v>
      </c>
      <c r="M1178" s="1033"/>
    </row>
    <row r="1179" spans="2:13" s="386" customFormat="1" ht="14.25">
      <c r="B1179" s="17">
        <f t="shared" si="55"/>
        <v>11</v>
      </c>
      <c r="C1179" s="1" t="s">
        <v>351</v>
      </c>
      <c r="D1179" s="1" t="s">
        <v>352</v>
      </c>
      <c r="E1179" s="17"/>
      <c r="F1179" s="751">
        <f>'II-I-DIST'!F1181</f>
        <v>16700</v>
      </c>
      <c r="G1179" s="118" t="str">
        <f>'II-I-DIST'!H1181</f>
        <v>PLTGEN</v>
      </c>
      <c r="H1179" s="290">
        <f>'II-I-MET'!F1181</f>
        <v>0</v>
      </c>
      <c r="I1179" s="466" t="str">
        <f>'II-I-MET'!$H1181</f>
        <v>PLTGEN</v>
      </c>
      <c r="J1179" s="290">
        <f>'II-I-TBILLTDCS'!F1181</f>
        <v>0</v>
      </c>
      <c r="K1179" s="466" t="str">
        <f>'II-I-TBILLTDCS'!$H1181</f>
        <v>PLTGEN</v>
      </c>
      <c r="L1179" s="893">
        <f t="shared" si="57" ref="L1179:L1192">F1179+H1179+J1179</f>
        <v>16700</v>
      </c>
      <c r="M1179" s="1033" t="s">
        <v>1135</v>
      </c>
    </row>
    <row r="1180" spans="2:13" s="386" customFormat="1" ht="14.25">
      <c r="B1180" s="17">
        <f t="shared" si="55"/>
        <v>12</v>
      </c>
      <c r="C1180" s="1" t="s">
        <v>353</v>
      </c>
      <c r="D1180" s="1" t="s">
        <v>354</v>
      </c>
      <c r="E1180" s="17"/>
      <c r="F1180" s="729">
        <f>'II-I-DIST'!F1182</f>
        <v>0</v>
      </c>
      <c r="G1180" s="118" t="str">
        <f>'II-I-DIST'!H1182</f>
        <v>PLT 360</v>
      </c>
      <c r="H1180" s="118">
        <f>'II-I-MET'!F1182</f>
        <v>0</v>
      </c>
      <c r="I1180" s="466" t="str">
        <f>'II-I-MET'!$H1182</f>
        <v>PLT 360</v>
      </c>
      <c r="J1180" s="118">
        <f>'II-I-TBILLTDCS'!F1182</f>
        <v>0</v>
      </c>
      <c r="K1180" s="466" t="str">
        <f>'II-I-TBILLTDCS'!$H1182</f>
        <v>PLT 360</v>
      </c>
      <c r="L1180" s="893">
        <f t="shared" si="57"/>
        <v>0</v>
      </c>
      <c r="M1180" s="1033"/>
    </row>
    <row r="1181" spans="2:13" s="386" customFormat="1" ht="14.25">
      <c r="B1181" s="17">
        <f t="shared" si="55"/>
        <v>13</v>
      </c>
      <c r="C1181" s="1" t="s">
        <v>355</v>
      </c>
      <c r="D1181" s="1" t="s">
        <v>356</v>
      </c>
      <c r="E1181" s="17"/>
      <c r="F1181" s="729">
        <f>'II-I-DIST'!F1183</f>
        <v>6086807.6699999981</v>
      </c>
      <c r="G1181" s="118" t="str">
        <f>'II-I-DIST'!H1183</f>
        <v>PLTDIST_N</v>
      </c>
      <c r="H1181" s="118">
        <f>'II-I-MET'!F1183</f>
        <v>0</v>
      </c>
      <c r="I1181" s="466" t="str">
        <f>'II-I-MET'!$H1183</f>
        <v>PLTDIST_N</v>
      </c>
      <c r="J1181" s="118">
        <f>'II-I-TBILLTDCS'!F1183</f>
        <v>0</v>
      </c>
      <c r="K1181" s="466" t="str">
        <f>'II-I-TBILLTDCS'!$H1183</f>
        <v>PLTDIST_N</v>
      </c>
      <c r="L1181" s="893">
        <f t="shared" si="57"/>
        <v>6086807.6699999981</v>
      </c>
      <c r="M1181" s="1033" t="s">
        <v>1131</v>
      </c>
    </row>
    <row r="1182" spans="2:13" ht="15">
      <c r="B1182" s="17">
        <f t="shared" si="55"/>
        <v>14</v>
      </c>
      <c r="C1182" s="252"/>
      <c r="D1182" s="388" t="s">
        <v>491</v>
      </c>
      <c r="E1182" s="252"/>
      <c r="F1182" s="896">
        <f>'II-I-DIST'!F1184</f>
        <v>51757981.979999989</v>
      </c>
      <c r="G1182" s="252"/>
      <c r="H1182" s="896">
        <f>'II-I-MET'!F1184</f>
        <v>5094630.9699999997</v>
      </c>
      <c r="I1182" s="252"/>
      <c r="J1182" s="896">
        <f>'II-I-TBILLTDCS'!F1184</f>
        <v>205014.6500000013</v>
      </c>
      <c r="K1182" s="896"/>
      <c r="L1182" s="896">
        <f t="shared" si="57"/>
        <v>57057627.599999987</v>
      </c>
      <c r="M1182" s="1041"/>
    </row>
    <row r="1183" spans="2:13" ht="15" thickBot="1">
      <c r="B1183" s="17">
        <f t="shared" si="55"/>
        <v>15</v>
      </c>
      <c r="C1183" s="1"/>
      <c r="D1183" s="1"/>
      <c r="E1183" s="17"/>
      <c r="F1183" s="19"/>
      <c r="G1183" s="17"/>
      <c r="H1183" s="19"/>
      <c r="I1183" s="17"/>
      <c r="J1183" s="19"/>
      <c r="K1183" s="894"/>
      <c r="L1183" s="730"/>
      <c r="M1183" s="1042"/>
    </row>
    <row r="1184" spans="2:13" ht="15.75" thickBot="1">
      <c r="B1184" s="17">
        <f t="shared" si="55"/>
        <v>16</v>
      </c>
      <c r="C1184" s="284" t="s">
        <v>727</v>
      </c>
      <c r="D1184" s="316"/>
      <c r="E1184" s="316" t="s">
        <v>335</v>
      </c>
      <c r="F1184" s="903">
        <f>'II-I-DIST'!F1186</f>
        <v>51757981.979999989</v>
      </c>
      <c r="G1184" s="316"/>
      <c r="H1184" s="903">
        <f>'II-I-MET'!F1186</f>
        <v>5094630.9699999997</v>
      </c>
      <c r="I1184" s="316"/>
      <c r="J1184" s="903">
        <f>'II-I-TBILLTDCS'!F1186</f>
        <v>205014.6500000013</v>
      </c>
      <c r="K1184" s="903"/>
      <c r="L1184" s="903">
        <f t="shared" si="57"/>
        <v>57057627.599999987</v>
      </c>
      <c r="M1184" s="1043"/>
    </row>
    <row r="1185" spans="2:13" ht="15" thickBot="1">
      <c r="B1185" s="17">
        <f t="shared" si="55"/>
        <v>17</v>
      </c>
      <c r="C1185" s="12"/>
      <c r="D1185" s="12"/>
      <c r="E1185" s="12"/>
      <c r="F1185" s="12"/>
      <c r="G1185" s="12"/>
      <c r="H1185" s="12"/>
      <c r="I1185" s="12"/>
      <c r="J1185" s="12"/>
      <c r="K1185" s="646"/>
      <c r="L1185" s="646"/>
      <c r="M1185" s="1044"/>
    </row>
    <row r="1186" spans="2:13" ht="15.75" thickBot="1">
      <c r="B1186" s="17">
        <f t="shared" si="55"/>
        <v>18</v>
      </c>
      <c r="C1186" s="284" t="s">
        <v>511</v>
      </c>
      <c r="D1186" s="316"/>
      <c r="E1186" s="316"/>
      <c r="F1186" s="903">
        <f>'II-I-DIST'!F1188</f>
        <v>4012552544.0526075</v>
      </c>
      <c r="G1186" s="316"/>
      <c r="H1186" s="903">
        <f>'II-I-MET'!F1188</f>
        <v>205435693.36813828</v>
      </c>
      <c r="I1186" s="316"/>
      <c r="J1186" s="903">
        <f>'II-I-TBILLTDCS'!F1188</f>
        <v>104584405.97196172</v>
      </c>
      <c r="K1186" s="903"/>
      <c r="L1186" s="903">
        <f t="shared" si="57"/>
        <v>4322572643.3927078</v>
      </c>
      <c r="M1186" s="1043"/>
    </row>
    <row r="1187" spans="2:13" ht="15" thickBot="1">
      <c r="B1187" s="17">
        <f t="shared" si="55"/>
        <v>19</v>
      </c>
      <c r="C1187" s="12"/>
      <c r="D1187" s="12"/>
      <c r="E1187" s="12"/>
      <c r="F1187" s="12"/>
      <c r="G1187" s="12"/>
      <c r="H1187" s="12"/>
      <c r="I1187" s="12"/>
      <c r="J1187" s="12"/>
      <c r="K1187" s="646"/>
      <c r="L1187" s="646"/>
      <c r="M1187" s="1044"/>
    </row>
    <row r="1188" spans="2:13" ht="15.75" thickBot="1">
      <c r="B1188" s="17">
        <f t="shared" si="55"/>
        <v>20</v>
      </c>
      <c r="C1188" s="284" t="s">
        <v>728</v>
      </c>
      <c r="D1188" s="316"/>
      <c r="E1188" s="316"/>
      <c r="F1188" s="903">
        <f>'II-I-DIST'!F1190</f>
        <v>3960794562.0726075</v>
      </c>
      <c r="G1188" s="316"/>
      <c r="H1188" s="903">
        <f>'II-I-MET'!F1190</f>
        <v>200341062.39813829</v>
      </c>
      <c r="I1188" s="316"/>
      <c r="J1188" s="903">
        <f>'II-I-TBILLTDCS'!F1190</f>
        <v>104379391.32196172</v>
      </c>
      <c r="K1188" s="903"/>
      <c r="L1188" s="903">
        <f t="shared" si="57"/>
        <v>4265515015.7927079</v>
      </c>
      <c r="M1188" s="1043"/>
    </row>
    <row r="1189" spans="2:13" ht="15" thickBot="1">
      <c r="B1189" s="17">
        <f t="shared" si="55"/>
        <v>21</v>
      </c>
      <c r="C1189" s="12"/>
      <c r="D1189" s="12"/>
      <c r="E1189" s="12"/>
      <c r="F1189" s="12"/>
      <c r="G1189" s="12"/>
      <c r="H1189" s="12"/>
      <c r="I1189" s="12"/>
      <c r="J1189" s="12"/>
      <c r="K1189" s="646"/>
      <c r="L1189" s="646"/>
      <c r="M1189" s="1044"/>
    </row>
    <row r="1190" spans="2:13" ht="15">
      <c r="B1190" s="17">
        <f t="shared" si="55"/>
        <v>22</v>
      </c>
      <c r="C1190" s="319" t="s">
        <v>1038</v>
      </c>
      <c r="D1190" s="305"/>
      <c r="E1190" s="305"/>
      <c r="F1190" s="908">
        <f>'II-I-DIST'!F1192</f>
        <v>2358383896.8385725</v>
      </c>
      <c r="G1190" s="305"/>
      <c r="H1190" s="908">
        <f>'II-I-MET'!F1192</f>
        <v>205435693.36813828</v>
      </c>
      <c r="I1190" s="305"/>
      <c r="J1190" s="908">
        <f>'II-I-TBILLTDCS'!F1192</f>
        <v>104584405.97196172</v>
      </c>
      <c r="K1190" s="908"/>
      <c r="L1190" s="908">
        <f t="shared" si="57"/>
        <v>2668403996.1786723</v>
      </c>
      <c r="M1190" s="1045"/>
    </row>
    <row r="1191" spans="2:13" ht="14.25">
      <c r="B1191" s="17">
        <f t="shared" si="55"/>
        <v>23</v>
      </c>
      <c r="C1191" s="389"/>
      <c r="D1191" s="390"/>
      <c r="E1191" s="390"/>
      <c r="F1191" s="390"/>
      <c r="G1191" s="390"/>
      <c r="H1191" s="390"/>
      <c r="I1191" s="390"/>
      <c r="J1191" s="390"/>
      <c r="K1191" s="950"/>
      <c r="L1191" s="950"/>
      <c r="M1191" s="1046"/>
    </row>
    <row r="1192" spans="2:13" ht="15.75" thickBot="1">
      <c r="B1192" s="17">
        <f t="shared" si="55"/>
        <v>24</v>
      </c>
      <c r="C1192" s="326" t="s">
        <v>1039</v>
      </c>
      <c r="D1192" s="311"/>
      <c r="E1192" s="311"/>
      <c r="F1192" s="312">
        <f>'II-I-DIST'!F1194</f>
        <v>2306625914.8585725</v>
      </c>
      <c r="G1192" s="311"/>
      <c r="H1192" s="312">
        <f>'II-I-MET'!F1194</f>
        <v>200341062.39813829</v>
      </c>
      <c r="I1192" s="311"/>
      <c r="J1192" s="312">
        <f>'II-I-TBILLTDCS'!F1194</f>
        <v>104379391.32196172</v>
      </c>
      <c r="K1192" s="312"/>
      <c r="L1192" s="312">
        <f t="shared" si="57"/>
        <v>2611346368.5786729</v>
      </c>
      <c r="M1192" s="1047"/>
    </row>
    <row r="1193" spans="13:13" ht="14.25">
      <c r="M1193" s="1048"/>
    </row>
    <row r="1194" spans="6:13" ht="14.25">
      <c r="F1194" s="370"/>
      <c r="M1194" s="1048"/>
    </row>
    <row r="1195" spans="3:13" ht="14.25">
      <c r="C1195" s="67"/>
      <c r="F1195" s="392"/>
      <c r="H1195" s="392"/>
      <c r="J1195" s="392"/>
      <c r="K1195" s="951"/>
      <c r="L1195" s="951"/>
      <c r="M1195" s="1049"/>
    </row>
  </sheetData>
  <conditionalFormatting sqref="M110:M111 M105">
    <cfRule type="cellIs" priority="1" dxfId="1" operator="equal" stopIfTrue="1">
      <formula>"same"</formula>
    </cfRule>
    <cfRule type="cellIs" priority="2" dxfId="0" operator="equal" stopIfTrue="1">
      <formula>"different"</formula>
    </cfRule>
  </conditionalFormatting>
  <pageMargins left="0.5" right="0.5" top="1.5" bottom="0.5" header="1" footer="0.3"/>
  <pageSetup orientation="landscape" pageOrder="overThenDown" scale="38" r:id="rId1"/>
  <headerFooter>
    <oddHeader>&amp;RII-I-2.1f
Page &amp;P of &amp;N</oddHeader>
  </headerFooter>
  <rowBreaks count="32" manualBreakCount="32">
    <brk id="40" max="12" man="1"/>
    <brk id="89" max="12" man="1"/>
    <brk id="119" max="16383" man="1"/>
    <brk id="164" max="16383" man="1"/>
    <brk id="196" max="16383" man="1"/>
    <brk id="220" max="16383" man="1"/>
    <brk id="237" max="16383" man="1"/>
    <brk id="266" max="16383" man="1"/>
    <brk id="317" max="16383" man="1"/>
    <brk id="356" max="16383" man="1"/>
    <brk id="376" max="16383" man="1"/>
    <brk id="400" max="12" man="1"/>
    <brk id="423" max="16383" man="1"/>
    <brk id="443" max="16383" man="1"/>
    <brk id="466" max="16383" man="1"/>
    <brk id="487" max="16383" man="1"/>
    <brk id="552" max="16383" man="1"/>
    <brk id="599" max="16383" man="1"/>
    <brk id="639" max="16383" man="1"/>
    <brk id="685" max="16383" man="1"/>
    <brk id="730" max="16383" man="1"/>
    <brk id="764" max="16383" man="1"/>
    <brk id="804" max="16383" man="1"/>
    <brk id="849" max="16383" man="1"/>
    <brk id="901" max="16383" man="1"/>
    <brk id="934" max="16383" man="1"/>
    <brk id="954" max="16383" man="1"/>
    <brk id="1004" max="16383" man="1"/>
    <brk id="1040" max="16383" man="1"/>
    <brk id="1070" max="16383" man="1"/>
    <brk id="1130" max="16383" man="1"/>
    <brk id="115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46"/>
  <sheetViews>
    <sheetView view="pageBreakPreview" zoomScaleNormal="100" zoomScaleSheetLayoutView="100" workbookViewId="0" topLeftCell="A1">
      <selection pane="topLeft" activeCell="K11" sqref="K11"/>
    </sheetView>
  </sheetViews>
  <sheetFormatPr defaultColWidth="9.005" defaultRowHeight="14.25"/>
  <cols>
    <col min="1" max="2" width="1" style="730" customWidth="1"/>
    <col min="3" max="3" width="28.875" style="730" customWidth="1"/>
    <col min="4" max="4" width="16.75" style="730" customWidth="1"/>
    <col min="5" max="5" width="14" style="730" customWidth="1"/>
    <col min="6" max="6" width="7" style="730" customWidth="1"/>
    <col min="7" max="7" width="10.25" style="730" customWidth="1"/>
    <col min="8" max="8" width="12.875" style="730" customWidth="1"/>
    <col min="9" max="9" width="15.75" style="730" customWidth="1"/>
    <col min="10" max="10" width="17.375" style="730" customWidth="1"/>
    <col min="11" max="11" width="13.375" style="730" customWidth="1"/>
    <col min="12" max="12" width="15.75" style="730" customWidth="1"/>
    <col min="13" max="13" width="12.125" style="730" customWidth="1"/>
    <col min="14" max="14" width="16.25" style="730" bestFit="1" customWidth="1"/>
    <col min="15" max="16384" width="9" style="730"/>
  </cols>
  <sheetData>
    <row r="1" spans="1:2" ht="14.25">
      <c r="A1" s="730" t="s">
        <v>0</v>
      </c>
      <c r="B1" s="728"/>
    </row>
    <row r="2" spans="2:11" ht="15">
      <c r="B2" s="728"/>
      <c r="C2" s="840"/>
      <c r="D2" s="840"/>
      <c r="E2" s="840"/>
      <c r="F2" s="840"/>
      <c r="G2" s="840"/>
      <c r="H2" s="840"/>
      <c r="I2" s="840"/>
      <c r="J2" s="840"/>
      <c r="K2" s="840"/>
    </row>
    <row r="3" spans="2:11" ht="15">
      <c r="B3" s="728"/>
      <c r="C3" s="840"/>
      <c r="D3" s="840"/>
      <c r="E3" s="840"/>
      <c r="F3" s="840"/>
      <c r="G3" s="840"/>
      <c r="H3" s="840"/>
      <c r="I3" s="840"/>
      <c r="J3" s="840"/>
      <c r="K3" s="840"/>
    </row>
    <row r="4" spans="2:11" ht="15">
      <c r="B4" s="728"/>
      <c r="C4" s="840"/>
      <c r="D4" s="840"/>
      <c r="E4" s="840"/>
      <c r="F4" s="840"/>
      <c r="G4" s="840"/>
      <c r="H4" s="840"/>
      <c r="I4" s="840"/>
      <c r="J4" s="840"/>
      <c r="K4" s="840"/>
    </row>
    <row r="5" spans="2:11" ht="15.75">
      <c r="B5" s="1498" t="str">
        <f>'WP II-I-1.1'!B3</f>
        <v>2022 RATE CASE</v>
      </c>
      <c r="C5" s="1498"/>
      <c r="D5" s="1498"/>
      <c r="E5" s="1498"/>
      <c r="F5" s="1498"/>
      <c r="G5" s="1498"/>
      <c r="H5" s="840"/>
      <c r="I5" s="840"/>
      <c r="J5" s="840"/>
      <c r="K5" s="840"/>
    </row>
    <row r="6" spans="2:11" ht="15.75">
      <c r="B6" s="1498" t="str">
        <f>'WP II-I-1.1'!B4</f>
        <v>ONCOR ELECTRIC DELIVERY COMPANY LLC</v>
      </c>
      <c r="C6" s="1498"/>
      <c r="D6" s="1498"/>
      <c r="E6" s="1498"/>
      <c r="F6" s="1498"/>
      <c r="G6" s="1498"/>
      <c r="H6" s="840"/>
      <c r="I6" s="840"/>
      <c r="J6" s="840"/>
      <c r="K6" s="840"/>
    </row>
    <row r="7" spans="2:11" ht="15.75">
      <c r="B7" s="1498" t="s">
        <v>1190</v>
      </c>
      <c r="C7" s="1498"/>
      <c r="D7" s="1498"/>
      <c r="E7" s="1498"/>
      <c r="F7" s="1498"/>
      <c r="G7" s="1498"/>
      <c r="H7" s="840"/>
      <c r="I7" s="840"/>
      <c r="J7" s="840"/>
      <c r="K7" s="840"/>
    </row>
    <row r="8" spans="2:11" ht="15.75">
      <c r="B8" s="1498" t="str">
        <f>'WP II-I-1.1'!B6</f>
        <v>TEST YEAR ENDING 12/31/2021</v>
      </c>
      <c r="C8" s="1498"/>
      <c r="D8" s="1498"/>
      <c r="E8" s="1498"/>
      <c r="F8" s="1498"/>
      <c r="G8" s="1498"/>
      <c r="H8" s="840"/>
      <c r="I8" s="840"/>
      <c r="J8" s="840"/>
      <c r="K8" s="840"/>
    </row>
    <row r="9" spans="2:11" ht="15.75">
      <c r="B9" s="1498" t="str">
        <f>'WP II-I-1.1'!B7</f>
        <v>SPONSOR:  MATTHEW A. TROXLE</v>
      </c>
      <c r="C9" s="1498"/>
      <c r="D9" s="1498"/>
      <c r="E9" s="1498"/>
      <c r="F9" s="1498"/>
      <c r="G9" s="1498"/>
      <c r="H9" s="840"/>
      <c r="I9" s="840"/>
      <c r="J9" s="840"/>
      <c r="K9" s="840"/>
    </row>
    <row r="10" spans="2:11" ht="15.75">
      <c r="B10" s="3"/>
      <c r="C10" s="879"/>
      <c r="D10" s="878"/>
      <c r="E10" s="880"/>
      <c r="F10" s="880"/>
      <c r="G10" s="878"/>
      <c r="H10" s="840"/>
      <c r="I10" s="840"/>
      <c r="J10" s="840"/>
      <c r="K10" s="840"/>
    </row>
    <row r="11" spans="2:11" ht="14.25" customHeight="1">
      <c r="B11" s="783"/>
      <c r="C11" s="878"/>
      <c r="D11" s="878"/>
      <c r="E11" s="881"/>
      <c r="F11" s="881"/>
      <c r="G11" s="878"/>
      <c r="H11" s="882"/>
      <c r="I11" s="882"/>
      <c r="J11" s="840"/>
      <c r="K11" s="840"/>
    </row>
    <row r="12" spans="2:11" ht="15.75">
      <c r="B12" s="872"/>
      <c r="C12" s="883"/>
      <c r="D12" s="884"/>
      <c r="E12" s="884"/>
      <c r="F12" s="884"/>
      <c r="G12" s="884"/>
      <c r="H12" s="840"/>
      <c r="I12" s="840"/>
      <c r="J12" s="840"/>
      <c r="K12" s="840"/>
    </row>
    <row r="13" spans="2:13" ht="15.75">
      <c r="B13" s="790"/>
      <c r="C13" s="885"/>
      <c r="D13" s="886"/>
      <c r="E13" s="886"/>
      <c r="F13" s="886"/>
      <c r="G13" s="886"/>
      <c r="H13" s="886"/>
      <c r="I13" s="886"/>
      <c r="J13" s="886"/>
      <c r="K13" s="886"/>
      <c r="L13" s="790"/>
      <c r="M13" s="818"/>
    </row>
    <row r="14" spans="2:13" ht="15">
      <c r="B14" s="793"/>
      <c r="C14" s="840"/>
      <c r="D14" s="887"/>
      <c r="E14" s="887"/>
      <c r="F14" s="887"/>
      <c r="G14" s="887"/>
      <c r="H14" s="888"/>
      <c r="I14" s="888"/>
      <c r="J14" s="887"/>
      <c r="K14" s="887"/>
      <c r="L14" s="794"/>
      <c r="M14" s="819"/>
    </row>
    <row r="15" spans="2:13" ht="15">
      <c r="B15" s="795"/>
      <c r="C15" s="840"/>
      <c r="D15" s="840"/>
      <c r="E15" s="840"/>
      <c r="F15" s="840"/>
      <c r="G15" s="840"/>
      <c r="H15" s="840"/>
      <c r="I15" s="840"/>
      <c r="J15" s="840"/>
      <c r="K15" s="840"/>
      <c r="M15" s="819"/>
    </row>
    <row r="16" spans="2:13" ht="15.75" customHeight="1">
      <c r="B16" s="795"/>
      <c r="C16" s="1500" t="s">
        <v>1031</v>
      </c>
      <c r="D16" s="1500"/>
      <c r="E16" s="1500"/>
      <c r="F16" s="1500"/>
      <c r="G16" s="1500"/>
      <c r="H16" s="1500"/>
      <c r="I16" s="1500"/>
      <c r="J16" s="1500"/>
      <c r="K16" s="1500"/>
      <c r="L16" s="797"/>
      <c r="M16" s="819"/>
    </row>
    <row r="17" spans="2:13" ht="15">
      <c r="B17" s="795"/>
      <c r="C17" s="840" t="s">
        <v>1033</v>
      </c>
      <c r="D17" s="889"/>
      <c r="E17" s="889"/>
      <c r="F17" s="889"/>
      <c r="G17" s="889"/>
      <c r="H17" s="889"/>
      <c r="I17" s="889"/>
      <c r="J17" s="889"/>
      <c r="K17" s="889"/>
      <c r="L17" s="800"/>
      <c r="M17" s="819"/>
    </row>
    <row r="18" spans="3:13" ht="15">
      <c r="C18" s="840" t="s">
        <v>1032</v>
      </c>
      <c r="D18" s="889"/>
      <c r="E18" s="889"/>
      <c r="F18" s="889"/>
      <c r="G18" s="889"/>
      <c r="H18" s="889"/>
      <c r="I18" s="889"/>
      <c r="J18" s="889"/>
      <c r="K18" s="889"/>
      <c r="L18" s="853"/>
      <c r="M18" s="819"/>
    </row>
    <row r="19" spans="3:13" ht="15.75">
      <c r="C19" s="840"/>
      <c r="D19" s="890"/>
      <c r="E19" s="890"/>
      <c r="F19" s="890"/>
      <c r="G19" s="891"/>
      <c r="H19" s="892"/>
      <c r="I19" s="892"/>
      <c r="J19" s="890"/>
      <c r="K19" s="890"/>
      <c r="L19" s="805"/>
      <c r="M19" s="819"/>
    </row>
    <row r="20" spans="2:13" ht="15">
      <c r="B20" s="873"/>
      <c r="C20" s="796"/>
      <c r="D20" s="797"/>
      <c r="E20" s="797"/>
      <c r="F20" s="797"/>
      <c r="G20" s="797"/>
      <c r="H20" s="820"/>
      <c r="I20" s="820"/>
      <c r="J20" s="797"/>
      <c r="K20" s="797"/>
      <c r="L20" s="797"/>
      <c r="M20" s="819"/>
    </row>
    <row r="21" spans="2:13" ht="15">
      <c r="B21" s="873"/>
      <c r="C21" s="799"/>
      <c r="D21" s="806"/>
      <c r="E21" s="806"/>
      <c r="F21" s="806"/>
      <c r="G21" s="807"/>
      <c r="H21" s="820"/>
      <c r="I21" s="694"/>
      <c r="J21" s="797"/>
      <c r="K21" s="806"/>
      <c r="L21" s="797"/>
      <c r="M21" s="819"/>
    </row>
    <row r="22" spans="2:13" ht="15">
      <c r="B22" s="795"/>
      <c r="C22" s="799"/>
      <c r="D22" s="800"/>
      <c r="E22" s="800"/>
      <c r="F22" s="800"/>
      <c r="G22" s="807"/>
      <c r="H22" s="820"/>
      <c r="I22" s="694"/>
      <c r="J22" s="797"/>
      <c r="K22" s="800"/>
      <c r="L22" s="797"/>
      <c r="M22" s="819"/>
    </row>
    <row r="23" spans="2:13" ht="15">
      <c r="B23" s="795"/>
      <c r="C23" s="799"/>
      <c r="D23" s="800"/>
      <c r="E23" s="800"/>
      <c r="F23" s="800"/>
      <c r="G23" s="807"/>
      <c r="H23" s="820"/>
      <c r="I23" s="694"/>
      <c r="J23" s="797"/>
      <c r="K23" s="800"/>
      <c r="L23" s="797"/>
      <c r="M23" s="819"/>
    </row>
    <row r="24" spans="2:13" ht="15">
      <c r="B24" s="795"/>
      <c r="C24" s="799"/>
      <c r="D24" s="800"/>
      <c r="E24" s="800"/>
      <c r="F24" s="800"/>
      <c r="G24" s="807"/>
      <c r="H24" s="820"/>
      <c r="I24" s="694"/>
      <c r="J24" s="797"/>
      <c r="K24" s="800"/>
      <c r="L24" s="797"/>
      <c r="M24" s="819"/>
    </row>
    <row r="25" spans="2:13" ht="15">
      <c r="B25" s="795"/>
      <c r="C25" s="799"/>
      <c r="D25" s="800"/>
      <c r="E25" s="800"/>
      <c r="F25" s="800"/>
      <c r="G25" s="807"/>
      <c r="H25" s="820"/>
      <c r="I25" s="694"/>
      <c r="J25" s="797"/>
      <c r="K25" s="800"/>
      <c r="L25" s="797"/>
      <c r="M25" s="819"/>
    </row>
    <row r="26" spans="2:13" ht="15">
      <c r="B26" s="795"/>
      <c r="C26" s="799"/>
      <c r="D26" s="800"/>
      <c r="E26" s="800"/>
      <c r="F26" s="800"/>
      <c r="G26" s="807"/>
      <c r="H26" s="820"/>
      <c r="I26" s="694"/>
      <c r="J26" s="797"/>
      <c r="K26" s="800"/>
      <c r="L26" s="797"/>
      <c r="M26" s="819"/>
    </row>
    <row r="27" spans="2:13" ht="15">
      <c r="B27" s="795"/>
      <c r="C27" s="799"/>
      <c r="D27" s="800"/>
      <c r="E27" s="800"/>
      <c r="F27" s="800"/>
      <c r="G27" s="807"/>
      <c r="H27" s="820"/>
      <c r="I27" s="694"/>
      <c r="J27" s="797"/>
      <c r="K27" s="800"/>
      <c r="L27" s="797"/>
      <c r="M27" s="819"/>
    </row>
    <row r="28" spans="2:13" ht="19.5">
      <c r="B28" s="795"/>
      <c r="C28" s="799"/>
      <c r="D28" s="808"/>
      <c r="E28" s="808"/>
      <c r="F28" s="808"/>
      <c r="G28" s="809"/>
      <c r="H28" s="820"/>
      <c r="I28" s="820"/>
      <c r="J28" s="797"/>
      <c r="K28" s="808"/>
      <c r="L28" s="817"/>
      <c r="M28" s="819"/>
    </row>
    <row r="29" spans="2:13" ht="15">
      <c r="B29" s="795"/>
      <c r="C29" s="796"/>
      <c r="D29" s="810"/>
      <c r="E29" s="810"/>
      <c r="F29" s="810"/>
      <c r="G29" s="810"/>
      <c r="H29" s="815"/>
      <c r="I29" s="815"/>
      <c r="J29" s="810"/>
      <c r="K29" s="810"/>
      <c r="L29" s="810"/>
      <c r="M29" s="819"/>
    </row>
    <row r="30" spans="2:13" ht="14.25">
      <c r="B30" s="795"/>
      <c r="C30" s="799"/>
      <c r="D30" s="800"/>
      <c r="E30" s="800"/>
      <c r="F30" s="800"/>
      <c r="G30" s="807"/>
      <c r="H30" s="815"/>
      <c r="I30" s="815"/>
      <c r="J30" s="800"/>
      <c r="K30" s="800"/>
      <c r="L30" s="807"/>
      <c r="M30" s="819"/>
    </row>
    <row r="31" spans="2:13" ht="16.5">
      <c r="B31" s="795"/>
      <c r="C31" s="799"/>
      <c r="D31" s="808"/>
      <c r="E31" s="808"/>
      <c r="F31" s="808"/>
      <c r="G31" s="809"/>
      <c r="H31" s="815"/>
      <c r="I31" s="815"/>
      <c r="J31" s="808"/>
      <c r="K31" s="808"/>
      <c r="L31" s="807"/>
      <c r="M31" s="819"/>
    </row>
    <row r="32" spans="2:13" ht="15">
      <c r="B32" s="795"/>
      <c r="C32" s="796"/>
      <c r="D32" s="797"/>
      <c r="E32" s="797"/>
      <c r="F32" s="797"/>
      <c r="G32" s="811"/>
      <c r="H32" s="815"/>
      <c r="I32" s="815"/>
      <c r="J32" s="797"/>
      <c r="K32" s="797"/>
      <c r="L32" s="811"/>
      <c r="M32" s="819"/>
    </row>
    <row r="33" spans="2:7" ht="15">
      <c r="B33" s="795"/>
      <c r="C33" s="796"/>
      <c r="D33" s="797"/>
      <c r="E33" s="797"/>
      <c r="F33" s="797"/>
      <c r="G33" s="811"/>
    </row>
    <row r="34" spans="2:7" ht="15">
      <c r="B34" s="795"/>
      <c r="C34" s="799"/>
      <c r="D34" s="797"/>
      <c r="E34" s="797"/>
      <c r="F34" s="797"/>
      <c r="G34" s="811"/>
    </row>
    <row r="35" spans="2:2" ht="14.25">
      <c r="B35" s="728"/>
    </row>
    <row r="36" spans="2:7" ht="14.25">
      <c r="B36" s="728"/>
      <c r="C36" s="774"/>
      <c r="D36" s="784"/>
      <c r="E36" s="784"/>
      <c r="F36" s="784"/>
      <c r="G36" s="784"/>
    </row>
    <row r="37" spans="2:9" ht="14.25">
      <c r="B37" s="728"/>
      <c r="H37" s="820"/>
      <c r="I37" s="694"/>
    </row>
    <row r="38" spans="7:11" ht="14.25">
      <c r="G38" s="775"/>
      <c r="K38" s="837"/>
    </row>
    <row r="39" spans="7:16" ht="14.25">
      <c r="G39" s="434"/>
      <c r="H39" s="434"/>
      <c r="I39" s="434"/>
      <c r="J39" s="434"/>
      <c r="K39" s="837"/>
      <c r="L39" s="434"/>
      <c r="M39" s="434"/>
      <c r="N39" s="434"/>
      <c r="O39" s="434"/>
      <c r="P39" s="434"/>
    </row>
    <row r="40" spans="11:11" ht="14.25">
      <c r="K40" s="837"/>
    </row>
    <row r="41" spans="11:11" ht="14.25">
      <c r="K41" s="837"/>
    </row>
    <row r="42" spans="11:11" ht="14.25">
      <c r="K42" s="837"/>
    </row>
    <row r="43" spans="11:11" ht="14.25">
      <c r="K43" s="837"/>
    </row>
    <row r="44" spans="11:11" ht="14.25">
      <c r="K44" s="837"/>
    </row>
    <row r="45" spans="11:11" ht="14.25">
      <c r="K45" s="837"/>
    </row>
    <row r="46" spans="11:11" ht="14.25">
      <c r="K46" s="837"/>
    </row>
  </sheetData>
  <mergeCells count="6">
    <mergeCell ref="C16:K16"/>
    <mergeCell ref="B5:G5"/>
    <mergeCell ref="B6:G6"/>
    <mergeCell ref="B7:G7"/>
    <mergeCell ref="B8:G8"/>
    <mergeCell ref="B9:G9"/>
  </mergeCells>
  <pageMargins left="1.5" right="0.5" top="1.25" bottom="0.75" header="1" footer="0.3"/>
  <pageSetup orientation="portrait" scale="97" r:id="rId1"/>
  <headerFooter>
    <oddHeader>&amp;R
Schedule II-I-3
Page 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LinkSheet</vt:lpstr>
      <vt:lpstr>II-I-1</vt:lpstr>
      <vt:lpstr>WP II-I-1.1</vt:lpstr>
      <vt:lpstr>changes</vt:lpstr>
      <vt:lpstr> WP II-I-1.4</vt:lpstr>
      <vt:lpstr>II-I-DIST</vt:lpstr>
      <vt:lpstr>II-I-MET</vt:lpstr>
      <vt:lpstr>II-I-TBILLTDCS</vt:lpstr>
      <vt:lpstr>II-I-Total</vt:lpstr>
      <vt:lpstr>II-I Summary</vt:lpstr>
      <vt:lpstr>WP II-I-1.9 </vt:lpstr>
      <vt:lpstr>WP II-I-2.2</vt:lpstr>
      <vt:lpstr>WP II-I-1.5</vt:lpstr>
      <vt:lpstr>WP II-I-1.6</vt:lpstr>
      <vt:lpstr>WP II-I-1.7</vt:lpstr>
      <vt:lpstr>WP II-I-1.2</vt:lpstr>
      <vt:lpstr>WP II-I-2.1</vt:lpstr>
      <vt:lpstr>II-I-2.1f</vt:lpstr>
      <vt:lpstr>II-I-3.1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