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1D25F245-6920-4EFF-B232-E03D709A607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biochar_land" sheetId="2" r:id="rId1"/>
    <sheet name="gompert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5" i="2"/>
  <c r="F26" i="2"/>
  <c r="F22" i="2"/>
  <c r="F23" i="2"/>
  <c r="E24" i="2"/>
  <c r="E25" i="2"/>
  <c r="E26" i="2"/>
  <c r="E22" i="2"/>
  <c r="E23" i="2"/>
  <c r="D23" i="2"/>
  <c r="D24" i="2"/>
  <c r="D25" i="2"/>
  <c r="D26" i="2"/>
  <c r="D22" i="2"/>
  <c r="B23" i="2"/>
  <c r="C23" i="2" s="1"/>
  <c r="B24" i="2"/>
  <c r="C24" i="2" s="1"/>
  <c r="B25" i="2"/>
  <c r="C25" i="2" s="1"/>
  <c r="B26" i="2"/>
  <c r="C26" i="2" s="1"/>
  <c r="B22" i="2"/>
  <c r="E31" i="2"/>
  <c r="E32" i="2"/>
  <c r="E33" i="2"/>
  <c r="E34" i="2"/>
  <c r="E30" i="2"/>
  <c r="F31" i="2"/>
  <c r="F32" i="2"/>
  <c r="F33" i="2"/>
  <c r="F30" i="2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G4" i="3"/>
  <c r="H4" i="3"/>
  <c r="G5" i="3"/>
  <c r="H5" i="3"/>
  <c r="G6" i="3"/>
  <c r="H6" i="3"/>
  <c r="G7" i="3"/>
  <c r="H7" i="3"/>
  <c r="G3" i="3"/>
  <c r="H3" i="3"/>
  <c r="G11" i="3"/>
  <c r="G10" i="3"/>
  <c r="G9" i="3"/>
  <c r="A13" i="2"/>
  <c r="A14" i="2"/>
  <c r="A15" i="2"/>
  <c r="A16" i="2"/>
  <c r="A17" i="2"/>
  <c r="G25" i="2" l="1"/>
  <c r="G22" i="2"/>
  <c r="C22" i="2"/>
  <c r="G23" i="2"/>
  <c r="G26" i="2" l="1"/>
  <c r="G24" i="2"/>
</calcChain>
</file>

<file path=xl/sharedStrings.xml><?xml version="1.0" encoding="utf-8"?>
<sst xmlns="http://schemas.openxmlformats.org/spreadsheetml/2006/main" count="67" uniqueCount="51">
  <si>
    <t>CAPEX</t>
  </si>
  <si>
    <t>OPEX</t>
  </si>
  <si>
    <t>TOTAL COST</t>
  </si>
  <si>
    <t>TO EUAW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</si>
  <si>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</si>
  <si>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</si>
  <si>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Beef</t>
  </si>
  <si>
    <t>Dairy</t>
  </si>
  <si>
    <t>Goat</t>
  </si>
  <si>
    <t>Pork</t>
  </si>
  <si>
    <t>Poultry</t>
  </si>
  <si>
    <t/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</si>
  <si>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</si>
  <si>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</si>
  <si>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</si>
  <si>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</si>
  <si>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</si>
  <si>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tons feedstock/hr</t>
  </si>
  <si>
    <t>beef biooil yield</t>
  </si>
  <si>
    <t>dairy biooil yield</t>
  </si>
  <si>
    <t>goat biooil yield</t>
  </si>
  <si>
    <t>pork biooil yield</t>
  </si>
  <si>
    <t>poultry biooil yield</t>
  </si>
  <si>
    <t>Avoided C</t>
  </si>
  <si>
    <t>Sequestered C</t>
  </si>
  <si>
    <t>Manure Supply</t>
  </si>
  <si>
    <t>Woolf, D., Amonette, J. E., Street-Perrott, F. A., Lehmann, J. &amp; Joseph, S. Sustainable biochar to mitigate global climate change. Nat Commun 1, 56 (2010).</t>
  </si>
  <si>
    <t>same as beef/dairy</t>
  </si>
  <si>
    <t>Unit cost  ($1975/kg)</t>
  </si>
  <si>
    <t>B_max</t>
  </si>
  <si>
    <t>k1</t>
  </si>
  <si>
    <t>k2</t>
  </si>
  <si>
    <t>t0</t>
  </si>
  <si>
    <t>Year</t>
  </si>
  <si>
    <t>Time Period</t>
  </si>
  <si>
    <t>(4 years from 2024)</t>
  </si>
  <si>
    <t>Sequestered C Ratio (Mg C/Mg Manure)</t>
  </si>
  <si>
    <t>TEA</t>
  </si>
  <si>
    <t>Parameter</t>
  </si>
  <si>
    <t>Name</t>
  </si>
  <si>
    <t>availability</t>
  </si>
  <si>
    <t>days per year</t>
  </si>
  <si>
    <t>hours per day</t>
  </si>
  <si>
    <t>project lifetime (years)</t>
  </si>
  <si>
    <t>Pre-treatment plant cost (2007$)</t>
  </si>
  <si>
    <t>Pyrolysis plant cost (2007$)</t>
  </si>
  <si>
    <t>1975$/2007$</t>
  </si>
  <si>
    <t>yearly opex costs as fraction of capex costs</t>
  </si>
  <si>
    <r>
      <t xml:space="preserve">McCarl, B.A., Peacocke, C., Chrisman, R., Kung, C.C. and Sands, R.D., 2012. Economics of biochar production, utilization and greenhouse gas offsets. In </t>
    </r>
    <r>
      <rPr>
        <i/>
        <sz val="11"/>
        <color theme="1"/>
        <rFont val="Calibri"/>
        <family val="2"/>
        <scheme val="minor"/>
      </rPr>
      <t>Biochar for environmental management</t>
    </r>
    <r>
      <rPr>
        <sz val="11"/>
        <color theme="1"/>
        <rFont val="Calibri"/>
        <family val="2"/>
        <scheme val="minor"/>
      </rPr>
      <t xml:space="preserve"> (pp. 373-390). Routledge.</t>
    </r>
  </si>
  <si>
    <t>interest rate</t>
  </si>
  <si>
    <t>Production estimates (kg 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</si>
</sst>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0_);[Red]\(&quot;$&quot;#,##0.0000\)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29AC-139E-41F1-AA79-F61EE8EC5D09}">
  <dimension ref="A1:I34"/>
  <sheetViews>
    <sheetView tabSelected="1" workbookViewId="0">
      <selection activeCell="J21" sqref="J21"/>
    </sheetView>
  </sheetViews>
  <sheetFormatPr defaultRowHeight="15" x14ac:dyDescent="0.25"/>
  <cols>
    <col min="1" max="1" width="11.140625" bestFit="1" customWidth="1"/>
    <col min="2" max="2" width="14.28515625" bestFit="1" customWidth="1"/>
    <col min="3" max="3" width="12.5703125" bestFit="1" customWidth="1"/>
    <col min="4" max="4" width="14.42578125" bestFit="1" customWidth="1"/>
    <col min="5" max="5" width="17.28515625" bestFit="1" customWidth="1"/>
    <col min="6" max="6" width="12.5703125" bestFit="1" customWidth="1"/>
    <col min="9" max="9" width="9.5703125" bestFit="1" customWidth="1"/>
  </cols>
  <sheetData>
    <row r="1" spans="1:3" x14ac:dyDescent="0.25">
      <c r="A1" t="s">
        <v>37</v>
      </c>
    </row>
    <row r="2" spans="1:3" x14ac:dyDescent="0.25">
      <c r="A2" t="s">
        <v>38</v>
      </c>
      <c r="B2" t="s">
        <v>39</v>
      </c>
    </row>
    <row r="3" spans="1:3" x14ac:dyDescent="0.25">
      <c r="A3">
        <v>10</v>
      </c>
      <c r="B3" t="s">
        <v>17</v>
      </c>
      <c r="C3" t="s">
        <v>48</v>
      </c>
    </row>
    <row r="4" spans="1:3" x14ac:dyDescent="0.25">
      <c r="A4" s="1">
        <v>0.8</v>
      </c>
      <c r="B4" t="s">
        <v>40</v>
      </c>
      <c r="C4" t="s">
        <v>48</v>
      </c>
    </row>
    <row r="5" spans="1:3" x14ac:dyDescent="0.25">
      <c r="A5" s="3">
        <v>20</v>
      </c>
      <c r="B5" t="s">
        <v>43</v>
      </c>
      <c r="C5" t="s">
        <v>48</v>
      </c>
    </row>
    <row r="6" spans="1:3" x14ac:dyDescent="0.25">
      <c r="A6">
        <v>365</v>
      </c>
      <c r="B6" t="s">
        <v>41</v>
      </c>
      <c r="C6" t="s">
        <v>12</v>
      </c>
    </row>
    <row r="7" spans="1:3" x14ac:dyDescent="0.25">
      <c r="A7">
        <v>24</v>
      </c>
      <c r="B7" t="s">
        <v>42</v>
      </c>
    </row>
    <row r="8" spans="1:3" x14ac:dyDescent="0.25">
      <c r="A8">
        <v>3600000</v>
      </c>
      <c r="B8" t="s">
        <v>44</v>
      </c>
      <c r="C8" t="s">
        <v>48</v>
      </c>
    </row>
    <row r="9" spans="1:3" x14ac:dyDescent="0.25">
      <c r="A9">
        <v>10600000</v>
      </c>
      <c r="B9" t="s">
        <v>45</v>
      </c>
      <c r="C9" t="s">
        <v>48</v>
      </c>
    </row>
    <row r="10" spans="1:3" x14ac:dyDescent="0.25">
      <c r="A10">
        <v>0.26</v>
      </c>
      <c r="B10" t="s">
        <v>46</v>
      </c>
    </row>
    <row r="11" spans="1:3" x14ac:dyDescent="0.25">
      <c r="A11" s="1">
        <v>0.12</v>
      </c>
      <c r="B11" t="s">
        <v>49</v>
      </c>
    </row>
    <row r="12" spans="1:3" x14ac:dyDescent="0.25">
      <c r="A12" s="1">
        <v>0.09</v>
      </c>
      <c r="B12" t="s">
        <v>47</v>
      </c>
      <c r="C12" t="s">
        <v>5</v>
      </c>
    </row>
    <row r="13" spans="1:3" x14ac:dyDescent="0.25">
      <c r="A13" s="1">
        <f>1/2.1815</f>
        <v>0.45840018336007332</v>
      </c>
      <c r="B13" t="s">
        <v>18</v>
      </c>
      <c r="C13" t="s">
        <v>13</v>
      </c>
    </row>
    <row r="14" spans="1:3" x14ac:dyDescent="0.25">
      <c r="A14" s="2">
        <f>1/2.1052</f>
        <v>0.47501425042751283</v>
      </c>
      <c r="B14" t="s">
        <v>19</v>
      </c>
      <c r="C14" t="s">
        <v>14</v>
      </c>
    </row>
    <row r="15" spans="1:3" x14ac:dyDescent="0.25">
      <c r="A15" s="2">
        <f>1/2.055</f>
        <v>0.48661800486618001</v>
      </c>
      <c r="B15" t="s">
        <v>20</v>
      </c>
      <c r="C15" t="s">
        <v>15</v>
      </c>
    </row>
    <row r="16" spans="1:3" x14ac:dyDescent="0.25">
      <c r="A16" s="2">
        <f>1/2.136</f>
        <v>0.46816479400749061</v>
      </c>
      <c r="B16" t="s">
        <v>21</v>
      </c>
      <c r="C16" t="s">
        <v>15</v>
      </c>
    </row>
    <row r="17" spans="1:9" x14ac:dyDescent="0.25">
      <c r="A17" s="1">
        <f>1/2.1276</f>
        <v>0.47001316036849028</v>
      </c>
      <c r="B17" t="s">
        <v>22</v>
      </c>
      <c r="C17" t="s">
        <v>16</v>
      </c>
    </row>
    <row r="18" spans="1:9" x14ac:dyDescent="0.25">
      <c r="A18" s="3">
        <v>1000</v>
      </c>
      <c r="B18" t="s">
        <v>4</v>
      </c>
    </row>
    <row r="19" spans="1:9" x14ac:dyDescent="0.25">
      <c r="A19" s="3"/>
    </row>
    <row r="21" spans="1:9" x14ac:dyDescent="0.25">
      <c r="B21" t="s">
        <v>0</v>
      </c>
      <c r="C21" t="s">
        <v>1</v>
      </c>
      <c r="D21" t="s">
        <v>2</v>
      </c>
      <c r="E21" t="s">
        <v>3</v>
      </c>
      <c r="F21" t="s">
        <v>50</v>
      </c>
      <c r="G21" t="s">
        <v>28</v>
      </c>
    </row>
    <row r="22" spans="1:9" x14ac:dyDescent="0.25">
      <c r="A22" t="s">
        <v>6</v>
      </c>
      <c r="B22" s="10">
        <f>(A$8+A$9)*A$10</f>
        <v>3692000</v>
      </c>
      <c r="C22" s="10">
        <f>0.09*B22</f>
        <v>332280</v>
      </c>
      <c r="D22" s="4">
        <f>-PV(A$11,A$5,C22)+B22</f>
        <v>6173946.7274915744</v>
      </c>
      <c r="E22" s="4">
        <f>-PMT(A$11,A$5,D22)</f>
        <v>826560.45590642723</v>
      </c>
      <c r="F22">
        <f>A$3*A$4*A$6*A$7*A13*A$18</f>
        <v>32124684.849873938</v>
      </c>
      <c r="G22" s="5">
        <f>E22/F22</f>
        <v>2.5729760767121451E-2</v>
      </c>
      <c r="I22" s="8"/>
    </row>
    <row r="23" spans="1:9" x14ac:dyDescent="0.25">
      <c r="A23" t="s">
        <v>7</v>
      </c>
      <c r="B23" s="10">
        <f t="shared" ref="B23:B26" si="0">(A$8+A$9)*A$10</f>
        <v>3692000</v>
      </c>
      <c r="C23" s="10">
        <f t="shared" ref="C23:C26" si="1">0.09*B23</f>
        <v>332280</v>
      </c>
      <c r="D23" s="4">
        <f t="shared" ref="D23:D26" si="2">-PV(A$11,A$5,C23)+B23</f>
        <v>6173946.7274915744</v>
      </c>
      <c r="E23" s="4">
        <f>-PMT(A$11,A$5,D23)</f>
        <v>826560.45590642723</v>
      </c>
      <c r="F23">
        <f>A$3*A$4*A$6*A$7*A14*A$18</f>
        <v>33288998.6699601</v>
      </c>
      <c r="G23" s="5">
        <f>E23/F23</f>
        <v>2.4829838352942502E-2</v>
      </c>
      <c r="I23" s="8"/>
    </row>
    <row r="24" spans="1:9" x14ac:dyDescent="0.25">
      <c r="A24" t="s">
        <v>8</v>
      </c>
      <c r="B24" s="10">
        <f t="shared" si="0"/>
        <v>3692000</v>
      </c>
      <c r="C24" s="10">
        <f t="shared" si="1"/>
        <v>332280</v>
      </c>
      <c r="D24" s="4">
        <f t="shared" si="2"/>
        <v>6173946.7274915744</v>
      </c>
      <c r="E24" s="4">
        <f t="shared" ref="E24:E26" si="3">-PMT(A$11,A$5,D24)</f>
        <v>826560.45590642723</v>
      </c>
      <c r="F24">
        <f t="shared" ref="F24:F26" si="4">A$3*A$4*A$6*A$7*A15*A$18</f>
        <v>34102189.781021893</v>
      </c>
      <c r="G24" s="5">
        <f>E24/F24</f>
        <v>2.4237753094858851E-2</v>
      </c>
      <c r="I24" s="8"/>
    </row>
    <row r="25" spans="1:9" x14ac:dyDescent="0.25">
      <c r="A25" t="s">
        <v>9</v>
      </c>
      <c r="B25" s="10">
        <f t="shared" si="0"/>
        <v>3692000</v>
      </c>
      <c r="C25" s="10">
        <f t="shared" si="1"/>
        <v>332280</v>
      </c>
      <c r="D25" s="4">
        <f t="shared" si="2"/>
        <v>6173946.7274915744</v>
      </c>
      <c r="E25" s="4">
        <f t="shared" si="3"/>
        <v>826560.45590642723</v>
      </c>
      <c r="F25">
        <f t="shared" si="4"/>
        <v>32808988.764044944</v>
      </c>
      <c r="G25" s="5">
        <f>E25/F25</f>
        <v>2.519310978618905E-2</v>
      </c>
      <c r="I25" s="8"/>
    </row>
    <row r="26" spans="1:9" x14ac:dyDescent="0.25">
      <c r="A26" t="s">
        <v>10</v>
      </c>
      <c r="B26" s="10">
        <f t="shared" si="0"/>
        <v>3692000</v>
      </c>
      <c r="C26" s="10">
        <f t="shared" si="1"/>
        <v>332280</v>
      </c>
      <c r="D26" s="4">
        <f t="shared" si="2"/>
        <v>6173946.7274915744</v>
      </c>
      <c r="E26" s="4">
        <f t="shared" si="3"/>
        <v>826560.45590642723</v>
      </c>
      <c r="F26">
        <f t="shared" si="4"/>
        <v>32938522.278623801</v>
      </c>
      <c r="G26" s="5">
        <f>E26/F26</f>
        <v>2.5094035758939991E-2</v>
      </c>
      <c r="I26" s="8"/>
    </row>
    <row r="27" spans="1:9" x14ac:dyDescent="0.25">
      <c r="A27" s="6" t="s">
        <v>11</v>
      </c>
    </row>
    <row r="29" spans="1:9" x14ac:dyDescent="0.25">
      <c r="B29" t="s">
        <v>23</v>
      </c>
      <c r="C29" t="s">
        <v>24</v>
      </c>
      <c r="D29" t="s">
        <v>25</v>
      </c>
      <c r="E29" t="s">
        <v>23</v>
      </c>
      <c r="F29" t="s">
        <v>36</v>
      </c>
      <c r="G29" t="s">
        <v>26</v>
      </c>
    </row>
    <row r="30" spans="1:9" x14ac:dyDescent="0.25">
      <c r="A30" t="s">
        <v>10</v>
      </c>
      <c r="B30" s="7">
        <v>1630000000</v>
      </c>
      <c r="C30" s="7">
        <v>1230000000</v>
      </c>
      <c r="D30">
        <v>94</v>
      </c>
      <c r="E30" s="9">
        <f>(B30)/(D30*1000000*100)</f>
        <v>0.17340425531914894</v>
      </c>
      <c r="F30" s="9">
        <f>(C30)/(D30*1000000*100)</f>
        <v>0.13085106382978723</v>
      </c>
    </row>
    <row r="31" spans="1:9" x14ac:dyDescent="0.25">
      <c r="A31" t="s">
        <v>9</v>
      </c>
      <c r="B31" s="7">
        <v>2760000000</v>
      </c>
      <c r="C31" s="7">
        <v>901000000</v>
      </c>
      <c r="D31">
        <v>63</v>
      </c>
      <c r="E31" s="9">
        <f t="shared" ref="E31:E34" si="5">(B31)/(D31*1000000*100)</f>
        <v>0.43809523809523809</v>
      </c>
      <c r="F31" s="9">
        <f t="shared" ref="F31:F33" si="6">(C31)/(D31*1000000*100)</f>
        <v>0.14301587301587301</v>
      </c>
    </row>
    <row r="32" spans="1:9" x14ac:dyDescent="0.25">
      <c r="A32" t="s">
        <v>6</v>
      </c>
      <c r="B32" s="7">
        <v>4700000000</v>
      </c>
      <c r="C32" s="7">
        <v>3330000000</v>
      </c>
      <c r="D32">
        <v>294</v>
      </c>
      <c r="E32" s="9">
        <f t="shared" si="5"/>
        <v>0.1598639455782313</v>
      </c>
      <c r="F32" s="9">
        <f t="shared" si="6"/>
        <v>0.11326530612244898</v>
      </c>
    </row>
    <row r="33" spans="1:6" x14ac:dyDescent="0.25">
      <c r="A33" t="s">
        <v>7</v>
      </c>
      <c r="B33" s="7">
        <v>4700000000</v>
      </c>
      <c r="C33" s="7">
        <v>3330000000</v>
      </c>
      <c r="D33">
        <v>294</v>
      </c>
      <c r="E33" s="9">
        <f t="shared" si="5"/>
        <v>0.1598639455782313</v>
      </c>
      <c r="F33" s="9">
        <f t="shared" si="6"/>
        <v>0.11326530612244898</v>
      </c>
    </row>
    <row r="34" spans="1:6" x14ac:dyDescent="0.25">
      <c r="A34" t="s">
        <v>8</v>
      </c>
      <c r="B34" t="s">
        <v>27</v>
      </c>
      <c r="E34" s="3" t="e">
        <f t="shared" si="5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86C2-819E-40A3-BDA6-AECDD5B5B57C}">
  <dimension ref="A1:Y11"/>
  <sheetViews>
    <sheetView workbookViewId="0">
      <selection activeCell="N15" sqref="N15"/>
    </sheetView>
  </sheetViews>
  <sheetFormatPr defaultRowHeight="15" x14ac:dyDescent="0.25"/>
  <sheetData>
    <row r="1" spans="1:25" x14ac:dyDescent="0.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>
        <v>1975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2055</v>
      </c>
      <c r="Q1">
        <v>2060</v>
      </c>
      <c r="R1">
        <v>2065</v>
      </c>
      <c r="S1">
        <v>2070</v>
      </c>
      <c r="T1">
        <v>2075</v>
      </c>
      <c r="U1">
        <v>2080</v>
      </c>
      <c r="V1">
        <v>2085</v>
      </c>
      <c r="W1">
        <v>2090</v>
      </c>
      <c r="X1">
        <v>2095</v>
      </c>
      <c r="Y1">
        <v>2100</v>
      </c>
    </row>
    <row r="2" spans="1:25" x14ac:dyDescent="0.25">
      <c r="E2" t="s">
        <v>35</v>
      </c>
      <c r="F2" t="s">
        <v>34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</row>
    <row r="3" spans="1:25" x14ac:dyDescent="0.25">
      <c r="A3" t="s">
        <v>6</v>
      </c>
      <c r="B3">
        <v>2.589</v>
      </c>
      <c r="C3">
        <v>11</v>
      </c>
      <c r="D3">
        <v>0.25</v>
      </c>
      <c r="E3">
        <v>2028</v>
      </c>
      <c r="G3">
        <f>IF($B3*EXP(-$C3*EXP(-$D3*(G$1-$E3))) &lt; 0.001, 0, $B3*EXP(-$C3*EXP(-$D3*(G$1-$E3))))</f>
        <v>0</v>
      </c>
      <c r="H3">
        <f>IF($B3*EXP(-$C3*EXP(-$D3*(H$1-$E3))) &lt; 0.001, 0, $B3*EXP(-$C3*EXP(-$D3*(H$1-$E3))))</f>
        <v>0</v>
      </c>
      <c r="I3">
        <f t="shared" ref="I3:Y7" si="0">IF($B3*EXP(-$C3*EXP(-$D3*(I$1-$E3))) &lt; 0.001, 0, $B3*EXP(-$C3*EXP(-$D3*(I$1-$E3))))</f>
        <v>0</v>
      </c>
      <c r="J3">
        <f t="shared" si="0"/>
        <v>0</v>
      </c>
      <c r="K3">
        <f t="shared" si="0"/>
        <v>3.2778565663512398E-3</v>
      </c>
      <c r="L3">
        <f t="shared" si="0"/>
        <v>0.38280036068115975</v>
      </c>
      <c r="M3">
        <f t="shared" si="0"/>
        <v>1.4972258294302512</v>
      </c>
      <c r="N3">
        <f t="shared" si="0"/>
        <v>2.2130355558960431</v>
      </c>
      <c r="O3">
        <f t="shared" si="0"/>
        <v>2.4751901341438214</v>
      </c>
      <c r="P3">
        <f t="shared" si="0"/>
        <v>2.5558683398063873</v>
      </c>
      <c r="Q3">
        <f t="shared" si="0"/>
        <v>2.579463965049178</v>
      </c>
      <c r="R3">
        <f t="shared" si="0"/>
        <v>2.586264282654485</v>
      </c>
      <c r="S3">
        <f t="shared" si="0"/>
        <v>2.5882159082160339</v>
      </c>
      <c r="T3">
        <f t="shared" si="0"/>
        <v>2.5887753296671216</v>
      </c>
      <c r="U3">
        <f t="shared" si="0"/>
        <v>2.5889356288790717</v>
      </c>
      <c r="V3">
        <f t="shared" si="0"/>
        <v>2.5889815572014876</v>
      </c>
      <c r="W3">
        <f t="shared" si="0"/>
        <v>2.5889947160363307</v>
      </c>
      <c r="X3">
        <f t="shared" si="0"/>
        <v>2.5889984861179602</v>
      </c>
      <c r="Y3">
        <f t="shared" si="0"/>
        <v>2.5889995662654433</v>
      </c>
    </row>
    <row r="4" spans="1:25" x14ac:dyDescent="0.25">
      <c r="A4" t="s">
        <v>7</v>
      </c>
      <c r="B4">
        <v>0.453592</v>
      </c>
      <c r="C4">
        <v>11</v>
      </c>
      <c r="D4">
        <v>0.25</v>
      </c>
      <c r="E4">
        <v>2028</v>
      </c>
      <c r="G4">
        <f t="shared" ref="G4:V7" si="1">IF($B4*EXP(-$C4*EXP(-$D4*(G$1-$E4))) &lt; 0.001, 0, $B4*EXP(-$C4*EXP(-$D4*(G$1-$E4))))</f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6.7066504906175592E-2</v>
      </c>
      <c r="M4">
        <f t="shared" si="1"/>
        <v>0.26231350267397702</v>
      </c>
      <c r="N4">
        <f t="shared" si="1"/>
        <v>0.3877231455658548</v>
      </c>
      <c r="O4">
        <f t="shared" si="1"/>
        <v>0.43365254666920211</v>
      </c>
      <c r="P4">
        <f t="shared" si="1"/>
        <v>0.44778734337174925</v>
      </c>
      <c r="Q4">
        <f t="shared" si="1"/>
        <v>0.45192128962324707</v>
      </c>
      <c r="R4">
        <f t="shared" si="1"/>
        <v>0.45311270316640134</v>
      </c>
      <c r="S4">
        <f t="shared" si="1"/>
        <v>0.4534546273617332</v>
      </c>
      <c r="T4">
        <f t="shared" si="1"/>
        <v>0.45355263782710281</v>
      </c>
      <c r="U4">
        <f t="shared" si="1"/>
        <v>0.45358072219950402</v>
      </c>
      <c r="V4">
        <f t="shared" si="1"/>
        <v>0.4535887688273994</v>
      </c>
      <c r="W4">
        <f t="shared" si="0"/>
        <v>0.45359107425119788</v>
      </c>
      <c r="X4">
        <f t="shared" si="0"/>
        <v>0.45359173476833436</v>
      </c>
      <c r="Y4">
        <f t="shared" si="0"/>
        <v>0.45359192400983966</v>
      </c>
    </row>
    <row r="5" spans="1:25" x14ac:dyDescent="0.25">
      <c r="A5" t="s">
        <v>8</v>
      </c>
      <c r="B5">
        <v>3.101</v>
      </c>
      <c r="C5">
        <v>11</v>
      </c>
      <c r="D5">
        <v>0.25</v>
      </c>
      <c r="E5">
        <v>2028</v>
      </c>
      <c r="G5">
        <f t="shared" si="1"/>
        <v>0</v>
      </c>
      <c r="H5">
        <f t="shared" si="1"/>
        <v>0</v>
      </c>
      <c r="I5">
        <f t="shared" si="0"/>
        <v>0</v>
      </c>
      <c r="J5">
        <f t="shared" si="0"/>
        <v>0</v>
      </c>
      <c r="K5">
        <f t="shared" si="0"/>
        <v>3.9260846706277303E-3</v>
      </c>
      <c r="L5">
        <f t="shared" si="0"/>
        <v>0.45850286538133506</v>
      </c>
      <c r="M5">
        <f t="shared" si="0"/>
        <v>1.7933168393446151</v>
      </c>
      <c r="N5">
        <f t="shared" si="0"/>
        <v>2.6506849203683394</v>
      </c>
      <c r="O5">
        <f t="shared" si="0"/>
        <v>2.9646831232058672</v>
      </c>
      <c r="P5">
        <f t="shared" si="0"/>
        <v>3.0613162308766344</v>
      </c>
      <c r="Q5">
        <f t="shared" si="0"/>
        <v>3.0895781211346081</v>
      </c>
      <c r="R5">
        <f t="shared" si="0"/>
        <v>3.0977232678685045</v>
      </c>
      <c r="S5">
        <f t="shared" si="0"/>
        <v>3.1000608464186636</v>
      </c>
      <c r="T5">
        <f t="shared" si="0"/>
        <v>3.1007308989176305</v>
      </c>
      <c r="U5">
        <f t="shared" si="0"/>
        <v>3.1009228988621094</v>
      </c>
      <c r="V5">
        <f t="shared" si="0"/>
        <v>3.1009779099582127</v>
      </c>
      <c r="W5">
        <f t="shared" si="0"/>
        <v>3.1009936710809813</v>
      </c>
      <c r="X5">
        <f t="shared" si="0"/>
        <v>3.1009981867330221</v>
      </c>
      <c r="Y5">
        <f t="shared" si="0"/>
        <v>3.1009994804902044</v>
      </c>
    </row>
    <row r="6" spans="1:25" x14ac:dyDescent="0.25">
      <c r="A6" t="s">
        <v>9</v>
      </c>
      <c r="B6">
        <v>0.30399999999999999</v>
      </c>
      <c r="C6">
        <v>11</v>
      </c>
      <c r="D6">
        <v>0.25</v>
      </c>
      <c r="E6">
        <v>2028</v>
      </c>
      <c r="G6">
        <f t="shared" si="1"/>
        <v>0</v>
      </c>
      <c r="H6">
        <f t="shared" si="1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4.4948362165729075E-2</v>
      </c>
      <c r="M6">
        <f t="shared" si="0"/>
        <v>0.17580403713665366</v>
      </c>
      <c r="N6">
        <f t="shared" si="0"/>
        <v>0.25985431015542571</v>
      </c>
      <c r="O6">
        <f t="shared" si="0"/>
        <v>0.2906364622555897</v>
      </c>
      <c r="P6">
        <f t="shared" si="0"/>
        <v>0.30010968532295934</v>
      </c>
      <c r="Q6">
        <f t="shared" si="0"/>
        <v>0.30288028017572421</v>
      </c>
      <c r="R6">
        <f t="shared" si="0"/>
        <v>0.30367877247082403</v>
      </c>
      <c r="S6">
        <f t="shared" si="0"/>
        <v>0.30390793205781158</v>
      </c>
      <c r="T6">
        <f t="shared" si="0"/>
        <v>0.30397361924248939</v>
      </c>
      <c r="U6">
        <f t="shared" si="0"/>
        <v>0.30399244155242866</v>
      </c>
      <c r="V6">
        <f t="shared" si="0"/>
        <v>0.30399783444930562</v>
      </c>
      <c r="W6">
        <f t="shared" si="0"/>
        <v>0.30399937955776146</v>
      </c>
      <c r="X6">
        <f t="shared" si="0"/>
        <v>0.30399982224019306</v>
      </c>
      <c r="Y6">
        <f t="shared" si="0"/>
        <v>0.30399994907095201</v>
      </c>
    </row>
    <row r="7" spans="1:25" x14ac:dyDescent="0.25">
      <c r="A7" t="s">
        <v>10</v>
      </c>
      <c r="B7">
        <v>1.381</v>
      </c>
      <c r="C7">
        <v>11</v>
      </c>
      <c r="D7">
        <v>0.25</v>
      </c>
      <c r="E7">
        <v>2028</v>
      </c>
      <c r="G7">
        <f t="shared" si="1"/>
        <v>0</v>
      </c>
      <c r="H7">
        <f t="shared" si="1"/>
        <v>0</v>
      </c>
      <c r="I7">
        <f t="shared" si="0"/>
        <v>0</v>
      </c>
      <c r="J7">
        <f t="shared" si="0"/>
        <v>0</v>
      </c>
      <c r="K7">
        <f t="shared" si="0"/>
        <v>1.7484433828238942E-3</v>
      </c>
      <c r="L7">
        <f t="shared" si="0"/>
        <v>0.20418976365418373</v>
      </c>
      <c r="M7">
        <f t="shared" si="0"/>
        <v>0.79863610291354836</v>
      </c>
      <c r="N7">
        <f t="shared" si="0"/>
        <v>1.18045658659422</v>
      </c>
      <c r="O7">
        <f t="shared" si="0"/>
        <v>1.3202926130755572</v>
      </c>
      <c r="P7">
        <f t="shared" si="0"/>
        <v>1.3633272218125225</v>
      </c>
      <c r="Q7">
        <f t="shared" si="0"/>
        <v>1.3759133780351156</v>
      </c>
      <c r="R7">
        <f t="shared" si="0"/>
        <v>1.379540739415158</v>
      </c>
      <c r="S7">
        <f t="shared" si="0"/>
        <v>1.3805817571442034</v>
      </c>
      <c r="T7">
        <f t="shared" si="0"/>
        <v>1.3808801584667034</v>
      </c>
      <c r="U7">
        <f t="shared" si="0"/>
        <v>1.380965663762842</v>
      </c>
      <c r="V7">
        <f t="shared" si="0"/>
        <v>1.380990162416089</v>
      </c>
      <c r="W7">
        <f t="shared" si="0"/>
        <v>1.3809971814778572</v>
      </c>
      <c r="X7">
        <f t="shared" si="0"/>
        <v>1.3809991924792981</v>
      </c>
      <c r="Y7">
        <f t="shared" si="0"/>
        <v>1.3809997686413971</v>
      </c>
    </row>
    <row r="9" spans="1:25" x14ac:dyDescent="0.25">
      <c r="G9">
        <f>-$C3*EXP(-$D3*G$1-$E3)</f>
        <v>0</v>
      </c>
    </row>
    <row r="10" spans="1:25" x14ac:dyDescent="0.25">
      <c r="G10">
        <f>EXP(-$D3*G$1-$E3)</f>
        <v>0</v>
      </c>
    </row>
    <row r="11" spans="1:25" x14ac:dyDescent="0.25">
      <c r="G11">
        <f>-$D3*G$1-$E3</f>
        <v>-2521.75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biochar_land</vt:lpstr>
      <vt:lpstr>gompertz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nathanlikesseverestorms@gmail.com</cp:lastModifiedBy>
  <dcterms:created xsi:type="dcterms:W3CDTF">2015-06-05T18:17:20Z</dcterms:created>
  <dcterms:modified xsi:type="dcterms:W3CDTF">2024-08-06T14:19:07Z</dcterms:modified>
</cp:coreProperties>
</file>