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natha\PycharmProjects\ManurePyrolysisIAM\gcam\input\biochar_land_R\"/>
    </mc:Choice>
  </mc:AlternateContent>
  <xr:revisionPtr revIDLastSave="0" documentId="13_ncr:1_{82BB9963-779B-4828-A10A-CA684D0F9F37}" xr6:coauthVersionLast="47" xr6:coauthVersionMax="47" xr10:uidLastSave="{00000000-0000-0000-0000-000000000000}"/>
  <bookViews>
    <workbookView xWindow="983" yWindow="-98" windowWidth="27915" windowHeight="16395" activeTab="1" xr2:uid="{00000000-000D-0000-FFFF-FFFF00000000}"/>
  </bookViews>
  <sheets>
    <sheet name="pyrolysis-nofert" sheetId="1" r:id="rId1"/>
    <sheet name="biochar_land" sheetId="2" r:id="rId2"/>
    <sheet name="gompertz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2" i="2" l="1"/>
  <c r="F23" i="2"/>
  <c r="F24" i="2"/>
  <c r="F21" i="2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G4" i="3"/>
  <c r="H4" i="3"/>
  <c r="G5" i="3"/>
  <c r="H5" i="3"/>
  <c r="G6" i="3"/>
  <c r="H6" i="3"/>
  <c r="G7" i="3"/>
  <c r="H7" i="3"/>
  <c r="G3" i="3"/>
  <c r="H3" i="3"/>
  <c r="G11" i="3"/>
  <c r="G10" i="3"/>
  <c r="G9" i="3"/>
  <c r="A4" i="2"/>
  <c r="A5" i="2"/>
  <c r="A6" i="2"/>
  <c r="A7" i="2"/>
  <c r="A8" i="2"/>
  <c r="E24" i="2"/>
  <c r="E23" i="2"/>
  <c r="E22" i="2"/>
  <c r="E21" i="2"/>
  <c r="B17" i="2"/>
  <c r="C17" i="2" s="1"/>
  <c r="D17" i="2" s="1"/>
  <c r="E17" i="2" s="1"/>
  <c r="F17" i="2" s="1"/>
  <c r="G16" i="2"/>
  <c r="B16" i="2"/>
  <c r="C16" i="2" s="1"/>
  <c r="D16" i="2" s="1"/>
  <c r="E16" i="2" s="1"/>
  <c r="F16" i="2" s="1"/>
  <c r="H16" i="2" s="1"/>
  <c r="B15" i="2"/>
  <c r="C15" i="2" s="1"/>
  <c r="D15" i="2" s="1"/>
  <c r="E15" i="2" s="1"/>
  <c r="F15" i="2" s="1"/>
  <c r="B14" i="2"/>
  <c r="C14" i="2" s="1"/>
  <c r="D14" i="2" s="1"/>
  <c r="E14" i="2" s="1"/>
  <c r="F14" i="2" s="1"/>
  <c r="G13" i="2"/>
  <c r="B13" i="2"/>
  <c r="C13" i="2" s="1"/>
  <c r="D13" i="2" s="1"/>
  <c r="E13" i="2" s="1"/>
  <c r="F13" i="2" s="1"/>
  <c r="H13" i="2" s="1"/>
  <c r="J15" i="1"/>
  <c r="J16" i="1"/>
  <c r="J17" i="1"/>
  <c r="J18" i="1"/>
  <c r="J14" i="1"/>
  <c r="I14" i="1"/>
  <c r="I15" i="1"/>
  <c r="I16" i="1"/>
  <c r="I17" i="1"/>
  <c r="I18" i="1"/>
  <c r="G14" i="1"/>
  <c r="E23" i="1"/>
  <c r="E24" i="1"/>
  <c r="E25" i="1"/>
  <c r="E22" i="1"/>
  <c r="F15" i="1"/>
  <c r="F16" i="1"/>
  <c r="F17" i="1"/>
  <c r="F18" i="1"/>
  <c r="F14" i="1"/>
  <c r="E15" i="1"/>
  <c r="E16" i="1"/>
  <c r="E17" i="1"/>
  <c r="E18" i="1"/>
  <c r="E14" i="1"/>
  <c r="D15" i="1"/>
  <c r="D16" i="1"/>
  <c r="D17" i="1"/>
  <c r="D18" i="1"/>
  <c r="D14" i="1"/>
  <c r="C15" i="1"/>
  <c r="C16" i="1"/>
  <c r="C17" i="1"/>
  <c r="C18" i="1"/>
  <c r="C14" i="1"/>
  <c r="G15" i="1"/>
  <c r="H15" i="1" s="1"/>
  <c r="G16" i="1"/>
  <c r="H16" i="1" s="1"/>
  <c r="G17" i="1"/>
  <c r="H17" i="1" s="1"/>
  <c r="G18" i="1"/>
  <c r="H18" i="1" s="1"/>
  <c r="H14" i="1"/>
  <c r="B15" i="1"/>
  <c r="B16" i="1"/>
  <c r="B17" i="1"/>
  <c r="B18" i="1"/>
  <c r="B14" i="1"/>
  <c r="G14" i="2" l="1"/>
  <c r="H14" i="2" s="1"/>
  <c r="G15" i="2"/>
  <c r="H15" i="2" s="1"/>
  <c r="G17" i="2"/>
  <c r="H17" i="2" s="1"/>
</calcChain>
</file>

<file path=xl/sharedStrings.xml><?xml version="1.0" encoding="utf-8"?>
<sst xmlns="http://schemas.openxmlformats.org/spreadsheetml/2006/main" count="99" uniqueCount="47">
  <si>
    <t>hrs/day</t>
  </si>
  <si>
    <t>days/year</t>
  </si>
  <si>
    <t>CAPEX</t>
  </si>
  <si>
    <t>OPEX</t>
  </si>
  <si>
    <t>TOTAL COST</t>
  </si>
  <si>
    <t>CONVERTED COST</t>
  </si>
  <si>
    <t>TO EUAW</t>
  </si>
  <si>
    <t>Production estimates (kg)</t>
  </si>
  <si>
    <t>kg per ton</t>
  </si>
  <si>
    <t>Bora, R. R. et al. Techno-Economic Feasibility and Spatial Analysis of Thermochemical Conversion Pathways for Regional Poultry Waste Valorization. ACS Sustainable Chem. Eng. 8, 5763â5775 (2020).</t>
  </si>
  <si>
    <t>source 1: Bridgwater, A. V., Toft, A. J. &amp; Brammer, J. G. A techno-economic comparison of power production by biomass fast pyrolysis with gasification and combustion. Renewable and Sustainable Energy Reviews 6, 181â246 (2002).</t>
  </si>
  <si>
    <t>Beef</t>
  </si>
  <si>
    <t>Dairy</t>
  </si>
  <si>
    <t>Goat</t>
  </si>
  <si>
    <t>Pork</t>
  </si>
  <si>
    <t>Poultry</t>
  </si>
  <si>
    <t/>
  </si>
  <si>
    <t>Lima, I. M., McAloon, A. &amp; Boateng, A. A. Activated carbon from broiler litter: Process description and cost of production. Biomass and Bioenergy 32, 568â572 (2008).</t>
  </si>
  <si>
    <t>Santos, T. M., Silva, W. R. da, Carregosa, J. de C. &amp; Wisniewski, A. Comprehensive characterization of cattle manure bio-oil for scale-up assessment comparing non-equivalent reactor designs. Journal of Analytical and Applied Pyrolysis 162, 105465 (2022).</t>
  </si>
  <si>
    <t>Atienza-MartÃ­nez, M., Ãbrego, J., Gea, G. &amp; MarÃ­as, F. Pyrolysis of dairy cattle manure: evolution of char characteristics. Journal of Analytical and Applied Pyrolysis 145, 104724 (2020).</t>
  </si>
  <si>
    <t>Poddar, S. &amp; Sarat Chandra Babu, J. Modelling and optimization of a pyrolysis plant using swine and goat manure as feedstock. Renewable Energy 175, 253â269 (2021).</t>
  </si>
  <si>
    <t>Baniasadi, M. et al. Waste to energy valorization of poultry litter by slow pyrolysis. Renewable Energy 90, 458â468 (2016).</t>
  </si>
  <si>
    <t>GJ/kg feedstock</t>
  </si>
  <si>
    <t>tons feedstock/hr</t>
  </si>
  <si>
    <t>Unit cost  ($1975/GJ)</t>
  </si>
  <si>
    <t>beef biooil yield</t>
  </si>
  <si>
    <t>dairy biooil yield</t>
  </si>
  <si>
    <t>goat biooil yield</t>
  </si>
  <si>
    <t>pork biooil yield</t>
  </si>
  <si>
    <t>poultry biooil yield</t>
  </si>
  <si>
    <t>Avoided C</t>
  </si>
  <si>
    <t>Sequestered C</t>
  </si>
  <si>
    <t>Manure Supply</t>
  </si>
  <si>
    <t>Equivalency Ratio (Mg C/Mg DM)</t>
  </si>
  <si>
    <t>Woolf, D., Amonette, J. E., Street-Perrott, F. A., Lehmann, J. &amp; Joseph, S. Sustainable biochar to mitigate global climate change. Nat Commun 1, 56 (2010).</t>
  </si>
  <si>
    <t>Yield (GJ/kg feedstock)</t>
  </si>
  <si>
    <t>Yield (kg/GJ)</t>
  </si>
  <si>
    <t>same as beef/dairy</t>
  </si>
  <si>
    <t>Unit cost  ($1975/kg)</t>
  </si>
  <si>
    <t>B_max</t>
  </si>
  <si>
    <t>k1</t>
  </si>
  <si>
    <t>k2</t>
  </si>
  <si>
    <t>t0</t>
  </si>
  <si>
    <t>Year</t>
  </si>
  <si>
    <t>Time Period</t>
  </si>
  <si>
    <t>(4 years from 2024)</t>
  </si>
  <si>
    <t>Sequestered C Ratio (Mg C/Mg Manure)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</si>
</sst>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164" formatCode="&quot;$&quot;#,##0.0000_);[Red]\(&quot;$&quot;#,##0.0000\)"/>
    <numFmt numFmtId="165" formatCode="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9" fontId="0" fillId="0" borderId="0" xfId="0" applyNumberFormat="1"/>
    <xf numFmtId="10" fontId="0" fillId="0" borderId="0" xfId="0" applyNumberFormat="1"/>
    <xf numFmtId="2" fontId="0" fillId="0" borderId="0" xfId="0" applyNumberFormat="1"/>
    <xf numFmtId="8" fontId="0" fillId="0" borderId="0" xfId="0" applyNumberFormat="1"/>
    <xf numFmtId="164" fontId="0" fillId="0" borderId="0" xfId="0" applyNumberFormat="1"/>
    <xf numFmtId="0" fontId="0" fillId="0" borderId="0" xfId="0" quotePrefix="1"/>
    <xf numFmtId="11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6"/>
  <sheetViews>
    <sheetView workbookViewId="0">
      <selection activeCell="E30" sqref="E30"/>
    </sheetView>
  </sheetViews>
  <sheetFormatPr defaultRowHeight="14.25" x14ac:dyDescent="0.45"/>
  <cols>
    <col min="1" max="1" width="11.1328125" bestFit="1" customWidth="1"/>
    <col min="4" max="4" width="10.86328125" bestFit="1" customWidth="1"/>
    <col min="5" max="5" width="13.59765625" bestFit="1" customWidth="1"/>
    <col min="6" max="6" width="12.59765625" bestFit="1" customWidth="1"/>
    <col min="9" max="9" width="9.59765625" bestFit="1" customWidth="1"/>
  </cols>
  <sheetData>
    <row r="1" spans="1:10" x14ac:dyDescent="0.45">
      <c r="A1">
        <v>3</v>
      </c>
      <c r="B1" t="s">
        <v>23</v>
      </c>
    </row>
    <row r="2" spans="1:10" x14ac:dyDescent="0.45">
      <c r="A2">
        <v>24</v>
      </c>
      <c r="B2" t="s">
        <v>0</v>
      </c>
    </row>
    <row r="3" spans="1:10" x14ac:dyDescent="0.45">
      <c r="A3">
        <v>330</v>
      </c>
      <c r="B3" t="s">
        <v>1</v>
      </c>
      <c r="C3" t="s">
        <v>17</v>
      </c>
    </row>
    <row r="4" spans="1:10" x14ac:dyDescent="0.45">
      <c r="A4" s="1">
        <v>0.31819999999999998</v>
      </c>
      <c r="B4" t="s">
        <v>25</v>
      </c>
      <c r="C4" t="s">
        <v>18</v>
      </c>
    </row>
    <row r="5" spans="1:10" x14ac:dyDescent="0.45">
      <c r="A5" s="2">
        <v>0.35</v>
      </c>
      <c r="B5" t="s">
        <v>26</v>
      </c>
      <c r="C5" t="s">
        <v>19</v>
      </c>
    </row>
    <row r="6" spans="1:10" x14ac:dyDescent="0.45">
      <c r="A6" s="2">
        <v>0.35</v>
      </c>
      <c r="B6" t="s">
        <v>27</v>
      </c>
      <c r="C6" t="s">
        <v>20</v>
      </c>
    </row>
    <row r="7" spans="1:10" x14ac:dyDescent="0.45">
      <c r="A7" s="2">
        <v>0.35</v>
      </c>
      <c r="B7" t="s">
        <v>28</v>
      </c>
      <c r="C7" t="s">
        <v>20</v>
      </c>
    </row>
    <row r="8" spans="1:10" x14ac:dyDescent="0.45">
      <c r="A8" s="1">
        <v>0.26</v>
      </c>
      <c r="B8" t="s">
        <v>29</v>
      </c>
      <c r="C8" t="s">
        <v>21</v>
      </c>
    </row>
    <row r="9" spans="1:10" x14ac:dyDescent="0.45">
      <c r="A9">
        <v>3.8999999999999998E-3</v>
      </c>
      <c r="B9" t="s">
        <v>22</v>
      </c>
      <c r="C9" t="s">
        <v>21</v>
      </c>
    </row>
    <row r="10" spans="1:10" x14ac:dyDescent="0.45">
      <c r="A10" s="3">
        <v>1000</v>
      </c>
      <c r="B10" t="s">
        <v>8</v>
      </c>
    </row>
    <row r="11" spans="1:10" x14ac:dyDescent="0.45">
      <c r="A11" s="3"/>
    </row>
    <row r="12" spans="1:10" x14ac:dyDescent="0.45">
      <c r="B12" t="s">
        <v>10</v>
      </c>
      <c r="C12" t="s">
        <v>9</v>
      </c>
    </row>
    <row r="13" spans="1:10" x14ac:dyDescent="0.45">
      <c r="B13" t="s">
        <v>2</v>
      </c>
      <c r="C13" t="s">
        <v>3</v>
      </c>
      <c r="D13" t="s">
        <v>4</v>
      </c>
      <c r="E13" t="s">
        <v>5</v>
      </c>
      <c r="F13" t="s">
        <v>6</v>
      </c>
      <c r="G13" t="s">
        <v>7</v>
      </c>
      <c r="H13" t="s">
        <v>24</v>
      </c>
      <c r="I13" t="s">
        <v>35</v>
      </c>
      <c r="J13" t="s">
        <v>36</v>
      </c>
    </row>
    <row r="14" spans="1:10" x14ac:dyDescent="0.45">
      <c r="A14" t="s">
        <v>11</v>
      </c>
      <c r="B14">
        <f>40.8*($A$1*1000)^0.6194</f>
        <v>5812.8493587040821</v>
      </c>
      <c r="C14">
        <f>0.09*B14+(1.04*$A$1)^0.475/(1+0.07)</f>
        <v>524.76094203599132</v>
      </c>
      <c r="D14" s="4">
        <f>-PV(7%,30,C14)+B14</f>
        <v>12324.629499924029</v>
      </c>
      <c r="E14" s="4">
        <f>D14*1000/0.9233*0.32</f>
        <v>4271505.9460367039</v>
      </c>
      <c r="F14" s="4">
        <f>-PMT(7%, 30,E14)</f>
        <v>344225.30176742456</v>
      </c>
      <c r="G14">
        <f>A$1*A$2*A$3*A4*A$10</f>
        <v>7560432</v>
      </c>
      <c r="H14" s="5">
        <f>F14/G14</f>
        <v>4.5529845618269504E-2</v>
      </c>
      <c r="I14" s="8">
        <f>A4*$A$9</f>
        <v>1.2409799999999998E-3</v>
      </c>
      <c r="J14">
        <f>1/I14</f>
        <v>805.8147593031315</v>
      </c>
    </row>
    <row r="15" spans="1:10" x14ac:dyDescent="0.45">
      <c r="A15" t="s">
        <v>12</v>
      </c>
      <c r="B15">
        <f>40.8*($A$1*1000)^0.6194</f>
        <v>5812.8493587040821</v>
      </c>
      <c r="C15">
        <f>0.09*B15+(1.04*$A$1)^0.475/(1+0.07)</f>
        <v>524.76094203599132</v>
      </c>
      <c r="D15" s="4">
        <f>-PV(7%,30,C15)+B15</f>
        <v>12324.629499924029</v>
      </c>
      <c r="E15" s="4">
        <f>D15*1000/0.9233*0.32</f>
        <v>4271505.9460367039</v>
      </c>
      <c r="F15" s="4">
        <f>-PMT(7%, 30,E15)</f>
        <v>344225.30176742456</v>
      </c>
      <c r="G15">
        <f>A$1*A$2*A$3*A5*A$10</f>
        <v>8316000</v>
      </c>
      <c r="H15" s="5">
        <f>F15/G15</f>
        <v>4.1393133930666737E-2</v>
      </c>
      <c r="I15" s="8">
        <f t="shared" ref="I15:I18" si="0">A5*$A$9</f>
        <v>1.3649999999999999E-3</v>
      </c>
      <c r="J15">
        <f t="shared" ref="J15:J18" si="1">1/I15</f>
        <v>732.60073260073261</v>
      </c>
    </row>
    <row r="16" spans="1:10" x14ac:dyDescent="0.45">
      <c r="A16" t="s">
        <v>13</v>
      </c>
      <c r="B16">
        <f>40.8*($A$1*1000)^0.6194</f>
        <v>5812.8493587040821</v>
      </c>
      <c r="C16">
        <f>0.09*B16+(1.04*$A$1)^0.475/(1+0.07)</f>
        <v>524.76094203599132</v>
      </c>
      <c r="D16" s="4">
        <f>-PV(7%,30,C16)+B16</f>
        <v>12324.629499924029</v>
      </c>
      <c r="E16" s="4">
        <f>D16*1000/0.9233*0.32</f>
        <v>4271505.9460367039</v>
      </c>
      <c r="F16" s="4">
        <f>-PMT(7%, 30,E16)</f>
        <v>344225.30176742456</v>
      </c>
      <c r="G16">
        <f>A$1*A$2*A$3*A6*A$10</f>
        <v>8316000</v>
      </c>
      <c r="H16" s="5">
        <f>F16/G16</f>
        <v>4.1393133930666737E-2</v>
      </c>
      <c r="I16" s="8">
        <f t="shared" si="0"/>
        <v>1.3649999999999999E-3</v>
      </c>
      <c r="J16">
        <f t="shared" si="1"/>
        <v>732.60073260073261</v>
      </c>
    </row>
    <row r="17" spans="1:10" x14ac:dyDescent="0.45">
      <c r="A17" t="s">
        <v>14</v>
      </c>
      <c r="B17">
        <f>40.8*($A$1*1000)^0.6194</f>
        <v>5812.8493587040821</v>
      </c>
      <c r="C17">
        <f>0.09*B17+(1.04*$A$1)^0.475/(1+0.07)</f>
        <v>524.76094203599132</v>
      </c>
      <c r="D17" s="4">
        <f>-PV(7%,30,C17)+B17</f>
        <v>12324.629499924029</v>
      </c>
      <c r="E17" s="4">
        <f>D17*1000/0.9233*0.32</f>
        <v>4271505.9460367039</v>
      </c>
      <c r="F17" s="4">
        <f>-PMT(7%, 30,E17)</f>
        <v>344225.30176742456</v>
      </c>
      <c r="G17">
        <f>A$1*A$2*A$3*A7*A$10</f>
        <v>8316000</v>
      </c>
      <c r="H17" s="5">
        <f>F17/G17</f>
        <v>4.1393133930666737E-2</v>
      </c>
      <c r="I17" s="8">
        <f t="shared" si="0"/>
        <v>1.3649999999999999E-3</v>
      </c>
      <c r="J17">
        <f t="shared" si="1"/>
        <v>732.60073260073261</v>
      </c>
    </row>
    <row r="18" spans="1:10" x14ac:dyDescent="0.45">
      <c r="A18" t="s">
        <v>15</v>
      </c>
      <c r="B18">
        <f>40.8*($A$1*1000)^0.6194</f>
        <v>5812.8493587040821</v>
      </c>
      <c r="C18">
        <f>0.09*B18+(1.04*$A$1)^0.475/(1+0.07)</f>
        <v>524.76094203599132</v>
      </c>
      <c r="D18" s="4">
        <f>-PV(7%,30,C18)+B18</f>
        <v>12324.629499924029</v>
      </c>
      <c r="E18" s="4">
        <f>D18*1000/0.9233*0.32</f>
        <v>4271505.9460367039</v>
      </c>
      <c r="F18" s="4">
        <f>-PMT(7%, 30,E18)</f>
        <v>344225.30176742456</v>
      </c>
      <c r="G18">
        <f>A$1*A$2*A$3*A8*A$10</f>
        <v>6177600</v>
      </c>
      <c r="H18" s="5">
        <f>F18/G18</f>
        <v>5.5721526445128296E-2</v>
      </c>
      <c r="I18" s="8">
        <f t="shared" si="0"/>
        <v>1.0139999999999999E-3</v>
      </c>
      <c r="J18">
        <f t="shared" si="1"/>
        <v>986.19329388560163</v>
      </c>
    </row>
    <row r="19" spans="1:10" x14ac:dyDescent="0.45">
      <c r="A19" s="6" t="s">
        <v>16</v>
      </c>
    </row>
    <row r="21" spans="1:10" x14ac:dyDescent="0.45">
      <c r="B21" t="s">
        <v>30</v>
      </c>
      <c r="C21" t="s">
        <v>31</v>
      </c>
      <c r="D21" t="s">
        <v>32</v>
      </c>
      <c r="E21" t="s">
        <v>33</v>
      </c>
      <c r="G21" t="s">
        <v>34</v>
      </c>
    </row>
    <row r="22" spans="1:10" x14ac:dyDescent="0.45">
      <c r="A22" t="s">
        <v>15</v>
      </c>
      <c r="B22" s="7">
        <v>1630000000</v>
      </c>
      <c r="C22" s="7">
        <v>1230000000</v>
      </c>
      <c r="D22">
        <v>94</v>
      </c>
      <c r="E22" s="7">
        <f>(B22+C22)/(D22*1000000)</f>
        <v>30.425531914893618</v>
      </c>
    </row>
    <row r="23" spans="1:10" x14ac:dyDescent="0.45">
      <c r="A23" t="s">
        <v>14</v>
      </c>
      <c r="B23" s="7">
        <v>2760000000</v>
      </c>
      <c r="C23" s="7">
        <v>901000000</v>
      </c>
      <c r="D23">
        <v>63</v>
      </c>
      <c r="E23" s="7">
        <f t="shared" ref="E23:E25" si="2">(B23+C23)/(D23*1000000)</f>
        <v>58.111111111111114</v>
      </c>
    </row>
    <row r="24" spans="1:10" x14ac:dyDescent="0.45">
      <c r="A24" t="s">
        <v>11</v>
      </c>
      <c r="B24" s="7">
        <v>4700000000</v>
      </c>
      <c r="C24" s="7">
        <v>3330000000</v>
      </c>
      <c r="D24">
        <v>294</v>
      </c>
      <c r="E24" s="7">
        <f t="shared" si="2"/>
        <v>27.312925170068027</v>
      </c>
    </row>
    <row r="25" spans="1:10" x14ac:dyDescent="0.45">
      <c r="A25" t="s">
        <v>12</v>
      </c>
      <c r="B25" s="7">
        <v>4700000000</v>
      </c>
      <c r="C25" s="7">
        <v>3330000000</v>
      </c>
      <c r="D25">
        <v>294</v>
      </c>
      <c r="E25" s="7">
        <f t="shared" si="2"/>
        <v>27.312925170068027</v>
      </c>
    </row>
    <row r="26" spans="1:10" x14ac:dyDescent="0.45">
      <c r="A26" t="s">
        <v>13</v>
      </c>
      <c r="B26" t="s">
        <v>37</v>
      </c>
      <c r="E26" s="7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229AC-139E-41F1-AA79-F61EE8EC5D09}">
  <dimension ref="A1:I25"/>
  <sheetViews>
    <sheetView tabSelected="1" workbookViewId="0">
      <selection activeCell="F21" sqref="F21:F24"/>
    </sheetView>
  </sheetViews>
  <sheetFormatPr defaultRowHeight="14.25" x14ac:dyDescent="0.45"/>
  <cols>
    <col min="1" max="1" width="11.1328125" bestFit="1" customWidth="1"/>
    <col min="4" max="4" width="10.86328125" bestFit="1" customWidth="1"/>
    <col min="5" max="5" width="13.59765625" bestFit="1" customWidth="1"/>
    <col min="6" max="6" width="12.59765625" bestFit="1" customWidth="1"/>
    <col min="9" max="9" width="9.59765625" bestFit="1" customWidth="1"/>
  </cols>
  <sheetData>
    <row r="1" spans="1:9" x14ac:dyDescent="0.45">
      <c r="A1">
        <v>3</v>
      </c>
      <c r="B1" t="s">
        <v>23</v>
      </c>
    </row>
    <row r="2" spans="1:9" x14ac:dyDescent="0.45">
      <c r="A2">
        <v>24</v>
      </c>
      <c r="B2" t="s">
        <v>0</v>
      </c>
    </row>
    <row r="3" spans="1:9" x14ac:dyDescent="0.45">
      <c r="A3">
        <v>330</v>
      </c>
      <c r="B3" t="s">
        <v>1</v>
      </c>
      <c r="C3" t="s">
        <v>17</v>
      </c>
    </row>
    <row r="4" spans="1:9" x14ac:dyDescent="0.45">
      <c r="A4" s="1">
        <f>1/2.1815</f>
        <v>0.45840018336007332</v>
      </c>
      <c r="B4" t="s">
        <v>25</v>
      </c>
      <c r="C4" t="s">
        <v>18</v>
      </c>
    </row>
    <row r="5" spans="1:9" x14ac:dyDescent="0.45">
      <c r="A5" s="2">
        <f>1/2.1052</f>
        <v>0.47501425042751283</v>
      </c>
      <c r="B5" t="s">
        <v>26</v>
      </c>
      <c r="C5" t="s">
        <v>19</v>
      </c>
    </row>
    <row r="6" spans="1:9" x14ac:dyDescent="0.45">
      <c r="A6" s="2">
        <f>1/2.055</f>
        <v>0.48661800486618001</v>
      </c>
      <c r="B6" t="s">
        <v>27</v>
      </c>
      <c r="C6" t="s">
        <v>20</v>
      </c>
    </row>
    <row r="7" spans="1:9" x14ac:dyDescent="0.45">
      <c r="A7" s="2">
        <f>1/2.136</f>
        <v>0.46816479400749061</v>
      </c>
      <c r="B7" t="s">
        <v>28</v>
      </c>
      <c r="C7" t="s">
        <v>20</v>
      </c>
    </row>
    <row r="8" spans="1:9" x14ac:dyDescent="0.45">
      <c r="A8" s="1">
        <f>1/2.1276</f>
        <v>0.47001316036849028</v>
      </c>
      <c r="B8" t="s">
        <v>29</v>
      </c>
      <c r="C8" t="s">
        <v>21</v>
      </c>
    </row>
    <row r="9" spans="1:9" x14ac:dyDescent="0.45">
      <c r="A9" s="3">
        <v>1000</v>
      </c>
      <c r="B9" t="s">
        <v>8</v>
      </c>
    </row>
    <row r="10" spans="1:9" x14ac:dyDescent="0.45">
      <c r="A10" s="3"/>
    </row>
    <row r="11" spans="1:9" x14ac:dyDescent="0.45">
      <c r="B11" t="s">
        <v>10</v>
      </c>
      <c r="C11" t="s">
        <v>9</v>
      </c>
    </row>
    <row r="12" spans="1:9" x14ac:dyDescent="0.45">
      <c r="B12" t="s">
        <v>2</v>
      </c>
      <c r="C12" t="s">
        <v>3</v>
      </c>
      <c r="D12" t="s">
        <v>4</v>
      </c>
      <c r="E12" t="s">
        <v>5</v>
      </c>
      <c r="F12" t="s">
        <v>6</v>
      </c>
      <c r="G12" t="s">
        <v>7</v>
      </c>
      <c r="H12" t="s">
        <v>38</v>
      </c>
    </row>
    <row r="13" spans="1:9" x14ac:dyDescent="0.45">
      <c r="A13" t="s">
        <v>11</v>
      </c>
      <c r="B13">
        <f>40.8*($A$1*1000)^0.6194</f>
        <v>5812.8493587040821</v>
      </c>
      <c r="C13">
        <f>0.09*B13+(1.04*$A$1)^0.475/(1+0.07)</f>
        <v>524.76094203599132</v>
      </c>
      <c r="D13" s="4">
        <f>-PV(7%,30,C13)+B13</f>
        <v>12324.629499924029</v>
      </c>
      <c r="E13" s="4">
        <f>D13*1000/0.9233*0.32</f>
        <v>4271505.9460367039</v>
      </c>
      <c r="F13" s="4">
        <f>-PMT(7%, 30,E13)</f>
        <v>344225.30176742456</v>
      </c>
      <c r="G13">
        <f>A$1*A$2*A$3*A4*A$9</f>
        <v>10891588.356635341</v>
      </c>
      <c r="H13" s="5">
        <f>F13/G13</f>
        <v>3.1604692584412321E-2</v>
      </c>
      <c r="I13" s="8"/>
    </row>
    <row r="14" spans="1:9" x14ac:dyDescent="0.45">
      <c r="A14" t="s">
        <v>12</v>
      </c>
      <c r="B14">
        <f>40.8*($A$1*1000)^0.6194</f>
        <v>5812.8493587040821</v>
      </c>
      <c r="C14">
        <f>0.09*B14+(1.04*$A$1)^0.475/(1+0.07)</f>
        <v>524.76094203599132</v>
      </c>
      <c r="D14" s="4">
        <f>-PV(7%,30,C14)+B14</f>
        <v>12324.629499924029</v>
      </c>
      <c r="E14" s="4">
        <f>D14*1000/0.9233*0.32</f>
        <v>4271505.9460367039</v>
      </c>
      <c r="F14" s="4">
        <f>-PMT(7%, 30,E14)</f>
        <v>344225.30176742456</v>
      </c>
      <c r="G14">
        <f>A$1*A$2*A$3*A5*A$9</f>
        <v>11286338.590157704</v>
      </c>
      <c r="H14" s="5">
        <f>F14/G14</f>
        <v>3.0499288942793863E-2</v>
      </c>
      <c r="I14" s="8"/>
    </row>
    <row r="15" spans="1:9" x14ac:dyDescent="0.45">
      <c r="A15" t="s">
        <v>13</v>
      </c>
      <c r="B15">
        <f>40.8*($A$1*1000)^0.6194</f>
        <v>5812.8493587040821</v>
      </c>
      <c r="C15">
        <f>0.09*B15+(1.04*$A$1)^0.475/(1+0.07)</f>
        <v>524.76094203599132</v>
      </c>
      <c r="D15" s="4">
        <f>-PV(7%,30,C15)+B15</f>
        <v>12324.629499924029</v>
      </c>
      <c r="E15" s="4">
        <f>D15*1000/0.9233*0.32</f>
        <v>4271505.9460367039</v>
      </c>
      <c r="F15" s="4">
        <f>-PMT(7%, 30,E15)</f>
        <v>344225.30176742456</v>
      </c>
      <c r="G15">
        <f>A$1*A$2*A$3*A6*A$9</f>
        <v>11562043.795620438</v>
      </c>
      <c r="H15" s="5">
        <f>F15/G15</f>
        <v>2.9772011579632048E-2</v>
      </c>
      <c r="I15" s="8"/>
    </row>
    <row r="16" spans="1:9" x14ac:dyDescent="0.45">
      <c r="A16" t="s">
        <v>14</v>
      </c>
      <c r="B16">
        <f>40.8*($A$1*1000)^0.6194</f>
        <v>5812.8493587040821</v>
      </c>
      <c r="C16">
        <f>0.09*B16+(1.04*$A$1)^0.475/(1+0.07)</f>
        <v>524.76094203599132</v>
      </c>
      <c r="D16" s="4">
        <f>-PV(7%,30,C16)+B16</f>
        <v>12324.629499924029</v>
      </c>
      <c r="E16" s="4">
        <f>D16*1000/0.9233*0.32</f>
        <v>4271505.9460367039</v>
      </c>
      <c r="F16" s="4">
        <f>-PMT(7%, 30,E16)</f>
        <v>344225.30176742456</v>
      </c>
      <c r="G16">
        <f>A$1*A$2*A$3*A7*A$9</f>
        <v>11123595.505617978</v>
      </c>
      <c r="H16" s="5">
        <f>F16/G16</f>
        <v>3.094550692656645E-2</v>
      </c>
      <c r="I16" s="8"/>
    </row>
    <row r="17" spans="1:9" x14ac:dyDescent="0.45">
      <c r="A17" t="s">
        <v>15</v>
      </c>
      <c r="B17">
        <f>40.8*($A$1*1000)^0.6194</f>
        <v>5812.8493587040821</v>
      </c>
      <c r="C17">
        <f>0.09*B17+(1.04*$A$1)^0.475/(1+0.07)</f>
        <v>524.76094203599132</v>
      </c>
      <c r="D17" s="4">
        <f>-PV(7%,30,C17)+B17</f>
        <v>12324.629499924029</v>
      </c>
      <c r="E17" s="4">
        <f>D17*1000/0.9233*0.32</f>
        <v>4271505.9460367039</v>
      </c>
      <c r="F17" s="4">
        <f>-PMT(7%, 30,E17)</f>
        <v>344225.30176742456</v>
      </c>
      <c r="G17">
        <f>A$1*A$2*A$3*A8*A$9</f>
        <v>11167512.690355329</v>
      </c>
      <c r="H17" s="5">
        <f>F17/G17</f>
        <v>3.0823811112810292E-2</v>
      </c>
      <c r="I17" s="8"/>
    </row>
    <row r="18" spans="1:9" x14ac:dyDescent="0.45">
      <c r="A18" s="6" t="s">
        <v>16</v>
      </c>
    </row>
    <row r="20" spans="1:9" x14ac:dyDescent="0.45">
      <c r="B20" t="s">
        <v>30</v>
      </c>
      <c r="C20" t="s">
        <v>31</v>
      </c>
      <c r="D20" t="s">
        <v>32</v>
      </c>
      <c r="E20" t="s">
        <v>33</v>
      </c>
      <c r="F20" t="s">
        <v>46</v>
      </c>
      <c r="G20" t="s">
        <v>34</v>
      </c>
    </row>
    <row r="21" spans="1:9" x14ac:dyDescent="0.45">
      <c r="A21" t="s">
        <v>15</v>
      </c>
      <c r="B21" s="7">
        <v>1630000000</v>
      </c>
      <c r="C21" s="7">
        <v>1230000000</v>
      </c>
      <c r="D21">
        <v>94</v>
      </c>
      <c r="E21" s="7">
        <f>(B21+C21)/(D21*1000000)</f>
        <v>30.425531914893618</v>
      </c>
      <c r="F21" s="3">
        <f>(C21)/(D21*1000000*100)</f>
        <v>0.13085106382978723</v>
      </c>
    </row>
    <row r="22" spans="1:9" x14ac:dyDescent="0.45">
      <c r="A22" t="s">
        <v>14</v>
      </c>
      <c r="B22" s="7">
        <v>2760000000</v>
      </c>
      <c r="C22" s="7">
        <v>901000000</v>
      </c>
      <c r="D22">
        <v>63</v>
      </c>
      <c r="E22" s="7">
        <f t="shared" ref="E22:E24" si="0">(B22+C22)/(D22*1000000)</f>
        <v>58.111111111111114</v>
      </c>
      <c r="F22" s="3">
        <f t="shared" ref="F22:F24" si="1">(C22)/(D22*1000000*100)</f>
        <v>0.14301587301587301</v>
      </c>
    </row>
    <row r="23" spans="1:9" x14ac:dyDescent="0.45">
      <c r="A23" t="s">
        <v>11</v>
      </c>
      <c r="B23" s="7">
        <v>4700000000</v>
      </c>
      <c r="C23" s="7">
        <v>3330000000</v>
      </c>
      <c r="D23">
        <v>294</v>
      </c>
      <c r="E23" s="7">
        <f t="shared" si="0"/>
        <v>27.312925170068027</v>
      </c>
      <c r="F23" s="3">
        <f t="shared" si="1"/>
        <v>0.11326530612244898</v>
      </c>
    </row>
    <row r="24" spans="1:9" x14ac:dyDescent="0.45">
      <c r="A24" t="s">
        <v>12</v>
      </c>
      <c r="B24" s="7">
        <v>4700000000</v>
      </c>
      <c r="C24" s="7">
        <v>3330000000</v>
      </c>
      <c r="D24">
        <v>294</v>
      </c>
      <c r="E24" s="7">
        <f t="shared" si="0"/>
        <v>27.312925170068027</v>
      </c>
      <c r="F24" s="3">
        <f t="shared" si="1"/>
        <v>0.11326530612244898</v>
      </c>
    </row>
    <row r="25" spans="1:9" x14ac:dyDescent="0.45">
      <c r="A25" t="s">
        <v>13</v>
      </c>
      <c r="B25" t="s">
        <v>37</v>
      </c>
      <c r="E25" s="7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186C2-819E-40A3-BDA6-AECDD5B5B57C}">
  <dimension ref="A1:Y11"/>
  <sheetViews>
    <sheetView workbookViewId="0">
      <selection activeCell="N15" sqref="N15"/>
    </sheetView>
  </sheetViews>
  <sheetFormatPr defaultRowHeight="14.25" x14ac:dyDescent="0.45"/>
  <sheetData>
    <row r="1" spans="1:25" x14ac:dyDescent="0.45">
      <c r="B1" t="s">
        <v>39</v>
      </c>
      <c r="C1" t="s">
        <v>40</v>
      </c>
      <c r="D1" t="s">
        <v>41</v>
      </c>
      <c r="E1" t="s">
        <v>42</v>
      </c>
      <c r="F1" t="s">
        <v>43</v>
      </c>
      <c r="G1">
        <v>1975</v>
      </c>
      <c r="H1">
        <v>2015</v>
      </c>
      <c r="I1">
        <v>2020</v>
      </c>
      <c r="J1">
        <v>2025</v>
      </c>
      <c r="K1">
        <v>2030</v>
      </c>
      <c r="L1">
        <v>2035</v>
      </c>
      <c r="M1">
        <v>2040</v>
      </c>
      <c r="N1">
        <v>2045</v>
      </c>
      <c r="O1">
        <v>2050</v>
      </c>
      <c r="P1">
        <v>2055</v>
      </c>
      <c r="Q1">
        <v>2060</v>
      </c>
      <c r="R1">
        <v>2065</v>
      </c>
      <c r="S1">
        <v>2070</v>
      </c>
      <c r="T1">
        <v>2075</v>
      </c>
      <c r="U1">
        <v>2080</v>
      </c>
      <c r="V1">
        <v>2085</v>
      </c>
      <c r="W1">
        <v>2090</v>
      </c>
      <c r="X1">
        <v>2095</v>
      </c>
      <c r="Y1">
        <v>2100</v>
      </c>
    </row>
    <row r="2" spans="1:25" x14ac:dyDescent="0.45">
      <c r="E2" t="s">
        <v>45</v>
      </c>
      <c r="F2" t="s">
        <v>44</v>
      </c>
      <c r="G2">
        <v>0</v>
      </c>
      <c r="H2">
        <v>1</v>
      </c>
      <c r="I2">
        <v>2</v>
      </c>
      <c r="J2">
        <v>3</v>
      </c>
      <c r="K2">
        <v>4</v>
      </c>
      <c r="L2">
        <v>5</v>
      </c>
      <c r="M2">
        <v>6</v>
      </c>
      <c r="N2">
        <v>7</v>
      </c>
      <c r="O2">
        <v>8</v>
      </c>
      <c r="P2">
        <v>9</v>
      </c>
      <c r="Q2">
        <v>10</v>
      </c>
      <c r="R2">
        <v>11</v>
      </c>
      <c r="S2">
        <v>12</v>
      </c>
      <c r="T2">
        <v>13</v>
      </c>
      <c r="U2">
        <v>14</v>
      </c>
      <c r="V2">
        <v>15</v>
      </c>
      <c r="W2">
        <v>16</v>
      </c>
      <c r="X2">
        <v>17</v>
      </c>
      <c r="Y2">
        <v>18</v>
      </c>
    </row>
    <row r="3" spans="1:25" x14ac:dyDescent="0.45">
      <c r="A3" t="s">
        <v>11</v>
      </c>
      <c r="B3">
        <v>2.589</v>
      </c>
      <c r="C3">
        <v>11</v>
      </c>
      <c r="D3">
        <v>0.25</v>
      </c>
      <c r="E3">
        <v>2028</v>
      </c>
      <c r="G3">
        <f>IF($B3*EXP(-$C3*EXP(-$D3*(G$1-$E3))) &lt; 0.001, 0, $B3*EXP(-$C3*EXP(-$D3*(G$1-$E3))))</f>
        <v>0</v>
      </c>
      <c r="H3">
        <f>IF($B3*EXP(-$C3*EXP(-$D3*(H$1-$E3))) &lt; 0.001, 0, $B3*EXP(-$C3*EXP(-$D3*(H$1-$E3))))</f>
        <v>0</v>
      </c>
      <c r="I3">
        <f t="shared" ref="I3:Y7" si="0">IF($B3*EXP(-$C3*EXP(-$D3*(I$1-$E3))) &lt; 0.001, 0, $B3*EXP(-$C3*EXP(-$D3*(I$1-$E3))))</f>
        <v>0</v>
      </c>
      <c r="J3">
        <f t="shared" si="0"/>
        <v>0</v>
      </c>
      <c r="K3">
        <f t="shared" si="0"/>
        <v>3.2778565663512398E-3</v>
      </c>
      <c r="L3">
        <f t="shared" si="0"/>
        <v>0.38280036068115975</v>
      </c>
      <c r="M3">
        <f t="shared" si="0"/>
        <v>1.4972258294302512</v>
      </c>
      <c r="N3">
        <f t="shared" si="0"/>
        <v>2.2130355558960431</v>
      </c>
      <c r="O3">
        <f t="shared" si="0"/>
        <v>2.4751901341438214</v>
      </c>
      <c r="P3">
        <f t="shared" si="0"/>
        <v>2.5558683398063873</v>
      </c>
      <c r="Q3">
        <f t="shared" si="0"/>
        <v>2.579463965049178</v>
      </c>
      <c r="R3">
        <f t="shared" si="0"/>
        <v>2.586264282654485</v>
      </c>
      <c r="S3">
        <f t="shared" si="0"/>
        <v>2.5882159082160339</v>
      </c>
      <c r="T3">
        <f t="shared" si="0"/>
        <v>2.5887753296671216</v>
      </c>
      <c r="U3">
        <f t="shared" si="0"/>
        <v>2.5889356288790717</v>
      </c>
      <c r="V3">
        <f t="shared" si="0"/>
        <v>2.5889815572014876</v>
      </c>
      <c r="W3">
        <f t="shared" si="0"/>
        <v>2.5889947160363307</v>
      </c>
      <c r="X3">
        <f t="shared" si="0"/>
        <v>2.5889984861179602</v>
      </c>
      <c r="Y3">
        <f t="shared" si="0"/>
        <v>2.5889995662654433</v>
      </c>
    </row>
    <row r="4" spans="1:25" x14ac:dyDescent="0.45">
      <c r="A4" t="s">
        <v>12</v>
      </c>
      <c r="B4">
        <v>0.453592</v>
      </c>
      <c r="C4">
        <v>11</v>
      </c>
      <c r="D4">
        <v>0.25</v>
      </c>
      <c r="E4">
        <v>2028</v>
      </c>
      <c r="G4">
        <f t="shared" ref="G4:V7" si="1">IF($B4*EXP(-$C4*EXP(-$D4*(G$1-$E4))) &lt; 0.001, 0, $B4*EXP(-$C4*EXP(-$D4*(G$1-$E4))))</f>
        <v>0</v>
      </c>
      <c r="H4">
        <f t="shared" si="1"/>
        <v>0</v>
      </c>
      <c r="I4">
        <f t="shared" si="1"/>
        <v>0</v>
      </c>
      <c r="J4">
        <f t="shared" si="1"/>
        <v>0</v>
      </c>
      <c r="K4">
        <f t="shared" si="1"/>
        <v>0</v>
      </c>
      <c r="L4">
        <f t="shared" si="1"/>
        <v>6.7066504906175592E-2</v>
      </c>
      <c r="M4">
        <f t="shared" si="1"/>
        <v>0.26231350267397702</v>
      </c>
      <c r="N4">
        <f t="shared" si="1"/>
        <v>0.3877231455658548</v>
      </c>
      <c r="O4">
        <f t="shared" si="1"/>
        <v>0.43365254666920211</v>
      </c>
      <c r="P4">
        <f t="shared" si="1"/>
        <v>0.44778734337174925</v>
      </c>
      <c r="Q4">
        <f t="shared" si="1"/>
        <v>0.45192128962324707</v>
      </c>
      <c r="R4">
        <f t="shared" si="1"/>
        <v>0.45311270316640134</v>
      </c>
      <c r="S4">
        <f t="shared" si="1"/>
        <v>0.4534546273617332</v>
      </c>
      <c r="T4">
        <f t="shared" si="1"/>
        <v>0.45355263782710281</v>
      </c>
      <c r="U4">
        <f t="shared" si="1"/>
        <v>0.45358072219950402</v>
      </c>
      <c r="V4">
        <f t="shared" si="1"/>
        <v>0.4535887688273994</v>
      </c>
      <c r="W4">
        <f t="shared" si="0"/>
        <v>0.45359107425119788</v>
      </c>
      <c r="X4">
        <f t="shared" si="0"/>
        <v>0.45359173476833436</v>
      </c>
      <c r="Y4">
        <f t="shared" si="0"/>
        <v>0.45359192400983966</v>
      </c>
    </row>
    <row r="5" spans="1:25" x14ac:dyDescent="0.45">
      <c r="A5" t="s">
        <v>13</v>
      </c>
      <c r="B5">
        <v>3.101</v>
      </c>
      <c r="C5">
        <v>11</v>
      </c>
      <c r="D5">
        <v>0.25</v>
      </c>
      <c r="E5">
        <v>2028</v>
      </c>
      <c r="G5">
        <f t="shared" si="1"/>
        <v>0</v>
      </c>
      <c r="H5">
        <f t="shared" si="1"/>
        <v>0</v>
      </c>
      <c r="I5">
        <f t="shared" si="0"/>
        <v>0</v>
      </c>
      <c r="J5">
        <f t="shared" si="0"/>
        <v>0</v>
      </c>
      <c r="K5">
        <f t="shared" si="0"/>
        <v>3.9260846706277303E-3</v>
      </c>
      <c r="L5">
        <f t="shared" si="0"/>
        <v>0.45850286538133506</v>
      </c>
      <c r="M5">
        <f t="shared" si="0"/>
        <v>1.7933168393446151</v>
      </c>
      <c r="N5">
        <f t="shared" si="0"/>
        <v>2.6506849203683394</v>
      </c>
      <c r="O5">
        <f t="shared" si="0"/>
        <v>2.9646831232058672</v>
      </c>
      <c r="P5">
        <f t="shared" si="0"/>
        <v>3.0613162308766344</v>
      </c>
      <c r="Q5">
        <f t="shared" si="0"/>
        <v>3.0895781211346081</v>
      </c>
      <c r="R5">
        <f t="shared" si="0"/>
        <v>3.0977232678685045</v>
      </c>
      <c r="S5">
        <f t="shared" si="0"/>
        <v>3.1000608464186636</v>
      </c>
      <c r="T5">
        <f t="shared" si="0"/>
        <v>3.1007308989176305</v>
      </c>
      <c r="U5">
        <f t="shared" si="0"/>
        <v>3.1009228988621094</v>
      </c>
      <c r="V5">
        <f t="shared" si="0"/>
        <v>3.1009779099582127</v>
      </c>
      <c r="W5">
        <f t="shared" si="0"/>
        <v>3.1009936710809813</v>
      </c>
      <c r="X5">
        <f t="shared" si="0"/>
        <v>3.1009981867330221</v>
      </c>
      <c r="Y5">
        <f t="shared" si="0"/>
        <v>3.1009994804902044</v>
      </c>
    </row>
    <row r="6" spans="1:25" x14ac:dyDescent="0.45">
      <c r="A6" t="s">
        <v>14</v>
      </c>
      <c r="B6">
        <v>0.30399999999999999</v>
      </c>
      <c r="C6">
        <v>11</v>
      </c>
      <c r="D6">
        <v>0.25</v>
      </c>
      <c r="E6">
        <v>2028</v>
      </c>
      <c r="G6">
        <f t="shared" si="1"/>
        <v>0</v>
      </c>
      <c r="H6">
        <f t="shared" si="1"/>
        <v>0</v>
      </c>
      <c r="I6">
        <f t="shared" si="0"/>
        <v>0</v>
      </c>
      <c r="J6">
        <f t="shared" si="0"/>
        <v>0</v>
      </c>
      <c r="K6">
        <f t="shared" si="0"/>
        <v>0</v>
      </c>
      <c r="L6">
        <f t="shared" si="0"/>
        <v>4.4948362165729075E-2</v>
      </c>
      <c r="M6">
        <f t="shared" si="0"/>
        <v>0.17580403713665366</v>
      </c>
      <c r="N6">
        <f t="shared" si="0"/>
        <v>0.25985431015542571</v>
      </c>
      <c r="O6">
        <f t="shared" si="0"/>
        <v>0.2906364622555897</v>
      </c>
      <c r="P6">
        <f t="shared" si="0"/>
        <v>0.30010968532295934</v>
      </c>
      <c r="Q6">
        <f t="shared" si="0"/>
        <v>0.30288028017572421</v>
      </c>
      <c r="R6">
        <f t="shared" si="0"/>
        <v>0.30367877247082403</v>
      </c>
      <c r="S6">
        <f t="shared" si="0"/>
        <v>0.30390793205781158</v>
      </c>
      <c r="T6">
        <f t="shared" si="0"/>
        <v>0.30397361924248939</v>
      </c>
      <c r="U6">
        <f t="shared" si="0"/>
        <v>0.30399244155242866</v>
      </c>
      <c r="V6">
        <f t="shared" si="0"/>
        <v>0.30399783444930562</v>
      </c>
      <c r="W6">
        <f t="shared" si="0"/>
        <v>0.30399937955776146</v>
      </c>
      <c r="X6">
        <f t="shared" si="0"/>
        <v>0.30399982224019306</v>
      </c>
      <c r="Y6">
        <f t="shared" si="0"/>
        <v>0.30399994907095201</v>
      </c>
    </row>
    <row r="7" spans="1:25" x14ac:dyDescent="0.45">
      <c r="A7" t="s">
        <v>15</v>
      </c>
      <c r="B7">
        <v>1.381</v>
      </c>
      <c r="C7">
        <v>11</v>
      </c>
      <c r="D7">
        <v>0.25</v>
      </c>
      <c r="E7">
        <v>2028</v>
      </c>
      <c r="G7">
        <f t="shared" si="1"/>
        <v>0</v>
      </c>
      <c r="H7">
        <f t="shared" si="1"/>
        <v>0</v>
      </c>
      <c r="I7">
        <f t="shared" si="0"/>
        <v>0</v>
      </c>
      <c r="J7">
        <f t="shared" si="0"/>
        <v>0</v>
      </c>
      <c r="K7">
        <f t="shared" si="0"/>
        <v>1.7484433828238942E-3</v>
      </c>
      <c r="L7">
        <f t="shared" si="0"/>
        <v>0.20418976365418373</v>
      </c>
      <c r="M7">
        <f t="shared" si="0"/>
        <v>0.79863610291354836</v>
      </c>
      <c r="N7">
        <f t="shared" si="0"/>
        <v>1.18045658659422</v>
      </c>
      <c r="O7">
        <f t="shared" si="0"/>
        <v>1.3202926130755572</v>
      </c>
      <c r="P7">
        <f t="shared" si="0"/>
        <v>1.3633272218125225</v>
      </c>
      <c r="Q7">
        <f t="shared" si="0"/>
        <v>1.3759133780351156</v>
      </c>
      <c r="R7">
        <f t="shared" si="0"/>
        <v>1.379540739415158</v>
      </c>
      <c r="S7">
        <f t="shared" si="0"/>
        <v>1.3805817571442034</v>
      </c>
      <c r="T7">
        <f t="shared" si="0"/>
        <v>1.3808801584667034</v>
      </c>
      <c r="U7">
        <f t="shared" si="0"/>
        <v>1.380965663762842</v>
      </c>
      <c r="V7">
        <f t="shared" si="0"/>
        <v>1.380990162416089</v>
      </c>
      <c r="W7">
        <f t="shared" si="0"/>
        <v>1.3809971814778572</v>
      </c>
      <c r="X7">
        <f t="shared" si="0"/>
        <v>1.3809991924792981</v>
      </c>
      <c r="Y7">
        <f t="shared" si="0"/>
        <v>1.3809997686413971</v>
      </c>
    </row>
    <row r="9" spans="1:25" x14ac:dyDescent="0.45">
      <c r="G9">
        <f>-$C3*EXP(-$D3*G$1-$E3)</f>
        <v>0</v>
      </c>
    </row>
    <row r="10" spans="1:25" x14ac:dyDescent="0.45">
      <c r="G10">
        <f>EXP(-$D3*G$1-$E3)</f>
        <v>0</v>
      </c>
    </row>
    <row r="11" spans="1:25" x14ac:dyDescent="0.45">
      <c r="G11">
        <f>-$D3*G$1-$E3</f>
        <v>-2521.75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pyrolysis-nofert</vt:lpstr>
      <vt:lpstr>biochar_land</vt:lpstr>
      <vt:lpstr>gompertz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</dc:creator>
  <cp:lastModifiedBy>Nathan Preuss</cp:lastModifiedBy>
  <dcterms:created xsi:type="dcterms:W3CDTF">2015-06-05T18:17:20Z</dcterms:created>
  <dcterms:modified xsi:type="dcterms:W3CDTF">2024-07-25T14:52:09Z</dcterms:modified>
</cp:coreProperties>
</file>