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atha\PycharmProjects\IAM_test\drawing_figures\gcam-sandbox\input\gcamdata\"/>
    </mc:Choice>
  </mc:AlternateContent>
  <xr:revisionPtr revIDLastSave="0" documentId="13_ncr:1_{4E339F03-78E1-4351-95E5-276E04BC574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pyrolysis-nofert" sheetId="1" r:id="rId1"/>
    <sheet name="biochar_l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E24" i="2"/>
  <c r="E23" i="2"/>
  <c r="E22" i="2"/>
  <c r="E21" i="2"/>
  <c r="B17" i="2"/>
  <c r="C17" i="2" s="1"/>
  <c r="D17" i="2" s="1"/>
  <c r="E17" i="2" s="1"/>
  <c r="F17" i="2" s="1"/>
  <c r="G16" i="2"/>
  <c r="B16" i="2"/>
  <c r="C16" i="2" s="1"/>
  <c r="D16" i="2" s="1"/>
  <c r="E16" i="2" s="1"/>
  <c r="F16" i="2" s="1"/>
  <c r="H16" i="2" s="1"/>
  <c r="B15" i="2"/>
  <c r="C15" i="2" s="1"/>
  <c r="D15" i="2" s="1"/>
  <c r="E15" i="2" s="1"/>
  <c r="F15" i="2" s="1"/>
  <c r="B14" i="2"/>
  <c r="C14" i="2" s="1"/>
  <c r="D14" i="2" s="1"/>
  <c r="E14" i="2" s="1"/>
  <c r="F14" i="2" s="1"/>
  <c r="G13" i="2"/>
  <c r="B13" i="2"/>
  <c r="C13" i="2" s="1"/>
  <c r="D13" i="2" s="1"/>
  <c r="E13" i="2" s="1"/>
  <c r="F13" i="2" s="1"/>
  <c r="H13" i="2" s="1"/>
  <c r="J15" i="1"/>
  <c r="J16" i="1"/>
  <c r="J17" i="1"/>
  <c r="J18" i="1"/>
  <c r="J14" i="1"/>
  <c r="I14" i="1"/>
  <c r="I15" i="1"/>
  <c r="I16" i="1"/>
  <c r="I17" i="1"/>
  <c r="I18" i="1"/>
  <c r="G14" i="1"/>
  <c r="E23" i="1"/>
  <c r="E24" i="1"/>
  <c r="E25" i="1"/>
  <c r="E22" i="1"/>
  <c r="F15" i="1"/>
  <c r="F16" i="1"/>
  <c r="F17" i="1"/>
  <c r="F18" i="1"/>
  <c r="F14" i="1"/>
  <c r="E15" i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  <c r="G15" i="1"/>
  <c r="H15" i="1" s="1"/>
  <c r="G16" i="1"/>
  <c r="H16" i="1" s="1"/>
  <c r="G17" i="1"/>
  <c r="H17" i="1" s="1"/>
  <c r="G18" i="1"/>
  <c r="H18" i="1" s="1"/>
  <c r="H14" i="1"/>
  <c r="B15" i="1"/>
  <c r="B16" i="1"/>
  <c r="B17" i="1"/>
  <c r="B18" i="1"/>
  <c r="B14" i="1"/>
  <c r="G14" i="2" l="1"/>
  <c r="H14" i="2" s="1"/>
  <c r="G15" i="2"/>
  <c r="H15" i="2" s="1"/>
  <c r="G17" i="2"/>
  <c r="H17" i="2" s="1"/>
</calcChain>
</file>

<file path=xl/sharedStrings.xml><?xml version="1.0" encoding="utf-8"?>
<sst xmlns="http://schemas.openxmlformats.org/spreadsheetml/2006/main" count="86" uniqueCount="39">
  <si>
    <t>hrs/day</t>
  </si>
  <si>
    <t>days/year</t>
  </si>
  <si>
    <t>CAPEX</t>
  </si>
  <si>
    <t>OPEX</t>
  </si>
  <si>
    <t>TOTAL COST</t>
  </si>
  <si>
    <t>CONVERTED COST</t>
  </si>
  <si>
    <t>TO EUAW</t>
  </si>
  <si>
    <t>Production estimates (kg)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</si>
  <si>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</si>
  <si>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</si>
  <si>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source 1: Bridgwater, A. V., Toft, A. J. &amp; Brammer, J. G. A techno-economic comparison of power production by biomass fast pyrolysis with gasification and combustion. Renewable and Sustainable Energy Reviews 6, 181â246 (2002).</t>
  </si>
  <si>
    <t>Beef</t>
  </si>
  <si>
    <t>Dairy</t>
  </si>
  <si>
    <t>Goat</t>
  </si>
  <si>
    <t>Pork</t>
  </si>
  <si>
    <t>Poultry</t>
  </si>
  <si>
    <t/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</si>
  <si>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</si>
  <si>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</si>
  <si>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</si>
  <si>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</si>
  <si>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</si>
  <si>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GJ/kg feedstock</t>
  </si>
  <si>
    <t>tons feedstock/hr</t>
  </si>
  <si>
    <t>Unit cost  ($1975/GJ)</t>
  </si>
  <si>
    <t>beef biooil yield</t>
  </si>
  <si>
    <t>dairy biooil yield</t>
  </si>
  <si>
    <t>goat biooil yield</t>
  </si>
  <si>
    <t>pork biooil yield</t>
  </si>
  <si>
    <t>poultry biooil yield</t>
  </si>
  <si>
    <t>Avoided C</t>
  </si>
  <si>
    <t>Sequestered C</t>
  </si>
  <si>
    <t>Manure Supply</t>
  </si>
  <si>
    <t>Equivalency Ratio (Mg C/Mg DM)</t>
  </si>
  <si>
    <t>Woolf, D., Amonette, J. E., Street-Perrott, F. A., Lehmann, J. &amp; Joseph, S. Sustainable biochar to mitigate global climate change. Nat Commun 1, 56 (2010).</t>
  </si>
  <si>
    <t>Yield (GJ/kg feedstock)</t>
  </si>
  <si>
    <t>Yield (kg/GJ)</t>
  </si>
  <si>
    <t>same as beef/dairy</t>
  </si>
  <si>
    <t>Unit cost  ($1975/kg)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</si>
</sst>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00_);[Red]\(&quot;$&quot;#,##0.0000\)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E30" sqref="E30"/>
    </sheetView>
  </sheetViews>
  <sheetFormatPr defaultRowHeight="15" x14ac:dyDescent="0.25"/>
  <cols>
    <col min="1" max="1" width="11.140625" bestFit="1" customWidth="1"/>
    <col min="4" max="4" width="10.85546875" bestFit="1" customWidth="1"/>
    <col min="5" max="5" width="13.5703125" bestFit="1" customWidth="1"/>
    <col min="6" max="6" width="12.5703125" bestFit="1" customWidth="1"/>
    <col min="9" max="9" width="9.5703125" bestFit="1" customWidth="1"/>
  </cols>
  <sheetData>
    <row r="1" spans="1:10" x14ac:dyDescent="0.25">
      <c r="A1">
        <v>3</v>
      </c>
      <c r="B1" t="s">
        <v>23</v>
      </c>
    </row>
    <row r="2" spans="1:10" x14ac:dyDescent="0.25">
      <c r="A2">
        <v>24</v>
      </c>
      <c r="B2" t="s">
        <v>0</v>
      </c>
    </row>
    <row r="3" spans="1:10" x14ac:dyDescent="0.25">
      <c r="A3">
        <v>330</v>
      </c>
      <c r="B3" t="s">
        <v>1</v>
      </c>
      <c r="C3" t="s">
        <v>17</v>
      </c>
    </row>
    <row r="4" spans="1:10" x14ac:dyDescent="0.25">
      <c r="A4" s="1">
        <v>0.31819999999999998</v>
      </c>
      <c r="B4" t="s">
        <v>25</v>
      </c>
      <c r="C4" t="s">
        <v>18</v>
      </c>
    </row>
    <row r="5" spans="1:10" x14ac:dyDescent="0.25">
      <c r="A5" s="2">
        <v>0.35</v>
      </c>
      <c r="B5" t="s">
        <v>26</v>
      </c>
      <c r="C5" t="s">
        <v>19</v>
      </c>
    </row>
    <row r="6" spans="1:10" x14ac:dyDescent="0.25">
      <c r="A6" s="2">
        <v>0.35</v>
      </c>
      <c r="B6" t="s">
        <v>27</v>
      </c>
      <c r="C6" t="s">
        <v>20</v>
      </c>
    </row>
    <row r="7" spans="1:10" x14ac:dyDescent="0.25">
      <c r="A7" s="2">
        <v>0.35</v>
      </c>
      <c r="B7" t="s">
        <v>28</v>
      </c>
      <c r="C7" t="s">
        <v>20</v>
      </c>
    </row>
    <row r="8" spans="1:10" x14ac:dyDescent="0.25">
      <c r="A8" s="1">
        <v>0.26</v>
      </c>
      <c r="B8" t="s">
        <v>29</v>
      </c>
      <c r="C8" t="s">
        <v>21</v>
      </c>
    </row>
    <row r="9" spans="1:10" x14ac:dyDescent="0.25">
      <c r="A9">
        <v>3.8999999999999998E-3</v>
      </c>
      <c r="B9" t="s">
        <v>22</v>
      </c>
      <c r="C9" t="s">
        <v>21</v>
      </c>
    </row>
    <row r="10" spans="1:10" x14ac:dyDescent="0.25">
      <c r="A10" s="3">
        <v>1000</v>
      </c>
      <c r="B10" t="s">
        <v>8</v>
      </c>
    </row>
    <row r="11" spans="1:10" x14ac:dyDescent="0.25">
      <c r="A11" s="3"/>
    </row>
    <row r="12" spans="1:10" x14ac:dyDescent="0.25">
      <c r="B12" t="s">
        <v>10</v>
      </c>
      <c r="C12" t="s">
        <v>9</v>
      </c>
    </row>
    <row r="13" spans="1:10" x14ac:dyDescent="0.25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24</v>
      </c>
      <c r="I13" t="s">
        <v>35</v>
      </c>
      <c r="J13" t="s">
        <v>36</v>
      </c>
    </row>
    <row r="14" spans="1:10" x14ac:dyDescent="0.25">
      <c r="A14" t="s">
        <v>11</v>
      </c>
      <c r="B14">
        <f>40.8*($A$1*1000)^0.6194</f>
        <v>5812.8493587040821</v>
      </c>
      <c r="C14">
        <f>0.09*B14+(1.04*$A$1)^0.475/(1+0.07)</f>
        <v>524.76094203599132</v>
      </c>
      <c r="D14" s="4">
        <f>-PV(7%,30,C14)+B14</f>
        <v>12324.629499924029</v>
      </c>
      <c r="E14" s="4">
        <f>D14*1000/0.9233*0.32</f>
        <v>4271505.9460367039</v>
      </c>
      <c r="F14" s="4">
        <f>-PMT(7%, 30,E14)</f>
        <v>344225.30176742456</v>
      </c>
      <c r="G14">
        <f>A$1*A$2*A$3*A4*A$10</f>
        <v>7560432</v>
      </c>
      <c r="H14" s="5">
        <f>F14/G14</f>
        <v>4.5529845618269504E-2</v>
      </c>
      <c r="I14" s="8">
        <f>A4*$A$9</f>
        <v>1.2409799999999998E-3</v>
      </c>
      <c r="J14">
        <f>1/I14</f>
        <v>805.8147593031315</v>
      </c>
    </row>
    <row r="15" spans="1:10" x14ac:dyDescent="0.25">
      <c r="A15" t="s">
        <v>12</v>
      </c>
      <c r="B15">
        <f>40.8*($A$1*1000)^0.6194</f>
        <v>5812.8493587040821</v>
      </c>
      <c r="C15">
        <f>0.09*B15+(1.04*$A$1)^0.475/(1+0.07)</f>
        <v>524.76094203599132</v>
      </c>
      <c r="D15" s="4">
        <f>-PV(7%,30,C15)+B15</f>
        <v>12324.629499924029</v>
      </c>
      <c r="E15" s="4">
        <f>D15*1000/0.9233*0.32</f>
        <v>4271505.9460367039</v>
      </c>
      <c r="F15" s="4">
        <f>-PMT(7%, 30,E15)</f>
        <v>344225.30176742456</v>
      </c>
      <c r="G15">
        <f>A$1*A$2*A$3*A5*A$10</f>
        <v>8316000</v>
      </c>
      <c r="H15" s="5">
        <f>F15/G15</f>
        <v>4.1393133930666737E-2</v>
      </c>
      <c r="I15" s="8">
        <f t="shared" ref="I15:I18" si="0">A5*$A$9</f>
        <v>1.3649999999999999E-3</v>
      </c>
      <c r="J15">
        <f t="shared" ref="J15:J18" si="1">1/I15</f>
        <v>732.60073260073261</v>
      </c>
    </row>
    <row r="16" spans="1:10" x14ac:dyDescent="0.25">
      <c r="A16" t="s">
        <v>13</v>
      </c>
      <c r="B16">
        <f>40.8*($A$1*1000)^0.6194</f>
        <v>5812.8493587040821</v>
      </c>
      <c r="C16">
        <f>0.09*B16+(1.04*$A$1)^0.475/(1+0.07)</f>
        <v>524.76094203599132</v>
      </c>
      <c r="D16" s="4">
        <f>-PV(7%,30,C16)+B16</f>
        <v>12324.629499924029</v>
      </c>
      <c r="E16" s="4">
        <f>D16*1000/0.9233*0.32</f>
        <v>4271505.9460367039</v>
      </c>
      <c r="F16" s="4">
        <f>-PMT(7%, 30,E16)</f>
        <v>344225.30176742456</v>
      </c>
      <c r="G16">
        <f>A$1*A$2*A$3*A6*A$10</f>
        <v>8316000</v>
      </c>
      <c r="H16" s="5">
        <f>F16/G16</f>
        <v>4.1393133930666737E-2</v>
      </c>
      <c r="I16" s="8">
        <f t="shared" si="0"/>
        <v>1.3649999999999999E-3</v>
      </c>
      <c r="J16">
        <f t="shared" si="1"/>
        <v>732.60073260073261</v>
      </c>
    </row>
    <row r="17" spans="1:10" x14ac:dyDescent="0.25">
      <c r="A17" t="s">
        <v>14</v>
      </c>
      <c r="B17">
        <f>40.8*($A$1*1000)^0.6194</f>
        <v>5812.8493587040821</v>
      </c>
      <c r="C17">
        <f>0.09*B17+(1.04*$A$1)^0.475/(1+0.07)</f>
        <v>524.76094203599132</v>
      </c>
      <c r="D17" s="4">
        <f>-PV(7%,30,C17)+B17</f>
        <v>12324.629499924029</v>
      </c>
      <c r="E17" s="4">
        <f>D17*1000/0.9233*0.32</f>
        <v>4271505.9460367039</v>
      </c>
      <c r="F17" s="4">
        <f>-PMT(7%, 30,E17)</f>
        <v>344225.30176742456</v>
      </c>
      <c r="G17">
        <f>A$1*A$2*A$3*A7*A$10</f>
        <v>8316000</v>
      </c>
      <c r="H17" s="5">
        <f>F17/G17</f>
        <v>4.1393133930666737E-2</v>
      </c>
      <c r="I17" s="8">
        <f t="shared" si="0"/>
        <v>1.3649999999999999E-3</v>
      </c>
      <c r="J17">
        <f t="shared" si="1"/>
        <v>732.60073260073261</v>
      </c>
    </row>
    <row r="18" spans="1:10" x14ac:dyDescent="0.25">
      <c r="A18" t="s">
        <v>15</v>
      </c>
      <c r="B18">
        <f>40.8*($A$1*1000)^0.6194</f>
        <v>5812.8493587040821</v>
      </c>
      <c r="C18">
        <f>0.09*B18+(1.04*$A$1)^0.475/(1+0.07)</f>
        <v>524.76094203599132</v>
      </c>
      <c r="D18" s="4">
        <f>-PV(7%,30,C18)+B18</f>
        <v>12324.629499924029</v>
      </c>
      <c r="E18" s="4">
        <f>D18*1000/0.9233*0.32</f>
        <v>4271505.9460367039</v>
      </c>
      <c r="F18" s="4">
        <f>-PMT(7%, 30,E18)</f>
        <v>344225.30176742456</v>
      </c>
      <c r="G18">
        <f>A$1*A$2*A$3*A8*A$10</f>
        <v>6177600</v>
      </c>
      <c r="H18" s="5">
        <f>F18/G18</f>
        <v>5.5721526445128296E-2</v>
      </c>
      <c r="I18" s="8">
        <f t="shared" si="0"/>
        <v>1.0139999999999999E-3</v>
      </c>
      <c r="J18">
        <f t="shared" si="1"/>
        <v>986.19329388560163</v>
      </c>
    </row>
    <row r="19" spans="1:10" x14ac:dyDescent="0.25">
      <c r="A19" s="6" t="s">
        <v>16</v>
      </c>
    </row>
    <row r="21" spans="1:10" x14ac:dyDescent="0.25">
      <c r="B21" t="s">
        <v>30</v>
      </c>
      <c r="C21" t="s">
        <v>31</v>
      </c>
      <c r="D21" t="s">
        <v>32</v>
      </c>
      <c r="E21" t="s">
        <v>33</v>
      </c>
      <c r="G21" t="s">
        <v>34</v>
      </c>
    </row>
    <row r="22" spans="1:10" x14ac:dyDescent="0.25">
      <c r="A22" t="s">
        <v>15</v>
      </c>
      <c r="B22" s="7">
        <v>1630000000</v>
      </c>
      <c r="C22" s="7">
        <v>1230000000</v>
      </c>
      <c r="D22">
        <v>94</v>
      </c>
      <c r="E22" s="7">
        <f>(B22+C22)/(D22*1000000)</f>
        <v>30.425531914893618</v>
      </c>
    </row>
    <row r="23" spans="1:10" x14ac:dyDescent="0.25">
      <c r="A23" t="s">
        <v>14</v>
      </c>
      <c r="B23" s="7">
        <v>2760000000</v>
      </c>
      <c r="C23" s="7">
        <v>901000000</v>
      </c>
      <c r="D23">
        <v>63</v>
      </c>
      <c r="E23" s="7">
        <f t="shared" ref="E23:E25" si="2">(B23+C23)/(D23*1000000)</f>
        <v>58.111111111111114</v>
      </c>
    </row>
    <row r="24" spans="1:10" x14ac:dyDescent="0.25">
      <c r="A24" t="s">
        <v>11</v>
      </c>
      <c r="B24" s="7">
        <v>4700000000</v>
      </c>
      <c r="C24" s="7">
        <v>3330000000</v>
      </c>
      <c r="D24">
        <v>294</v>
      </c>
      <c r="E24" s="7">
        <f t="shared" si="2"/>
        <v>27.312925170068027</v>
      </c>
    </row>
    <row r="25" spans="1:10" x14ac:dyDescent="0.25">
      <c r="A25" t="s">
        <v>12</v>
      </c>
      <c r="B25" s="7">
        <v>4700000000</v>
      </c>
      <c r="C25" s="7">
        <v>3330000000</v>
      </c>
      <c r="D25">
        <v>294</v>
      </c>
      <c r="E25" s="7">
        <f t="shared" si="2"/>
        <v>27.312925170068027</v>
      </c>
    </row>
    <row r="26" spans="1:10" x14ac:dyDescent="0.25">
      <c r="A26" t="s">
        <v>13</v>
      </c>
      <c r="B26" t="s">
        <v>37</v>
      </c>
      <c r="E2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29AC-139E-41F1-AA79-F61EE8EC5D09}">
  <dimension ref="A1:I25"/>
  <sheetViews>
    <sheetView workbookViewId="0">
      <selection activeCell="A9" sqref="A9:XFD9"/>
    </sheetView>
  </sheetViews>
  <sheetFormatPr defaultRowHeight="15" x14ac:dyDescent="0.25"/>
  <cols>
    <col min="1" max="1" width="11.140625" bestFit="1" customWidth="1"/>
    <col min="4" max="4" width="10.85546875" bestFit="1" customWidth="1"/>
    <col min="5" max="5" width="13.5703125" bestFit="1" customWidth="1"/>
    <col min="6" max="6" width="12.5703125" bestFit="1" customWidth="1"/>
    <col min="9" max="9" width="9.5703125" bestFit="1" customWidth="1"/>
  </cols>
  <sheetData>
    <row r="1" spans="1:9" x14ac:dyDescent="0.25">
      <c r="A1">
        <v>3</v>
      </c>
      <c r="B1" t="s">
        <v>23</v>
      </c>
    </row>
    <row r="2" spans="1:9" x14ac:dyDescent="0.25">
      <c r="A2">
        <v>24</v>
      </c>
      <c r="B2" t="s">
        <v>0</v>
      </c>
    </row>
    <row r="3" spans="1:9" x14ac:dyDescent="0.25">
      <c r="A3">
        <v>330</v>
      </c>
      <c r="B3" t="s">
        <v>1</v>
      </c>
      <c r="C3" t="s">
        <v>17</v>
      </c>
    </row>
    <row r="4" spans="1:9" x14ac:dyDescent="0.25">
      <c r="A4" s="1">
        <f>1/2.1815</f>
        <v>0.45840018336007332</v>
      </c>
      <c r="B4" t="s">
        <v>25</v>
      </c>
      <c r="C4" t="s">
        <v>18</v>
      </c>
    </row>
    <row r="5" spans="1:9" x14ac:dyDescent="0.25">
      <c r="A5" s="2">
        <f>1/2.1052</f>
        <v>0.47501425042751283</v>
      </c>
      <c r="B5" t="s">
        <v>26</v>
      </c>
      <c r="C5" t="s">
        <v>19</v>
      </c>
    </row>
    <row r="6" spans="1:9" x14ac:dyDescent="0.25">
      <c r="A6" s="2">
        <f>1/2.055</f>
        <v>0.48661800486618001</v>
      </c>
      <c r="B6" t="s">
        <v>27</v>
      </c>
      <c r="C6" t="s">
        <v>20</v>
      </c>
    </row>
    <row r="7" spans="1:9" x14ac:dyDescent="0.25">
      <c r="A7" s="2">
        <f>1/2.136</f>
        <v>0.46816479400749061</v>
      </c>
      <c r="B7" t="s">
        <v>28</v>
      </c>
      <c r="C7" t="s">
        <v>20</v>
      </c>
    </row>
    <row r="8" spans="1:9" x14ac:dyDescent="0.25">
      <c r="A8" s="1">
        <f>1/2.1276</f>
        <v>0.47001316036849028</v>
      </c>
      <c r="B8" t="s">
        <v>29</v>
      </c>
      <c r="C8" t="s">
        <v>21</v>
      </c>
    </row>
    <row r="9" spans="1:9" x14ac:dyDescent="0.25">
      <c r="A9" s="3">
        <v>1000</v>
      </c>
      <c r="B9" t="s">
        <v>8</v>
      </c>
    </row>
    <row r="10" spans="1:9" x14ac:dyDescent="0.25">
      <c r="A10" s="3"/>
    </row>
    <row r="11" spans="1:9" x14ac:dyDescent="0.25">
      <c r="B11" t="s">
        <v>10</v>
      </c>
      <c r="C11" t="s">
        <v>9</v>
      </c>
    </row>
    <row r="12" spans="1:9" x14ac:dyDescent="0.25"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38</v>
      </c>
    </row>
    <row r="13" spans="1:9" x14ac:dyDescent="0.25">
      <c r="A13" t="s">
        <v>11</v>
      </c>
      <c r="B13">
        <f>40.8*($A$1*1000)^0.6194</f>
        <v>5812.8493587040821</v>
      </c>
      <c r="C13">
        <f>0.09*B13+(1.04*$A$1)^0.475/(1+0.07)</f>
        <v>524.76094203599132</v>
      </c>
      <c r="D13" s="4">
        <f>-PV(7%,30,C13)+B13</f>
        <v>12324.629499924029</v>
      </c>
      <c r="E13" s="4">
        <f>D13*1000/0.9233*0.32</f>
        <v>4271505.9460367039</v>
      </c>
      <c r="F13" s="4">
        <f>-PMT(7%, 30,E13)</f>
        <v>344225.30176742456</v>
      </c>
      <c r="G13">
        <f>A$1*A$2*A$3*A4*A$9</f>
        <v>10891588.356635341</v>
      </c>
      <c r="H13" s="5">
        <f>F13/G13</f>
        <v>3.1604692584412321E-2</v>
      </c>
      <c r="I13" s="8"/>
    </row>
    <row r="14" spans="1:9" x14ac:dyDescent="0.25">
      <c r="A14" t="s">
        <v>12</v>
      </c>
      <c r="B14">
        <f>40.8*($A$1*1000)^0.6194</f>
        <v>5812.8493587040821</v>
      </c>
      <c r="C14">
        <f>0.09*B14+(1.04*$A$1)^0.475/(1+0.07)</f>
        <v>524.76094203599132</v>
      </c>
      <c r="D14" s="4">
        <f>-PV(7%,30,C14)+B14</f>
        <v>12324.629499924029</v>
      </c>
      <c r="E14" s="4">
        <f>D14*1000/0.9233*0.32</f>
        <v>4271505.9460367039</v>
      </c>
      <c r="F14" s="4">
        <f>-PMT(7%, 30,E14)</f>
        <v>344225.30176742456</v>
      </c>
      <c r="G14">
        <f>A$1*A$2*A$3*A5*A$9</f>
        <v>11286338.590157704</v>
      </c>
      <c r="H14" s="5">
        <f>F14/G14</f>
        <v>3.0499288942793863E-2</v>
      </c>
      <c r="I14" s="8"/>
    </row>
    <row r="15" spans="1:9" x14ac:dyDescent="0.25">
      <c r="A15" t="s">
        <v>13</v>
      </c>
      <c r="B15">
        <f>40.8*($A$1*1000)^0.6194</f>
        <v>5812.8493587040821</v>
      </c>
      <c r="C15">
        <f>0.09*B15+(1.04*$A$1)^0.475/(1+0.07)</f>
        <v>524.76094203599132</v>
      </c>
      <c r="D15" s="4">
        <f>-PV(7%,30,C15)+B15</f>
        <v>12324.629499924029</v>
      </c>
      <c r="E15" s="4">
        <f>D15*1000/0.9233*0.32</f>
        <v>4271505.9460367039</v>
      </c>
      <c r="F15" s="4">
        <f>-PMT(7%, 30,E15)</f>
        <v>344225.30176742456</v>
      </c>
      <c r="G15">
        <f>A$1*A$2*A$3*A6*A$9</f>
        <v>11562043.795620438</v>
      </c>
      <c r="H15" s="5">
        <f>F15/G15</f>
        <v>2.9772011579632048E-2</v>
      </c>
      <c r="I15" s="8"/>
    </row>
    <row r="16" spans="1:9" x14ac:dyDescent="0.25">
      <c r="A16" t="s">
        <v>14</v>
      </c>
      <c r="B16">
        <f>40.8*($A$1*1000)^0.6194</f>
        <v>5812.8493587040821</v>
      </c>
      <c r="C16">
        <f>0.09*B16+(1.04*$A$1)^0.475/(1+0.07)</f>
        <v>524.76094203599132</v>
      </c>
      <c r="D16" s="4">
        <f>-PV(7%,30,C16)+B16</f>
        <v>12324.629499924029</v>
      </c>
      <c r="E16" s="4">
        <f>D16*1000/0.9233*0.32</f>
        <v>4271505.9460367039</v>
      </c>
      <c r="F16" s="4">
        <f>-PMT(7%, 30,E16)</f>
        <v>344225.30176742456</v>
      </c>
      <c r="G16">
        <f>A$1*A$2*A$3*A7*A$9</f>
        <v>11123595.505617978</v>
      </c>
      <c r="H16" s="5">
        <f>F16/G16</f>
        <v>3.094550692656645E-2</v>
      </c>
      <c r="I16" s="8"/>
    </row>
    <row r="17" spans="1:9" x14ac:dyDescent="0.25">
      <c r="A17" t="s">
        <v>15</v>
      </c>
      <c r="B17">
        <f>40.8*($A$1*1000)^0.6194</f>
        <v>5812.8493587040821</v>
      </c>
      <c r="C17">
        <f>0.09*B17+(1.04*$A$1)^0.475/(1+0.07)</f>
        <v>524.76094203599132</v>
      </c>
      <c r="D17" s="4">
        <f>-PV(7%,30,C17)+B17</f>
        <v>12324.629499924029</v>
      </c>
      <c r="E17" s="4">
        <f>D17*1000/0.9233*0.32</f>
        <v>4271505.9460367039</v>
      </c>
      <c r="F17" s="4">
        <f>-PMT(7%, 30,E17)</f>
        <v>344225.30176742456</v>
      </c>
      <c r="G17">
        <f>A$1*A$2*A$3*A8*A$9</f>
        <v>11167512.690355329</v>
      </c>
      <c r="H17" s="5">
        <f>F17/G17</f>
        <v>3.0823811112810292E-2</v>
      </c>
      <c r="I17" s="8"/>
    </row>
    <row r="18" spans="1:9" x14ac:dyDescent="0.25">
      <c r="A18" s="6" t="s">
        <v>16</v>
      </c>
    </row>
    <row r="20" spans="1:9" x14ac:dyDescent="0.25">
      <c r="B20" t="s">
        <v>30</v>
      </c>
      <c r="C20" t="s">
        <v>31</v>
      </c>
      <c r="D20" t="s">
        <v>32</v>
      </c>
      <c r="E20" t="s">
        <v>33</v>
      </c>
      <c r="G20" t="s">
        <v>34</v>
      </c>
    </row>
    <row r="21" spans="1:9" x14ac:dyDescent="0.25">
      <c r="A21" t="s">
        <v>15</v>
      </c>
      <c r="B21" s="7">
        <v>1630000000</v>
      </c>
      <c r="C21" s="7">
        <v>1230000000</v>
      </c>
      <c r="D21">
        <v>94</v>
      </c>
      <c r="E21" s="7">
        <f>(B21+C21)/(D21*1000000)</f>
        <v>30.425531914893618</v>
      </c>
    </row>
    <row r="22" spans="1:9" x14ac:dyDescent="0.25">
      <c r="A22" t="s">
        <v>14</v>
      </c>
      <c r="B22" s="7">
        <v>2760000000</v>
      </c>
      <c r="C22" s="7">
        <v>901000000</v>
      </c>
      <c r="D22">
        <v>63</v>
      </c>
      <c r="E22" s="7">
        <f t="shared" ref="E22:E24" si="0">(B22+C22)/(D22*1000000)</f>
        <v>58.111111111111114</v>
      </c>
    </row>
    <row r="23" spans="1:9" x14ac:dyDescent="0.25">
      <c r="A23" t="s">
        <v>11</v>
      </c>
      <c r="B23" s="7">
        <v>4700000000</v>
      </c>
      <c r="C23" s="7">
        <v>3330000000</v>
      </c>
      <c r="D23">
        <v>294</v>
      </c>
      <c r="E23" s="7">
        <f t="shared" si="0"/>
        <v>27.312925170068027</v>
      </c>
    </row>
    <row r="24" spans="1:9" x14ac:dyDescent="0.25">
      <c r="A24" t="s">
        <v>12</v>
      </c>
      <c r="B24" s="7">
        <v>4700000000</v>
      </c>
      <c r="C24" s="7">
        <v>3330000000</v>
      </c>
      <c r="D24">
        <v>294</v>
      </c>
      <c r="E24" s="7">
        <f t="shared" si="0"/>
        <v>27.312925170068027</v>
      </c>
    </row>
    <row r="25" spans="1:9" x14ac:dyDescent="0.25">
      <c r="A25" t="s">
        <v>13</v>
      </c>
      <c r="B25" t="s">
        <v>37</v>
      </c>
      <c r="E2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pyrolysis-nofert</vt:lpstr>
      <vt:lpstr>biochar_land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nathanlikesseverestorms@gmail.com</cp:lastModifiedBy>
  <dcterms:created xsi:type="dcterms:W3CDTF">2015-06-05T18:17:20Z</dcterms:created>
  <dcterms:modified xsi:type="dcterms:W3CDTF">2024-05-24T14:16:54Z</dcterms:modified>
</cp:coreProperties>
</file>