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200054FD-E48C-49F9-81CE-67F5B0DA27D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iochar_land" sheetId="2" r:id="rId1"/>
    <sheet name="gompert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7" i="2"/>
  <c r="B27" i="2"/>
  <c r="C27" i="2"/>
  <c r="D27" i="2"/>
  <c r="E27" i="2"/>
  <c r="G27" i="2"/>
  <c r="F22" i="2"/>
  <c r="F24" i="2"/>
  <c r="F25" i="2"/>
  <c r="F26" i="2"/>
  <c r="F23" i="2"/>
  <c r="E24" i="2"/>
  <c r="E25" i="2"/>
  <c r="E26" i="2"/>
  <c r="E22" i="2"/>
  <c r="E23" i="2"/>
  <c r="D23" i="2"/>
  <c r="D24" i="2"/>
  <c r="D25" i="2"/>
  <c r="D26" i="2"/>
  <c r="D22" i="2"/>
  <c r="B23" i="2"/>
  <c r="C23" i="2" s="1"/>
  <c r="B24" i="2"/>
  <c r="C24" i="2" s="1"/>
  <c r="B25" i="2"/>
  <c r="C25" i="2" s="1"/>
  <c r="B26" i="2"/>
  <c r="C26" i="2" s="1"/>
  <c r="B22" i="2"/>
  <c r="E31" i="2"/>
  <c r="E32" i="2"/>
  <c r="E33" i="2"/>
  <c r="E34" i="2"/>
  <c r="E30" i="2"/>
  <c r="F31" i="2"/>
  <c r="F32" i="2"/>
  <c r="F33" i="2"/>
  <c r="F30" i="2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13" i="2"/>
  <c r="A14" i="2"/>
  <c r="A15" i="2"/>
  <c r="A16" i="2"/>
  <c r="A17" i="2"/>
  <c r="G25" i="2" l="1"/>
  <c r="C22" i="2"/>
  <c r="G23" i="2"/>
  <c r="G26" i="2" l="1"/>
  <c r="G24" i="2"/>
</calcChain>
</file>

<file path=xl/sharedStrings.xml><?xml version="1.0" encoding="utf-8"?>
<sst xmlns="http://schemas.openxmlformats.org/spreadsheetml/2006/main" count="67" uniqueCount="51">
  <si>
    <t>CAPEX</t>
  </si>
  <si>
    <t>OPEX</t>
  </si>
  <si>
    <t>TOTAL COST</t>
  </si>
  <si>
    <t>TO EUAW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</si>
  <si>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</si>
  <si>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</si>
  <si>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Beef</t>
  </si>
  <si>
    <t>Dairy</t>
  </si>
  <si>
    <t>Goat</t>
  </si>
  <si>
    <t>Pork</t>
  </si>
  <si>
    <t>Poultry</t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</si>
  <si>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</si>
  <si>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</si>
  <si>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</si>
  <si>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</si>
  <si>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</si>
  <si>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tons feedstock/hr</t>
  </si>
  <si>
    <t>Avoided C</t>
  </si>
  <si>
    <t>Sequestered C</t>
  </si>
  <si>
    <t>Manure Supply</t>
  </si>
  <si>
    <t>Woolf, D., Amonette, J. E., Street-Perrott, F. A., Lehmann, J. &amp; Joseph, S. Sustainable biochar to mitigate global climate change. Nat Commun 1, 56 (2010).</t>
  </si>
  <si>
    <t>same as beef/dairy</t>
  </si>
  <si>
    <t>B_max</t>
  </si>
  <si>
    <t>k1</t>
  </si>
  <si>
    <t>k2</t>
  </si>
  <si>
    <t>t0</t>
  </si>
  <si>
    <t>Year</t>
  </si>
  <si>
    <t>Time Period</t>
  </si>
  <si>
    <t>(4 years from 2024)</t>
  </si>
  <si>
    <t>Sequestered C Ratio (Mg C/Mg Manure)</t>
  </si>
  <si>
    <t>TEA</t>
  </si>
  <si>
    <t>Parameter</t>
  </si>
  <si>
    <t>Name</t>
  </si>
  <si>
    <t>availability</t>
  </si>
  <si>
    <t>days per year</t>
  </si>
  <si>
    <t>hours per day</t>
  </si>
  <si>
    <t>project lifetime (years)</t>
  </si>
  <si>
    <t>Pre-treatment plant cost (2007$)</t>
  </si>
  <si>
    <t>Pyrolysis plant cost (2007$)</t>
  </si>
  <si>
    <t>1975$/2007$</t>
  </si>
  <si>
    <t>yearly opex costs as fraction of capex costs</t>
  </si>
  <si>
    <r>
      <t xml:space="preserve">McCarl, B.A., Peacocke, C., Chrisman, R., Kung, C.C. and Sands, R.D., 2012. Economics of biochar production, utilization and greenhouse gas offsets. In </t>
    </r>
    <r>
      <rPr>
        <i/>
        <sz val="11"/>
        <color theme="1"/>
        <rFont val="Calibri"/>
        <family val="2"/>
        <scheme val="minor"/>
      </rPr>
      <t>Biochar for environmental management</t>
    </r>
    <r>
      <rPr>
        <sz val="11"/>
        <color theme="1"/>
        <rFont val="Calibri"/>
        <family val="2"/>
        <scheme val="minor"/>
      </rPr>
      <t xml:space="preserve"> (pp. 373-390). Routledge.</t>
    </r>
  </si>
  <si>
    <t>interest rate</t>
  </si>
  <si>
    <t>manure</t>
  </si>
  <si>
    <t>Production estimates (kg biochar per year)</t>
  </si>
  <si>
    <t>Unit cost  ($1975/kg biochar)</t>
  </si>
  <si>
    <t>beef biochar yield</t>
  </si>
  <si>
    <t>goat biochar yield</t>
  </si>
  <si>
    <t>pork biochar yield</t>
  </si>
  <si>
    <t>poultry biochar yield</t>
  </si>
  <si>
    <t>dairy biochar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</si>
</sst>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0_);[Red]\(&quot;$&quot;#,##0.0000\)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I34"/>
  <sheetViews>
    <sheetView workbookViewId="0">
      <selection activeCell="B15" sqref="B15"/>
    </sheetView>
  </sheetViews>
  <sheetFormatPr defaultRowHeight="15" x14ac:dyDescent="0.25"/>
  <cols>
    <col min="1" max="1" width="11.140625" bestFit="1" customWidth="1"/>
    <col min="2" max="2" width="14.28515625" bestFit="1" customWidth="1"/>
    <col min="3" max="3" width="12.5703125" bestFit="1" customWidth="1"/>
    <col min="4" max="4" width="14.42578125" bestFit="1" customWidth="1"/>
    <col min="5" max="5" width="17.28515625" bestFit="1" customWidth="1"/>
    <col min="6" max="6" width="12.5703125" bestFit="1" customWidth="1"/>
    <col min="9" max="9" width="9.5703125" bestFit="1" customWidth="1"/>
  </cols>
  <sheetData>
    <row r="1" spans="1:3" x14ac:dyDescent="0.25">
      <c r="A1" t="s">
        <v>30</v>
      </c>
    </row>
    <row r="2" spans="1:3" x14ac:dyDescent="0.25">
      <c r="A2" t="s">
        <v>31</v>
      </c>
      <c r="B2" t="s">
        <v>32</v>
      </c>
    </row>
    <row r="3" spans="1:3" x14ac:dyDescent="0.25">
      <c r="A3">
        <v>10</v>
      </c>
      <c r="B3" t="s">
        <v>16</v>
      </c>
      <c r="C3" t="s">
        <v>41</v>
      </c>
    </row>
    <row r="4" spans="1:3" x14ac:dyDescent="0.25">
      <c r="A4" s="1">
        <v>0.8</v>
      </c>
      <c r="B4" t="s">
        <v>33</v>
      </c>
      <c r="C4" t="s">
        <v>41</v>
      </c>
    </row>
    <row r="5" spans="1:3" x14ac:dyDescent="0.25">
      <c r="A5" s="3">
        <v>20</v>
      </c>
      <c r="B5" t="s">
        <v>36</v>
      </c>
      <c r="C5" t="s">
        <v>41</v>
      </c>
    </row>
    <row r="6" spans="1:3" x14ac:dyDescent="0.25">
      <c r="A6">
        <v>365</v>
      </c>
      <c r="B6" t="s">
        <v>34</v>
      </c>
      <c r="C6" t="s">
        <v>11</v>
      </c>
    </row>
    <row r="7" spans="1:3" x14ac:dyDescent="0.25">
      <c r="A7">
        <v>24</v>
      </c>
      <c r="B7" t="s">
        <v>35</v>
      </c>
    </row>
    <row r="8" spans="1:3" x14ac:dyDescent="0.25">
      <c r="A8">
        <v>3600000</v>
      </c>
      <c r="B8" t="s">
        <v>37</v>
      </c>
      <c r="C8" t="s">
        <v>41</v>
      </c>
    </row>
    <row r="9" spans="1:3" x14ac:dyDescent="0.25">
      <c r="A9">
        <v>10600000</v>
      </c>
      <c r="B9" t="s">
        <v>38</v>
      </c>
      <c r="C9" t="s">
        <v>41</v>
      </c>
    </row>
    <row r="10" spans="1:3" x14ac:dyDescent="0.25">
      <c r="A10">
        <v>0.26</v>
      </c>
      <c r="B10" t="s">
        <v>39</v>
      </c>
    </row>
    <row r="11" spans="1:3" x14ac:dyDescent="0.25">
      <c r="A11" s="1">
        <v>0.12</v>
      </c>
      <c r="B11" t="s">
        <v>42</v>
      </c>
    </row>
    <row r="12" spans="1:3" x14ac:dyDescent="0.25">
      <c r="A12" s="1">
        <v>0.09</v>
      </c>
      <c r="B12" t="s">
        <v>40</v>
      </c>
      <c r="C12" t="s">
        <v>5</v>
      </c>
    </row>
    <row r="13" spans="1:3" x14ac:dyDescent="0.25">
      <c r="A13" s="1">
        <f>1/2.1815</f>
        <v>0.45840018336007332</v>
      </c>
      <c r="B13" t="s">
        <v>46</v>
      </c>
      <c r="C13" t="s">
        <v>12</v>
      </c>
    </row>
    <row r="14" spans="1:3" x14ac:dyDescent="0.25">
      <c r="A14" s="2">
        <f>1/2.1052</f>
        <v>0.47501425042751283</v>
      </c>
      <c r="B14" t="s">
        <v>50</v>
      </c>
      <c r="C14" t="s">
        <v>13</v>
      </c>
    </row>
    <row r="15" spans="1:3" x14ac:dyDescent="0.25">
      <c r="A15" s="2">
        <f>1/2.055</f>
        <v>0.48661800486618001</v>
      </c>
      <c r="B15" t="s">
        <v>47</v>
      </c>
      <c r="C15" t="s">
        <v>14</v>
      </c>
    </row>
    <row r="16" spans="1:3" x14ac:dyDescent="0.25">
      <c r="A16" s="2">
        <f>1/2.136</f>
        <v>0.46816479400749061</v>
      </c>
      <c r="B16" t="s">
        <v>48</v>
      </c>
      <c r="C16" t="s">
        <v>14</v>
      </c>
    </row>
    <row r="17" spans="1:9" x14ac:dyDescent="0.25">
      <c r="A17" s="1">
        <f>1/2.1276</f>
        <v>0.47001316036849028</v>
      </c>
      <c r="B17" t="s">
        <v>49</v>
      </c>
      <c r="C17" t="s">
        <v>15</v>
      </c>
    </row>
    <row r="18" spans="1:9" x14ac:dyDescent="0.25">
      <c r="A18" s="3">
        <v>1000</v>
      </c>
      <c r="B18" t="s">
        <v>4</v>
      </c>
    </row>
    <row r="19" spans="1:9" x14ac:dyDescent="0.25">
      <c r="A19" s="3"/>
    </row>
    <row r="21" spans="1:9" x14ac:dyDescent="0.25">
      <c r="B21" t="s">
        <v>0</v>
      </c>
      <c r="C21" t="s">
        <v>1</v>
      </c>
      <c r="D21" t="s">
        <v>2</v>
      </c>
      <c r="E21" t="s">
        <v>3</v>
      </c>
      <c r="F21" t="s">
        <v>44</v>
      </c>
      <c r="G21" t="s">
        <v>45</v>
      </c>
    </row>
    <row r="22" spans="1:9" x14ac:dyDescent="0.25">
      <c r="A22" t="s">
        <v>6</v>
      </c>
      <c r="B22" s="10">
        <f>(A$8+A$9)*A$10</f>
        <v>3692000</v>
      </c>
      <c r="C22" s="10">
        <f>0.09*B22</f>
        <v>332280</v>
      </c>
      <c r="D22" s="4">
        <f>-PV(A$11,A$5,C22)+B22</f>
        <v>6173946.7274915744</v>
      </c>
      <c r="E22" s="4">
        <f>-PMT(A$11,A$5,D22)</f>
        <v>826560.45590642723</v>
      </c>
      <c r="F22">
        <f>A$3*A$4*A$6*A$7*A13*A$18</f>
        <v>32124684.849873938</v>
      </c>
      <c r="G22" s="5">
        <f t="shared" ref="G22:G27" si="0">E22/F22</f>
        <v>2.5729760767121451E-2</v>
      </c>
      <c r="I22" s="8"/>
    </row>
    <row r="23" spans="1:9" x14ac:dyDescent="0.25">
      <c r="A23" t="s">
        <v>7</v>
      </c>
      <c r="B23" s="10">
        <f t="shared" ref="B23:B26" si="1">(A$8+A$9)*A$10</f>
        <v>3692000</v>
      </c>
      <c r="C23" s="10">
        <f t="shared" ref="C23:C26" si="2">0.09*B23</f>
        <v>332280</v>
      </c>
      <c r="D23" s="4">
        <f t="shared" ref="D23:D26" si="3">-PV(A$11,A$5,C23)+B23</f>
        <v>6173946.7274915744</v>
      </c>
      <c r="E23" s="4">
        <f>-PMT(A$11,A$5,D23)</f>
        <v>826560.45590642723</v>
      </c>
      <c r="F23">
        <f>A$3*A$4*A$6*A$7*A14*A$18</f>
        <v>33288998.6699601</v>
      </c>
      <c r="G23" s="5">
        <f t="shared" si="0"/>
        <v>2.4829838352942502E-2</v>
      </c>
      <c r="I23" s="8"/>
    </row>
    <row r="24" spans="1:9" x14ac:dyDescent="0.25">
      <c r="A24" t="s">
        <v>8</v>
      </c>
      <c r="B24" s="10">
        <f t="shared" si="1"/>
        <v>3692000</v>
      </c>
      <c r="C24" s="10">
        <f t="shared" si="2"/>
        <v>332280</v>
      </c>
      <c r="D24" s="4">
        <f t="shared" si="3"/>
        <v>6173946.7274915744</v>
      </c>
      <c r="E24" s="4">
        <f t="shared" ref="E24:E26" si="4">-PMT(A$11,A$5,D24)</f>
        <v>826560.45590642723</v>
      </c>
      <c r="F24">
        <f t="shared" ref="F24:F26" si="5">A$3*A$4*A$6*A$7*A15*A$18</f>
        <v>34102189.781021893</v>
      </c>
      <c r="G24" s="5">
        <f t="shared" si="0"/>
        <v>2.4237753094858851E-2</v>
      </c>
      <c r="I24" s="8"/>
    </row>
    <row r="25" spans="1:9" x14ac:dyDescent="0.25">
      <c r="A25" t="s">
        <v>9</v>
      </c>
      <c r="B25" s="10">
        <f t="shared" si="1"/>
        <v>3692000</v>
      </c>
      <c r="C25" s="10">
        <f t="shared" si="2"/>
        <v>332280</v>
      </c>
      <c r="D25" s="4">
        <f t="shared" si="3"/>
        <v>6173946.7274915744</v>
      </c>
      <c r="E25" s="4">
        <f t="shared" si="4"/>
        <v>826560.45590642723</v>
      </c>
      <c r="F25">
        <f t="shared" si="5"/>
        <v>32808988.764044944</v>
      </c>
      <c r="G25" s="5">
        <f t="shared" si="0"/>
        <v>2.519310978618905E-2</v>
      </c>
      <c r="I25" s="8"/>
    </row>
    <row r="26" spans="1:9" x14ac:dyDescent="0.25">
      <c r="A26" t="s">
        <v>10</v>
      </c>
      <c r="B26" s="10">
        <f t="shared" si="1"/>
        <v>3692000</v>
      </c>
      <c r="C26" s="10">
        <f t="shared" si="2"/>
        <v>332280</v>
      </c>
      <c r="D26" s="4">
        <f t="shared" si="3"/>
        <v>6173946.7274915744</v>
      </c>
      <c r="E26" s="4">
        <f t="shared" si="4"/>
        <v>826560.45590642723</v>
      </c>
      <c r="F26">
        <f t="shared" si="5"/>
        <v>32938522.278623801</v>
      </c>
      <c r="G26" s="5">
        <f t="shared" si="0"/>
        <v>2.5094035758939991E-2</v>
      </c>
      <c r="I26" s="8"/>
    </row>
    <row r="27" spans="1:9" x14ac:dyDescent="0.25">
      <c r="A27" s="6" t="s">
        <v>43</v>
      </c>
      <c r="B27" s="10">
        <f t="shared" ref="B27" si="6">(A$8+A$9)*A$10</f>
        <v>3692000</v>
      </c>
      <c r="C27" s="10">
        <f t="shared" ref="C27" si="7">0.09*B27</f>
        <v>332280</v>
      </c>
      <c r="D27" s="4">
        <f t="shared" ref="D27" si="8">-PV(A$11,A$5,C27)+B27</f>
        <v>6173946.7274915744</v>
      </c>
      <c r="E27" s="4">
        <f t="shared" ref="E27" si="9">-PMT(A$11,A$5,D27)</f>
        <v>826560.45590642723</v>
      </c>
      <c r="F27">
        <f>A$3*A$4*A$6*A$7*A$18</f>
        <v>70080000</v>
      </c>
      <c r="G27" s="5">
        <f t="shared" si="0"/>
        <v>1.1794527053459293E-2</v>
      </c>
    </row>
    <row r="29" spans="1:9" x14ac:dyDescent="0.25">
      <c r="B29" t="s">
        <v>17</v>
      </c>
      <c r="C29" t="s">
        <v>18</v>
      </c>
      <c r="D29" t="s">
        <v>19</v>
      </c>
      <c r="E29" t="s">
        <v>17</v>
      </c>
      <c r="F29" t="s">
        <v>29</v>
      </c>
      <c r="G29" t="s">
        <v>20</v>
      </c>
    </row>
    <row r="30" spans="1:9" x14ac:dyDescent="0.25">
      <c r="A30" t="s">
        <v>10</v>
      </c>
      <c r="B30" s="7">
        <v>1630000000</v>
      </c>
      <c r="C30" s="7">
        <v>1230000000</v>
      </c>
      <c r="D30">
        <v>94</v>
      </c>
      <c r="E30" s="9">
        <f>(B30)/(D30*1000000*100)</f>
        <v>0.17340425531914894</v>
      </c>
      <c r="F30" s="9">
        <f>(C30)/(D30*1000000*100)</f>
        <v>0.13085106382978723</v>
      </c>
    </row>
    <row r="31" spans="1:9" x14ac:dyDescent="0.25">
      <c r="A31" t="s">
        <v>9</v>
      </c>
      <c r="B31" s="7">
        <v>2760000000</v>
      </c>
      <c r="C31" s="7">
        <v>901000000</v>
      </c>
      <c r="D31">
        <v>63</v>
      </c>
      <c r="E31" s="9">
        <f t="shared" ref="E31:E34" si="10">(B31)/(D31*1000000*100)</f>
        <v>0.43809523809523809</v>
      </c>
      <c r="F31" s="9">
        <f t="shared" ref="F31:F33" si="11">(C31)/(D31*1000000*100)</f>
        <v>0.14301587301587301</v>
      </c>
    </row>
    <row r="32" spans="1:9" x14ac:dyDescent="0.25">
      <c r="A32" t="s">
        <v>6</v>
      </c>
      <c r="B32" s="7">
        <v>4700000000</v>
      </c>
      <c r="C32" s="7">
        <v>3330000000</v>
      </c>
      <c r="D32">
        <v>294</v>
      </c>
      <c r="E32" s="9">
        <f t="shared" si="10"/>
        <v>0.1598639455782313</v>
      </c>
      <c r="F32" s="9">
        <f t="shared" si="11"/>
        <v>0.11326530612244898</v>
      </c>
    </row>
    <row r="33" spans="1:6" x14ac:dyDescent="0.25">
      <c r="A33" t="s">
        <v>7</v>
      </c>
      <c r="B33" s="7">
        <v>4700000000</v>
      </c>
      <c r="C33" s="7">
        <v>3330000000</v>
      </c>
      <c r="D33">
        <v>294</v>
      </c>
      <c r="E33" s="9">
        <f t="shared" si="10"/>
        <v>0.1598639455782313</v>
      </c>
      <c r="F33" s="9">
        <f t="shared" si="11"/>
        <v>0.11326530612244898</v>
      </c>
    </row>
    <row r="34" spans="1:6" x14ac:dyDescent="0.25">
      <c r="A34" t="s">
        <v>8</v>
      </c>
      <c r="B34" t="s">
        <v>21</v>
      </c>
      <c r="E34" s="3" t="e">
        <f t="shared" si="10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tabSelected="1" workbookViewId="0">
      <selection activeCell="G7" sqref="G7:Y7"/>
    </sheetView>
  </sheetViews>
  <sheetFormatPr defaultRowHeight="15" x14ac:dyDescent="0.25"/>
  <sheetData>
    <row r="1" spans="1:25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25">
      <c r="E2" t="s">
        <v>28</v>
      </c>
      <c r="F2" t="s">
        <v>27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25">
      <c r="A3" t="s">
        <v>6</v>
      </c>
      <c r="B3">
        <v>2.589</v>
      </c>
      <c r="C3">
        <v>11</v>
      </c>
      <c r="D3">
        <v>0.2</v>
      </c>
      <c r="E3">
        <v>2030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7" si="0">IF($B3*EXP(-$C3*EXP(-$D3*(I$1-$E3))) &lt; 0.001, 0, $B3*EXP(-$C3*EXP(-$D3*(I$1-$E3))))</f>
        <v>0</v>
      </c>
      <c r="J3">
        <f t="shared" si="0"/>
        <v>0</v>
      </c>
      <c r="K3">
        <f t="shared" si="0"/>
        <v>0</v>
      </c>
      <c r="L3">
        <f t="shared" si="0"/>
        <v>4.5256808678761008E-2</v>
      </c>
      <c r="M3">
        <f t="shared" si="0"/>
        <v>0.58425577868748124</v>
      </c>
      <c r="N3">
        <f t="shared" si="0"/>
        <v>1.4972258294302512</v>
      </c>
      <c r="O3">
        <f t="shared" si="0"/>
        <v>2.1165759668119466</v>
      </c>
      <c r="P3">
        <f t="shared" si="0"/>
        <v>2.4040487226177558</v>
      </c>
      <c r="Q3">
        <f t="shared" si="0"/>
        <v>2.5193613247103341</v>
      </c>
      <c r="R3">
        <f t="shared" si="0"/>
        <v>2.5631603251914576</v>
      </c>
      <c r="S3">
        <f t="shared" si="0"/>
        <v>2.579463965049178</v>
      </c>
      <c r="T3">
        <f t="shared" si="0"/>
        <v>2.5854877966505807</v>
      </c>
      <c r="U3">
        <f t="shared" si="0"/>
        <v>2.5877073781943247</v>
      </c>
      <c r="V3">
        <f t="shared" si="0"/>
        <v>2.5885243959532129</v>
      </c>
      <c r="W3">
        <f t="shared" si="0"/>
        <v>2.5888250248894193</v>
      </c>
      <c r="X3">
        <f t="shared" si="0"/>
        <v>2.5889356288790717</v>
      </c>
      <c r="Y3">
        <f t="shared" si="0"/>
        <v>2.5889763190019117</v>
      </c>
    </row>
    <row r="4" spans="1:25" x14ac:dyDescent="0.25">
      <c r="A4" t="s">
        <v>7</v>
      </c>
      <c r="B4">
        <v>1.7999999999999999E-2</v>
      </c>
      <c r="C4">
        <v>11</v>
      </c>
      <c r="D4">
        <v>0.2</v>
      </c>
      <c r="E4">
        <v>2030</v>
      </c>
      <c r="G4">
        <f t="shared" ref="G4:V7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4.0620332237831834E-3</v>
      </c>
      <c r="N4">
        <f t="shared" si="1"/>
        <v>1.0409449567301861E-2</v>
      </c>
      <c r="O4">
        <f t="shared" si="1"/>
        <v>1.471547601491504E-2</v>
      </c>
      <c r="P4">
        <f t="shared" si="1"/>
        <v>1.6714127851340133E-2</v>
      </c>
      <c r="Q4">
        <f t="shared" si="1"/>
        <v>1.7515837715251451E-2</v>
      </c>
      <c r="R4">
        <f t="shared" si="1"/>
        <v>1.7820349885456253E-2</v>
      </c>
      <c r="S4">
        <f t="shared" si="1"/>
        <v>1.7933700799878407E-2</v>
      </c>
      <c r="T4">
        <f t="shared" si="1"/>
        <v>1.7975581436736367E-2</v>
      </c>
      <c r="U4">
        <f t="shared" si="1"/>
        <v>1.799101305812972E-2</v>
      </c>
      <c r="V4">
        <f t="shared" si="1"/>
        <v>1.7996693366998003E-2</v>
      </c>
      <c r="W4">
        <f t="shared" si="0"/>
        <v>1.7998783487064327E-2</v>
      </c>
      <c r="X4">
        <f t="shared" si="0"/>
        <v>1.799955246034117E-2</v>
      </c>
      <c r="Y4">
        <f t="shared" si="0"/>
        <v>1.7999835358066592E-2</v>
      </c>
    </row>
    <row r="5" spans="1:25" x14ac:dyDescent="0.25">
      <c r="A5" t="s">
        <v>8</v>
      </c>
      <c r="B5">
        <v>3.101</v>
      </c>
      <c r="C5">
        <v>11</v>
      </c>
      <c r="D5">
        <v>0.2</v>
      </c>
      <c r="E5">
        <v>2030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5.4206783975603662E-2</v>
      </c>
      <c r="M5">
        <f t="shared" si="0"/>
        <v>0.69979805705286957</v>
      </c>
      <c r="N5">
        <f t="shared" si="0"/>
        <v>1.7933168393446151</v>
      </c>
      <c r="O5">
        <f t="shared" si="0"/>
        <v>2.5351495067917522</v>
      </c>
      <c r="P5">
        <f t="shared" si="0"/>
        <v>2.8794728037225417</v>
      </c>
      <c r="Q5">
        <f t="shared" si="0"/>
        <v>3.0175895974997089</v>
      </c>
      <c r="R5">
        <f t="shared" si="0"/>
        <v>3.07005027748888</v>
      </c>
      <c r="S5">
        <f t="shared" si="0"/>
        <v>3.0895781211346081</v>
      </c>
      <c r="T5">
        <f t="shared" si="0"/>
        <v>3.0967932241844154</v>
      </c>
      <c r="U5">
        <f t="shared" si="0"/>
        <v>3.0994517496255702</v>
      </c>
      <c r="V5">
        <f t="shared" si="0"/>
        <v>3.1004303406144897</v>
      </c>
      <c r="W5">
        <f t="shared" si="0"/>
        <v>3.1007904218548048</v>
      </c>
      <c r="X5">
        <f t="shared" si="0"/>
        <v>3.1009228988621094</v>
      </c>
      <c r="Y5">
        <f t="shared" si="0"/>
        <v>3.1009716358535835</v>
      </c>
    </row>
    <row r="6" spans="1:25" x14ac:dyDescent="0.25">
      <c r="A6" t="s">
        <v>9</v>
      </c>
      <c r="B6">
        <v>0.30399999999999999</v>
      </c>
      <c r="C6">
        <v>11</v>
      </c>
      <c r="D6">
        <v>0.2</v>
      </c>
      <c r="E6">
        <v>2030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5.314047832500327E-3</v>
      </c>
      <c r="M6">
        <f t="shared" si="0"/>
        <v>6.8603227779449327E-2</v>
      </c>
      <c r="N6">
        <f t="shared" si="0"/>
        <v>0.17580403713665366</v>
      </c>
      <c r="O6">
        <f t="shared" si="0"/>
        <v>0.24852803936300957</v>
      </c>
      <c r="P6">
        <f t="shared" si="0"/>
        <v>0.28228304815596666</v>
      </c>
      <c r="Q6">
        <f t="shared" si="0"/>
        <v>0.29582303696869122</v>
      </c>
      <c r="R6">
        <f t="shared" si="0"/>
        <v>0.30096590917659449</v>
      </c>
      <c r="S6">
        <f t="shared" si="0"/>
        <v>0.30288028017572421</v>
      </c>
      <c r="T6">
        <f t="shared" si="0"/>
        <v>0.30358759759821419</v>
      </c>
      <c r="U6">
        <f t="shared" si="0"/>
        <v>0.30384822053730193</v>
      </c>
      <c r="V6">
        <f t="shared" si="0"/>
        <v>0.30394415464263297</v>
      </c>
      <c r="W6">
        <f t="shared" si="0"/>
        <v>0.30397945444819757</v>
      </c>
      <c r="X6">
        <f t="shared" si="0"/>
        <v>0.30399244155242866</v>
      </c>
      <c r="Y6">
        <f t="shared" si="0"/>
        <v>0.30399721938068025</v>
      </c>
    </row>
    <row r="7" spans="1:25" x14ac:dyDescent="0.25">
      <c r="A7" t="s">
        <v>10</v>
      </c>
      <c r="B7">
        <v>1.381</v>
      </c>
      <c r="C7">
        <v>11</v>
      </c>
      <c r="D7">
        <v>0.2</v>
      </c>
      <c r="E7">
        <v>2030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2.4140460712772868E-2</v>
      </c>
      <c r="M7">
        <f t="shared" si="0"/>
        <v>0.31164821566914319</v>
      </c>
      <c r="N7">
        <f t="shared" si="0"/>
        <v>0.79863610291354836</v>
      </c>
      <c r="O7">
        <f t="shared" si="0"/>
        <v>1.1290040209220928</v>
      </c>
      <c r="P7">
        <f t="shared" si="0"/>
        <v>1.2823450312611513</v>
      </c>
      <c r="Q7">
        <f t="shared" si="0"/>
        <v>1.3438539935979033</v>
      </c>
      <c r="R7">
        <f t="shared" si="0"/>
        <v>1.367216843989727</v>
      </c>
      <c r="S7">
        <f t="shared" si="0"/>
        <v>1.3759133780351156</v>
      </c>
      <c r="T7">
        <f t="shared" si="0"/>
        <v>1.3791265535629402</v>
      </c>
      <c r="U7">
        <f t="shared" si="0"/>
        <v>1.3803105018487303</v>
      </c>
      <c r="V7">
        <f t="shared" si="0"/>
        <v>1.3807463077680135</v>
      </c>
      <c r="W7">
        <f t="shared" si="0"/>
        <v>1.3809066664242133</v>
      </c>
      <c r="X7">
        <f t="shared" si="0"/>
        <v>1.380965663762842</v>
      </c>
      <c r="Y7">
        <f t="shared" si="0"/>
        <v>1.380987368304998</v>
      </c>
    </row>
    <row r="9" spans="1:25" x14ac:dyDescent="0.25">
      <c r="G9">
        <f>-$C3*EXP(-$D3*G$1-$E3)</f>
        <v>0</v>
      </c>
    </row>
    <row r="10" spans="1:25" x14ac:dyDescent="0.25">
      <c r="G10">
        <f>EXP(-$D3*G$1-$E3)</f>
        <v>0</v>
      </c>
    </row>
    <row r="11" spans="1:25" x14ac:dyDescent="0.25">
      <c r="G11">
        <f>-$D3*G$1-$E3</f>
        <v>-2425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nathanlikesseverestorms@gmail.com</cp:lastModifiedBy>
  <dcterms:created xsi:type="dcterms:W3CDTF">2015-06-05T18:17:20Z</dcterms:created>
  <dcterms:modified xsi:type="dcterms:W3CDTF">2024-12-09T14:50:41Z</dcterms:modified>
</cp:coreProperties>
</file>