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787AFB04-F370-4950-993E-E721DDF6F2DD}" xr6:coauthVersionLast="32" xr6:coauthVersionMax="32" xr10:uidLastSave="{00000000-0000-0000-0000-000000000000}"/>
  <bookViews>
    <workbookView xWindow="0" yWindow="0" windowWidth="22260" windowHeight="12645" activeTab="6" xr2:uid="{00000000-000D-0000-FFFF-FFFF00000000}"/>
  </bookViews>
  <sheets>
    <sheet name="Ni(OH)2 production" sheetId="1" r:id="rId1"/>
    <sheet name="Ni(OH)2 separation" sheetId="2" r:id="rId2"/>
    <sheet name="K2SO4 crystal&amp;dry" sheetId="3" r:id="rId3"/>
    <sheet name="NiO production" sheetId="4" r:id="rId4"/>
    <sheet name="Ni(NO3)2·6H2O" sheetId="5" r:id="rId5"/>
    <sheet name="dissolve" sheetId="6" r:id="rId6"/>
    <sheet name="overall" sheetId="7" r:id="rId7"/>
  </sheets>
  <externalReferences>
    <externalReference r:id="rId8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7" l="1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W11" i="7"/>
  <c r="V11" i="7"/>
  <c r="N12" i="7" l="1"/>
  <c r="S15" i="7" s="1"/>
  <c r="O7" i="7" l="1"/>
  <c r="L8" i="7"/>
  <c r="Q8" i="7" s="1"/>
  <c r="L10" i="7"/>
  <c r="Q12" i="7" s="1"/>
  <c r="L13" i="7"/>
  <c r="Q17" i="7" s="1"/>
  <c r="I4" i="7"/>
  <c r="N4" i="7" s="1"/>
  <c r="S4" i="7" s="1"/>
  <c r="J4" i="7"/>
  <c r="O4" i="7" s="1"/>
  <c r="T4" i="7" s="1"/>
  <c r="G5" i="7"/>
  <c r="L5" i="7" s="1"/>
  <c r="Q5" i="7" s="1"/>
  <c r="G6" i="7"/>
  <c r="L6" i="7" s="1"/>
  <c r="Q6" i="7" s="1"/>
  <c r="O6" i="7"/>
  <c r="G7" i="7"/>
  <c r="L7" i="7" s="1"/>
  <c r="Q7" i="7" s="1"/>
  <c r="T12" i="7"/>
  <c r="G11" i="7"/>
  <c r="L11" i="7" s="1"/>
  <c r="Q14" i="7" s="1"/>
  <c r="G12" i="7"/>
  <c r="L12" i="7" s="1"/>
  <c r="Q15" i="7" s="1"/>
  <c r="O12" i="7"/>
  <c r="T15" i="7" s="1"/>
  <c r="O13" i="7"/>
  <c r="T17" i="7" s="1"/>
  <c r="D20" i="6" l="1"/>
  <c r="O9" i="6" l="1"/>
  <c r="C14" i="6" s="1"/>
  <c r="E18" i="5"/>
  <c r="D18" i="5"/>
  <c r="F10" i="5"/>
  <c r="D10" i="5"/>
  <c r="G18" i="5" l="1"/>
  <c r="C20" i="6"/>
  <c r="E18" i="6"/>
  <c r="G16" i="6"/>
  <c r="G18" i="6" l="1"/>
  <c r="E20" i="6"/>
  <c r="E16" i="4" l="1"/>
  <c r="F9" i="4"/>
  <c r="D9" i="4"/>
  <c r="F10" i="3"/>
  <c r="D10" i="3"/>
  <c r="C10" i="3"/>
  <c r="F9" i="3"/>
  <c r="D9" i="3"/>
  <c r="C9" i="3"/>
  <c r="D9" i="2" l="1"/>
  <c r="C10" i="2"/>
  <c r="D10" i="2"/>
  <c r="F10" i="2"/>
  <c r="C11" i="2"/>
  <c r="D11" i="2"/>
  <c r="F11" i="2"/>
  <c r="F9" i="2"/>
  <c r="E9" i="2"/>
  <c r="E13" i="2" s="1"/>
  <c r="E14" i="2" s="1"/>
  <c r="C9" i="2"/>
  <c r="E9" i="1"/>
  <c r="E5" i="1" s="1"/>
  <c r="D18" i="1"/>
  <c r="G18" i="1" s="1"/>
  <c r="E13" i="1" s="1"/>
  <c r="F6" i="6"/>
  <c r="D6" i="6"/>
  <c r="E10" i="1" l="1"/>
  <c r="F24" i="1"/>
  <c r="E9" i="4"/>
  <c r="E11" i="4" s="1"/>
  <c r="E9" i="5" s="1"/>
  <c r="E7" i="2"/>
  <c r="E9" i="3"/>
  <c r="E12" i="3" s="1"/>
  <c r="F17" i="3" s="1"/>
  <c r="E10" i="2"/>
  <c r="E15" i="2" s="1"/>
  <c r="E14" i="1"/>
  <c r="E11" i="2" s="1"/>
  <c r="I9" i="1" l="1"/>
  <c r="E7" i="4"/>
  <c r="F23" i="4"/>
  <c r="J10" i="4"/>
  <c r="E13" i="5"/>
  <c r="E5" i="6" s="1"/>
  <c r="E10" i="5"/>
  <c r="E11" i="5" s="1"/>
  <c r="E16" i="2"/>
  <c r="G15" i="2" s="1"/>
  <c r="E5" i="2" s="1"/>
  <c r="F29" i="2"/>
  <c r="F24" i="2" l="1"/>
  <c r="E7" i="5"/>
  <c r="E17" i="2"/>
  <c r="J8" i="2" s="1"/>
  <c r="E6" i="6"/>
  <c r="E7" i="6"/>
  <c r="E9" i="6" l="1"/>
  <c r="D7" i="7" s="1"/>
  <c r="I6" i="7" s="1"/>
  <c r="N6" i="7" s="1"/>
  <c r="E10" i="3"/>
  <c r="E7" i="3" s="1"/>
  <c r="F15" i="3" s="1"/>
  <c r="F20" i="3" s="1"/>
  <c r="F25" i="5"/>
  <c r="J11" i="5"/>
  <c r="G17" i="2"/>
  <c r="D6" i="7" l="1"/>
  <c r="D8" i="7"/>
  <c r="I7" i="7" s="1"/>
  <c r="N7" i="7" s="1"/>
  <c r="S7" i="7" s="1"/>
  <c r="I9" i="7"/>
  <c r="N8" i="7" s="1"/>
  <c r="S8" i="7" s="1"/>
  <c r="I10" i="7"/>
  <c r="I8" i="7"/>
  <c r="N9" i="7" s="1"/>
  <c r="S11" i="7" s="1"/>
  <c r="I13" i="7"/>
  <c r="N13" i="7" s="1"/>
  <c r="S17" i="7" s="1"/>
  <c r="S6" i="7"/>
  <c r="AC17" i="7" l="1"/>
  <c r="AK17" i="7"/>
  <c r="AN17" i="7"/>
  <c r="AE17" i="7"/>
  <c r="AM17" i="7"/>
  <c r="Y17" i="7"/>
  <c r="AG17" i="7"/>
  <c r="AO17" i="7"/>
  <c r="X17" i="7"/>
  <c r="W17" i="7"/>
  <c r="AH17" i="7"/>
  <c r="AB17" i="7"/>
  <c r="AF17" i="7"/>
  <c r="Z17" i="7"/>
  <c r="AP17" i="7"/>
  <c r="AR17" i="7"/>
  <c r="AL17" i="7"/>
  <c r="AA17" i="7"/>
  <c r="AI17" i="7"/>
  <c r="AQ17" i="7"/>
  <c r="AJ17" i="7"/>
  <c r="AD17" i="7"/>
  <c r="Y6" i="7"/>
  <c r="AG6" i="7"/>
  <c r="AO6" i="7"/>
  <c r="Z6" i="7"/>
  <c r="AH6" i="7"/>
  <c r="AP6" i="7"/>
  <c r="AA6" i="7"/>
  <c r="AI6" i="7"/>
  <c r="AQ6" i="7"/>
  <c r="AB6" i="7"/>
  <c r="AJ6" i="7"/>
  <c r="AR6" i="7"/>
  <c r="X6" i="7"/>
  <c r="AC6" i="7"/>
  <c r="AK6" i="7"/>
  <c r="AN6" i="7"/>
  <c r="AD6" i="7"/>
  <c r="AL6" i="7"/>
  <c r="AE6" i="7"/>
  <c r="AM6" i="7"/>
  <c r="AF6" i="7"/>
  <c r="W6" i="7"/>
  <c r="Y8" i="7"/>
  <c r="AG8" i="7"/>
  <c r="AO8" i="7"/>
  <c r="Z8" i="7"/>
  <c r="AH8" i="7"/>
  <c r="AP8" i="7"/>
  <c r="AA8" i="7"/>
  <c r="AI8" i="7"/>
  <c r="AQ8" i="7"/>
  <c r="AB8" i="7"/>
  <c r="AJ8" i="7"/>
  <c r="AR8" i="7"/>
  <c r="AC8" i="7"/>
  <c r="AK8" i="7"/>
  <c r="X8" i="7"/>
  <c r="AD8" i="7"/>
  <c r="AL8" i="7"/>
  <c r="AE8" i="7"/>
  <c r="AM8" i="7"/>
  <c r="AF8" i="7"/>
  <c r="AN8" i="7"/>
  <c r="W8" i="7"/>
  <c r="AC7" i="7"/>
  <c r="AK7" i="7"/>
  <c r="AD7" i="7"/>
  <c r="AL7" i="7"/>
  <c r="AE7" i="7"/>
  <c r="AM7" i="7"/>
  <c r="X7" i="7"/>
  <c r="W7" i="7"/>
  <c r="AF7" i="7"/>
  <c r="AN7" i="7"/>
  <c r="Y7" i="7"/>
  <c r="AG7" i="7"/>
  <c r="AO7" i="7"/>
  <c r="Z7" i="7"/>
  <c r="AH7" i="7"/>
  <c r="AP7" i="7"/>
  <c r="AB7" i="7"/>
  <c r="AA7" i="7"/>
  <c r="AI7" i="7"/>
  <c r="AQ7" i="7"/>
  <c r="AJ7" i="7"/>
  <c r="AR7" i="7"/>
  <c r="V17" i="7"/>
  <c r="N21" i="7"/>
  <c r="V6" i="7"/>
  <c r="V7" i="7"/>
  <c r="V8" i="7"/>
  <c r="N10" i="7"/>
  <c r="S12" i="7" s="1"/>
  <c r="S9" i="7"/>
  <c r="S10" i="7"/>
  <c r="S16" i="7"/>
  <c r="S13" i="7"/>
  <c r="AC12" i="7" l="1"/>
  <c r="AK12" i="7"/>
  <c r="AE12" i="7"/>
  <c r="AM12" i="7"/>
  <c r="AF12" i="7"/>
  <c r="AN12" i="7"/>
  <c r="Y12" i="7"/>
  <c r="AG12" i="7"/>
  <c r="AO12" i="7"/>
  <c r="AP12" i="7"/>
  <c r="X12" i="7"/>
  <c r="AJ12" i="7"/>
  <c r="Z12" i="7"/>
  <c r="AH12" i="7"/>
  <c r="AB12" i="7"/>
  <c r="AL12" i="7"/>
  <c r="AA12" i="7"/>
  <c r="AI12" i="7"/>
  <c r="AQ12" i="7"/>
  <c r="W12" i="7"/>
  <c r="AR12" i="7"/>
  <c r="AD12" i="7"/>
  <c r="Y10" i="7"/>
  <c r="AG10" i="7"/>
  <c r="AO10" i="7"/>
  <c r="Z10" i="7"/>
  <c r="AH10" i="7"/>
  <c r="AA10" i="7"/>
  <c r="AI10" i="7"/>
  <c r="AQ10" i="7"/>
  <c r="AB10" i="7"/>
  <c r="AJ10" i="7"/>
  <c r="AR10" i="7"/>
  <c r="AC10" i="7"/>
  <c r="AK10" i="7"/>
  <c r="AF10" i="7"/>
  <c r="AP10" i="7"/>
  <c r="AD10" i="7"/>
  <c r="AL10" i="7"/>
  <c r="AE10" i="7"/>
  <c r="AE19" i="7" s="1"/>
  <c r="AE20" i="7" s="1"/>
  <c r="AM10" i="7"/>
  <c r="X10" i="7"/>
  <c r="AN10" i="7"/>
  <c r="W10" i="7"/>
  <c r="AC9" i="7"/>
  <c r="AK9" i="7"/>
  <c r="X9" i="7"/>
  <c r="X19" i="7" s="1"/>
  <c r="X20" i="7" s="1"/>
  <c r="W9" i="7"/>
  <c r="AD9" i="7"/>
  <c r="AL9" i="7"/>
  <c r="AE9" i="7"/>
  <c r="AM9" i="7"/>
  <c r="AF9" i="7"/>
  <c r="AN9" i="7"/>
  <c r="Y9" i="7"/>
  <c r="Y19" i="7" s="1"/>
  <c r="Y20" i="7" s="1"/>
  <c r="AG9" i="7"/>
  <c r="AO9" i="7"/>
  <c r="AB9" i="7"/>
  <c r="Z9" i="7"/>
  <c r="AH9" i="7"/>
  <c r="AP9" i="7"/>
  <c r="AA9" i="7"/>
  <c r="AI9" i="7"/>
  <c r="AI19" i="7" s="1"/>
  <c r="AI20" i="7" s="1"/>
  <c r="AQ9" i="7"/>
  <c r="AJ9" i="7"/>
  <c r="AR9" i="7"/>
  <c r="Y13" i="7"/>
  <c r="AG13" i="7"/>
  <c r="AO13" i="7"/>
  <c r="Z13" i="7"/>
  <c r="AH13" i="7"/>
  <c r="AA13" i="7"/>
  <c r="AI13" i="7"/>
  <c r="AQ13" i="7"/>
  <c r="AB13" i="7"/>
  <c r="AJ13" i="7"/>
  <c r="AR13" i="7"/>
  <c r="AR19" i="7" s="1"/>
  <c r="AR20" i="7" s="1"/>
  <c r="AC13" i="7"/>
  <c r="AK13" i="7"/>
  <c r="AF13" i="7"/>
  <c r="X13" i="7"/>
  <c r="AP13" i="7"/>
  <c r="AD13" i="7"/>
  <c r="AL13" i="7"/>
  <c r="W13" i="7"/>
  <c r="AE13" i="7"/>
  <c r="AM13" i="7"/>
  <c r="AM19" i="7" s="1"/>
  <c r="AM20" i="7" s="1"/>
  <c r="AN13" i="7"/>
  <c r="V9" i="7"/>
  <c r="V12" i="7"/>
  <c r="V13" i="7"/>
  <c r="Q18" i="7"/>
  <c r="S20" i="7"/>
  <c r="V10" i="7"/>
  <c r="AN19" i="7" l="1"/>
  <c r="AN20" i="7" s="1"/>
  <c r="AA19" i="7"/>
  <c r="AA20" i="7" s="1"/>
  <c r="AO19" i="7"/>
  <c r="AO20" i="7" s="1"/>
  <c r="AP19" i="7"/>
  <c r="AP20" i="7" s="1"/>
  <c r="AC19" i="7"/>
  <c r="AC20" i="7" s="1"/>
  <c r="AH19" i="7"/>
  <c r="AH20" i="7" s="1"/>
  <c r="AK19" i="7"/>
  <c r="AK20" i="7" s="1"/>
  <c r="AB19" i="7"/>
  <c r="AB20" i="7" s="1"/>
  <c r="AL19" i="7"/>
  <c r="AL20" i="7" s="1"/>
  <c r="AJ19" i="7"/>
  <c r="AJ20" i="7" s="1"/>
  <c r="AD19" i="7"/>
  <c r="AD20" i="7" s="1"/>
  <c r="Z19" i="7"/>
  <c r="Z20" i="7" s="1"/>
  <c r="AF19" i="7"/>
  <c r="AF20" i="7" s="1"/>
  <c r="AQ19" i="7"/>
  <c r="AQ20" i="7" s="1"/>
  <c r="AG19" i="7"/>
  <c r="AG20" i="7" s="1"/>
  <c r="W19" i="7"/>
  <c r="W20" i="7" s="1"/>
  <c r="V19" i="7"/>
  <c r="V20" i="7" s="1"/>
</calcChain>
</file>

<file path=xl/sharedStrings.xml><?xml version="1.0" encoding="utf-8"?>
<sst xmlns="http://schemas.openxmlformats.org/spreadsheetml/2006/main" count="368" uniqueCount="97">
  <si>
    <t>Inputs from nature</t>
  </si>
  <si>
    <t>Flow name</t>
  </si>
  <si>
    <t>Category</t>
  </si>
  <si>
    <t>Value</t>
  </si>
  <si>
    <t>Unit</t>
  </si>
  <si>
    <t>Notes/comments</t>
  </si>
  <si>
    <t>Outputs to nature</t>
  </si>
  <si>
    <t>H2O</t>
  </si>
  <si>
    <t>Resource/elementary</t>
  </si>
  <si>
    <t>kg</t>
  </si>
  <si>
    <t>Inputs from the technosphere</t>
  </si>
  <si>
    <t>Outputs to the technosphere</t>
  </si>
  <si>
    <t>Reaction</t>
  </si>
  <si>
    <t>--&gt;</t>
  </si>
  <si>
    <t>Energy consumption</t>
  </si>
  <si>
    <t>Heat</t>
  </si>
  <si>
    <t>total</t>
  </si>
  <si>
    <t>MJ</t>
  </si>
  <si>
    <t>NiSO4</t>
  </si>
  <si>
    <t>KOH</t>
  </si>
  <si>
    <t>2KOH</t>
  </si>
  <si>
    <t>Ni(OH)2</t>
  </si>
  <si>
    <t>K2SO4</t>
  </si>
  <si>
    <t>20% extra</t>
  </si>
  <si>
    <t>in water (25℃)</t>
  </si>
  <si>
    <t>latent heat of evaporating water</t>
  </si>
  <si>
    <t>kJ/kg</t>
  </si>
  <si>
    <t>product</t>
  </si>
  <si>
    <t>Electricity</t>
  </si>
  <si>
    <t>kWh/kg solid</t>
  </si>
  <si>
    <t xml:space="preserve"> pressure filtration</t>
  </si>
  <si>
    <t>kWh</t>
  </si>
  <si>
    <t>unit consumption of flash drying</t>
  </si>
  <si>
    <t>kJ/kg water</t>
  </si>
  <si>
    <t>4500-9000, Handbook of industrial drying</t>
  </si>
  <si>
    <t>water mass for drying</t>
  </si>
  <si>
    <t>water mass for crystallization</t>
  </si>
  <si>
    <t>unit consumption of pressure filtration</t>
  </si>
  <si>
    <t>water remains is of the same volume of K2SO4</t>
  </si>
  <si>
    <t>NiO</t>
  </si>
  <si>
    <t>heat capacity of Ni(OH)2</t>
  </si>
  <si>
    <t>J/mol/K</t>
  </si>
  <si>
    <t>HNO3</t>
  </si>
  <si>
    <t>2HNO3</t>
  </si>
  <si>
    <t>5H2O</t>
  </si>
  <si>
    <t>Ni(NO3)2·6H2O</t>
  </si>
  <si>
    <t>mass 50%</t>
  </si>
  <si>
    <t>NiOx precursor solution</t>
  </si>
  <si>
    <t>ethylene glycol</t>
  </si>
  <si>
    <t>ethylenediamine</t>
  </si>
  <si>
    <t>(NiOx ink)</t>
  </si>
  <si>
    <t xml:space="preserve">estimated according to Std molar entropy </t>
  </si>
  <si>
    <t>[Ni(en)2](HCO2)2; en=H2N(CH2)2NH2</t>
  </si>
  <si>
    <t>g</t>
  </si>
  <si>
    <t>ml</t>
  </si>
  <si>
    <t>unit</t>
  </si>
  <si>
    <t>dissolve</t>
  </si>
  <si>
    <t>density (g/cm3)</t>
  </si>
  <si>
    <t>-</t>
  </si>
  <si>
    <t>mol</t>
  </si>
  <si>
    <t>molar mass</t>
  </si>
  <si>
    <t>[Ni(en)2](HCO2)2</t>
  </si>
  <si>
    <t>M</t>
  </si>
  <si>
    <t>1M solution</t>
  </si>
  <si>
    <t>Steirer, K. X.; Richards, R. E.; Sigdel, A. K.; Garcia, A.; Ndione, P. F.; Hammond, S.; Baker, D.; Ratcliff, E. L.; Curtis, C.; Furtak, T. Nickel oxide interlayer films from nickel formate–ethylenediamine precursor: influence of annealing on thin film properties and photovoltaic device performance. Journal of Materials Chemistry A 2015, 3, (20), 10949-10958.</t>
  </si>
  <si>
    <t>reference</t>
  </si>
  <si>
    <t>process input</t>
  </si>
  <si>
    <t>HNO3 (50%)</t>
  </si>
  <si>
    <t>electricity</t>
  </si>
  <si>
    <t>process output</t>
  </si>
  <si>
    <t>waste water</t>
  </si>
  <si>
    <t>heat</t>
  </si>
  <si>
    <t>Greenhouse gas (kg CO2-eq)</t>
  </si>
  <si>
    <t>Cumulative energy demand (MJ-eq)</t>
  </si>
  <si>
    <t xml:space="preserve">ReCiPe Midpoint (E) </t>
  </si>
  <si>
    <t>ReCiPe Endpoint (E,A)</t>
  </si>
  <si>
    <t>agricultural land occupation</t>
  </si>
  <si>
    <t>climate change</t>
  </si>
  <si>
    <t>fossil depletion</t>
  </si>
  <si>
    <t>freshwater ecotoxicity</t>
  </si>
  <si>
    <t>freshwater eutrophication</t>
  </si>
  <si>
    <t>human toxicity</t>
  </si>
  <si>
    <t>ionising radiation</t>
  </si>
  <si>
    <t>marine ecotoxicity</t>
  </si>
  <si>
    <t>marine eutrophication</t>
  </si>
  <si>
    <t>metal depletion</t>
  </si>
  <si>
    <t>natural land transformation</t>
  </si>
  <si>
    <t>ozone depletion</t>
  </si>
  <si>
    <t>particulate matter formation</t>
  </si>
  <si>
    <t>photochemical oxidant formation</t>
  </si>
  <si>
    <t>terrestrial acidification</t>
  </si>
  <si>
    <t>terrestrial ecotoxicity</t>
  </si>
  <si>
    <t>urban land occupation</t>
  </si>
  <si>
    <t>water depletion</t>
  </si>
  <si>
    <t>ecosystem quality</t>
  </si>
  <si>
    <t>human health</t>
  </si>
  <si>
    <t>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</si>
</sst>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General"/>
    <numFmt numFmtId="165" formatCode="0.000E+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7030A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164" fontId="0" fillId="0" borderId="0"/>
    <xf numFmtId="164" fontId="3" fillId="0" borderId="0"/>
    <xf numFmtId="164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57">
    <xf numFmtId="164" fontId="0" fillId="0" borderId="0" xfId="0"/>
    <xf numFmtId="164" fontId="4" fillId="0" borderId="0" xfId="1" applyFont="1" applyBorder="1"/>
    <xf numFmtId="164" fontId="0" fillId="0" borderId="0" xfId="0" applyBorder="1"/>
    <xf numFmtId="164" fontId="0" fillId="0" borderId="0" xfId="1" applyFont="1" applyBorder="1"/>
    <xf numFmtId="164" fontId="0" fillId="0" borderId="0" xfId="0" applyFill="1" applyBorder="1"/>
    <xf numFmtId="164" fontId="1" fillId="0" borderId="0" xfId="0" applyFont="1" applyBorder="1"/>
    <xf numFmtId="164" fontId="0" fillId="0" borderId="0" xfId="1" applyFont="1" applyFill="1" applyBorder="1"/>
    <xf numFmtId="164" fontId="2" fillId="0" borderId="0" xfId="0" applyFont="1" applyBorder="1"/>
    <xf numFmtId="164" fontId="0" fillId="0" borderId="0" xfId="0" applyBorder="1" applyAlignment="1">
      <alignment horizontal="center" vertical="center"/>
    </xf>
    <xf numFmtId="164" fontId="3" fillId="0" borderId="0" xfId="1" applyFont="1" applyFill="1" applyBorder="1"/>
    <xf numFmtId="164" fontId="0" fillId="0" borderId="1" xfId="0" applyFill="1" applyBorder="1"/>
    <xf numFmtId="164" fontId="0" fillId="0" borderId="1" xfId="0" applyBorder="1"/>
    <xf numFmtId="164" fontId="3" fillId="0" borderId="0" xfId="1" applyFont="1" applyBorder="1"/>
    <xf numFmtId="164" fontId="2" fillId="0" borderId="0" xfId="0" applyFont="1"/>
    <xf numFmtId="164" fontId="0" fillId="0" borderId="0" xfId="0" applyFont="1"/>
    <xf numFmtId="164" fontId="0" fillId="0" borderId="0" xfId="0" applyFont="1" applyBorder="1"/>
    <xf numFmtId="164" fontId="0" fillId="0" borderId="0" xfId="0" applyNumberFormat="1" applyBorder="1"/>
    <xf numFmtId="164" fontId="0" fillId="0" borderId="0" xfId="0" applyFont="1" applyFill="1" applyBorder="1"/>
    <xf numFmtId="164" fontId="0" fillId="0" borderId="0" xfId="0" applyAlignment="1">
      <alignment horizontal="center"/>
    </xf>
    <xf numFmtId="164" fontId="0" fillId="0" borderId="2" xfId="0" applyBorder="1" applyAlignment="1">
      <alignment horizontal="center"/>
    </xf>
    <xf numFmtId="164" fontId="0" fillId="0" borderId="3" xfId="0" applyBorder="1" applyAlignment="1">
      <alignment horizontal="center"/>
    </xf>
    <xf numFmtId="164" fontId="0" fillId="0" borderId="4" xfId="0" applyBorder="1" applyAlignment="1">
      <alignment horizontal="center"/>
    </xf>
    <xf numFmtId="164" fontId="0" fillId="0" borderId="5" xfId="0" applyBorder="1" applyAlignment="1">
      <alignment horizontal="center"/>
    </xf>
    <xf numFmtId="164" fontId="0" fillId="0" borderId="1" xfId="0" applyBorder="1" applyAlignment="1">
      <alignment horizontal="center"/>
    </xf>
    <xf numFmtId="164" fontId="0" fillId="0" borderId="6" xfId="0" applyBorder="1" applyAlignment="1">
      <alignment horizontal="center"/>
    </xf>
    <xf numFmtId="164" fontId="1" fillId="0" borderId="0" xfId="0" applyFont="1" applyFill="1" applyBorder="1"/>
    <xf numFmtId="164" fontId="5" fillId="0" borderId="0" xfId="0" applyFont="1"/>
    <xf numFmtId="164" fontId="5" fillId="0" borderId="0" xfId="0" applyFont="1" applyFill="1" applyBorder="1"/>
    <xf numFmtId="164" fontId="1" fillId="0" borderId="0" xfId="0" applyFont="1"/>
    <xf numFmtId="164" fontId="6" fillId="0" borderId="0" xfId="0" applyFont="1"/>
    <xf numFmtId="164" fontId="7" fillId="0" borderId="0" xfId="1" applyFont="1" applyBorder="1"/>
    <xf numFmtId="164" fontId="6" fillId="0" borderId="0" xfId="0" applyFont="1" applyBorder="1"/>
    <xf numFmtId="164" fontId="0" fillId="0" borderId="0" xfId="0" applyBorder="1"/>
    <xf numFmtId="165" fontId="0" fillId="0" borderId="0" xfId="0" applyNumberFormat="1"/>
    <xf numFmtId="164" fontId="0" fillId="0" borderId="7" xfId="0" applyBorder="1"/>
    <xf numFmtId="164" fontId="0" fillId="0" borderId="8" xfId="0" applyBorder="1"/>
    <xf numFmtId="165" fontId="0" fillId="0" borderId="8" xfId="0" applyNumberFormat="1" applyBorder="1"/>
    <xf numFmtId="164" fontId="0" fillId="0" borderId="9" xfId="0" applyBorder="1"/>
    <xf numFmtId="164" fontId="2" fillId="0" borderId="10" xfId="0" applyFont="1" applyBorder="1"/>
    <xf numFmtId="165" fontId="0" fillId="0" borderId="0" xfId="0" applyNumberFormat="1" applyBorder="1"/>
    <xf numFmtId="164" fontId="0" fillId="0" borderId="11" xfId="0" applyBorder="1"/>
    <xf numFmtId="164" fontId="0" fillId="0" borderId="10" xfId="0" applyBorder="1"/>
    <xf numFmtId="164" fontId="3" fillId="0" borderId="10" xfId="1" applyFont="1" applyFill="1" applyBorder="1"/>
    <xf numFmtId="164" fontId="1" fillId="0" borderId="10" xfId="0" applyFont="1" applyBorder="1"/>
    <xf numFmtId="164" fontId="5" fillId="0" borderId="10" xfId="0" applyFont="1" applyBorder="1"/>
    <xf numFmtId="164" fontId="0" fillId="0" borderId="12" xfId="0" applyBorder="1"/>
    <xf numFmtId="164" fontId="0" fillId="0" borderId="13" xfId="0" applyBorder="1"/>
    <xf numFmtId="165" fontId="0" fillId="0" borderId="13" xfId="0" applyNumberFormat="1" applyBorder="1"/>
    <xf numFmtId="164" fontId="0" fillId="0" borderId="14" xfId="0" applyBorder="1"/>
    <xf numFmtId="165" fontId="8" fillId="2" borderId="0" xfId="2" applyNumberFormat="1"/>
    <xf numFmtId="164" fontId="9" fillId="3" borderId="0" xfId="3" applyNumberFormat="1"/>
    <xf numFmtId="164" fontId="8" fillId="2" borderId="0" xfId="2" applyBorder="1"/>
    <xf numFmtId="164" fontId="8" fillId="2" borderId="0" xfId="2"/>
    <xf numFmtId="165" fontId="10" fillId="0" borderId="0" xfId="0" applyNumberFormat="1" applyFont="1" applyAlignment="1">
      <alignment horizontal="center" vertical="center"/>
    </xf>
    <xf numFmtId="164" fontId="10" fillId="0" borderId="0" xfId="0" applyFont="1" applyAlignment="1">
      <alignment horizontal="center"/>
    </xf>
    <xf numFmtId="164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 vertical="center"/>
    </xf>
  </cellXfs>
  <cellStyles count="4">
    <cellStyle name="Bad" xfId="3" builtinId="27"/>
    <cellStyle name="Excel Built-in Normal" xfId="1" xr:uid="{00000000-0005-0000-0000-000001000000}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_Raw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"/>
      <sheetName val="production-alphabetical"/>
      <sheetName val="direct emissions"/>
      <sheetName val="Jian's"/>
    </sheetNames>
    <sheetDataSet>
      <sheetData sheetId="0">
        <row r="3">
          <cell r="D3">
            <v>2.4752999999999998</v>
          </cell>
          <cell r="M3">
            <v>20.685313700000005</v>
          </cell>
          <cell r="N3">
            <v>8.8877999999999999E-2</v>
          </cell>
          <cell r="O3">
            <v>2.2648999999999999</v>
          </cell>
          <cell r="P3">
            <v>0.39137</v>
          </cell>
          <cell r="Q3">
            <v>3.4606999999999999E-2</v>
          </cell>
          <cell r="R3">
            <v>1.4064E-2</v>
          </cell>
          <cell r="S3">
            <v>31.951000000000001</v>
          </cell>
          <cell r="T3">
            <v>0.15866</v>
          </cell>
          <cell r="U3">
            <v>31.074999999999999</v>
          </cell>
          <cell r="V3">
            <v>0.13034999999999999</v>
          </cell>
          <cell r="W3">
            <v>0.17466000000000001</v>
          </cell>
          <cell r="X3">
            <v>1.8164E-4</v>
          </cell>
          <cell r="Y3">
            <v>1.8353E-7</v>
          </cell>
          <cell r="Z3">
            <v>5.0572000000000004E-3</v>
          </cell>
          <cell r="AA3">
            <v>5.9461000000000002E-3</v>
          </cell>
          <cell r="AB3">
            <v>1.0370000000000001E-2</v>
          </cell>
          <cell r="AC3">
            <v>1.3814999999999999E-3</v>
          </cell>
          <cell r="AD3">
            <v>2.3361E-2</v>
          </cell>
          <cell r="AE3">
            <v>1.0649E-2</v>
          </cell>
          <cell r="AF3">
            <v>0.10145</v>
          </cell>
          <cell r="AG3">
            <v>0.30706</v>
          </cell>
          <cell r="AH3">
            <v>5.5032999999999999E-2</v>
          </cell>
        </row>
        <row r="6">
          <cell r="D6">
            <v>2.2629E-2</v>
          </cell>
          <cell r="M6">
            <v>1.1301142500000001</v>
          </cell>
          <cell r="N6">
            <v>0.11215</v>
          </cell>
          <cell r="O6">
            <v>1.8582999999999999E-2</v>
          </cell>
          <cell r="P6">
            <v>6.3794000000000003E-3</v>
          </cell>
          <cell r="Q6">
            <v>4.3543999999999999E-4</v>
          </cell>
          <cell r="R6">
            <v>1.0402E-5</v>
          </cell>
          <cell r="S6">
            <v>0.53217000000000003</v>
          </cell>
          <cell r="T6">
            <v>1.8257E-3</v>
          </cell>
          <cell r="U6">
            <v>0.35271000000000002</v>
          </cell>
          <cell r="V6">
            <v>1.2266999999999999E-4</v>
          </cell>
          <cell r="W6">
            <v>1.1761E-3</v>
          </cell>
          <cell r="X6">
            <v>6.0975999999999999E-6</v>
          </cell>
          <cell r="Y6">
            <v>1.7740999999999999E-9</v>
          </cell>
          <cell r="Z6">
            <v>2.3971999999999999E-4</v>
          </cell>
          <cell r="AA6">
            <v>4.1580000000000002E-4</v>
          </cell>
          <cell r="AB6">
            <v>3.101E-4</v>
          </cell>
          <cell r="AC6">
            <v>7.4307999999999994E-5</v>
          </cell>
          <cell r="AD6">
            <v>1.7539999999999999E-3</v>
          </cell>
          <cell r="AE6">
            <v>5.7485999999999998E-5</v>
          </cell>
          <cell r="AF6">
            <v>3.9671000000000003E-3</v>
          </cell>
          <cell r="AG6">
            <v>4.5497000000000003E-3</v>
          </cell>
          <cell r="AH6">
            <v>8.1945E-4</v>
          </cell>
        </row>
        <row r="7">
          <cell r="D7">
            <v>0.70992</v>
          </cell>
          <cell r="M7">
            <v>12.491602724200002</v>
          </cell>
          <cell r="N7">
            <v>8.1276999999999999E-4</v>
          </cell>
          <cell r="O7">
            <v>0.66998999999999997</v>
          </cell>
          <cell r="P7">
            <v>0.2959</v>
          </cell>
          <cell r="Q7">
            <v>2.5509999999999999E-3</v>
          </cell>
          <cell r="R7">
            <v>1.2449000000000001E-5</v>
          </cell>
          <cell r="S7">
            <v>5.2184999999999997</v>
          </cell>
          <cell r="T7">
            <v>4.2230000000000002E-3</v>
          </cell>
          <cell r="U7">
            <v>1.5693999999999999</v>
          </cell>
          <cell r="V7">
            <v>6.1474999999999995E-4</v>
          </cell>
          <cell r="W7">
            <v>2.9989999999999999E-3</v>
          </cell>
          <cell r="X7">
            <v>1.1035E-4</v>
          </cell>
          <cell r="Y7">
            <v>5.9294000000000001E-8</v>
          </cell>
          <cell r="Z7">
            <v>7.4861999999999997E-4</v>
          </cell>
          <cell r="AA7">
            <v>2.0135999999999999E-3</v>
          </cell>
          <cell r="AB7">
            <v>2.8999999999999998E-3</v>
          </cell>
          <cell r="AC7">
            <v>5.1903000000000001E-5</v>
          </cell>
          <cell r="AD7">
            <v>3.2011000000000002E-4</v>
          </cell>
          <cell r="AE7">
            <v>8.0185999999999994E-5</v>
          </cell>
          <cell r="AF7">
            <v>1.9613999999999999E-2</v>
          </cell>
          <cell r="AG7">
            <v>6.0482000000000001E-2</v>
          </cell>
          <cell r="AH7">
            <v>3.5621E-2</v>
          </cell>
        </row>
        <row r="12">
          <cell r="D12">
            <v>2.9136000000000002</v>
          </cell>
          <cell r="M12">
            <v>13.026392991000002</v>
          </cell>
          <cell r="N12">
            <v>2.5089E-2</v>
          </cell>
          <cell r="O12">
            <v>1.9430000000000001</v>
          </cell>
          <cell r="P12">
            <v>0.29747000000000001</v>
          </cell>
          <cell r="Q12">
            <v>7.9267999999999995E-3</v>
          </cell>
          <cell r="R12">
            <v>1.65E-4</v>
          </cell>
          <cell r="S12">
            <v>14.057</v>
          </cell>
          <cell r="T12">
            <v>3.6540000000000003E-2</v>
          </cell>
          <cell r="U12">
            <v>9.8348999999999993</v>
          </cell>
          <cell r="V12">
            <v>2.6208999999999998E-3</v>
          </cell>
          <cell r="W12">
            <v>6.9306000000000006E-2</v>
          </cell>
          <cell r="X12">
            <v>2.0626999999999999E-4</v>
          </cell>
          <cell r="Y12">
            <v>1.0174999999999999E-7</v>
          </cell>
          <cell r="Z12">
            <v>3.0606000000000001E-3</v>
          </cell>
          <cell r="AA12">
            <v>6.2099E-3</v>
          </cell>
          <cell r="AB12">
            <v>1.4017E-2</v>
          </cell>
          <cell r="AC12">
            <v>1.3783999999999999E-3</v>
          </cell>
          <cell r="AD12">
            <v>4.5018000000000002E-3</v>
          </cell>
          <cell r="AE12">
            <v>6.7748999999999999E-4</v>
          </cell>
          <cell r="AF12">
            <v>6.3320000000000001E-2</v>
          </cell>
          <cell r="AG12">
            <v>0.17047999999999999</v>
          </cell>
          <cell r="AH12">
            <v>3.8866999999999999E-2</v>
          </cell>
        </row>
        <row r="27">
          <cell r="D27">
            <v>2.3647</v>
          </cell>
          <cell r="M27">
            <v>32.051380479999999</v>
          </cell>
          <cell r="N27">
            <v>0.13012000000000001</v>
          </cell>
          <cell r="O27">
            <v>2.1821999999999999</v>
          </cell>
          <cell r="P27">
            <v>0.64151000000000002</v>
          </cell>
          <cell r="Q27">
            <v>2.9717E-2</v>
          </cell>
          <cell r="R27">
            <v>1.0861E-3</v>
          </cell>
          <cell r="S27">
            <v>44.917000000000002</v>
          </cell>
          <cell r="T27">
            <v>0.18401999999999999</v>
          </cell>
          <cell r="U27">
            <v>35.247</v>
          </cell>
          <cell r="V27">
            <v>2.1321000000000001E-3</v>
          </cell>
          <cell r="W27">
            <v>0.1094</v>
          </cell>
          <cell r="X27">
            <v>1.9057000000000001E-4</v>
          </cell>
          <cell r="Y27">
            <v>1.3227000000000001E-7</v>
          </cell>
          <cell r="Z27">
            <v>6.8122E-3</v>
          </cell>
          <cell r="AA27">
            <v>6.2151000000000003E-3</v>
          </cell>
          <cell r="AB27">
            <v>1.2237E-2</v>
          </cell>
          <cell r="AC27">
            <v>1.2792999999999999E-3</v>
          </cell>
          <cell r="AD27">
            <v>2.9655999999999998E-2</v>
          </cell>
          <cell r="AE27">
            <v>1.1338000000000001E-2</v>
          </cell>
          <cell r="AF27">
            <v>9.9657999999999997E-2</v>
          </cell>
          <cell r="AG27">
            <v>0.39735999999999999</v>
          </cell>
          <cell r="AH27">
            <v>8.2004999999999995E-2</v>
          </cell>
        </row>
        <row r="31">
          <cell r="D31">
            <v>1.9867999999999999</v>
          </cell>
          <cell r="M31">
            <v>53.909321229999996</v>
          </cell>
          <cell r="N31">
            <v>7.4703000000000006E-2</v>
          </cell>
          <cell r="O31">
            <v>1.7703</v>
          </cell>
          <cell r="P31">
            <v>1.1696</v>
          </cell>
          <cell r="Q31">
            <v>1.8779000000000001E-2</v>
          </cell>
          <cell r="R31">
            <v>6.4269999999999996E-4</v>
          </cell>
          <cell r="S31">
            <v>27.893999999999998</v>
          </cell>
          <cell r="T31">
            <v>0.14427000000000001</v>
          </cell>
          <cell r="U31">
            <v>22.221</v>
          </cell>
          <cell r="V31">
            <v>1.5307999999999999E-3</v>
          </cell>
          <cell r="W31">
            <v>9.6407000000000007E-2</v>
          </cell>
          <cell r="X31">
            <v>1.3876000000000001E-4</v>
          </cell>
          <cell r="Y31">
            <v>6.8133000000000005E-8</v>
          </cell>
          <cell r="Z31">
            <v>3.8861E-3</v>
          </cell>
          <cell r="AA31">
            <v>6.0781000000000003E-3</v>
          </cell>
          <cell r="AB31">
            <v>7.6238E-3</v>
          </cell>
          <cell r="AC31">
            <v>8.8781999999999999E-4</v>
          </cell>
          <cell r="AD31">
            <v>1.1065999999999999E-2</v>
          </cell>
          <cell r="AE31">
            <v>4.0603999999999996E-3</v>
          </cell>
          <cell r="AF31">
            <v>7.0973999999999995E-2</v>
          </cell>
          <cell r="AG31">
            <v>0.26124000000000003</v>
          </cell>
          <cell r="AH31">
            <v>0.14473</v>
          </cell>
        </row>
        <row r="32">
          <cell r="D32">
            <v>6.1360999999999999</v>
          </cell>
          <cell r="M32">
            <v>118.56585688999999</v>
          </cell>
          <cell r="N32">
            <v>0.30498999999999998</v>
          </cell>
          <cell r="O32">
            <v>5.6616999999999997</v>
          </cell>
          <cell r="P32">
            <v>2.4361000000000002</v>
          </cell>
          <cell r="Q32">
            <v>8.1397999999999998E-2</v>
          </cell>
          <cell r="R32">
            <v>2.5544000000000001E-3</v>
          </cell>
          <cell r="S32">
            <v>116.93</v>
          </cell>
          <cell r="T32">
            <v>0.64032</v>
          </cell>
          <cell r="U32">
            <v>91.072999999999993</v>
          </cell>
          <cell r="V32">
            <v>1.7406000000000001E-2</v>
          </cell>
          <cell r="W32">
            <v>0.37739</v>
          </cell>
          <cell r="X32">
            <v>9.634E-4</v>
          </cell>
          <cell r="Y32">
            <v>2.2346000000000002E-6</v>
          </cell>
          <cell r="Z32">
            <v>1.5311E-2</v>
          </cell>
          <cell r="AA32">
            <v>1.6882999999999999E-2</v>
          </cell>
          <cell r="AB32">
            <v>3.3083000000000001E-2</v>
          </cell>
          <cell r="AC32">
            <v>3.9184999999999998E-2</v>
          </cell>
          <cell r="AD32">
            <v>5.1916999999999998E-2</v>
          </cell>
          <cell r="AE32">
            <v>1.5909E-2</v>
          </cell>
          <cell r="AF32">
            <v>0.25783</v>
          </cell>
          <cell r="AG32">
            <v>1.0309999999999999</v>
          </cell>
          <cell r="AH32">
            <v>0.30958999999999998</v>
          </cell>
        </row>
        <row r="33">
          <cell r="D33">
            <v>5.1813000000000002</v>
          </cell>
          <cell r="M33">
            <v>73.807047220000015</v>
          </cell>
          <cell r="N33">
            <v>0.32263999999999998</v>
          </cell>
          <cell r="O33">
            <v>4.8152999999999997</v>
          </cell>
          <cell r="P33">
            <v>1.355</v>
          </cell>
          <cell r="Q33">
            <v>0.88702000000000003</v>
          </cell>
          <cell r="R33">
            <v>1.298E-2</v>
          </cell>
          <cell r="S33">
            <v>965.08</v>
          </cell>
          <cell r="T33">
            <v>0.43030000000000002</v>
          </cell>
          <cell r="U33">
            <v>1035.2</v>
          </cell>
          <cell r="V33">
            <v>1.1969E-2</v>
          </cell>
          <cell r="W33">
            <v>15.218999999999999</v>
          </cell>
          <cell r="X33">
            <v>9.6186999999999998E-4</v>
          </cell>
          <cell r="Y33">
            <v>4.5838000000000001E-7</v>
          </cell>
          <cell r="Z33">
            <v>0.21959999999999999</v>
          </cell>
          <cell r="AA33">
            <v>0.10997</v>
          </cell>
          <cell r="AB33">
            <v>1.0190999999999999</v>
          </cell>
          <cell r="AC33">
            <v>3.2018999999999999E-2</v>
          </cell>
          <cell r="AD33">
            <v>0.11524</v>
          </cell>
          <cell r="AE33">
            <v>8.8092000000000004E-2</v>
          </cell>
          <cell r="AF33">
            <v>0.59216999999999997</v>
          </cell>
          <cell r="AG33">
            <v>7.3102</v>
          </cell>
          <cell r="AH33">
            <v>0.78900999999999999</v>
          </cell>
        </row>
        <row r="74">
          <cell r="D74">
            <v>1.7427E-3</v>
          </cell>
          <cell r="M74">
            <v>2.3977627160000001E-2</v>
          </cell>
          <cell r="N74">
            <v>8.0226000000000001E-5</v>
          </cell>
          <cell r="O74">
            <v>1.603E-3</v>
          </cell>
          <cell r="P74">
            <v>4.6108999999999999E-4</v>
          </cell>
          <cell r="Q74">
            <v>2.4029E-5</v>
          </cell>
          <cell r="R74">
            <v>8.5155000000000003E-7</v>
          </cell>
          <cell r="S74">
            <v>3.1862000000000001E-2</v>
          </cell>
          <cell r="T74">
            <v>1.739E-4</v>
          </cell>
          <cell r="U74">
            <v>2.7362999999999998E-2</v>
          </cell>
          <cell r="V74">
            <v>1.7167E-6</v>
          </cell>
          <cell r="W74">
            <v>1.1456E-4</v>
          </cell>
          <cell r="X74">
            <v>2.2113E-7</v>
          </cell>
          <cell r="Y74">
            <v>7.3037000000000003E-10</v>
          </cell>
          <cell r="Z74">
            <v>5.7030000000000003E-6</v>
          </cell>
          <cell r="AA74">
            <v>4.9044E-6</v>
          </cell>
          <cell r="AB74">
            <v>8.8248000000000006E-6</v>
          </cell>
          <cell r="AC74">
            <v>1.4250999999999999E-6</v>
          </cell>
          <cell r="AD74">
            <v>1.5262000000000001E-5</v>
          </cell>
          <cell r="AE74">
            <v>1.3097E-3</v>
          </cell>
          <cell r="AF74">
            <v>7.5106999999999998E-5</v>
          </cell>
          <cell r="AG74">
            <v>2.8687E-4</v>
          </cell>
          <cell r="AH74">
            <v>6.0606000000000002E-5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25"/>
  <sheetViews>
    <sheetView workbookViewId="0">
      <selection activeCell="E12" sqref="E12"/>
    </sheetView>
  </sheetViews>
  <sheetFormatPr defaultRowHeight="15" x14ac:dyDescent="0.25"/>
  <cols>
    <col min="2" max="2" width="29.5703125" customWidth="1"/>
    <col min="3" max="8" width="21.42578125" customWidth="1"/>
  </cols>
  <sheetData>
    <row r="4" spans="2:11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2"/>
      <c r="I4" s="2"/>
      <c r="J4" s="2"/>
      <c r="K4" s="2"/>
    </row>
    <row r="5" spans="2:11" x14ac:dyDescent="0.25">
      <c r="B5" s="2"/>
      <c r="C5" s="2" t="s">
        <v>7</v>
      </c>
      <c r="D5" s="3" t="s">
        <v>8</v>
      </c>
      <c r="E5" s="2">
        <f>E9/0.7*1.2</f>
        <v>2.8571428571428577</v>
      </c>
      <c r="F5" s="2" t="s">
        <v>9</v>
      </c>
      <c r="G5" s="4" t="s">
        <v>23</v>
      </c>
      <c r="H5" s="2"/>
      <c r="I5" s="2"/>
      <c r="J5" s="2"/>
      <c r="K5" s="2"/>
    </row>
    <row r="6" spans="2:11" x14ac:dyDescent="0.25">
      <c r="B6" s="1" t="s">
        <v>6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2"/>
      <c r="I6" s="2"/>
      <c r="J6" s="2"/>
      <c r="K6" s="2"/>
    </row>
    <row r="7" spans="2:11" x14ac:dyDescent="0.25">
      <c r="B7" s="2"/>
      <c r="C7" s="2"/>
      <c r="G7" s="2"/>
      <c r="H7" s="2"/>
      <c r="I7" s="2"/>
      <c r="J7" s="2"/>
      <c r="K7" s="2"/>
    </row>
    <row r="8" spans="2:11" x14ac:dyDescent="0.25">
      <c r="B8" s="1" t="s">
        <v>10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2"/>
      <c r="I8" s="2"/>
      <c r="J8" s="2"/>
      <c r="K8" s="2"/>
    </row>
    <row r="9" spans="2:11" x14ac:dyDescent="0.25">
      <c r="B9" s="2"/>
      <c r="C9" s="2" t="s">
        <v>18</v>
      </c>
      <c r="D9" s="32" t="s">
        <v>27</v>
      </c>
      <c r="E9" s="2">
        <f>E12/F18*C18</f>
        <v>1.6666666666666667</v>
      </c>
      <c r="F9" s="2" t="s">
        <v>9</v>
      </c>
      <c r="G9" s="4" t="s">
        <v>24</v>
      </c>
      <c r="H9" s="2"/>
      <c r="I9" s="2">
        <f>E5+E9+E10-E12-E13-E14</f>
        <v>0</v>
      </c>
      <c r="J9" s="2"/>
      <c r="K9" s="2"/>
    </row>
    <row r="10" spans="2:11" x14ac:dyDescent="0.25">
      <c r="B10" s="2"/>
      <c r="C10" s="9" t="s">
        <v>19</v>
      </c>
      <c r="D10" s="32" t="s">
        <v>27</v>
      </c>
      <c r="E10" s="2">
        <f>E12/F18*D18</f>
        <v>1.2043010752688172</v>
      </c>
      <c r="F10" s="9" t="s">
        <v>9</v>
      </c>
      <c r="G10" s="2"/>
      <c r="H10" s="2"/>
      <c r="I10" s="2"/>
      <c r="J10" s="2"/>
      <c r="K10" s="2"/>
    </row>
    <row r="11" spans="2:11" x14ac:dyDescent="0.25">
      <c r="B11" s="1" t="s">
        <v>11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2"/>
      <c r="I11" s="2"/>
      <c r="J11" s="2"/>
      <c r="K11" s="2"/>
    </row>
    <row r="12" spans="2:11" x14ac:dyDescent="0.25">
      <c r="B12" s="2"/>
      <c r="C12" s="4" t="s">
        <v>21</v>
      </c>
      <c r="D12" s="2" t="s">
        <v>27</v>
      </c>
      <c r="E12" s="5">
        <v>1</v>
      </c>
      <c r="F12" s="4" t="s">
        <v>9</v>
      </c>
      <c r="G12" s="2"/>
      <c r="H12" s="2"/>
      <c r="I12" s="2"/>
      <c r="J12" s="2"/>
      <c r="K12" s="2"/>
    </row>
    <row r="13" spans="2:11" x14ac:dyDescent="0.25">
      <c r="B13" s="2"/>
      <c r="C13" s="4" t="s">
        <v>22</v>
      </c>
      <c r="D13" s="2" t="s">
        <v>27</v>
      </c>
      <c r="E13" s="2">
        <f>E12/F18*G18</f>
        <v>1.870967741935484</v>
      </c>
      <c r="F13" s="4" t="s">
        <v>9</v>
      </c>
      <c r="G13" s="6"/>
      <c r="H13" s="2"/>
      <c r="I13" s="2"/>
      <c r="J13" s="2"/>
      <c r="K13" s="2"/>
    </row>
    <row r="14" spans="2:11" x14ac:dyDescent="0.25">
      <c r="B14" s="2"/>
      <c r="C14" s="4" t="s">
        <v>7</v>
      </c>
      <c r="D14" s="2" t="s">
        <v>27</v>
      </c>
      <c r="E14" s="2">
        <f>E5</f>
        <v>2.8571428571428577</v>
      </c>
      <c r="F14" s="4" t="s">
        <v>9</v>
      </c>
      <c r="G14" s="2"/>
      <c r="H14" s="2"/>
      <c r="I14" s="2"/>
      <c r="J14" s="2"/>
      <c r="K14" s="2"/>
    </row>
    <row r="15" spans="2:1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5">
      <c r="B16" s="7" t="s">
        <v>12</v>
      </c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5">
      <c r="B17" s="2"/>
      <c r="C17" s="2" t="s">
        <v>18</v>
      </c>
      <c r="D17" s="2" t="s">
        <v>20</v>
      </c>
      <c r="E17" s="8" t="s">
        <v>13</v>
      </c>
      <c r="F17" s="4" t="s">
        <v>21</v>
      </c>
      <c r="G17" s="4" t="s">
        <v>22</v>
      </c>
      <c r="H17" s="2"/>
      <c r="I17" s="2"/>
      <c r="J17" s="2"/>
      <c r="K17" s="2"/>
    </row>
    <row r="18" spans="2:11" x14ac:dyDescent="0.25">
      <c r="B18" s="2"/>
      <c r="C18" s="2">
        <v>155</v>
      </c>
      <c r="D18" s="2">
        <f>56*2</f>
        <v>112</v>
      </c>
      <c r="E18" s="2"/>
      <c r="F18" s="2">
        <v>93</v>
      </c>
      <c r="G18" s="2">
        <f>C18+D18-F18</f>
        <v>174</v>
      </c>
      <c r="H18" s="2"/>
      <c r="I18" s="2"/>
      <c r="J18" s="2"/>
      <c r="K18" s="2"/>
    </row>
    <row r="19" spans="2:1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5">
      <c r="B21" s="7" t="s">
        <v>14</v>
      </c>
      <c r="C21" s="2" t="s">
        <v>15</v>
      </c>
      <c r="D21" s="2"/>
      <c r="E21" s="2"/>
      <c r="F21" s="2"/>
      <c r="G21" s="2"/>
      <c r="H21" s="2"/>
      <c r="I21" s="2"/>
      <c r="J21" s="2"/>
      <c r="K21" s="2"/>
    </row>
    <row r="22" spans="2:11" x14ac:dyDescent="0.25">
      <c r="B22" s="2"/>
      <c r="C22" s="2"/>
      <c r="D22" t="s">
        <v>25</v>
      </c>
      <c r="F22">
        <v>2260</v>
      </c>
      <c r="G22" t="s">
        <v>26</v>
      </c>
      <c r="I22" s="2"/>
      <c r="J22" s="2"/>
      <c r="K22" s="2"/>
    </row>
    <row r="23" spans="2:1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5">
      <c r="B24" s="2"/>
      <c r="C24" s="2"/>
      <c r="D24" s="2" t="s">
        <v>16</v>
      </c>
      <c r="E24" s="2"/>
      <c r="F24" s="2">
        <f>E5*F22/1000</f>
        <v>6.4571428571428591</v>
      </c>
      <c r="G24" s="2" t="s">
        <v>17</v>
      </c>
      <c r="H24" s="2"/>
      <c r="I24" s="2"/>
      <c r="J24" s="2"/>
      <c r="K24" s="2"/>
    </row>
    <row r="25" spans="2:11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K29"/>
  <sheetViews>
    <sheetView workbookViewId="0">
      <selection activeCell="I16" sqref="I16"/>
    </sheetView>
  </sheetViews>
  <sheetFormatPr defaultRowHeight="15" x14ac:dyDescent="0.25"/>
  <cols>
    <col min="2" max="2" width="33.42578125" customWidth="1"/>
    <col min="3" max="7" width="26.28515625" customWidth="1"/>
  </cols>
  <sheetData>
    <row r="4" spans="2:10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10" x14ac:dyDescent="0.25">
      <c r="B5" s="2"/>
      <c r="C5" s="51" t="s">
        <v>7</v>
      </c>
      <c r="D5" s="51" t="s">
        <v>8</v>
      </c>
      <c r="E5" s="51">
        <f>G15</f>
        <v>16.096437001236374</v>
      </c>
      <c r="F5" s="51" t="s">
        <v>9</v>
      </c>
      <c r="G5" s="4"/>
    </row>
    <row r="6" spans="2:10" x14ac:dyDescent="0.25">
      <c r="B6" s="1" t="s">
        <v>6</v>
      </c>
      <c r="C6" s="51" t="s">
        <v>1</v>
      </c>
      <c r="D6" s="51" t="s">
        <v>2</v>
      </c>
      <c r="E6" s="51" t="s">
        <v>3</v>
      </c>
      <c r="F6" s="51" t="s">
        <v>4</v>
      </c>
      <c r="G6" s="1" t="s">
        <v>5</v>
      </c>
    </row>
    <row r="7" spans="2:10" x14ac:dyDescent="0.25">
      <c r="B7" s="2"/>
      <c r="C7" s="51" t="s">
        <v>7</v>
      </c>
      <c r="D7" s="51" t="s">
        <v>8</v>
      </c>
      <c r="E7" s="52">
        <f>E14</f>
        <v>0.24390243902439027</v>
      </c>
      <c r="F7" s="52"/>
      <c r="G7" s="2"/>
    </row>
    <row r="8" spans="2:10" x14ac:dyDescent="0.25">
      <c r="B8" s="1" t="s">
        <v>10</v>
      </c>
      <c r="C8" s="51" t="s">
        <v>1</v>
      </c>
      <c r="D8" s="51" t="s">
        <v>2</v>
      </c>
      <c r="E8" s="51" t="s">
        <v>3</v>
      </c>
      <c r="F8" s="51" t="s">
        <v>4</v>
      </c>
      <c r="G8" s="1" t="s">
        <v>5</v>
      </c>
      <c r="J8">
        <f>E5+E9+E10+E11-E7-E13-E15-E16-E17</f>
        <v>0</v>
      </c>
    </row>
    <row r="9" spans="2:10" x14ac:dyDescent="0.25">
      <c r="B9" s="2"/>
      <c r="C9" s="51" t="str">
        <f>'Ni(OH)2 production'!C12</f>
        <v>Ni(OH)2</v>
      </c>
      <c r="D9" s="51" t="str">
        <f>'Ni(OH)2 production'!D12</f>
        <v>product</v>
      </c>
      <c r="E9" s="51">
        <f>'Ni(OH)2 production'!E12</f>
        <v>1</v>
      </c>
      <c r="F9" s="51" t="str">
        <f>'Ni(OH)2 production'!F12</f>
        <v>kg</v>
      </c>
      <c r="G9" s="4"/>
    </row>
    <row r="10" spans="2:10" x14ac:dyDescent="0.25">
      <c r="B10" s="2"/>
      <c r="C10" s="51" t="str">
        <f>'Ni(OH)2 production'!C13</f>
        <v>K2SO4</v>
      </c>
      <c r="D10" s="51" t="str">
        <f>'Ni(OH)2 production'!D13</f>
        <v>product</v>
      </c>
      <c r="E10" s="51">
        <f>'Ni(OH)2 production'!E13</f>
        <v>1.870967741935484</v>
      </c>
      <c r="F10" s="51" t="str">
        <f>'Ni(OH)2 production'!F13</f>
        <v>kg</v>
      </c>
      <c r="G10" s="2"/>
    </row>
    <row r="11" spans="2:10" x14ac:dyDescent="0.25">
      <c r="B11" s="2"/>
      <c r="C11" s="51" t="str">
        <f>'Ni(OH)2 production'!C14</f>
        <v>H2O</v>
      </c>
      <c r="D11" s="51" t="str">
        <f>'Ni(OH)2 production'!D14</f>
        <v>product</v>
      </c>
      <c r="E11" s="51">
        <f>'Ni(OH)2 production'!E14</f>
        <v>2.8571428571428577</v>
      </c>
      <c r="F11" s="51" t="str">
        <f>'Ni(OH)2 production'!F14</f>
        <v>kg</v>
      </c>
      <c r="G11" s="2"/>
    </row>
    <row r="12" spans="2:10" x14ac:dyDescent="0.25">
      <c r="B12" s="1" t="s">
        <v>11</v>
      </c>
      <c r="C12" s="51" t="s">
        <v>1</v>
      </c>
      <c r="D12" s="51" t="s">
        <v>2</v>
      </c>
      <c r="E12" s="51" t="s">
        <v>3</v>
      </c>
      <c r="F12" s="51" t="s">
        <v>4</v>
      </c>
      <c r="G12" s="1" t="s">
        <v>5</v>
      </c>
    </row>
    <row r="13" spans="2:10" x14ac:dyDescent="0.25">
      <c r="B13" s="2"/>
      <c r="C13" s="51" t="s">
        <v>21</v>
      </c>
      <c r="D13" s="51" t="s">
        <v>27</v>
      </c>
      <c r="E13" s="51">
        <f>E9</f>
        <v>1</v>
      </c>
      <c r="F13" s="51" t="s">
        <v>9</v>
      </c>
      <c r="G13" s="2"/>
    </row>
    <row r="14" spans="2:10" x14ac:dyDescent="0.25">
      <c r="B14" s="2"/>
      <c r="C14" s="10" t="s">
        <v>7</v>
      </c>
      <c r="D14" s="11" t="s">
        <v>27</v>
      </c>
      <c r="E14" s="11">
        <f>E13/4.1</f>
        <v>0.24390243902439027</v>
      </c>
      <c r="F14" s="10" t="s">
        <v>9</v>
      </c>
      <c r="G14" s="6"/>
    </row>
    <row r="15" spans="2:10" x14ac:dyDescent="0.25">
      <c r="B15" s="2"/>
      <c r="C15" s="51" t="s">
        <v>22</v>
      </c>
      <c r="D15" s="51" t="s">
        <v>27</v>
      </c>
      <c r="E15" s="51">
        <f>E10</f>
        <v>1.870967741935484</v>
      </c>
      <c r="F15" s="51" t="s">
        <v>9</v>
      </c>
      <c r="G15" s="2">
        <f>E15/120*1000*1.2-E16</f>
        <v>16.096437001236374</v>
      </c>
    </row>
    <row r="16" spans="2:10" x14ac:dyDescent="0.25">
      <c r="C16" s="51" t="s">
        <v>7</v>
      </c>
      <c r="D16" s="51" t="s">
        <v>27</v>
      </c>
      <c r="E16" s="52">
        <f>E11-E14</f>
        <v>2.6132404181184672</v>
      </c>
      <c r="F16" s="51" t="s">
        <v>9</v>
      </c>
    </row>
    <row r="17" spans="2:11" x14ac:dyDescent="0.25">
      <c r="C17" s="52"/>
      <c r="D17" s="52"/>
      <c r="E17" s="52">
        <f>E5</f>
        <v>16.096437001236374</v>
      </c>
      <c r="F17" s="51" t="s">
        <v>9</v>
      </c>
      <c r="G17" s="50">
        <f>E16+E17</f>
        <v>18.70967741935484</v>
      </c>
      <c r="H17" t="s">
        <v>9</v>
      </c>
    </row>
    <row r="19" spans="2:11" x14ac:dyDescent="0.25">
      <c r="B19" s="7" t="s">
        <v>14</v>
      </c>
      <c r="C19" s="2" t="s">
        <v>15</v>
      </c>
      <c r="D19" s="2"/>
      <c r="E19" s="2"/>
      <c r="F19" s="2"/>
      <c r="G19" s="2"/>
    </row>
    <row r="20" spans="2:11" x14ac:dyDescent="0.25">
      <c r="B20" s="2"/>
      <c r="C20" s="2"/>
      <c r="D20" t="s">
        <v>25</v>
      </c>
      <c r="F20">
        <v>2260</v>
      </c>
      <c r="G20" t="s">
        <v>26</v>
      </c>
    </row>
    <row r="21" spans="2:11" x14ac:dyDescent="0.25">
      <c r="B21" s="2"/>
      <c r="C21" s="2"/>
    </row>
    <row r="22" spans="2:11" x14ac:dyDescent="0.25">
      <c r="B22" s="2"/>
      <c r="C22" s="2"/>
      <c r="D22" t="s">
        <v>32</v>
      </c>
      <c r="F22">
        <v>4500</v>
      </c>
      <c r="G22" t="s">
        <v>33</v>
      </c>
      <c r="H22" t="s">
        <v>34</v>
      </c>
      <c r="I22" s="2"/>
      <c r="J22" s="2"/>
      <c r="K22" s="2"/>
    </row>
    <row r="23" spans="2:11" x14ac:dyDescent="0.25">
      <c r="B23" s="2"/>
      <c r="C23" s="2"/>
    </row>
    <row r="24" spans="2:11" x14ac:dyDescent="0.25">
      <c r="B24" s="2"/>
      <c r="C24" s="2"/>
      <c r="D24" s="2" t="s">
        <v>16</v>
      </c>
      <c r="E24" s="2"/>
      <c r="F24" s="2">
        <f>F20*E5/1000+E14*F22/1000</f>
        <v>37.475508598403962</v>
      </c>
      <c r="G24" s="2" t="s">
        <v>17</v>
      </c>
    </row>
    <row r="27" spans="2:11" x14ac:dyDescent="0.25">
      <c r="C27" t="s">
        <v>28</v>
      </c>
      <c r="D27" t="s">
        <v>37</v>
      </c>
      <c r="F27">
        <v>5.9361111000000001E-2</v>
      </c>
      <c r="G27" t="s">
        <v>29</v>
      </c>
      <c r="H27" t="s">
        <v>30</v>
      </c>
      <c r="I27" s="2"/>
    </row>
    <row r="29" spans="2:11" x14ac:dyDescent="0.25">
      <c r="D29" t="s">
        <v>16</v>
      </c>
      <c r="F29">
        <f>F27*(E13+E14)</f>
        <v>7.3839430756097557E-2</v>
      </c>
      <c r="G29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K20"/>
  <sheetViews>
    <sheetView workbookViewId="0">
      <selection activeCell="F15" sqref="F15"/>
    </sheetView>
  </sheetViews>
  <sheetFormatPr defaultRowHeight="15" x14ac:dyDescent="0.25"/>
  <cols>
    <col min="2" max="2" width="29.140625" customWidth="1"/>
    <col min="3" max="7" width="20" customWidth="1"/>
  </cols>
  <sheetData>
    <row r="4" spans="2:7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7" x14ac:dyDescent="0.25">
      <c r="B5" s="2"/>
      <c r="G5" s="4"/>
    </row>
    <row r="6" spans="2:7" x14ac:dyDescent="0.25">
      <c r="B6" s="1" t="s">
        <v>6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</row>
    <row r="7" spans="2:7" x14ac:dyDescent="0.25">
      <c r="B7" s="2"/>
      <c r="C7" s="2" t="s">
        <v>7</v>
      </c>
      <c r="D7" s="3" t="s">
        <v>8</v>
      </c>
      <c r="E7" s="2">
        <f>E10</f>
        <v>18.70967741935484</v>
      </c>
      <c r="F7" s="2" t="s">
        <v>9</v>
      </c>
      <c r="G7" s="2"/>
    </row>
    <row r="8" spans="2:7" x14ac:dyDescent="0.25">
      <c r="B8" s="1" t="s">
        <v>10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</row>
    <row r="9" spans="2:7" x14ac:dyDescent="0.25">
      <c r="B9" s="2"/>
      <c r="C9" s="2" t="str">
        <f>'Ni(OH)2 production'!C13</f>
        <v>K2SO4</v>
      </c>
      <c r="D9" s="2" t="str">
        <f>'Ni(OH)2 production'!D13</f>
        <v>product</v>
      </c>
      <c r="E9" s="2">
        <f>'Ni(OH)2 production'!E13</f>
        <v>1.870967741935484</v>
      </c>
      <c r="F9" s="2" t="str">
        <f>'Ni(OH)2 production'!F13</f>
        <v>kg</v>
      </c>
      <c r="G9" s="2"/>
    </row>
    <row r="10" spans="2:7" x14ac:dyDescent="0.25">
      <c r="B10" s="2"/>
      <c r="C10" s="2" t="str">
        <f>'Ni(OH)2 production'!C14</f>
        <v>H2O</v>
      </c>
      <c r="D10" s="2" t="str">
        <f>'Ni(OH)2 production'!D14</f>
        <v>product</v>
      </c>
      <c r="E10" s="2">
        <f>'Ni(OH)2 separation'!E16+'Ni(OH)2 separation'!E17</f>
        <v>18.70967741935484</v>
      </c>
      <c r="F10" s="2" t="str">
        <f>'Ni(OH)2 production'!F14</f>
        <v>kg</v>
      </c>
      <c r="G10" s="2"/>
    </row>
    <row r="11" spans="2:7" x14ac:dyDescent="0.25">
      <c r="B11" s="1" t="s">
        <v>11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</row>
    <row r="12" spans="2:7" x14ac:dyDescent="0.25">
      <c r="B12" s="2"/>
      <c r="C12" s="4" t="s">
        <v>22</v>
      </c>
      <c r="D12" s="2" t="s">
        <v>27</v>
      </c>
      <c r="E12" s="2">
        <f>E9</f>
        <v>1.870967741935484</v>
      </c>
      <c r="F12" s="4" t="s">
        <v>9</v>
      </c>
      <c r="G12" s="2"/>
    </row>
    <row r="15" spans="2:7" x14ac:dyDescent="0.25">
      <c r="B15" s="7" t="s">
        <v>14</v>
      </c>
      <c r="C15" s="2" t="s">
        <v>15</v>
      </c>
      <c r="D15" s="2" t="s">
        <v>36</v>
      </c>
      <c r="E15" s="2"/>
      <c r="F15" s="2">
        <f>E7-F17</f>
        <v>18.006306087800148</v>
      </c>
      <c r="G15" s="4" t="s">
        <v>9</v>
      </c>
    </row>
    <row r="16" spans="2:7" x14ac:dyDescent="0.25">
      <c r="B16" s="2"/>
      <c r="C16" s="2"/>
      <c r="D16" t="s">
        <v>25</v>
      </c>
      <c r="F16">
        <v>2260</v>
      </c>
      <c r="G16" t="s">
        <v>26</v>
      </c>
    </row>
    <row r="17" spans="2:11" x14ac:dyDescent="0.25">
      <c r="B17" s="2"/>
      <c r="C17" s="2"/>
      <c r="D17" t="s">
        <v>35</v>
      </c>
      <c r="F17">
        <f>E12/2.66*1</f>
        <v>0.70337133155469322</v>
      </c>
      <c r="G17" t="s">
        <v>9</v>
      </c>
      <c r="H17" t="s">
        <v>38</v>
      </c>
    </row>
    <row r="18" spans="2:11" x14ac:dyDescent="0.25">
      <c r="B18" s="2"/>
      <c r="C18" s="2"/>
      <c r="D18" t="s">
        <v>32</v>
      </c>
      <c r="F18">
        <v>4500</v>
      </c>
      <c r="G18" t="s">
        <v>33</v>
      </c>
      <c r="H18" t="s">
        <v>34</v>
      </c>
      <c r="I18" s="2"/>
      <c r="J18" s="2"/>
      <c r="K18" s="2"/>
    </row>
    <row r="19" spans="2:11" x14ac:dyDescent="0.25">
      <c r="B19" s="2"/>
      <c r="C19" s="2"/>
    </row>
    <row r="20" spans="2:11" x14ac:dyDescent="0.25">
      <c r="B20" s="2"/>
      <c r="C20" s="2"/>
      <c r="D20" s="2" t="s">
        <v>16</v>
      </c>
      <c r="E20" s="2"/>
      <c r="F20" s="2">
        <f>(F15*F16+F17*F18)/1000</f>
        <v>43.859422750424457</v>
      </c>
      <c r="G20" s="2" t="s">
        <v>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23"/>
  <sheetViews>
    <sheetView workbookViewId="0">
      <selection activeCell="J11" sqref="J11"/>
    </sheetView>
  </sheetViews>
  <sheetFormatPr defaultRowHeight="15" x14ac:dyDescent="0.25"/>
  <cols>
    <col min="2" max="2" width="31.42578125" customWidth="1"/>
    <col min="3" max="7" width="21.28515625" customWidth="1"/>
    <col min="10" max="10" width="12.28515625" customWidth="1"/>
  </cols>
  <sheetData>
    <row r="4" spans="2:10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10" x14ac:dyDescent="0.25">
      <c r="B5" s="2"/>
      <c r="G5" s="4"/>
    </row>
    <row r="6" spans="2:10" x14ac:dyDescent="0.25">
      <c r="B6" s="1" t="s">
        <v>6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</row>
    <row r="7" spans="2:10" x14ac:dyDescent="0.25">
      <c r="B7" s="2"/>
      <c r="C7" s="2" t="s">
        <v>7</v>
      </c>
      <c r="D7" s="3" t="s">
        <v>8</v>
      </c>
      <c r="E7" s="2">
        <f>E9-E11</f>
        <v>0.19354838709677413</v>
      </c>
      <c r="F7" s="2" t="s">
        <v>9</v>
      </c>
      <c r="G7" s="2"/>
    </row>
    <row r="8" spans="2:10" x14ac:dyDescent="0.25">
      <c r="B8" s="1" t="s">
        <v>10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</row>
    <row r="9" spans="2:10" x14ac:dyDescent="0.25">
      <c r="B9" s="2"/>
      <c r="C9" s="2" t="s">
        <v>21</v>
      </c>
      <c r="D9" s="2" t="str">
        <f>'Ni(OH)2 production'!D13</f>
        <v>product</v>
      </c>
      <c r="E9" s="2">
        <f>'Ni(OH)2 separation'!E13</f>
        <v>1</v>
      </c>
      <c r="F9" s="2" t="str">
        <f>'Ni(OH)2 production'!F13</f>
        <v>kg</v>
      </c>
      <c r="G9" s="2"/>
    </row>
    <row r="10" spans="2:10" x14ac:dyDescent="0.25">
      <c r="B10" s="1" t="s">
        <v>11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J10">
        <f>E7+E11-E9</f>
        <v>0</v>
      </c>
    </row>
    <row r="11" spans="2:10" x14ac:dyDescent="0.25">
      <c r="B11" s="2"/>
      <c r="C11" s="4" t="s">
        <v>39</v>
      </c>
      <c r="D11" s="2" t="s">
        <v>27</v>
      </c>
      <c r="E11" s="2">
        <f>E9/C16*E16</f>
        <v>0.80645161290322587</v>
      </c>
      <c r="F11" s="4" t="s">
        <v>9</v>
      </c>
      <c r="G11" s="2"/>
    </row>
    <row r="14" spans="2:10" x14ac:dyDescent="0.25">
      <c r="B14" s="7" t="s">
        <v>12</v>
      </c>
      <c r="C14" s="2"/>
      <c r="D14" s="2"/>
      <c r="E14" s="2"/>
      <c r="F14" s="2"/>
      <c r="G14" s="2"/>
    </row>
    <row r="15" spans="2:10" x14ac:dyDescent="0.25">
      <c r="B15" s="2"/>
      <c r="C15" s="2" t="s">
        <v>21</v>
      </c>
      <c r="D15" s="8" t="s">
        <v>13</v>
      </c>
      <c r="E15" s="4" t="s">
        <v>39</v>
      </c>
      <c r="F15" s="4" t="s">
        <v>7</v>
      </c>
    </row>
    <row r="16" spans="2:10" x14ac:dyDescent="0.25">
      <c r="B16" s="2"/>
      <c r="C16" s="2">
        <v>93</v>
      </c>
      <c r="D16" s="2"/>
      <c r="E16" s="2">
        <f>C16-F16</f>
        <v>75</v>
      </c>
      <c r="F16" s="2">
        <v>18</v>
      </c>
      <c r="G16" s="2"/>
    </row>
    <row r="18" spans="2:8" x14ac:dyDescent="0.25">
      <c r="B18" s="7" t="s">
        <v>14</v>
      </c>
      <c r="C18" s="2" t="s">
        <v>15</v>
      </c>
      <c r="D18" s="2"/>
      <c r="E18" s="2"/>
      <c r="F18" s="2"/>
      <c r="G18" s="4"/>
    </row>
    <row r="19" spans="2:8" x14ac:dyDescent="0.25">
      <c r="B19" s="2"/>
      <c r="C19" s="2"/>
      <c r="D19" t="s">
        <v>25</v>
      </c>
      <c r="F19">
        <v>2260</v>
      </c>
      <c r="G19" t="s">
        <v>26</v>
      </c>
    </row>
    <row r="21" spans="2:8" x14ac:dyDescent="0.25">
      <c r="D21" t="s">
        <v>40</v>
      </c>
      <c r="F21">
        <v>70</v>
      </c>
      <c r="G21" t="s">
        <v>41</v>
      </c>
      <c r="H21" t="s">
        <v>51</v>
      </c>
    </row>
    <row r="23" spans="2:8" x14ac:dyDescent="0.25">
      <c r="D23" t="s">
        <v>16</v>
      </c>
      <c r="F23">
        <f>E7*F19/1000+E9*1000/C16*F21*(230-25)/1000000</f>
        <v>0.59172043010752673</v>
      </c>
      <c r="G23" t="s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K25"/>
  <sheetViews>
    <sheetView workbookViewId="0">
      <selection activeCell="E13" sqref="E13"/>
    </sheetView>
  </sheetViews>
  <sheetFormatPr defaultRowHeight="15" x14ac:dyDescent="0.25"/>
  <cols>
    <col min="2" max="2" width="29.85546875" customWidth="1"/>
    <col min="3" max="7" width="20.28515625" customWidth="1"/>
  </cols>
  <sheetData>
    <row r="4" spans="2:10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10" x14ac:dyDescent="0.25">
      <c r="B5" s="2"/>
      <c r="G5" s="4"/>
    </row>
    <row r="6" spans="2:10" x14ac:dyDescent="0.25">
      <c r="B6" s="1" t="s">
        <v>6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</row>
    <row r="7" spans="2:10" x14ac:dyDescent="0.25">
      <c r="B7" s="2"/>
      <c r="C7" s="2" t="s">
        <v>7</v>
      </c>
      <c r="D7" s="3" t="s">
        <v>8</v>
      </c>
      <c r="E7" s="2">
        <f>E9+E10+E11-E13</f>
        <v>0.38709677419354849</v>
      </c>
      <c r="F7" s="2" t="s">
        <v>9</v>
      </c>
      <c r="G7" s="2"/>
    </row>
    <row r="8" spans="2:10" x14ac:dyDescent="0.25">
      <c r="B8" s="1" t="s">
        <v>10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</row>
    <row r="9" spans="2:10" s="14" customFormat="1" x14ac:dyDescent="0.25">
      <c r="B9" s="12"/>
      <c r="C9" s="12" t="s">
        <v>39</v>
      </c>
      <c r="D9" s="12" t="s">
        <v>27</v>
      </c>
      <c r="E9" s="12">
        <f>'NiO production'!E11</f>
        <v>0.80645161290322587</v>
      </c>
      <c r="F9" s="12" t="s">
        <v>9</v>
      </c>
      <c r="G9" s="12"/>
    </row>
    <row r="10" spans="2:10" s="14" customFormat="1" x14ac:dyDescent="0.25">
      <c r="B10" s="15"/>
      <c r="C10" s="15" t="s">
        <v>42</v>
      </c>
      <c r="D10" s="15" t="str">
        <f>'Ni(OH)2 production'!D13</f>
        <v>product</v>
      </c>
      <c r="E10" s="15">
        <f>E9/C18*D18</f>
        <v>1.3548387096774195</v>
      </c>
      <c r="F10" s="15" t="str">
        <f>'Ni(OH)2 production'!F13</f>
        <v>kg</v>
      </c>
      <c r="G10" s="15" t="s">
        <v>46</v>
      </c>
    </row>
    <row r="11" spans="2:10" s="14" customFormat="1" x14ac:dyDescent="0.25">
      <c r="B11" s="15"/>
      <c r="C11" s="15" t="s">
        <v>7</v>
      </c>
      <c r="D11" s="15" t="s">
        <v>27</v>
      </c>
      <c r="E11" s="15">
        <f>E10</f>
        <v>1.3548387096774195</v>
      </c>
      <c r="F11" s="15" t="s">
        <v>9</v>
      </c>
      <c r="G11" s="15"/>
      <c r="J11" s="14">
        <f>E7+E13-E9-E10-E11</f>
        <v>0</v>
      </c>
    </row>
    <row r="12" spans="2:10" x14ac:dyDescent="0.25">
      <c r="B12" s="1" t="s">
        <v>11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</row>
    <row r="13" spans="2:10" x14ac:dyDescent="0.25">
      <c r="B13" s="2"/>
      <c r="C13" t="s">
        <v>45</v>
      </c>
      <c r="D13" s="2" t="s">
        <v>27</v>
      </c>
      <c r="E13" s="16">
        <f>E9/C18*G18</f>
        <v>3.1290322580645165</v>
      </c>
      <c r="F13" s="4" t="s">
        <v>9</v>
      </c>
      <c r="G13" s="2"/>
    </row>
    <row r="16" spans="2:10" x14ac:dyDescent="0.25">
      <c r="B16" s="7" t="s">
        <v>12</v>
      </c>
      <c r="C16" s="2"/>
      <c r="D16" s="2"/>
      <c r="E16" s="2"/>
      <c r="F16" s="2"/>
      <c r="G16" s="2"/>
    </row>
    <row r="17" spans="2:11" x14ac:dyDescent="0.25">
      <c r="B17" s="2"/>
      <c r="C17" s="2" t="s">
        <v>39</v>
      </c>
      <c r="D17" t="s">
        <v>43</v>
      </c>
      <c r="E17" t="s">
        <v>44</v>
      </c>
      <c r="F17" s="8" t="s">
        <v>13</v>
      </c>
      <c r="G17" t="s">
        <v>45</v>
      </c>
    </row>
    <row r="18" spans="2:11" x14ac:dyDescent="0.25">
      <c r="B18" s="2"/>
      <c r="C18" s="2">
        <v>75</v>
      </c>
      <c r="D18" s="2">
        <f>2*(1+14+16*3)</f>
        <v>126</v>
      </c>
      <c r="E18" s="2">
        <f>5*18</f>
        <v>90</v>
      </c>
      <c r="F18" s="2"/>
      <c r="G18" s="2">
        <f>C18+D18+E18</f>
        <v>291</v>
      </c>
    </row>
    <row r="22" spans="2:11" x14ac:dyDescent="0.25">
      <c r="B22" s="7" t="s">
        <v>14</v>
      </c>
      <c r="C22" s="2" t="s">
        <v>15</v>
      </c>
      <c r="D22" s="2"/>
      <c r="E22" s="2"/>
      <c r="F22" s="2"/>
      <c r="G22" s="4"/>
    </row>
    <row r="23" spans="2:11" x14ac:dyDescent="0.25">
      <c r="B23" s="2"/>
      <c r="C23" s="2"/>
      <c r="D23" t="s">
        <v>32</v>
      </c>
      <c r="F23">
        <v>4500</v>
      </c>
      <c r="G23" t="s">
        <v>33</v>
      </c>
      <c r="H23" t="s">
        <v>34</v>
      </c>
      <c r="I23" s="2"/>
      <c r="J23" s="2"/>
      <c r="K23" s="2"/>
    </row>
    <row r="25" spans="2:11" x14ac:dyDescent="0.25">
      <c r="D25" t="s">
        <v>16</v>
      </c>
      <c r="F25">
        <f>E7*F23/1000</f>
        <v>1.7419354838709682</v>
      </c>
      <c r="G25" t="s">
        <v>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O21"/>
  <sheetViews>
    <sheetView workbookViewId="0">
      <selection activeCell="E5" sqref="E5"/>
    </sheetView>
  </sheetViews>
  <sheetFormatPr defaultRowHeight="15" x14ac:dyDescent="0.25"/>
  <cols>
    <col min="2" max="2" width="28.85546875" customWidth="1"/>
    <col min="3" max="3" width="26.7109375" customWidth="1"/>
    <col min="4" max="7" width="17.28515625" customWidth="1"/>
  </cols>
  <sheetData>
    <row r="4" spans="2:15" x14ac:dyDescent="0.25">
      <c r="B4" s="1" t="s">
        <v>10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15" x14ac:dyDescent="0.25">
      <c r="B5" s="12"/>
      <c r="C5" t="s">
        <v>45</v>
      </c>
      <c r="D5" s="12" t="s">
        <v>27</v>
      </c>
      <c r="E5" s="12">
        <f>'Ni(NO3)2·6H2O'!E13</f>
        <v>3.1290322580645165</v>
      </c>
      <c r="F5" s="12" t="s">
        <v>9</v>
      </c>
      <c r="G5" s="12"/>
    </row>
    <row r="6" spans="2:15" x14ac:dyDescent="0.25">
      <c r="B6" s="15"/>
      <c r="C6" s="15" t="s">
        <v>48</v>
      </c>
      <c r="D6" s="15" t="str">
        <f>'Ni(OH)2 production'!D9</f>
        <v>product</v>
      </c>
      <c r="E6" s="15">
        <f>E5/C20*D20</f>
        <v>9.1529784286562457</v>
      </c>
      <c r="F6" s="15" t="str">
        <f>'Ni(OH)2 production'!F9</f>
        <v>kg</v>
      </c>
      <c r="G6" s="15"/>
    </row>
    <row r="7" spans="2:15" x14ac:dyDescent="0.25">
      <c r="B7" s="15"/>
      <c r="C7" s="17" t="s">
        <v>49</v>
      </c>
      <c r="D7" s="15" t="s">
        <v>27</v>
      </c>
      <c r="E7" s="15">
        <f>E5/C20*E20</f>
        <v>2.2622900000000001</v>
      </c>
      <c r="F7" s="15" t="s">
        <v>9</v>
      </c>
      <c r="G7" s="15"/>
      <c r="M7" t="s">
        <v>52</v>
      </c>
    </row>
    <row r="8" spans="2:15" x14ac:dyDescent="0.25">
      <c r="B8" s="1" t="s">
        <v>11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</row>
    <row r="9" spans="2:15" x14ac:dyDescent="0.25">
      <c r="B9" s="2"/>
      <c r="C9" t="s">
        <v>47</v>
      </c>
      <c r="D9" s="2" t="s">
        <v>27</v>
      </c>
      <c r="E9" s="16">
        <f>E5+E6+E7</f>
        <v>14.544300686720762</v>
      </c>
      <c r="F9" s="4" t="s">
        <v>9</v>
      </c>
      <c r="G9" s="2"/>
      <c r="M9" t="s">
        <v>60</v>
      </c>
      <c r="O9">
        <f>59+(16+16+14*2)*2+(1+12+32)*2</f>
        <v>269</v>
      </c>
    </row>
    <row r="10" spans="2:15" x14ac:dyDescent="0.25">
      <c r="C10" t="s">
        <v>50</v>
      </c>
    </row>
    <row r="13" spans="2:15" x14ac:dyDescent="0.25">
      <c r="B13" s="13" t="s">
        <v>56</v>
      </c>
      <c r="C13" t="s">
        <v>61</v>
      </c>
      <c r="D13" s="15" t="s">
        <v>48</v>
      </c>
      <c r="E13" s="17" t="s">
        <v>49</v>
      </c>
      <c r="F13" s="8" t="s">
        <v>13</v>
      </c>
      <c r="G13" t="s">
        <v>47</v>
      </c>
    </row>
    <row r="14" spans="2:15" x14ac:dyDescent="0.25">
      <c r="C14" s="18">
        <f>1/O9</f>
        <v>3.7174721189591076E-3</v>
      </c>
      <c r="D14" s="18">
        <v>10</v>
      </c>
      <c r="E14" s="18">
        <v>0.87</v>
      </c>
    </row>
    <row r="15" spans="2:15" x14ac:dyDescent="0.25">
      <c r="B15" t="s">
        <v>55</v>
      </c>
      <c r="C15" s="18" t="s">
        <v>59</v>
      </c>
      <c r="D15" s="18" t="s">
        <v>54</v>
      </c>
      <c r="E15" s="18" t="s">
        <v>54</v>
      </c>
      <c r="M15" s="13" t="s">
        <v>65</v>
      </c>
    </row>
    <row r="16" spans="2:15" x14ac:dyDescent="0.25">
      <c r="B16" t="s">
        <v>57</v>
      </c>
      <c r="C16" s="18" t="s">
        <v>58</v>
      </c>
      <c r="D16" s="18">
        <v>1.1100000000000001</v>
      </c>
      <c r="E16" s="18">
        <v>0.89900000000000002</v>
      </c>
      <c r="G16">
        <f>C14/(D14+E14)*1000</f>
        <v>0.34199375519403014</v>
      </c>
      <c r="H16">
        <v>0.34</v>
      </c>
      <c r="I16" t="s">
        <v>62</v>
      </c>
      <c r="M16" t="s">
        <v>64</v>
      </c>
    </row>
    <row r="17" spans="2:9" x14ac:dyDescent="0.25">
      <c r="C17" s="18"/>
      <c r="D17" s="18"/>
      <c r="E17" s="18"/>
    </row>
    <row r="18" spans="2:9" x14ac:dyDescent="0.25">
      <c r="B18" t="s">
        <v>63</v>
      </c>
      <c r="C18" s="18">
        <v>1.304E-2</v>
      </c>
      <c r="D18" s="18">
        <v>10</v>
      </c>
      <c r="E18" s="18">
        <f>C18/C14*E14</f>
        <v>3.0517512</v>
      </c>
      <c r="G18">
        <f>C18/((D18+E18)/1000)</f>
        <v>0.99909964572416921</v>
      </c>
      <c r="H18">
        <v>1</v>
      </c>
      <c r="I18" t="s">
        <v>62</v>
      </c>
    </row>
    <row r="19" spans="2:9" x14ac:dyDescent="0.25">
      <c r="C19" s="18" t="s">
        <v>59</v>
      </c>
      <c r="D19" s="18" t="s">
        <v>54</v>
      </c>
      <c r="E19" s="18" t="s">
        <v>54</v>
      </c>
    </row>
    <row r="20" spans="2:9" x14ac:dyDescent="0.25">
      <c r="C20" s="19">
        <f>C18*'Ni(NO3)2·6H2O'!G18</f>
        <v>3.7946399999999998</v>
      </c>
      <c r="D20" s="20">
        <f>D18*D16</f>
        <v>11.100000000000001</v>
      </c>
      <c r="E20" s="21">
        <f>E18*E16</f>
        <v>2.7435243288</v>
      </c>
    </row>
    <row r="21" spans="2:9" x14ac:dyDescent="0.25">
      <c r="C21" s="22" t="s">
        <v>53</v>
      </c>
      <c r="D21" s="23" t="s">
        <v>53</v>
      </c>
      <c r="E21" s="24" t="s">
        <v>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AR23"/>
  <sheetViews>
    <sheetView tabSelected="1" topLeftCell="O1" workbookViewId="0">
      <selection activeCell="X11" sqref="X11"/>
    </sheetView>
  </sheetViews>
  <sheetFormatPr defaultRowHeight="15" x14ac:dyDescent="0.25"/>
  <cols>
    <col min="1" max="1" width="16.5703125" customWidth="1"/>
    <col min="3" max="3" width="17" customWidth="1"/>
    <col min="8" max="8" width="17.5703125" customWidth="1"/>
    <col min="13" max="13" width="15.140625" customWidth="1"/>
    <col min="19" max="19" width="9.5703125" style="33" customWidth="1"/>
    <col min="22" max="22" width="26.140625" style="33" customWidth="1"/>
    <col min="23" max="23" width="34.85546875" style="33" customWidth="1"/>
    <col min="24" max="44" width="14.140625" customWidth="1"/>
  </cols>
  <sheetData>
    <row r="3" spans="2:44" ht="15.75" thickBot="1" x14ac:dyDescent="0.3"/>
    <row r="4" spans="2:44" x14ac:dyDescent="0.25">
      <c r="D4" t="s">
        <v>3</v>
      </c>
      <c r="E4" t="s">
        <v>4</v>
      </c>
      <c r="I4" t="str">
        <f t="shared" ref="I4" si="0">D4</f>
        <v>Value</v>
      </c>
      <c r="J4" t="str">
        <f t="shared" ref="J4" si="1">E4</f>
        <v>Unit</v>
      </c>
      <c r="N4" t="str">
        <f t="shared" ref="N4" si="2">I4</f>
        <v>Value</v>
      </c>
      <c r="O4" t="str">
        <f t="shared" ref="O4:O7" si="3">J4</f>
        <v>Unit</v>
      </c>
      <c r="Q4" s="34"/>
      <c r="R4" s="35"/>
      <c r="S4" s="36" t="str">
        <f t="shared" ref="S4" si="4">N4</f>
        <v>Value</v>
      </c>
      <c r="T4" s="37" t="str">
        <f t="shared" ref="T4" si="5">O4</f>
        <v>Unit</v>
      </c>
      <c r="X4" s="55" t="s">
        <v>74</v>
      </c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6" t="s">
        <v>75</v>
      </c>
      <c r="AQ4" s="56"/>
      <c r="AR4" s="56"/>
    </row>
    <row r="5" spans="2:44" x14ac:dyDescent="0.25">
      <c r="B5" s="13" t="s">
        <v>66</v>
      </c>
      <c r="G5" s="13" t="str">
        <f t="shared" ref="G5" si="6">B5</f>
        <v>process input</v>
      </c>
      <c r="L5" s="13" t="str">
        <f t="shared" ref="L5:L7" si="7">G5</f>
        <v>process input</v>
      </c>
      <c r="Q5" s="38" t="str">
        <f t="shared" ref="Q5:Q7" si="8">L5</f>
        <v>process input</v>
      </c>
      <c r="R5" s="32"/>
      <c r="S5" s="39"/>
      <c r="T5" s="40"/>
      <c r="V5" s="33" t="s">
        <v>72</v>
      </c>
      <c r="W5" s="33" t="s">
        <v>73</v>
      </c>
      <c r="X5" s="53" t="s">
        <v>76</v>
      </c>
      <c r="Y5" s="53" t="s">
        <v>77</v>
      </c>
      <c r="Z5" s="53" t="s">
        <v>78</v>
      </c>
      <c r="AA5" s="53" t="s">
        <v>79</v>
      </c>
      <c r="AB5" s="53" t="s">
        <v>80</v>
      </c>
      <c r="AC5" s="53" t="s">
        <v>81</v>
      </c>
      <c r="AD5" s="53" t="s">
        <v>82</v>
      </c>
      <c r="AE5" s="53" t="s">
        <v>83</v>
      </c>
      <c r="AF5" s="53" t="s">
        <v>84</v>
      </c>
      <c r="AG5" s="53" t="s">
        <v>85</v>
      </c>
      <c r="AH5" s="53" t="s">
        <v>86</v>
      </c>
      <c r="AI5" s="53" t="s">
        <v>87</v>
      </c>
      <c r="AJ5" s="53" t="s">
        <v>88</v>
      </c>
      <c r="AK5" s="53" t="s">
        <v>89</v>
      </c>
      <c r="AL5" s="53" t="s">
        <v>90</v>
      </c>
      <c r="AM5" s="53" t="s">
        <v>91</v>
      </c>
      <c r="AN5" s="53" t="s">
        <v>92</v>
      </c>
      <c r="AO5" s="53" t="s">
        <v>93</v>
      </c>
      <c r="AP5" s="54" t="s">
        <v>94</v>
      </c>
      <c r="AQ5" s="54" t="s">
        <v>95</v>
      </c>
      <c r="AR5" s="54" t="s">
        <v>96</v>
      </c>
    </row>
    <row r="6" spans="2:44" x14ac:dyDescent="0.25">
      <c r="B6" s="29" t="s">
        <v>45</v>
      </c>
      <c r="D6">
        <f>D10/dissolve!E9*dissolve!E5</f>
        <v>0.21513803416628932</v>
      </c>
      <c r="E6" t="s">
        <v>9</v>
      </c>
      <c r="G6" t="str">
        <f>B7</f>
        <v>ethylene glycol</v>
      </c>
      <c r="I6">
        <f>D7</f>
        <v>0.62931718931066227</v>
      </c>
      <c r="J6" t="s">
        <v>9</v>
      </c>
      <c r="L6" t="str">
        <f t="shared" si="7"/>
        <v>ethylene glycol</v>
      </c>
      <c r="N6">
        <f>I6</f>
        <v>0.62931718931066227</v>
      </c>
      <c r="O6" t="str">
        <f t="shared" si="3"/>
        <v>kg</v>
      </c>
      <c r="Q6" s="41" t="str">
        <f t="shared" si="8"/>
        <v>ethylene glycol</v>
      </c>
      <c r="R6" s="32"/>
      <c r="S6" s="39">
        <f>N6</f>
        <v>0.62931718931066227</v>
      </c>
      <c r="T6" s="40" t="s">
        <v>9</v>
      </c>
      <c r="V6" s="33">
        <f>S6*[1]production!$D$31</f>
        <v>1.2503273917224238</v>
      </c>
      <c r="W6" s="33">
        <f>$S$6*[1]production!M31</f>
        <v>33.926062514109212</v>
      </c>
      <c r="X6" s="33">
        <f>$S6*[1]production!N31</f>
        <v>4.7011881993074406E-2</v>
      </c>
      <c r="Y6" s="33">
        <f>$S6*[1]production!O31</f>
        <v>1.1140802202366653</v>
      </c>
      <c r="Z6" s="33">
        <f>$S6*[1]production!P31</f>
        <v>0.7360493846177506</v>
      </c>
      <c r="AA6" s="33">
        <f>$S6*[1]production!Q31</f>
        <v>1.1817947498064927E-2</v>
      </c>
      <c r="AB6" s="33">
        <f>$S6*[1]production!R31</f>
        <v>4.0446215756996263E-4</v>
      </c>
      <c r="AC6" s="33">
        <f>$S6*[1]production!S31</f>
        <v>17.554173678631614</v>
      </c>
      <c r="AD6" s="33">
        <f>$S6*[1]production!T31</f>
        <v>9.0791590901849253E-2</v>
      </c>
      <c r="AE6" s="33">
        <f>$S6*[1]production!U31</f>
        <v>13.984057263672227</v>
      </c>
      <c r="AF6" s="33">
        <f>$S6*[1]production!V31</f>
        <v>9.6335875339676174E-4</v>
      </c>
      <c r="AG6" s="33">
        <f>$S6*[1]production!W31</f>
        <v>6.067058226987302E-2</v>
      </c>
      <c r="AH6" s="33">
        <f>$S6*[1]production!X31</f>
        <v>8.7324053188747507E-5</v>
      </c>
      <c r="AI6" s="33">
        <f>$S6*[1]production!Y31</f>
        <v>4.2877268059303358E-8</v>
      </c>
      <c r="AJ6" s="33">
        <f>$S6*[1]production!Z31</f>
        <v>2.4455895293801645E-3</v>
      </c>
      <c r="AK6" s="33">
        <f>$S6*[1]production!AA31</f>
        <v>3.8250528083491366E-3</v>
      </c>
      <c r="AL6" s="33">
        <f>$S6*[1]production!AB31</f>
        <v>4.7977883878666267E-3</v>
      </c>
      <c r="AM6" s="33">
        <f>$S6*[1]production!AC31</f>
        <v>5.5872038701379218E-4</v>
      </c>
      <c r="AN6" s="33">
        <f>$S6*[1]production!AD31</f>
        <v>6.964024016911788E-3</v>
      </c>
      <c r="AO6" s="33">
        <f>$S6*[1]production!AE31</f>
        <v>2.5552795154770128E-3</v>
      </c>
      <c r="AP6" s="33">
        <f>$S6*[1]production!AF31</f>
        <v>4.4665158194134941E-2</v>
      </c>
      <c r="AQ6" s="33">
        <f>$S6*[1]production!AG31</f>
        <v>0.16440282253551744</v>
      </c>
      <c r="AR6" s="33">
        <f>$S6*[1]production!AH31</f>
        <v>9.1081076808932154E-2</v>
      </c>
    </row>
    <row r="7" spans="2:44" x14ac:dyDescent="0.25">
      <c r="B7" s="15" t="s">
        <v>48</v>
      </c>
      <c r="D7">
        <f>D10/dissolve!E9*dissolve!E6</f>
        <v>0.62931718931066227</v>
      </c>
      <c r="E7" t="s">
        <v>9</v>
      </c>
      <c r="G7" t="str">
        <f>B8</f>
        <v>ethylenediamine</v>
      </c>
      <c r="I7">
        <f>D8</f>
        <v>0.15554477652304838</v>
      </c>
      <c r="J7" t="s">
        <v>9</v>
      </c>
      <c r="L7" t="str">
        <f t="shared" si="7"/>
        <v>ethylenediamine</v>
      </c>
      <c r="N7">
        <f>I7</f>
        <v>0.15554477652304838</v>
      </c>
      <c r="O7" t="str">
        <f t="shared" si="3"/>
        <v>kg</v>
      </c>
      <c r="Q7" s="41" t="str">
        <f t="shared" si="8"/>
        <v>ethylenediamine</v>
      </c>
      <c r="R7" s="32"/>
      <c r="S7" s="39">
        <f>N7</f>
        <v>0.15554477652304838</v>
      </c>
      <c r="T7" s="40" t="s">
        <v>9</v>
      </c>
      <c r="V7" s="33">
        <f>S7*[1]production!$D$32</f>
        <v>0.9544383032230771</v>
      </c>
      <c r="W7" s="33">
        <f>$S$7*[1]production!M32</f>
        <v>18.442299713218784</v>
      </c>
      <c r="X7" s="33">
        <f>$S7*[1]production!N32</f>
        <v>4.7439601391764522E-2</v>
      </c>
      <c r="Y7" s="33">
        <f>$S7*[1]production!O32</f>
        <v>0.88064786124054295</v>
      </c>
      <c r="Z7" s="33">
        <f>$S7*[1]production!P32</f>
        <v>0.3789226300877982</v>
      </c>
      <c r="AA7" s="33">
        <f>$S7*[1]production!Q32</f>
        <v>1.2661033719423091E-2</v>
      </c>
      <c r="AB7" s="33">
        <f>$S7*[1]production!R32</f>
        <v>3.9732357715047481E-4</v>
      </c>
      <c r="AC7" s="33">
        <f>$S7*[1]production!S32</f>
        <v>18.187850718840046</v>
      </c>
      <c r="AD7" s="33">
        <f>$S7*[1]production!T32</f>
        <v>9.9598431303238338E-2</v>
      </c>
      <c r="AE7" s="33">
        <f>$S7*[1]production!U32</f>
        <v>14.165929432283583</v>
      </c>
      <c r="AF7" s="33">
        <f>$S7*[1]production!V32</f>
        <v>2.7074123801601804E-3</v>
      </c>
      <c r="AG7" s="33">
        <f>$S7*[1]production!W32</f>
        <v>5.8701043212033226E-2</v>
      </c>
      <c r="AH7" s="33">
        <f>$S7*[1]production!X32</f>
        <v>1.4985183770230482E-4</v>
      </c>
      <c r="AI7" s="33">
        <f>$S7*[1]production!Y32</f>
        <v>3.4758035761840395E-7</v>
      </c>
      <c r="AJ7" s="33">
        <f>$S7*[1]production!Z32</f>
        <v>2.3815460733443935E-3</v>
      </c>
      <c r="AK7" s="33">
        <f>$S7*[1]production!AA32</f>
        <v>2.6260624620386254E-3</v>
      </c>
      <c r="AL7" s="33">
        <f>$S7*[1]production!AB32</f>
        <v>5.14588784171201E-3</v>
      </c>
      <c r="AM7" s="33">
        <f>$S7*[1]production!AC32</f>
        <v>6.0950220680556499E-3</v>
      </c>
      <c r="AN7" s="33">
        <f>$S7*[1]production!AD32</f>
        <v>8.0754181627471031E-3</v>
      </c>
      <c r="AO7" s="33">
        <f>$S7*[1]production!AE32</f>
        <v>2.4745618497051766E-3</v>
      </c>
      <c r="AP7" s="33">
        <f>$S7*[1]production!AF32</f>
        <v>4.0104109730937566E-2</v>
      </c>
      <c r="AQ7" s="33">
        <f>$S7*[1]production!AG32</f>
        <v>0.16036666459526286</v>
      </c>
      <c r="AR7" s="33">
        <f>$S7*[1]production!AH32</f>
        <v>4.8155107363770544E-2</v>
      </c>
    </row>
    <row r="8" spans="2:44" x14ac:dyDescent="0.25">
      <c r="B8" s="17" t="s">
        <v>49</v>
      </c>
      <c r="D8">
        <f>D10/dissolve!E9*dissolve!E7</f>
        <v>0.15554477652304838</v>
      </c>
      <c r="E8" t="s">
        <v>9</v>
      </c>
      <c r="G8" s="30" t="s">
        <v>39</v>
      </c>
      <c r="I8">
        <f>D6/'Ni(NO3)2·6H2O'!E13*'Ni(NO3)2·6H2O'!E9</f>
        <v>5.5447946950074566E-2</v>
      </c>
      <c r="J8" t="s">
        <v>9</v>
      </c>
      <c r="L8" t="str">
        <f>G9</f>
        <v>HNO3 (50%)</v>
      </c>
      <c r="N8">
        <f>I9</f>
        <v>0.18630510175225054</v>
      </c>
      <c r="O8" t="s">
        <v>9</v>
      </c>
      <c r="Q8" s="41" t="str">
        <f>L8</f>
        <v>HNO3 (50%)</v>
      </c>
      <c r="R8" s="32"/>
      <c r="S8" s="39">
        <f>N8</f>
        <v>0.18630510175225054</v>
      </c>
      <c r="T8" s="40" t="s">
        <v>9</v>
      </c>
      <c r="V8" s="33">
        <f>S8*[1]production!$D$12</f>
        <v>0.54281854446535716</v>
      </c>
      <c r="W8" s="33">
        <f>$S$8*[1]production!M12</f>
        <v>2.4268834716530585</v>
      </c>
      <c r="X8" s="33">
        <f>$S8*[1]production!N12</f>
        <v>4.6742086978622142E-3</v>
      </c>
      <c r="Y8" s="33">
        <f>$S8*[1]production!O12</f>
        <v>0.3619908127046228</v>
      </c>
      <c r="Z8" s="33">
        <f>$S8*[1]production!P12</f>
        <v>5.5420178618241972E-2</v>
      </c>
      <c r="AA8" s="33">
        <f>$S8*[1]production!Q12</f>
        <v>1.4768032805697396E-3</v>
      </c>
      <c r="AB8" s="33">
        <f>$S8*[1]production!R12</f>
        <v>3.0740341789121338E-5</v>
      </c>
      <c r="AC8" s="33">
        <f>$S8*[1]production!S12</f>
        <v>2.6188908153313859</v>
      </c>
      <c r="AD8" s="33">
        <f>$S8*[1]production!T12</f>
        <v>6.8075884180272351E-3</v>
      </c>
      <c r="AE8" s="33">
        <f>$S8*[1]production!U12</f>
        <v>1.8322920452232088</v>
      </c>
      <c r="AF8" s="33">
        <f>$S8*[1]production!V12</f>
        <v>4.8828704118247346E-4</v>
      </c>
      <c r="AG8" s="33">
        <f>$S8*[1]production!W12</f>
        <v>1.2912061382041477E-2</v>
      </c>
      <c r="AH8" s="33">
        <f>$S8*[1]production!X12</f>
        <v>3.8429153338436716E-5</v>
      </c>
      <c r="AI8" s="33">
        <f>$S8*[1]production!Y12</f>
        <v>1.8956544103291491E-8</v>
      </c>
      <c r="AJ8" s="33">
        <f>$S8*[1]production!Z12</f>
        <v>5.7020539442293806E-4</v>
      </c>
      <c r="AK8" s="33">
        <f>$S8*[1]production!AA12</f>
        <v>1.1569360513713006E-3</v>
      </c>
      <c r="AL8" s="33">
        <f>$S8*[1]production!AB12</f>
        <v>2.6114386112612957E-3</v>
      </c>
      <c r="AM8" s="33">
        <f>$S8*[1]production!AC12</f>
        <v>2.568029522553021E-4</v>
      </c>
      <c r="AN8" s="33">
        <f>$S8*[1]production!AD12</f>
        <v>8.3870830706828158E-4</v>
      </c>
      <c r="AO8" s="33">
        <f>$S8*[1]production!AE12</f>
        <v>1.2621984338613221E-4</v>
      </c>
      <c r="AP8" s="33">
        <f>$S8*[1]production!AF12</f>
        <v>1.1796839042952504E-2</v>
      </c>
      <c r="AQ8" s="33">
        <f>$S8*[1]production!AG12</f>
        <v>3.1761293746723672E-2</v>
      </c>
      <c r="AR8" s="33">
        <f>$S8*[1]production!AH12</f>
        <v>7.2411203898047217E-3</v>
      </c>
    </row>
    <row r="9" spans="2:44" x14ac:dyDescent="0.25">
      <c r="B9" s="13" t="s">
        <v>69</v>
      </c>
      <c r="G9" s="15" t="s">
        <v>67</v>
      </c>
      <c r="I9">
        <f>D6/'Ni(NO3)2·6H2O'!E13*'Ni(NO3)2·6H2O'!E10*2</f>
        <v>0.18630510175225054</v>
      </c>
      <c r="J9" t="s">
        <v>9</v>
      </c>
      <c r="L9" s="31" t="s">
        <v>21</v>
      </c>
      <c r="N9">
        <f>I8/'NiO production'!E11*'NiO production'!E9</f>
        <v>6.8755454218092454E-2</v>
      </c>
      <c r="O9" t="s">
        <v>9</v>
      </c>
      <c r="Q9" s="41" t="s">
        <v>18</v>
      </c>
      <c r="R9" s="32"/>
      <c r="S9" s="39">
        <f>N9/'Ni(OH)2 production'!E12*'Ni(OH)2 production'!E9</f>
        <v>0.11459242369682077</v>
      </c>
      <c r="T9" s="40" t="s">
        <v>9</v>
      </c>
      <c r="V9" s="33">
        <f>S9*[1]production!$D$33</f>
        <v>0.59373772490033749</v>
      </c>
      <c r="W9" s="33">
        <f>$S$9*[1]production!M33</f>
        <v>8.4577284268454989</v>
      </c>
      <c r="X9" s="33">
        <f>$S9*[1]production!N33</f>
        <v>3.6972099581542253E-2</v>
      </c>
      <c r="Y9" s="33">
        <f>$S9*[1]production!O33</f>
        <v>0.55179689782730101</v>
      </c>
      <c r="Z9" s="33">
        <f>$S9*[1]production!P33</f>
        <v>0.15527273410919212</v>
      </c>
      <c r="AA9" s="33">
        <f>$S9*[1]production!Q33</f>
        <v>0.10164577166755397</v>
      </c>
      <c r="AB9" s="33">
        <f>$S9*[1]production!R33</f>
        <v>1.4874096595847335E-3</v>
      </c>
      <c r="AC9" s="33">
        <f>$S9*[1]production!S33</f>
        <v>110.59085626132779</v>
      </c>
      <c r="AD9" s="33">
        <f>$S9*[1]production!T33</f>
        <v>4.9309119916741979E-2</v>
      </c>
      <c r="AE9" s="33">
        <f>$S9*[1]production!U33</f>
        <v>118.62607701094886</v>
      </c>
      <c r="AF9" s="33">
        <f>$S9*[1]production!V33</f>
        <v>1.3715567192272478E-3</v>
      </c>
      <c r="AG9" s="33">
        <f>$S9*[1]production!W33</f>
        <v>1.7439820962419152</v>
      </c>
      <c r="AH9" s="33">
        <f>$S9*[1]production!X33</f>
        <v>1.1022301458126099E-4</v>
      </c>
      <c r="AI9" s="33">
        <f>$S9*[1]production!Y33</f>
        <v>5.2526875174148704E-8</v>
      </c>
      <c r="AJ9" s="33">
        <f>$S9*[1]production!Z33</f>
        <v>2.5164496243821839E-2</v>
      </c>
      <c r="AK9" s="33">
        <f>$S9*[1]production!AA33</f>
        <v>1.2601728833939379E-2</v>
      </c>
      <c r="AL9" s="33">
        <f>$S9*[1]production!AB33</f>
        <v>0.11678113898943003</v>
      </c>
      <c r="AM9" s="33">
        <f>$S9*[1]production!AC33</f>
        <v>3.6691348143485041E-3</v>
      </c>
      <c r="AN9" s="33">
        <f>$S9*[1]production!AD33</f>
        <v>1.3205630906821624E-2</v>
      </c>
      <c r="AO9" s="33">
        <f>$S9*[1]production!AE33</f>
        <v>1.0094675788300336E-2</v>
      </c>
      <c r="AP9" s="33">
        <f>$S9*[1]production!AF33</f>
        <v>6.7858195540546354E-2</v>
      </c>
      <c r="AQ9" s="33">
        <f>$S9*[1]production!AG33</f>
        <v>0.83769353570849914</v>
      </c>
      <c r="AR9" s="33">
        <f>$S9*[1]production!AH33</f>
        <v>9.0414568221028557E-2</v>
      </c>
    </row>
    <row r="10" spans="2:44" x14ac:dyDescent="0.25">
      <c r="B10" s="28" t="s">
        <v>47</v>
      </c>
      <c r="D10">
        <v>1</v>
      </c>
      <c r="E10" t="s">
        <v>9</v>
      </c>
      <c r="G10" t="s">
        <v>71</v>
      </c>
      <c r="I10">
        <f>D6/'Ni(NO3)2·6H2O'!E13*'Ni(NO3)2·6H2O'!F25</f>
        <v>0.11976756541216108</v>
      </c>
      <c r="J10" t="s">
        <v>17</v>
      </c>
      <c r="L10" t="str">
        <f>G10</f>
        <v>heat</v>
      </c>
      <c r="N10">
        <f>I10+I8/'NiO production'!E11*'NiO production'!F23</f>
        <v>0.16045157235432911</v>
      </c>
      <c r="O10" t="s">
        <v>17</v>
      </c>
      <c r="Q10" s="42" t="s">
        <v>19</v>
      </c>
      <c r="R10" s="32"/>
      <c r="S10" s="39">
        <f>N9/'Ni(OH)2 production'!E12*'Ni(OH)2 production'!E10</f>
        <v>8.280226744544468E-2</v>
      </c>
      <c r="T10" s="40" t="s">
        <v>9</v>
      </c>
      <c r="V10" s="33">
        <f>S10*[1]production!$D$27</f>
        <v>0.19580252182824304</v>
      </c>
      <c r="W10" s="33">
        <f>$S$10*[1]production!M27</f>
        <v>2.6539269785006652</v>
      </c>
      <c r="X10" s="33">
        <f>$S10*[1]production!N27</f>
        <v>1.0774231040001263E-2</v>
      </c>
      <c r="Y10" s="33">
        <f>$S10*[1]production!O27</f>
        <v>0.18069110801944938</v>
      </c>
      <c r="Z10" s="33">
        <f>$S10*[1]production!P27</f>
        <v>5.3118482588927221E-2</v>
      </c>
      <c r="AA10" s="33">
        <f>$S10*[1]production!Q27</f>
        <v>2.4606349816762795E-3</v>
      </c>
      <c r="AB10" s="33">
        <f>$S10*[1]production!R27</f>
        <v>8.9931542672497464E-5</v>
      </c>
      <c r="AC10" s="33">
        <f>$S10*[1]production!S27</f>
        <v>3.7192294468470388</v>
      </c>
      <c r="AD10" s="33">
        <f>$S10*[1]production!T27</f>
        <v>1.5237273255310728E-2</v>
      </c>
      <c r="AE10" s="33">
        <f>$S10*[1]production!U27</f>
        <v>2.9185315206495885</v>
      </c>
      <c r="AF10" s="33">
        <f>$S10*[1]production!V27</f>
        <v>1.7654271442043261E-4</v>
      </c>
      <c r="AG10" s="33">
        <f>$S10*[1]production!W27</f>
        <v>9.0585680585316478E-3</v>
      </c>
      <c r="AH10" s="33">
        <f>$S10*[1]production!X27</f>
        <v>1.5779628107078392E-5</v>
      </c>
      <c r="AI10" s="33">
        <f>$S10*[1]production!Y27</f>
        <v>1.0952255915008969E-8</v>
      </c>
      <c r="AJ10" s="33">
        <f>$S10*[1]production!Z27</f>
        <v>5.6406560629185829E-4</v>
      </c>
      <c r="AK10" s="33">
        <f>$S10*[1]production!AA27</f>
        <v>5.1462437240018327E-4</v>
      </c>
      <c r="AL10" s="33">
        <f>$S10*[1]production!AB27</f>
        <v>1.0132513467299065E-3</v>
      </c>
      <c r="AM10" s="33">
        <f>$S10*[1]production!AC27</f>
        <v>1.0592894074295738E-4</v>
      </c>
      <c r="AN10" s="33">
        <f>$S10*[1]production!AD27</f>
        <v>2.4555840433621071E-3</v>
      </c>
      <c r="AO10" s="33">
        <f>$S10*[1]production!AE27</f>
        <v>9.388121082964518E-4</v>
      </c>
      <c r="AP10" s="33">
        <f>$S10*[1]production!AF27</f>
        <v>8.2519083690781262E-3</v>
      </c>
      <c r="AQ10" s="33">
        <f>$S10*[1]production!AG27</f>
        <v>3.2902308992121897E-2</v>
      </c>
      <c r="AR10" s="33">
        <f>$S10*[1]production!AH27</f>
        <v>6.7901999418636906E-3</v>
      </c>
    </row>
    <row r="11" spans="2:44" x14ac:dyDescent="0.25">
      <c r="G11" s="13" t="str">
        <f>B9</f>
        <v>process output</v>
      </c>
      <c r="L11" s="13" t="str">
        <f>G11</f>
        <v>process output</v>
      </c>
      <c r="Q11" s="41" t="s">
        <v>7</v>
      </c>
      <c r="R11" s="32"/>
      <c r="S11" s="39">
        <f>N9/'Ni(OH)2 production'!E12*'Ni(OH)2 production'!E5+N9/'Ni(OH)2 separation'!E13*'Ni(OH)2 separation'!E5</f>
        <v>1.3031619922217526</v>
      </c>
      <c r="T11" s="40" t="s">
        <v>9</v>
      </c>
      <c r="V11" s="33">
        <f>S11*[1]production!$D$74</f>
        <v>2.2710204038448481E-3</v>
      </c>
      <c r="W11" s="33">
        <f>$S$11*[1]production!M74</f>
        <v>3.1246732378576003E-2</v>
      </c>
      <c r="X11" s="33">
        <f>$S$11*[1]production!N74</f>
        <v>1.0454747398798233E-4</v>
      </c>
      <c r="Y11" s="33">
        <f>$S$11*[1]production!O74</f>
        <v>2.0889686735314694E-3</v>
      </c>
      <c r="Z11" s="33">
        <f>$S$11*[1]production!P74</f>
        <v>6.0087496299352785E-4</v>
      </c>
      <c r="AA11" s="33">
        <f>$S$11*[1]production!Q74</f>
        <v>3.1313679511096489E-5</v>
      </c>
      <c r="AB11" s="33">
        <f>$S$11*[1]production!R74</f>
        <v>1.1097075944764333E-6</v>
      </c>
      <c r="AC11" s="33">
        <f>$S$11*[1]production!S74</f>
        <v>4.1521347396169479E-2</v>
      </c>
      <c r="AD11" s="33">
        <f>$S$11*[1]production!T74</f>
        <v>2.2661987044736277E-4</v>
      </c>
      <c r="AE11" s="33">
        <f>$S$11*[1]production!U74</f>
        <v>3.5658421593163812E-2</v>
      </c>
      <c r="AF11" s="33">
        <f>$S$11*[1]production!V74</f>
        <v>2.2371381920470825E-6</v>
      </c>
      <c r="AG11" s="33">
        <f>$S$11*[1]production!W74</f>
        <v>1.4929023782892398E-4</v>
      </c>
      <c r="AH11" s="33">
        <f>$S$11*[1]production!X74</f>
        <v>2.8816821133999615E-7</v>
      </c>
      <c r="AI11" s="33">
        <f>$S$11*[1]production!Y74</f>
        <v>9.5179042425900148E-10</v>
      </c>
      <c r="AJ11" s="33">
        <f>$S$11*[1]production!Z74</f>
        <v>7.431932841640655E-6</v>
      </c>
      <c r="AK11" s="33">
        <f>$S$11*[1]production!AA74</f>
        <v>6.3912276746523629E-6</v>
      </c>
      <c r="AL11" s="33">
        <f>$S$11*[1]production!AB74</f>
        <v>1.1500143948958522E-5</v>
      </c>
      <c r="AM11" s="33">
        <f>$S$11*[1]production!AC74</f>
        <v>1.8571361551152195E-6</v>
      </c>
      <c r="AN11" s="33">
        <f>$S$11*[1]production!AD74</f>
        <v>1.9888858325288387E-5</v>
      </c>
      <c r="AO11" s="33">
        <f>$S$11*[1]production!AE74</f>
        <v>1.7067512612128294E-3</v>
      </c>
      <c r="AP11" s="33">
        <f>$S$11*[1]production!AF74</f>
        <v>9.7876587749799171E-5</v>
      </c>
      <c r="AQ11" s="33">
        <f>$S$11*[1]production!AG74</f>
        <v>3.7383808070865415E-4</v>
      </c>
      <c r="AR11" s="33">
        <f>$S$11*[1]production!AH74</f>
        <v>7.8979435700591536E-5</v>
      </c>
    </row>
    <row r="12" spans="2:44" x14ac:dyDescent="0.25">
      <c r="G12" t="str">
        <f>B10</f>
        <v>NiOx precursor solution</v>
      </c>
      <c r="I12">
        <v>1</v>
      </c>
      <c r="J12" t="s">
        <v>9</v>
      </c>
      <c r="L12" t="str">
        <f>G12</f>
        <v>NiOx precursor solution</v>
      </c>
      <c r="N12">
        <f>I12</f>
        <v>1</v>
      </c>
      <c r="O12" t="str">
        <f>J12</f>
        <v>kg</v>
      </c>
      <c r="Q12" s="41" t="str">
        <f>L10</f>
        <v>heat</v>
      </c>
      <c r="R12" s="32"/>
      <c r="S12" s="39">
        <f>N10+N9/'Ni(OH)2 production'!E12*('Ni(OH)2 production'!F24+'Ni(OH)2 separation'!F24+'K2SO4 crystal&amp;dry'!F20)</f>
        <v>6.196635511134363</v>
      </c>
      <c r="T12" s="40" t="str">
        <f>O10</f>
        <v>MJ</v>
      </c>
      <c r="V12" s="33">
        <f>S12*[1]production!$D$6</f>
        <v>0.14022366498145949</v>
      </c>
      <c r="W12" s="33">
        <f>$S$12*[1]production!M6</f>
        <v>7.0029060931889777</v>
      </c>
      <c r="X12" s="33">
        <f>$S12*[1]production!N6</f>
        <v>0.69495267257371884</v>
      </c>
      <c r="Y12" s="33">
        <f>$S12*[1]production!O6</f>
        <v>0.11515207770340986</v>
      </c>
      <c r="Z12" s="33">
        <f>$S12*[1]production!P6</f>
        <v>3.9530816579730559E-2</v>
      </c>
      <c r="AA12" s="33">
        <f>$S12*[1]production!Q6</f>
        <v>2.6982629669683469E-3</v>
      </c>
      <c r="AB12" s="33">
        <f>$S12*[1]production!R6</f>
        <v>6.4457402586819645E-5</v>
      </c>
      <c r="AC12" s="33">
        <f>$S12*[1]production!S6</f>
        <v>3.2976635199603743</v>
      </c>
      <c r="AD12" s="33">
        <f>$S12*[1]production!T6</f>
        <v>1.1313197452678007E-2</v>
      </c>
      <c r="AE12" s="33">
        <f>$S12*[1]production!U6</f>
        <v>2.1856153111322012</v>
      </c>
      <c r="AF12" s="33">
        <f>$S12*[1]production!V6</f>
        <v>7.6014127815085227E-4</v>
      </c>
      <c r="AG12" s="33">
        <f>$S12*[1]production!W6</f>
        <v>7.2878630246451248E-3</v>
      </c>
      <c r="AH12" s="33">
        <f>$S12*[1]production!X6</f>
        <v>3.7784604692692894E-5</v>
      </c>
      <c r="AI12" s="33">
        <f>$S12*[1]production!Y6</f>
        <v>1.0993451060303473E-8</v>
      </c>
      <c r="AJ12" s="33">
        <f>$S12*[1]production!Z6</f>
        <v>1.4854574647291295E-3</v>
      </c>
      <c r="AK12" s="33">
        <f>$S12*[1]production!AA6</f>
        <v>2.5765610455296684E-3</v>
      </c>
      <c r="AL12" s="33">
        <f>$S12*[1]production!AB6</f>
        <v>1.9215766720027659E-3</v>
      </c>
      <c r="AM12" s="33">
        <f>$S12*[1]production!AC6</f>
        <v>4.6045959156137218E-4</v>
      </c>
      <c r="AN12" s="33">
        <f>$S12*[1]production!AD6</f>
        <v>1.0868898686529672E-2</v>
      </c>
      <c r="AO12" s="33">
        <f>$S12*[1]production!AE6</f>
        <v>3.5621978899307E-4</v>
      </c>
      <c r="AP12" s="33">
        <f>$S12*[1]production!AF6</f>
        <v>2.4582672736221133E-2</v>
      </c>
      <c r="AQ12" s="33">
        <f>$S12*[1]production!AG6</f>
        <v>2.8192832585008012E-2</v>
      </c>
      <c r="AR12" s="33">
        <f>$S12*[1]production!AH6</f>
        <v>5.0778329695990538E-3</v>
      </c>
    </row>
    <row r="13" spans="2:44" x14ac:dyDescent="0.25">
      <c r="G13" t="s">
        <v>70</v>
      </c>
      <c r="I13">
        <f>D6/'Ni(NO3)2·6H2O'!E13*'Ni(NO3)2·6H2O'!E7</f>
        <v>2.6615014536035795E-2</v>
      </c>
      <c r="J13" t="s">
        <v>9</v>
      </c>
      <c r="L13" t="str">
        <f>G13</f>
        <v>waste water</v>
      </c>
      <c r="N13">
        <f>I13+I8/'NiO production'!E11*'NiO production'!E7</f>
        <v>3.9922521804053687E-2</v>
      </c>
      <c r="O13" t="str">
        <f>J13</f>
        <v>kg</v>
      </c>
      <c r="Q13" s="41" t="s">
        <v>68</v>
      </c>
      <c r="R13" s="32"/>
      <c r="S13" s="39">
        <f>N9/'Ni(OH)2 production'!E12*'Ni(OH)2 separation'!F29</f>
        <v>5.0768636008408736E-3</v>
      </c>
      <c r="T13" s="40" t="s">
        <v>31</v>
      </c>
      <c r="V13" s="33">
        <f>S13*[1]production!$D$7</f>
        <v>3.6041670075089528E-3</v>
      </c>
      <c r="W13" s="33">
        <f>$S$13*[1]production!M7</f>
        <v>6.3418163186655691E-2</v>
      </c>
      <c r="X13" s="33">
        <f>$S$13*[1]production!N7</f>
        <v>4.1263224288554366E-6</v>
      </c>
      <c r="Y13" s="33">
        <f>$S$13*[1]production!O7</f>
        <v>3.4014478439273769E-3</v>
      </c>
      <c r="Z13" s="33">
        <f>$S$13*[1]production!P7</f>
        <v>1.5022439394888145E-3</v>
      </c>
      <c r="AA13" s="33">
        <f>$S$13*[1]production!Q7</f>
        <v>1.2951079045745068E-5</v>
      </c>
      <c r="AB13" s="33">
        <f>$S$13*[1]production!R7</f>
        <v>6.3201874966868037E-8</v>
      </c>
      <c r="AC13" s="33">
        <f>$S$13*[1]production!S7</f>
        <v>2.6493612700988097E-2</v>
      </c>
      <c r="AD13" s="33">
        <f>$S$13*[1]production!T7</f>
        <v>2.143959498635101E-5</v>
      </c>
      <c r="AE13" s="33">
        <f>$S$13*[1]production!U7</f>
        <v>7.9676297351596662E-3</v>
      </c>
      <c r="AF13" s="33">
        <f>$S$13*[1]production!V7</f>
        <v>3.1210018986169269E-6</v>
      </c>
      <c r="AG13" s="33">
        <f>$S$13*[1]production!W7</f>
        <v>1.5225513938921779E-5</v>
      </c>
      <c r="AH13" s="33">
        <f>$S$13*[1]production!X7</f>
        <v>5.6023189835279042E-7</v>
      </c>
      <c r="AI13" s="33">
        <f>$S$13*[1]production!Y7</f>
        <v>3.0102755034825874E-10</v>
      </c>
      <c r="AJ13" s="33">
        <f>$S$13*[1]production!Z7</f>
        <v>3.8006416288614947E-6</v>
      </c>
      <c r="AK13" s="33">
        <f>$S$13*[1]production!AA7</f>
        <v>1.0222772546653183E-5</v>
      </c>
      <c r="AL13" s="33">
        <f>$S$13*[1]production!AB7</f>
        <v>1.4722904442438533E-5</v>
      </c>
      <c r="AM13" s="33">
        <f>$S$13*[1]production!AC7</f>
        <v>2.6350445147444385E-7</v>
      </c>
      <c r="AN13" s="33">
        <f>$S$13*[1]production!AD7</f>
        <v>1.6251548072651721E-6</v>
      </c>
      <c r="AO13" s="33">
        <f>$S$13*[1]production!AE7</f>
        <v>4.0709338469702624E-7</v>
      </c>
      <c r="AP13" s="33">
        <f>$S$13*[1]production!AF7</f>
        <v>9.9577602666892898E-5</v>
      </c>
      <c r="AQ13" s="33">
        <f>$S$13*[1]production!AG7</f>
        <v>3.0705886430605774E-4</v>
      </c>
      <c r="AR13" s="33">
        <f>$S$13*[1]production!AH7</f>
        <v>1.8084295832555277E-4</v>
      </c>
    </row>
    <row r="14" spans="2:44" x14ac:dyDescent="0.25">
      <c r="Q14" s="38" t="str">
        <f>L11</f>
        <v>process output</v>
      </c>
      <c r="R14" s="32"/>
      <c r="S14" s="39"/>
      <c r="T14" s="40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</row>
    <row r="15" spans="2:44" x14ac:dyDescent="0.25">
      <c r="Q15" s="43" t="str">
        <f>L12</f>
        <v>NiOx precursor solution</v>
      </c>
      <c r="R15" s="32"/>
      <c r="S15" s="39">
        <f>N12</f>
        <v>1</v>
      </c>
      <c r="T15" s="40" t="str">
        <f>O12</f>
        <v>kg</v>
      </c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</row>
    <row r="16" spans="2:44" x14ac:dyDescent="0.25">
      <c r="Q16" s="44" t="s">
        <v>22</v>
      </c>
      <c r="R16" s="32"/>
      <c r="S16" s="39">
        <f>N9/'Ni(OH)2 production'!E12*'Ni(OH)2 production'!E13</f>
        <v>0.12863923692417298</v>
      </c>
      <c r="T16" s="40" t="s">
        <v>9</v>
      </c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</row>
    <row r="17" spans="2:44" ht="15.75" thickBot="1" x14ac:dyDescent="0.3">
      <c r="Q17" s="45" t="str">
        <f>L13</f>
        <v>waste water</v>
      </c>
      <c r="R17" s="46"/>
      <c r="S17" s="47">
        <f>N13+N9/'Ni(OH)2 separation'!E13*'Ni(OH)2 separation'!E7+N9/'Ni(OH)2 separation'!E13*'K2SO4 crystal&amp;dry'!E7</f>
        <v>1.3430845140258061</v>
      </c>
      <c r="T17" s="48" t="str">
        <f>O13</f>
        <v>kg</v>
      </c>
      <c r="V17" s="33">
        <f>S17/1000*[1]production!$D$3</f>
        <v>3.3245370975680776E-3</v>
      </c>
      <c r="W17" s="33">
        <f>$S$17/1000*[1]production!M3</f>
        <v>2.7782124498235857E-2</v>
      </c>
      <c r="X17" s="33">
        <f>$S17/1000*[1]production!N3</f>
        <v>1.193706654375856E-4</v>
      </c>
      <c r="Y17" s="33">
        <f>$S17/1000*[1]production!O3</f>
        <v>3.0419521158170483E-3</v>
      </c>
      <c r="Z17" s="33">
        <f>$S17/1000*[1]production!P3</f>
        <v>5.2564298625427973E-4</v>
      </c>
      <c r="AA17" s="33">
        <f>$S17/1000*[1]production!Q3</f>
        <v>4.6480125776891068E-5</v>
      </c>
      <c r="AB17" s="33">
        <f>$S17/1000*[1]production!R3</f>
        <v>1.8889140605258937E-5</v>
      </c>
      <c r="AC17" s="33">
        <f>$S17/1000*[1]production!S3</f>
        <v>4.2912893307638533E-2</v>
      </c>
      <c r="AD17" s="33">
        <f>$S17/1000*[1]production!T3</f>
        <v>2.130937889953344E-4</v>
      </c>
      <c r="AE17" s="33">
        <f>$S17/1000*[1]production!U3</f>
        <v>4.1736351273351922E-2</v>
      </c>
      <c r="AF17" s="33">
        <f>$S17/1000*[1]production!V3</f>
        <v>1.7507106640326381E-4</v>
      </c>
      <c r="AG17" s="33">
        <f>$S17/1000*[1]production!W3</f>
        <v>2.3458314121974731E-4</v>
      </c>
      <c r="AH17" s="33">
        <f>$S17/1000*[1]production!X3</f>
        <v>2.4395787112764742E-7</v>
      </c>
      <c r="AI17" s="33">
        <f>$S17/1000*[1]production!Y3</f>
        <v>2.464963008591562E-10</v>
      </c>
      <c r="AJ17" s="33">
        <f>$S17/1000*[1]production!Z3</f>
        <v>6.7922470043313074E-6</v>
      </c>
      <c r="AK17" s="33">
        <f>$S17/1000*[1]production!AA3</f>
        <v>7.9861148288488453E-6</v>
      </c>
      <c r="AL17" s="33">
        <f>$S17/1000*[1]production!AB3</f>
        <v>1.392778641044761E-5</v>
      </c>
      <c r="AM17" s="33">
        <f>$S17/1000*[1]production!AC3</f>
        <v>1.8554712561266511E-6</v>
      </c>
      <c r="AN17" s="33">
        <f>$S17/1000*[1]production!AD3</f>
        <v>3.1375797332156859E-5</v>
      </c>
      <c r="AO17" s="33">
        <f>$S17/1000*[1]production!AE3</f>
        <v>1.430250698986081E-5</v>
      </c>
      <c r="AP17" s="33">
        <f>$S17/1000*[1]production!AF3</f>
        <v>1.3625592394791804E-4</v>
      </c>
      <c r="AQ17" s="33">
        <f>$S17/1000*[1]production!AG3</f>
        <v>4.1240753087676404E-4</v>
      </c>
      <c r="AR17" s="33">
        <f>$S17/1000*[1]production!AH3</f>
        <v>7.3913970060382182E-5</v>
      </c>
    </row>
    <row r="18" spans="2:44" x14ac:dyDescent="0.25">
      <c r="Q18">
        <f>S15+S16</f>
        <v>1.1286392369241729</v>
      </c>
      <c r="R18" t="s">
        <v>9</v>
      </c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</row>
    <row r="19" spans="2:44" x14ac:dyDescent="0.25">
      <c r="V19">
        <f>SUM(V6:V18)</f>
        <v>3.6865478756298193</v>
      </c>
      <c r="W19">
        <f>SUM(W6:W18)</f>
        <v>73.032254217579663</v>
      </c>
      <c r="X19">
        <f>SUM(X6:X18)</f>
        <v>0.84205273973981787</v>
      </c>
      <c r="Y19">
        <f t="shared" ref="Y19:AR19" si="9">SUM(Y6:Y18)</f>
        <v>3.2128913463652671</v>
      </c>
      <c r="Z19">
        <f t="shared" si="9"/>
        <v>1.4209429884903775</v>
      </c>
      <c r="AA19">
        <f t="shared" si="9"/>
        <v>0.1328511989985901</v>
      </c>
      <c r="AB19">
        <f t="shared" si="9"/>
        <v>2.4943867314283119E-3</v>
      </c>
      <c r="AC19">
        <f t="shared" si="9"/>
        <v>156.079592294343</v>
      </c>
      <c r="AD19">
        <f t="shared" si="9"/>
        <v>0.27351835450227457</v>
      </c>
      <c r="AE19">
        <f t="shared" si="9"/>
        <v>153.79786498651137</v>
      </c>
      <c r="AF19">
        <f t="shared" si="9"/>
        <v>6.6477280930318751E-3</v>
      </c>
      <c r="AG19">
        <f t="shared" si="9"/>
        <v>1.8930113130820272</v>
      </c>
      <c r="AH19">
        <f t="shared" si="9"/>
        <v>4.4048464959134181E-4</v>
      </c>
      <c r="AI19">
        <f t="shared" si="9"/>
        <v>4.8538606620592631E-7</v>
      </c>
      <c r="AJ19">
        <f t="shared" si="9"/>
        <v>3.2629385133465159E-2</v>
      </c>
      <c r="AK19">
        <f t="shared" si="9"/>
        <v>2.3325565688678444E-2</v>
      </c>
      <c r="AL19">
        <f t="shared" si="9"/>
        <v>0.13231123268380451</v>
      </c>
      <c r="AM19">
        <f t="shared" si="9"/>
        <v>1.1150044865840295E-2</v>
      </c>
      <c r="AN19">
        <f t="shared" si="9"/>
        <v>4.2461153933905281E-2</v>
      </c>
      <c r="AO19">
        <f t="shared" si="9"/>
        <v>1.8267229755745566E-2</v>
      </c>
      <c r="AP19">
        <f t="shared" si="9"/>
        <v>0.19759259372823526</v>
      </c>
      <c r="AQ19">
        <f t="shared" si="9"/>
        <v>1.2564127626390245</v>
      </c>
      <c r="AR19">
        <f t="shared" si="9"/>
        <v>0.24909364205908524</v>
      </c>
    </row>
    <row r="20" spans="2:44" x14ac:dyDescent="0.25">
      <c r="S20" s="33">
        <f>SUM(S6:S11)-S15-S16-S17</f>
        <v>0</v>
      </c>
      <c r="V20" s="49">
        <f>V19/$Q$18*$S$15</f>
        <v>3.2663651546233621</v>
      </c>
      <c r="W20" s="49">
        <f>W19/$Q$18*$S$15</f>
        <v>64.708236102628334</v>
      </c>
      <c r="X20" s="49">
        <f>X19/$Q$18*$S$15</f>
        <v>0.7460778539248949</v>
      </c>
      <c r="Y20" s="49">
        <f t="shared" ref="Y20:AR20" si="10">Y19/$Q$18*$S$15</f>
        <v>2.8466947109877272</v>
      </c>
      <c r="Z20" s="49">
        <f t="shared" si="10"/>
        <v>1.258987763320019</v>
      </c>
      <c r="AA20" s="49">
        <f t="shared" si="10"/>
        <v>0.11770917991531393</v>
      </c>
      <c r="AB20" s="49">
        <f t="shared" si="10"/>
        <v>2.210083301929274E-3</v>
      </c>
      <c r="AC20" s="49">
        <f t="shared" si="10"/>
        <v>138.29006398864826</v>
      </c>
      <c r="AD20" s="49">
        <f t="shared" si="10"/>
        <v>0.24234347482697943</v>
      </c>
      <c r="AE20" s="49">
        <f t="shared" si="10"/>
        <v>136.26840176640448</v>
      </c>
      <c r="AF20" s="49">
        <f t="shared" si="10"/>
        <v>5.8900380879443942E-3</v>
      </c>
      <c r="AG20" s="49">
        <f t="shared" si="10"/>
        <v>1.6772510215407372</v>
      </c>
      <c r="AH20" s="49">
        <f t="shared" si="10"/>
        <v>3.9027940477399475E-4</v>
      </c>
      <c r="AI20" s="49">
        <f t="shared" si="10"/>
        <v>4.3006307979219823E-7</v>
      </c>
      <c r="AJ20" s="49">
        <f t="shared" si="10"/>
        <v>2.8910376377121603E-2</v>
      </c>
      <c r="AK20" s="49">
        <f t="shared" si="10"/>
        <v>2.0666981020655017E-2</v>
      </c>
      <c r="AL20" s="49">
        <f t="shared" si="10"/>
        <v>0.11723075749553601</v>
      </c>
      <c r="AM20" s="49">
        <f t="shared" si="10"/>
        <v>9.8791930149681705E-3</v>
      </c>
      <c r="AN20" s="49">
        <f t="shared" si="10"/>
        <v>3.762154685461995E-2</v>
      </c>
      <c r="AO20" s="49">
        <f t="shared" si="10"/>
        <v>1.6185180488256269E-2</v>
      </c>
      <c r="AP20" s="49">
        <f t="shared" si="10"/>
        <v>0.17507152619177499</v>
      </c>
      <c r="AQ20" s="49">
        <f t="shared" si="10"/>
        <v>1.1132102460508697</v>
      </c>
      <c r="AR20" s="49">
        <f t="shared" si="10"/>
        <v>0.22070262481563938</v>
      </c>
    </row>
    <row r="21" spans="2:44" x14ac:dyDescent="0.25">
      <c r="B21" s="25"/>
      <c r="N21">
        <f>N6+N7+N8+N9-N12-N13</f>
        <v>-1.5265566588595902E-16</v>
      </c>
    </row>
    <row r="22" spans="2:44" x14ac:dyDescent="0.25">
      <c r="B22" s="26"/>
    </row>
    <row r="23" spans="2:44" x14ac:dyDescent="0.25">
      <c r="B23" s="27"/>
    </row>
  </sheetData>
  <mergeCells count="2">
    <mergeCell ref="X4:AO4"/>
    <mergeCell ref="AP4:AR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Ni(OH)2 production</vt:lpstr>
      <vt:lpstr>Ni(OH)2 separation</vt:lpstr>
      <vt:lpstr>K2SO4 crystal&amp;dry</vt:lpstr>
      <vt:lpstr>NiO production</vt:lpstr>
      <vt:lpstr>Ni(NO3)2·6H2O</vt:lpstr>
      <vt:lpstr>dissolve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2018-05-10T15:57:30Z</dcterms:modified>
</cp:coreProperties>
</file>